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volatileDependencies.xml" ContentType="application/vnd.openxmlformats-officedocument.spreadsheetml.volatileDependenc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0395" yWindow="-105" windowWidth="14850" windowHeight="12735"/>
  </bookViews>
  <sheets>
    <sheet name="BIData" sheetId="2" r:id="rId1"/>
    <sheet name="ReferenceData" sheetId="3" r:id="rId2"/>
    <sheet name="帮助-参考" sheetId="4" r:id="rId3"/>
  </sheets>
  <calcPr calcId="124519"/>
</workbook>
</file>

<file path=xl/calcChain.xml><?xml version="1.0" encoding="utf-8"?>
<calcChain xmlns="http://schemas.openxmlformats.org/spreadsheetml/2006/main">
  <c r="DU440" i="3"/>
  <c r="DT440"/>
  <c r="DS440"/>
  <c r="DR440"/>
  <c r="DQ440"/>
  <c r="DP440"/>
  <c r="DO440"/>
  <c r="DN440"/>
  <c r="DM440"/>
  <c r="DL440"/>
  <c r="DK440"/>
  <c r="DJ440"/>
  <c r="DI440"/>
  <c r="DH440"/>
  <c r="DG440"/>
  <c r="DF440"/>
  <c r="DE440"/>
  <c r="DD440"/>
  <c r="DC440"/>
  <c r="DB440"/>
  <c r="DA440"/>
  <c r="CZ440"/>
  <c r="CY440"/>
  <c r="CX440"/>
  <c r="CW440"/>
  <c r="CV440"/>
  <c r="CU440"/>
  <c r="CT440"/>
  <c r="CS440"/>
  <c r="CR440"/>
  <c r="CQ440"/>
  <c r="CP440"/>
  <c r="CO440"/>
  <c r="CN440"/>
  <c r="CM440"/>
  <c r="CL440"/>
  <c r="CK440"/>
  <c r="CJ440"/>
  <c r="CI440"/>
  <c r="CH440"/>
  <c r="CG440"/>
  <c r="CF440"/>
  <c r="CE440"/>
  <c r="CD440"/>
  <c r="CC440"/>
  <c r="CB440"/>
  <c r="CA440"/>
  <c r="BZ440"/>
  <c r="BY440"/>
  <c r="BX440"/>
  <c r="BW440"/>
  <c r="BV440"/>
  <c r="BU440"/>
  <c r="BT440"/>
  <c r="BS440"/>
  <c r="BR440"/>
  <c r="BQ440"/>
  <c r="BP440"/>
  <c r="BO440"/>
  <c r="BN440"/>
  <c r="E440"/>
  <c r="D440"/>
  <c r="C440"/>
  <c r="B440"/>
  <c r="A440"/>
  <c r="DU439"/>
  <c r="DT439"/>
  <c r="DS439"/>
  <c r="DR439"/>
  <c r="DQ439"/>
  <c r="DP439"/>
  <c r="DO439"/>
  <c r="DN439"/>
  <c r="DM439"/>
  <c r="DL439"/>
  <c r="DK439"/>
  <c r="DJ439"/>
  <c r="DI439"/>
  <c r="DH439"/>
  <c r="DG439"/>
  <c r="DF439"/>
  <c r="DE439"/>
  <c r="DD439"/>
  <c r="DC439"/>
  <c r="DB439"/>
  <c r="DA439"/>
  <c r="CZ439"/>
  <c r="CY439"/>
  <c r="CX439"/>
  <c r="CW439"/>
  <c r="CV439"/>
  <c r="CU439"/>
  <c r="CT439"/>
  <c r="CS439"/>
  <c r="CR439"/>
  <c r="CQ439"/>
  <c r="CP439"/>
  <c r="CO439"/>
  <c r="CN439"/>
  <c r="CM439"/>
  <c r="CL439"/>
  <c r="CK439"/>
  <c r="CJ439"/>
  <c r="CI439"/>
  <c r="CH439"/>
  <c r="CG439"/>
  <c r="CF439"/>
  <c r="CE439"/>
  <c r="CD439"/>
  <c r="CC439"/>
  <c r="CB439"/>
  <c r="CA439"/>
  <c r="BZ439"/>
  <c r="BY439"/>
  <c r="BX439"/>
  <c r="BW439"/>
  <c r="BV439"/>
  <c r="BU439"/>
  <c r="BT439"/>
  <c r="BS439"/>
  <c r="BR439"/>
  <c r="BQ439"/>
  <c r="BP439"/>
  <c r="BO439"/>
  <c r="BN439"/>
  <c r="A439"/>
  <c r="DU438"/>
  <c r="DT438"/>
  <c r="DS438"/>
  <c r="DR438"/>
  <c r="DQ438"/>
  <c r="DP438"/>
  <c r="DO438"/>
  <c r="DN438"/>
  <c r="DM438"/>
  <c r="DL438"/>
  <c r="DK438"/>
  <c r="DJ438"/>
  <c r="DI438"/>
  <c r="DH438"/>
  <c r="DG438"/>
  <c r="DF438"/>
  <c r="DE438"/>
  <c r="DD438"/>
  <c r="DC438"/>
  <c r="DB438"/>
  <c r="DA438"/>
  <c r="CZ438"/>
  <c r="CY438"/>
  <c r="CX438"/>
  <c r="CW438"/>
  <c r="CV438"/>
  <c r="CU438"/>
  <c r="CT438"/>
  <c r="CS438"/>
  <c r="CR438"/>
  <c r="CQ438"/>
  <c r="CP438"/>
  <c r="CO438"/>
  <c r="CN438"/>
  <c r="CM438"/>
  <c r="CL438"/>
  <c r="CK438"/>
  <c r="CJ438"/>
  <c r="CI438"/>
  <c r="CH438"/>
  <c r="CG438"/>
  <c r="CF438"/>
  <c r="CE438"/>
  <c r="CD438"/>
  <c r="CC438"/>
  <c r="CB438"/>
  <c r="CA438"/>
  <c r="BZ438"/>
  <c r="BY438"/>
  <c r="BX438"/>
  <c r="BW438"/>
  <c r="BV438"/>
  <c r="BU438"/>
  <c r="BT438"/>
  <c r="BS438"/>
  <c r="BR438"/>
  <c r="BQ438"/>
  <c r="BP438"/>
  <c r="BO438"/>
  <c r="BN438"/>
  <c r="A438"/>
  <c r="DU437"/>
  <c r="DT437"/>
  <c r="DS437"/>
  <c r="DR437"/>
  <c r="DQ437"/>
  <c r="DP437"/>
  <c r="DO437"/>
  <c r="DN437"/>
  <c r="DM437"/>
  <c r="DL437"/>
  <c r="DK437"/>
  <c r="DJ437"/>
  <c r="DI437"/>
  <c r="DH437"/>
  <c r="DG437"/>
  <c r="DF437"/>
  <c r="DE437"/>
  <c r="DD437"/>
  <c r="DC437"/>
  <c r="DB437"/>
  <c r="DA437"/>
  <c r="CZ437"/>
  <c r="CY437"/>
  <c r="CX437"/>
  <c r="CW437"/>
  <c r="CV437"/>
  <c r="CU437"/>
  <c r="CT437"/>
  <c r="CS437"/>
  <c r="CR437"/>
  <c r="CQ437"/>
  <c r="CP437"/>
  <c r="CO437"/>
  <c r="CN437"/>
  <c r="CM437"/>
  <c r="CL437"/>
  <c r="CK437"/>
  <c r="CJ437"/>
  <c r="CI437"/>
  <c r="CH437"/>
  <c r="CG437"/>
  <c r="CF437"/>
  <c r="CE437"/>
  <c r="CD437"/>
  <c r="CC437"/>
  <c r="CB437"/>
  <c r="CA437"/>
  <c r="BZ437"/>
  <c r="BY437"/>
  <c r="BX437"/>
  <c r="BW437"/>
  <c r="BV437"/>
  <c r="BU437"/>
  <c r="BT437"/>
  <c r="BS437"/>
  <c r="BR437"/>
  <c r="BQ437"/>
  <c r="BP437"/>
  <c r="BO437"/>
  <c r="BN437"/>
  <c r="A437"/>
  <c r="DU436"/>
  <c r="DT436"/>
  <c r="DS436"/>
  <c r="DR436"/>
  <c r="DQ436"/>
  <c r="DP436"/>
  <c r="DO436"/>
  <c r="DN436"/>
  <c r="DM436"/>
  <c r="DL436"/>
  <c r="DK436"/>
  <c r="DJ436"/>
  <c r="DI436"/>
  <c r="DH436"/>
  <c r="DG436"/>
  <c r="DF436"/>
  <c r="DE436"/>
  <c r="DD436"/>
  <c r="DC436"/>
  <c r="DB436"/>
  <c r="DA436"/>
  <c r="CZ436"/>
  <c r="CY436"/>
  <c r="CX436"/>
  <c r="CW436"/>
  <c r="CV436"/>
  <c r="CU436"/>
  <c r="CT436"/>
  <c r="CS436"/>
  <c r="CR436"/>
  <c r="CQ436"/>
  <c r="CP436"/>
  <c r="CO436"/>
  <c r="CN436"/>
  <c r="CM436"/>
  <c r="CL436"/>
  <c r="CK436"/>
  <c r="CJ436"/>
  <c r="CI436"/>
  <c r="CH436"/>
  <c r="CG436"/>
  <c r="CF436"/>
  <c r="CE436"/>
  <c r="CD436"/>
  <c r="CC436"/>
  <c r="CB436"/>
  <c r="CA436"/>
  <c r="BZ436"/>
  <c r="BY436"/>
  <c r="BX436"/>
  <c r="BW436"/>
  <c r="BV436"/>
  <c r="BU436"/>
  <c r="BT436"/>
  <c r="BS436"/>
  <c r="BR436"/>
  <c r="BQ436"/>
  <c r="BP436"/>
  <c r="BO436"/>
  <c r="BN436"/>
  <c r="A436"/>
  <c r="DU435"/>
  <c r="DT435"/>
  <c r="DS435"/>
  <c r="DR435"/>
  <c r="DQ435"/>
  <c r="DP435"/>
  <c r="DO435"/>
  <c r="DN435"/>
  <c r="DM435"/>
  <c r="DL435"/>
  <c r="DK435"/>
  <c r="DJ435"/>
  <c r="DI435"/>
  <c r="DH435"/>
  <c r="DG435"/>
  <c r="DF435"/>
  <c r="DE435"/>
  <c r="DD435"/>
  <c r="DC435"/>
  <c r="DB435"/>
  <c r="DA435"/>
  <c r="CZ435"/>
  <c r="CY435"/>
  <c r="CX435"/>
  <c r="CW435"/>
  <c r="CV435"/>
  <c r="CU435"/>
  <c r="CT435"/>
  <c r="CS435"/>
  <c r="CR435"/>
  <c r="CQ435"/>
  <c r="CP435"/>
  <c r="CO435"/>
  <c r="CN435"/>
  <c r="CM435"/>
  <c r="CL435"/>
  <c r="CK435"/>
  <c r="CJ435"/>
  <c r="CI435"/>
  <c r="CH435"/>
  <c r="CG435"/>
  <c r="CF435"/>
  <c r="CE435"/>
  <c r="CD435"/>
  <c r="CC435"/>
  <c r="CB435"/>
  <c r="CA435"/>
  <c r="BZ435"/>
  <c r="BY435"/>
  <c r="BX435"/>
  <c r="BW435"/>
  <c r="BV435"/>
  <c r="BU435"/>
  <c r="BT435"/>
  <c r="BS435"/>
  <c r="BR435"/>
  <c r="BQ435"/>
  <c r="BP435"/>
  <c r="BO435"/>
  <c r="BN435"/>
  <c r="A435"/>
  <c r="DU434"/>
  <c r="DT434"/>
  <c r="DS434"/>
  <c r="DR434"/>
  <c r="DQ434"/>
  <c r="DP434"/>
  <c r="DO434"/>
  <c r="DN434"/>
  <c r="DM434"/>
  <c r="DL434"/>
  <c r="DK434"/>
  <c r="DJ434"/>
  <c r="DI434"/>
  <c r="DH434"/>
  <c r="DG434"/>
  <c r="DF434"/>
  <c r="DE434"/>
  <c r="DD434"/>
  <c r="DC434"/>
  <c r="DB434"/>
  <c r="DA434"/>
  <c r="CZ434"/>
  <c r="CY434"/>
  <c r="CX434"/>
  <c r="CW434"/>
  <c r="CV434"/>
  <c r="CU434"/>
  <c r="CT434"/>
  <c r="CS434"/>
  <c r="CR434"/>
  <c r="CQ434"/>
  <c r="CP434"/>
  <c r="CO434"/>
  <c r="CN434"/>
  <c r="CM434"/>
  <c r="CL434"/>
  <c r="CK434"/>
  <c r="CJ434"/>
  <c r="CI434"/>
  <c r="CH434"/>
  <c r="CG434"/>
  <c r="CF434"/>
  <c r="CE434"/>
  <c r="CD434"/>
  <c r="CC434"/>
  <c r="CB434"/>
  <c r="CA434"/>
  <c r="BZ434"/>
  <c r="BY434"/>
  <c r="BX434"/>
  <c r="BW434"/>
  <c r="BV434"/>
  <c r="BU434"/>
  <c r="BT434"/>
  <c r="BS434"/>
  <c r="BR434"/>
  <c r="BQ434"/>
  <c r="BP434"/>
  <c r="BO434"/>
  <c r="BN434"/>
  <c r="A434"/>
  <c r="DU433"/>
  <c r="DT433"/>
  <c r="DS433"/>
  <c r="DR433"/>
  <c r="DQ433"/>
  <c r="DP433"/>
  <c r="DO433"/>
  <c r="DN433"/>
  <c r="DM433"/>
  <c r="DL433"/>
  <c r="DK433"/>
  <c r="DJ433"/>
  <c r="DI433"/>
  <c r="DH433"/>
  <c r="DG433"/>
  <c r="DF433"/>
  <c r="DE433"/>
  <c r="DD433"/>
  <c r="DC433"/>
  <c r="DB433"/>
  <c r="DA433"/>
  <c r="CZ433"/>
  <c r="CY433"/>
  <c r="CX433"/>
  <c r="CW433"/>
  <c r="CV433"/>
  <c r="CU433"/>
  <c r="CT433"/>
  <c r="CS433"/>
  <c r="CR433"/>
  <c r="CQ433"/>
  <c r="CP433"/>
  <c r="CO433"/>
  <c r="CN433"/>
  <c r="CM433"/>
  <c r="CL433"/>
  <c r="CK433"/>
  <c r="CJ433"/>
  <c r="CI433"/>
  <c r="CH433"/>
  <c r="CG433"/>
  <c r="CF433"/>
  <c r="CE433"/>
  <c r="CD433"/>
  <c r="CC433"/>
  <c r="CB433"/>
  <c r="CA433"/>
  <c r="BZ433"/>
  <c r="BY433"/>
  <c r="BX433"/>
  <c r="BW433"/>
  <c r="BV433"/>
  <c r="BU433"/>
  <c r="BT433"/>
  <c r="BS433"/>
  <c r="BR433"/>
  <c r="BQ433"/>
  <c r="BP433"/>
  <c r="BO433"/>
  <c r="BN433"/>
  <c r="A433"/>
  <c r="DU432"/>
  <c r="DT432"/>
  <c r="DS432"/>
  <c r="DR432"/>
  <c r="DQ432"/>
  <c r="DP432"/>
  <c r="DO432"/>
  <c r="DN432"/>
  <c r="DM432"/>
  <c r="DL432"/>
  <c r="DK432"/>
  <c r="DJ432"/>
  <c r="DI432"/>
  <c r="DH432"/>
  <c r="DG432"/>
  <c r="DF432"/>
  <c r="DE432"/>
  <c r="DD432"/>
  <c r="DC432"/>
  <c r="DB432"/>
  <c r="DA432"/>
  <c r="CZ432"/>
  <c r="CY432"/>
  <c r="CX432"/>
  <c r="CW432"/>
  <c r="CV432"/>
  <c r="CU432"/>
  <c r="CT432"/>
  <c r="CS432"/>
  <c r="CR432"/>
  <c r="CQ432"/>
  <c r="CP432"/>
  <c r="CO432"/>
  <c r="CN432"/>
  <c r="CM432"/>
  <c r="CL432"/>
  <c r="CK432"/>
  <c r="CJ432"/>
  <c r="CI432"/>
  <c r="CH432"/>
  <c r="CG432"/>
  <c r="CF432"/>
  <c r="CE432"/>
  <c r="CD432"/>
  <c r="CC432"/>
  <c r="CB432"/>
  <c r="CA432"/>
  <c r="BZ432"/>
  <c r="BY432"/>
  <c r="BX432"/>
  <c r="BW432"/>
  <c r="BV432"/>
  <c r="BU432"/>
  <c r="BT432"/>
  <c r="BS432"/>
  <c r="BR432"/>
  <c r="BQ432"/>
  <c r="BP432"/>
  <c r="BO432"/>
  <c r="BN432"/>
  <c r="A432"/>
  <c r="DU431"/>
  <c r="DT431"/>
  <c r="DS431"/>
  <c r="DR431"/>
  <c r="DQ431"/>
  <c r="DP431"/>
  <c r="DO431"/>
  <c r="DN431"/>
  <c r="DM431"/>
  <c r="DL431"/>
  <c r="DK431"/>
  <c r="DJ431"/>
  <c r="DI431"/>
  <c r="DH431"/>
  <c r="DG431"/>
  <c r="DF431"/>
  <c r="DE431"/>
  <c r="DD431"/>
  <c r="DC431"/>
  <c r="DB431"/>
  <c r="DA431"/>
  <c r="CZ431"/>
  <c r="CY431"/>
  <c r="CX431"/>
  <c r="CW431"/>
  <c r="CV431"/>
  <c r="CU431"/>
  <c r="CT431"/>
  <c r="CS431"/>
  <c r="CR431"/>
  <c r="CQ431"/>
  <c r="CP431"/>
  <c r="CO431"/>
  <c r="CN431"/>
  <c r="CM431"/>
  <c r="CL431"/>
  <c r="CK431"/>
  <c r="CJ431"/>
  <c r="CI431"/>
  <c r="CH431"/>
  <c r="CG431"/>
  <c r="CF431"/>
  <c r="CE431"/>
  <c r="CD431"/>
  <c r="CC431"/>
  <c r="CB431"/>
  <c r="CA431"/>
  <c r="BZ431"/>
  <c r="BY431"/>
  <c r="BX431"/>
  <c r="BW431"/>
  <c r="BV431"/>
  <c r="BU431"/>
  <c r="BT431"/>
  <c r="BS431"/>
  <c r="BR431"/>
  <c r="BQ431"/>
  <c r="BP431"/>
  <c r="BO431"/>
  <c r="BN431"/>
  <c r="A431"/>
  <c r="DU430"/>
  <c r="DT430"/>
  <c r="DS430"/>
  <c r="DR430"/>
  <c r="DQ430"/>
  <c r="DP430"/>
  <c r="DO430"/>
  <c r="DN430"/>
  <c r="DM430"/>
  <c r="DL430"/>
  <c r="DK430"/>
  <c r="DJ430"/>
  <c r="DI430"/>
  <c r="DH430"/>
  <c r="DG430"/>
  <c r="DF430"/>
  <c r="DE430"/>
  <c r="DD430"/>
  <c r="DC430"/>
  <c r="DB430"/>
  <c r="DA430"/>
  <c r="CZ430"/>
  <c r="CY430"/>
  <c r="CX430"/>
  <c r="CW430"/>
  <c r="CV430"/>
  <c r="CU430"/>
  <c r="CT430"/>
  <c r="CS430"/>
  <c r="CR430"/>
  <c r="CQ430"/>
  <c r="CP430"/>
  <c r="CO430"/>
  <c r="CN430"/>
  <c r="CM430"/>
  <c r="CL430"/>
  <c r="CK430"/>
  <c r="CJ430"/>
  <c r="CI430"/>
  <c r="CH430"/>
  <c r="CG430"/>
  <c r="CF430"/>
  <c r="CE430"/>
  <c r="CD430"/>
  <c r="CC430"/>
  <c r="CB430"/>
  <c r="CA430"/>
  <c r="BZ430"/>
  <c r="BY430"/>
  <c r="BX430"/>
  <c r="BW430"/>
  <c r="BV430"/>
  <c r="BU430"/>
  <c r="BT430"/>
  <c r="BS430"/>
  <c r="BR430"/>
  <c r="BQ430"/>
  <c r="BP430"/>
  <c r="BO430"/>
  <c r="BN430"/>
  <c r="A430"/>
  <c r="DU429"/>
  <c r="DT429"/>
  <c r="DS429"/>
  <c r="DR429"/>
  <c r="DQ429"/>
  <c r="DP429"/>
  <c r="DO429"/>
  <c r="DN429"/>
  <c r="DM429"/>
  <c r="DL429"/>
  <c r="DK429"/>
  <c r="DJ429"/>
  <c r="DI429"/>
  <c r="DH429"/>
  <c r="DG429"/>
  <c r="DF429"/>
  <c r="DE429"/>
  <c r="DD429"/>
  <c r="DC429"/>
  <c r="DB429"/>
  <c r="DA429"/>
  <c r="CZ429"/>
  <c r="CY429"/>
  <c r="CX429"/>
  <c r="CW429"/>
  <c r="CV429"/>
  <c r="CU429"/>
  <c r="CT429"/>
  <c r="CS429"/>
  <c r="CR429"/>
  <c r="CQ429"/>
  <c r="CP429"/>
  <c r="CO429"/>
  <c r="CN429"/>
  <c r="CM429"/>
  <c r="CL429"/>
  <c r="CK429"/>
  <c r="CJ429"/>
  <c r="CI429"/>
  <c r="CH429"/>
  <c r="CG429"/>
  <c r="CF429"/>
  <c r="CE429"/>
  <c r="CD429"/>
  <c r="CC429"/>
  <c r="CB429"/>
  <c r="CA429"/>
  <c r="BZ429"/>
  <c r="BY429"/>
  <c r="BX429"/>
  <c r="BW429"/>
  <c r="BV429"/>
  <c r="BU429"/>
  <c r="BT429"/>
  <c r="BS429"/>
  <c r="BR429"/>
  <c r="BQ429"/>
  <c r="BP429"/>
  <c r="BO429"/>
  <c r="BN429"/>
  <c r="A429"/>
  <c r="DU428"/>
  <c r="DT428"/>
  <c r="DS428"/>
  <c r="DR428"/>
  <c r="DQ428"/>
  <c r="DP428"/>
  <c r="DO428"/>
  <c r="DN428"/>
  <c r="DM428"/>
  <c r="DL428"/>
  <c r="DK428"/>
  <c r="DJ428"/>
  <c r="DI428"/>
  <c r="DH428"/>
  <c r="DG428"/>
  <c r="DF428"/>
  <c r="DE428"/>
  <c r="DD428"/>
  <c r="DC428"/>
  <c r="DB428"/>
  <c r="DA428"/>
  <c r="CZ428"/>
  <c r="CY428"/>
  <c r="CX428"/>
  <c r="CW428"/>
  <c r="CV428"/>
  <c r="CU428"/>
  <c r="CT428"/>
  <c r="CS428"/>
  <c r="CR428"/>
  <c r="CQ428"/>
  <c r="CP428"/>
  <c r="CO428"/>
  <c r="CN428"/>
  <c r="CM428"/>
  <c r="CL428"/>
  <c r="CK428"/>
  <c r="CJ428"/>
  <c r="CI428"/>
  <c r="CH428"/>
  <c r="CG428"/>
  <c r="CF428"/>
  <c r="CE428"/>
  <c r="CD428"/>
  <c r="CC428"/>
  <c r="CB428"/>
  <c r="CA428"/>
  <c r="BZ428"/>
  <c r="BY428"/>
  <c r="BX428"/>
  <c r="BW428"/>
  <c r="BV428"/>
  <c r="BU428"/>
  <c r="BT428"/>
  <c r="BS428"/>
  <c r="BR428"/>
  <c r="BQ428"/>
  <c r="BP428"/>
  <c r="BO428"/>
  <c r="BN428"/>
  <c r="A428"/>
  <c r="DU427"/>
  <c r="DT427"/>
  <c r="DS427"/>
  <c r="DR427"/>
  <c r="DQ427"/>
  <c r="DP427"/>
  <c r="DO427"/>
  <c r="DN427"/>
  <c r="DM427"/>
  <c r="DL427"/>
  <c r="DK427"/>
  <c r="DJ427"/>
  <c r="DI427"/>
  <c r="DH427"/>
  <c r="DG427"/>
  <c r="DF427"/>
  <c r="DE427"/>
  <c r="DD427"/>
  <c r="DC427"/>
  <c r="DB427"/>
  <c r="DA427"/>
  <c r="CZ427"/>
  <c r="CY427"/>
  <c r="CX427"/>
  <c r="CW427"/>
  <c r="CV427"/>
  <c r="CU427"/>
  <c r="CT427"/>
  <c r="CS427"/>
  <c r="CR427"/>
  <c r="CQ427"/>
  <c r="CP427"/>
  <c r="CO427"/>
  <c r="CN427"/>
  <c r="CM427"/>
  <c r="CL427"/>
  <c r="CK427"/>
  <c r="CJ427"/>
  <c r="CI427"/>
  <c r="CH427"/>
  <c r="CG427"/>
  <c r="CF427"/>
  <c r="CE427"/>
  <c r="CD427"/>
  <c r="CC427"/>
  <c r="CB427"/>
  <c r="CA427"/>
  <c r="BZ427"/>
  <c r="BY427"/>
  <c r="BX427"/>
  <c r="BW427"/>
  <c r="BV427"/>
  <c r="BU427"/>
  <c r="BT427"/>
  <c r="BS427"/>
  <c r="BR427"/>
  <c r="BQ427"/>
  <c r="BP427"/>
  <c r="BO427"/>
  <c r="BN427"/>
  <c r="A427"/>
  <c r="DU426"/>
  <c r="DT426"/>
  <c r="DS426"/>
  <c r="DR426"/>
  <c r="DQ426"/>
  <c r="DP426"/>
  <c r="DO426"/>
  <c r="DN426"/>
  <c r="DM426"/>
  <c r="DL426"/>
  <c r="DK426"/>
  <c r="DJ426"/>
  <c r="DI426"/>
  <c r="DH426"/>
  <c r="DG426"/>
  <c r="DF426"/>
  <c r="DE426"/>
  <c r="DD426"/>
  <c r="DC426"/>
  <c r="DB426"/>
  <c r="DA426"/>
  <c r="CZ426"/>
  <c r="CY426"/>
  <c r="CX426"/>
  <c r="CW426"/>
  <c r="CV426"/>
  <c r="CU426"/>
  <c r="CT426"/>
  <c r="CS426"/>
  <c r="CR426"/>
  <c r="CQ426"/>
  <c r="CP426"/>
  <c r="CO426"/>
  <c r="CN426"/>
  <c r="CM426"/>
  <c r="CL426"/>
  <c r="CK426"/>
  <c r="CJ426"/>
  <c r="CI426"/>
  <c r="CH426"/>
  <c r="CG426"/>
  <c r="CF426"/>
  <c r="CE426"/>
  <c r="CD426"/>
  <c r="CC426"/>
  <c r="CB426"/>
  <c r="CA426"/>
  <c r="BZ426"/>
  <c r="BY426"/>
  <c r="BX426"/>
  <c r="BW426"/>
  <c r="BV426"/>
  <c r="BU426"/>
  <c r="BT426"/>
  <c r="BS426"/>
  <c r="BR426"/>
  <c r="BQ426"/>
  <c r="BP426"/>
  <c r="BO426"/>
  <c r="BN426"/>
  <c r="A426"/>
  <c r="DU425"/>
  <c r="DT425"/>
  <c r="DS425"/>
  <c r="DR425"/>
  <c r="DQ425"/>
  <c r="DP425"/>
  <c r="DO425"/>
  <c r="DN425"/>
  <c r="DM425"/>
  <c r="DL425"/>
  <c r="DK425"/>
  <c r="DJ425"/>
  <c r="DI425"/>
  <c r="DH425"/>
  <c r="DG425"/>
  <c r="DF425"/>
  <c r="DE425"/>
  <c r="DD425"/>
  <c r="DC425"/>
  <c r="DB425"/>
  <c r="DA425"/>
  <c r="CZ425"/>
  <c r="CY425"/>
  <c r="CX425"/>
  <c r="CW425"/>
  <c r="CV425"/>
  <c r="CU425"/>
  <c r="CT425"/>
  <c r="CS425"/>
  <c r="CR425"/>
  <c r="CQ425"/>
  <c r="CP425"/>
  <c r="CO425"/>
  <c r="CN425"/>
  <c r="CM425"/>
  <c r="CL425"/>
  <c r="CK425"/>
  <c r="CJ425"/>
  <c r="CI425"/>
  <c r="CH425"/>
  <c r="CG425"/>
  <c r="CF425"/>
  <c r="CE425"/>
  <c r="CD425"/>
  <c r="CC425"/>
  <c r="CB425"/>
  <c r="CA425"/>
  <c r="BZ425"/>
  <c r="BY425"/>
  <c r="BX425"/>
  <c r="BW425"/>
  <c r="BV425"/>
  <c r="BU425"/>
  <c r="BT425"/>
  <c r="BS425"/>
  <c r="BR425"/>
  <c r="BQ425"/>
  <c r="BP425"/>
  <c r="BO425"/>
  <c r="BN425"/>
  <c r="A425"/>
  <c r="DU424"/>
  <c r="DT424"/>
  <c r="DS424"/>
  <c r="DR424"/>
  <c r="DQ424"/>
  <c r="DP424"/>
  <c r="DO424"/>
  <c r="DN424"/>
  <c r="DM424"/>
  <c r="DL424"/>
  <c r="DK424"/>
  <c r="DJ424"/>
  <c r="DI424"/>
  <c r="DH424"/>
  <c r="DG424"/>
  <c r="DF424"/>
  <c r="DE424"/>
  <c r="DD424"/>
  <c r="DC424"/>
  <c r="DB424"/>
  <c r="DA424"/>
  <c r="CZ424"/>
  <c r="CY424"/>
  <c r="CX424"/>
  <c r="CW424"/>
  <c r="CV424"/>
  <c r="CU424"/>
  <c r="CT424"/>
  <c r="CS424"/>
  <c r="CR424"/>
  <c r="CQ424"/>
  <c r="CP424"/>
  <c r="CO424"/>
  <c r="CN424"/>
  <c r="CM424"/>
  <c r="CL424"/>
  <c r="CK424"/>
  <c r="CJ424"/>
  <c r="CI424"/>
  <c r="CH424"/>
  <c r="CG424"/>
  <c r="CF424"/>
  <c r="CE424"/>
  <c r="CD424"/>
  <c r="CC424"/>
  <c r="CB424"/>
  <c r="CA424"/>
  <c r="BZ424"/>
  <c r="BY424"/>
  <c r="BX424"/>
  <c r="BW424"/>
  <c r="BV424"/>
  <c r="BU424"/>
  <c r="BT424"/>
  <c r="BS424"/>
  <c r="BR424"/>
  <c r="BQ424"/>
  <c r="BP424"/>
  <c r="BO424"/>
  <c r="BN424"/>
  <c r="A424"/>
  <c r="DU423"/>
  <c r="DT423"/>
  <c r="DS423"/>
  <c r="DR423"/>
  <c r="DQ423"/>
  <c r="DP423"/>
  <c r="DO423"/>
  <c r="DN423"/>
  <c r="DM423"/>
  <c r="DL423"/>
  <c r="DK423"/>
  <c r="DJ423"/>
  <c r="DI423"/>
  <c r="DH423"/>
  <c r="DG423"/>
  <c r="DF423"/>
  <c r="DE423"/>
  <c r="DD423"/>
  <c r="DC423"/>
  <c r="DB423"/>
  <c r="DA423"/>
  <c r="CZ423"/>
  <c r="CY423"/>
  <c r="CX423"/>
  <c r="CW423"/>
  <c r="CV423"/>
  <c r="CU423"/>
  <c r="CT423"/>
  <c r="CS423"/>
  <c r="CR423"/>
  <c r="CQ423"/>
  <c r="CP423"/>
  <c r="CO423"/>
  <c r="CN423"/>
  <c r="CM423"/>
  <c r="CL423"/>
  <c r="CK423"/>
  <c r="CJ423"/>
  <c r="CI423"/>
  <c r="CH423"/>
  <c r="CG423"/>
  <c r="CF423"/>
  <c r="CE423"/>
  <c r="CD423"/>
  <c r="CC423"/>
  <c r="CB423"/>
  <c r="CA423"/>
  <c r="BZ423"/>
  <c r="BY423"/>
  <c r="BX423"/>
  <c r="BW423"/>
  <c r="BV423"/>
  <c r="BU423"/>
  <c r="BT423"/>
  <c r="BS423"/>
  <c r="BR423"/>
  <c r="BQ423"/>
  <c r="BP423"/>
  <c r="BO423"/>
  <c r="BN423"/>
  <c r="BJ423"/>
  <c r="BI423"/>
  <c r="BH423"/>
  <c r="BG423"/>
  <c r="BF423"/>
  <c r="BE423"/>
  <c r="BD423"/>
  <c r="BC423"/>
  <c r="BB423"/>
  <c r="BA423"/>
  <c r="AZ423"/>
  <c r="AY423"/>
  <c r="AX423"/>
  <c r="AW423"/>
  <c r="AV423"/>
  <c r="AU423"/>
  <c r="AT423"/>
  <c r="AS423"/>
  <c r="AR423"/>
  <c r="AQ423"/>
  <c r="AP423"/>
  <c r="AO423"/>
  <c r="AN423"/>
  <c r="AM423"/>
  <c r="AL423"/>
  <c r="AK423"/>
  <c r="AJ423"/>
  <c r="AI423"/>
  <c r="AH423"/>
  <c r="AG423"/>
  <c r="AF423"/>
  <c r="AE423"/>
  <c r="AD423"/>
  <c r="AC423"/>
  <c r="AB423"/>
  <c r="AA423"/>
  <c r="Z423"/>
  <c r="Y423"/>
  <c r="X423"/>
  <c r="W423"/>
  <c r="V423"/>
  <c r="U423"/>
  <c r="T423"/>
  <c r="S423"/>
  <c r="R423"/>
  <c r="Q423"/>
  <c r="P423"/>
  <c r="O423"/>
  <c r="N423"/>
  <c r="M423"/>
  <c r="L423"/>
  <c r="K423"/>
  <c r="J423"/>
  <c r="I423"/>
  <c r="H423"/>
  <c r="G423"/>
  <c r="F423"/>
  <c r="E423"/>
  <c r="D423"/>
  <c r="C423"/>
  <c r="B423"/>
  <c r="A423"/>
  <c r="DU422"/>
  <c r="DT422"/>
  <c r="DS422"/>
  <c r="DR422"/>
  <c r="DQ422"/>
  <c r="DP422"/>
  <c r="DO422"/>
  <c r="DN422"/>
  <c r="DM422"/>
  <c r="DL422"/>
  <c r="DK422"/>
  <c r="DJ422"/>
  <c r="DI422"/>
  <c r="DH422"/>
  <c r="DG422"/>
  <c r="DF422"/>
  <c r="DE422"/>
  <c r="DD422"/>
  <c r="DC422"/>
  <c r="DB422"/>
  <c r="DA422"/>
  <c r="CZ422"/>
  <c r="CY422"/>
  <c r="CX422"/>
  <c r="CW422"/>
  <c r="CV422"/>
  <c r="CU422"/>
  <c r="CT422"/>
  <c r="CS422"/>
  <c r="CR422"/>
  <c r="CQ422"/>
  <c r="CP422"/>
  <c r="CO422"/>
  <c r="CN422"/>
  <c r="CM422"/>
  <c r="CL422"/>
  <c r="CK422"/>
  <c r="CJ422"/>
  <c r="CI422"/>
  <c r="CH422"/>
  <c r="CG422"/>
  <c r="CF422"/>
  <c r="CE422"/>
  <c r="CD422"/>
  <c r="CC422"/>
  <c r="CB422"/>
  <c r="CA422"/>
  <c r="BZ422"/>
  <c r="BY422"/>
  <c r="BX422"/>
  <c r="BW422"/>
  <c r="BV422"/>
  <c r="BU422"/>
  <c r="BT422"/>
  <c r="BS422"/>
  <c r="BR422"/>
  <c r="BQ422"/>
  <c r="BP422"/>
  <c r="BO422"/>
  <c r="BN422"/>
  <c r="E422"/>
  <c r="D422"/>
  <c r="C422"/>
  <c r="B422"/>
  <c r="A422"/>
  <c r="DU421"/>
  <c r="DT421"/>
  <c r="DS421"/>
  <c r="DR421"/>
  <c r="DQ421"/>
  <c r="DP421"/>
  <c r="DO421"/>
  <c r="DN421"/>
  <c r="DM421"/>
  <c r="DL421"/>
  <c r="DK421"/>
  <c r="DJ421"/>
  <c r="DI421"/>
  <c r="DH421"/>
  <c r="DG421"/>
  <c r="DF421"/>
  <c r="DE421"/>
  <c r="DD421"/>
  <c r="DC421"/>
  <c r="DB421"/>
  <c r="DA421"/>
  <c r="CZ421"/>
  <c r="CY421"/>
  <c r="CX421"/>
  <c r="CW421"/>
  <c r="CV421"/>
  <c r="CU421"/>
  <c r="CT421"/>
  <c r="CS421"/>
  <c r="CR421"/>
  <c r="CQ421"/>
  <c r="CP421"/>
  <c r="CO421"/>
  <c r="CN421"/>
  <c r="CM421"/>
  <c r="CL421"/>
  <c r="CK421"/>
  <c r="CJ421"/>
  <c r="CI421"/>
  <c r="CH421"/>
  <c r="CG421"/>
  <c r="CF421"/>
  <c r="CE421"/>
  <c r="CD421"/>
  <c r="CC421"/>
  <c r="CB421"/>
  <c r="CA421"/>
  <c r="BZ421"/>
  <c r="BY421"/>
  <c r="BX421"/>
  <c r="BW421"/>
  <c r="BV421"/>
  <c r="BU421"/>
  <c r="BT421"/>
  <c r="BS421"/>
  <c r="BR421"/>
  <c r="BQ421"/>
  <c r="BP421"/>
  <c r="BO421"/>
  <c r="BN421"/>
  <c r="E421"/>
  <c r="D421"/>
  <c r="C421"/>
  <c r="B421"/>
  <c r="A421"/>
  <c r="DU420"/>
  <c r="DT420"/>
  <c r="DS420"/>
  <c r="DR420"/>
  <c r="DQ420"/>
  <c r="DP420"/>
  <c r="DO420"/>
  <c r="DN420"/>
  <c r="DM420"/>
  <c r="DL420"/>
  <c r="DK420"/>
  <c r="DJ420"/>
  <c r="DI420"/>
  <c r="DH420"/>
  <c r="DG420"/>
  <c r="DF420"/>
  <c r="DE420"/>
  <c r="DD420"/>
  <c r="DC420"/>
  <c r="DB420"/>
  <c r="DA420"/>
  <c r="CZ420"/>
  <c r="CY420"/>
  <c r="CX420"/>
  <c r="CW420"/>
  <c r="CV420"/>
  <c r="CU420"/>
  <c r="CT420"/>
  <c r="CS420"/>
  <c r="CR420"/>
  <c r="CQ420"/>
  <c r="CP420"/>
  <c r="CO420"/>
  <c r="CN420"/>
  <c r="CM420"/>
  <c r="CL420"/>
  <c r="CK420"/>
  <c r="CJ420"/>
  <c r="CI420"/>
  <c r="CH420"/>
  <c r="CG420"/>
  <c r="CF420"/>
  <c r="CE420"/>
  <c r="CD420"/>
  <c r="CC420"/>
  <c r="CB420"/>
  <c r="CA420"/>
  <c r="BZ420"/>
  <c r="BY420"/>
  <c r="BX420"/>
  <c r="BW420"/>
  <c r="BV420"/>
  <c r="BU420"/>
  <c r="BT420"/>
  <c r="BS420"/>
  <c r="BR420"/>
  <c r="BQ420"/>
  <c r="BP420"/>
  <c r="BO420"/>
  <c r="BN420"/>
  <c r="E420"/>
  <c r="D420"/>
  <c r="C420"/>
  <c r="A420"/>
  <c r="DU419"/>
  <c r="DT419"/>
  <c r="DS419"/>
  <c r="DR419"/>
  <c r="DQ419"/>
  <c r="DP419"/>
  <c r="DO419"/>
  <c r="DN419"/>
  <c r="DM419"/>
  <c r="DL419"/>
  <c r="DK419"/>
  <c r="DJ419"/>
  <c r="DI419"/>
  <c r="DH419"/>
  <c r="DG419"/>
  <c r="DF419"/>
  <c r="DE419"/>
  <c r="DD419"/>
  <c r="DC419"/>
  <c r="DB419"/>
  <c r="DA419"/>
  <c r="CZ419"/>
  <c r="CY419"/>
  <c r="CX419"/>
  <c r="CW419"/>
  <c r="CV419"/>
  <c r="CU419"/>
  <c r="CT419"/>
  <c r="CS419"/>
  <c r="CR419"/>
  <c r="CQ419"/>
  <c r="CP419"/>
  <c r="CO419"/>
  <c r="CN419"/>
  <c r="CM419"/>
  <c r="CL419"/>
  <c r="CK419"/>
  <c r="CJ419"/>
  <c r="CI419"/>
  <c r="CH419"/>
  <c r="CG419"/>
  <c r="CF419"/>
  <c r="CE419"/>
  <c r="CD419"/>
  <c r="CC419"/>
  <c r="CB419"/>
  <c r="CA419"/>
  <c r="BZ419"/>
  <c r="BY419"/>
  <c r="BX419"/>
  <c r="BW419"/>
  <c r="BV419"/>
  <c r="BU419"/>
  <c r="BT419"/>
  <c r="BS419"/>
  <c r="BR419"/>
  <c r="BQ419"/>
  <c r="BP419"/>
  <c r="BO419"/>
  <c r="BN419"/>
  <c r="E419"/>
  <c r="D419"/>
  <c r="C419"/>
  <c r="B419"/>
  <c r="A419"/>
  <c r="DU418"/>
  <c r="DT418"/>
  <c r="DS418"/>
  <c r="DR418"/>
  <c r="DQ418"/>
  <c r="DP418"/>
  <c r="DO418"/>
  <c r="DN418"/>
  <c r="DM418"/>
  <c r="DL418"/>
  <c r="DK418"/>
  <c r="DJ418"/>
  <c r="DI418"/>
  <c r="DH418"/>
  <c r="DG418"/>
  <c r="DF418"/>
  <c r="DE418"/>
  <c r="DD418"/>
  <c r="DC418"/>
  <c r="DB418"/>
  <c r="DA418"/>
  <c r="CZ418"/>
  <c r="CY418"/>
  <c r="CX418"/>
  <c r="CW418"/>
  <c r="CV418"/>
  <c r="CU418"/>
  <c r="CT418"/>
  <c r="CS418"/>
  <c r="CR418"/>
  <c r="CQ418"/>
  <c r="CP418"/>
  <c r="CO418"/>
  <c r="CN418"/>
  <c r="CM418"/>
  <c r="CL418"/>
  <c r="CK418"/>
  <c r="CJ418"/>
  <c r="CI418"/>
  <c r="CH418"/>
  <c r="CG418"/>
  <c r="CF418"/>
  <c r="CE418"/>
  <c r="CD418"/>
  <c r="CC418"/>
  <c r="CB418"/>
  <c r="CA418"/>
  <c r="BZ418"/>
  <c r="BY418"/>
  <c r="BX418"/>
  <c r="BW418"/>
  <c r="BV418"/>
  <c r="BU418"/>
  <c r="BT418"/>
  <c r="BS418"/>
  <c r="BR418"/>
  <c r="BQ418"/>
  <c r="BP418"/>
  <c r="BO418"/>
  <c r="BN418"/>
  <c r="A418"/>
  <c r="DU417"/>
  <c r="DT417"/>
  <c r="DS417"/>
  <c r="DR417"/>
  <c r="DQ417"/>
  <c r="DP417"/>
  <c r="DO417"/>
  <c r="DN417"/>
  <c r="DM417"/>
  <c r="DL417"/>
  <c r="DK417"/>
  <c r="DJ417"/>
  <c r="DI417"/>
  <c r="DH417"/>
  <c r="DG417"/>
  <c r="DF417"/>
  <c r="DE417"/>
  <c r="DD417"/>
  <c r="DC417"/>
  <c r="DB417"/>
  <c r="DA417"/>
  <c r="CZ417"/>
  <c r="CY417"/>
  <c r="CX417"/>
  <c r="CW417"/>
  <c r="CV417"/>
  <c r="CU417"/>
  <c r="CT417"/>
  <c r="CS417"/>
  <c r="CR417"/>
  <c r="CQ417"/>
  <c r="CP417"/>
  <c r="CO417"/>
  <c r="CN417"/>
  <c r="CM417"/>
  <c r="CL417"/>
  <c r="CK417"/>
  <c r="CJ417"/>
  <c r="CI417"/>
  <c r="CH417"/>
  <c r="CG417"/>
  <c r="CF417"/>
  <c r="CE417"/>
  <c r="CD417"/>
  <c r="CC417"/>
  <c r="CB417"/>
  <c r="CA417"/>
  <c r="BZ417"/>
  <c r="BY417"/>
  <c r="BX417"/>
  <c r="BW417"/>
  <c r="BV417"/>
  <c r="BU417"/>
  <c r="BT417"/>
  <c r="BS417"/>
  <c r="BR417"/>
  <c r="BQ417"/>
  <c r="BP417"/>
  <c r="BO417"/>
  <c r="BN417"/>
  <c r="E417"/>
  <c r="D417"/>
  <c r="C417"/>
  <c r="B417"/>
  <c r="A417"/>
  <c r="DU416"/>
  <c r="DT416"/>
  <c r="DS416"/>
  <c r="DR416"/>
  <c r="DQ416"/>
  <c r="DP416"/>
  <c r="DO416"/>
  <c r="DN416"/>
  <c r="DM416"/>
  <c r="DL416"/>
  <c r="DK416"/>
  <c r="DJ416"/>
  <c r="DI416"/>
  <c r="DH416"/>
  <c r="DG416"/>
  <c r="DF416"/>
  <c r="DE416"/>
  <c r="DD416"/>
  <c r="DC416"/>
  <c r="DB416"/>
  <c r="DA416"/>
  <c r="CZ416"/>
  <c r="CY416"/>
  <c r="CX416"/>
  <c r="CW416"/>
  <c r="CV416"/>
  <c r="CU416"/>
  <c r="CT416"/>
  <c r="CS416"/>
  <c r="CR416"/>
  <c r="CQ416"/>
  <c r="CP416"/>
  <c r="CO416"/>
  <c r="CN416"/>
  <c r="CM416"/>
  <c r="CL416"/>
  <c r="CK416"/>
  <c r="CJ416"/>
  <c r="CI416"/>
  <c r="CH416"/>
  <c r="CG416"/>
  <c r="CF416"/>
  <c r="CE416"/>
  <c r="CD416"/>
  <c r="CC416"/>
  <c r="CB416"/>
  <c r="CA416"/>
  <c r="BZ416"/>
  <c r="BY416"/>
  <c r="BX416"/>
  <c r="BW416"/>
  <c r="BV416"/>
  <c r="BU416"/>
  <c r="BT416"/>
  <c r="BS416"/>
  <c r="BR416"/>
  <c r="BQ416"/>
  <c r="BP416"/>
  <c r="BO416"/>
  <c r="BN416"/>
  <c r="E416"/>
  <c r="D416"/>
  <c r="C416"/>
  <c r="B416"/>
  <c r="A416"/>
  <c r="DU415"/>
  <c r="DT415"/>
  <c r="DS415"/>
  <c r="DR415"/>
  <c r="DQ415"/>
  <c r="DP415"/>
  <c r="DO415"/>
  <c r="DN415"/>
  <c r="DM415"/>
  <c r="DL415"/>
  <c r="DK415"/>
  <c r="DJ415"/>
  <c r="DI415"/>
  <c r="DH415"/>
  <c r="DG415"/>
  <c r="DF415"/>
  <c r="DE415"/>
  <c r="DD415"/>
  <c r="DC415"/>
  <c r="DB415"/>
  <c r="DA415"/>
  <c r="CZ415"/>
  <c r="CY415"/>
  <c r="CX415"/>
  <c r="CW415"/>
  <c r="CV415"/>
  <c r="CU415"/>
  <c r="CT415"/>
  <c r="CS415"/>
  <c r="CR415"/>
  <c r="CQ415"/>
  <c r="CP415"/>
  <c r="CO415"/>
  <c r="CN415"/>
  <c r="CM415"/>
  <c r="CL415"/>
  <c r="CK415"/>
  <c r="CJ415"/>
  <c r="CI415"/>
  <c r="CH415"/>
  <c r="CG415"/>
  <c r="CF415"/>
  <c r="CE415"/>
  <c r="CD415"/>
  <c r="CC415"/>
  <c r="CB415"/>
  <c r="CA415"/>
  <c r="BZ415"/>
  <c r="BY415"/>
  <c r="BX415"/>
  <c r="BW415"/>
  <c r="BV415"/>
  <c r="BU415"/>
  <c r="BT415"/>
  <c r="BS415"/>
  <c r="BR415"/>
  <c r="BQ415"/>
  <c r="BP415"/>
  <c r="BO415"/>
  <c r="BN415"/>
  <c r="E415"/>
  <c r="D415"/>
  <c r="C415"/>
  <c r="B415"/>
  <c r="A415"/>
  <c r="DU414"/>
  <c r="DT414"/>
  <c r="DS414"/>
  <c r="DR414"/>
  <c r="DQ414"/>
  <c r="DP414"/>
  <c r="DO414"/>
  <c r="DN414"/>
  <c r="DM414"/>
  <c r="DL414"/>
  <c r="DK414"/>
  <c r="DJ414"/>
  <c r="DI414"/>
  <c r="DH414"/>
  <c r="DG414"/>
  <c r="DF414"/>
  <c r="DE414"/>
  <c r="DD414"/>
  <c r="DC414"/>
  <c r="DB414"/>
  <c r="DA414"/>
  <c r="CZ414"/>
  <c r="CY414"/>
  <c r="CX414"/>
  <c r="CW414"/>
  <c r="CV414"/>
  <c r="CU414"/>
  <c r="CT414"/>
  <c r="CS414"/>
  <c r="CR414"/>
  <c r="CQ414"/>
  <c r="CP414"/>
  <c r="CO414"/>
  <c r="CN414"/>
  <c r="CM414"/>
  <c r="CL414"/>
  <c r="CK414"/>
  <c r="CJ414"/>
  <c r="CI414"/>
  <c r="CH414"/>
  <c r="CG414"/>
  <c r="CF414"/>
  <c r="CE414"/>
  <c r="CD414"/>
  <c r="CC414"/>
  <c r="CB414"/>
  <c r="CA414"/>
  <c r="BZ414"/>
  <c r="BY414"/>
  <c r="BX414"/>
  <c r="BW414"/>
  <c r="BV414"/>
  <c r="BU414"/>
  <c r="BT414"/>
  <c r="BS414"/>
  <c r="BR414"/>
  <c r="BQ414"/>
  <c r="BP414"/>
  <c r="BO414"/>
  <c r="BN414"/>
  <c r="E414"/>
  <c r="D414"/>
  <c r="C414"/>
  <c r="B414"/>
  <c r="A414"/>
  <c r="DU413"/>
  <c r="DT413"/>
  <c r="DS413"/>
  <c r="DR413"/>
  <c r="DQ413"/>
  <c r="DP413"/>
  <c r="DO413"/>
  <c r="DN413"/>
  <c r="DM413"/>
  <c r="DL413"/>
  <c r="DK413"/>
  <c r="DJ413"/>
  <c r="DI413"/>
  <c r="DH413"/>
  <c r="DG413"/>
  <c r="DF413"/>
  <c r="DE413"/>
  <c r="DD413"/>
  <c r="DC413"/>
  <c r="DB413"/>
  <c r="DA413"/>
  <c r="CZ413"/>
  <c r="CY413"/>
  <c r="CX413"/>
  <c r="CW413"/>
  <c r="CV413"/>
  <c r="CU413"/>
  <c r="CT413"/>
  <c r="CS413"/>
  <c r="CR413"/>
  <c r="CQ413"/>
  <c r="CP413"/>
  <c r="CO413"/>
  <c r="CN413"/>
  <c r="CM413"/>
  <c r="CL413"/>
  <c r="CK413"/>
  <c r="CJ413"/>
  <c r="CI413"/>
  <c r="CH413"/>
  <c r="CG413"/>
  <c r="CF413"/>
  <c r="CE413"/>
  <c r="CD413"/>
  <c r="CC413"/>
  <c r="CB413"/>
  <c r="CA413"/>
  <c r="BZ413"/>
  <c r="BY413"/>
  <c r="BX413"/>
  <c r="BW413"/>
  <c r="BV413"/>
  <c r="BU413"/>
  <c r="BT413"/>
  <c r="BS413"/>
  <c r="BR413"/>
  <c r="BQ413"/>
  <c r="BP413"/>
  <c r="BO413"/>
  <c r="BN413"/>
  <c r="E413"/>
  <c r="D413"/>
  <c r="C413"/>
  <c r="B413"/>
  <c r="A413"/>
  <c r="DU412"/>
  <c r="DT412"/>
  <c r="DS412"/>
  <c r="DR412"/>
  <c r="DQ412"/>
  <c r="DP412"/>
  <c r="DO412"/>
  <c r="DN412"/>
  <c r="DM412"/>
  <c r="DL412"/>
  <c r="DK412"/>
  <c r="DJ412"/>
  <c r="DI412"/>
  <c r="DH412"/>
  <c r="DG412"/>
  <c r="DF412"/>
  <c r="DE412"/>
  <c r="DD412"/>
  <c r="DC412"/>
  <c r="DB412"/>
  <c r="DA412"/>
  <c r="CZ412"/>
  <c r="CY412"/>
  <c r="CX412"/>
  <c r="CW412"/>
  <c r="CV412"/>
  <c r="CU412"/>
  <c r="CT412"/>
  <c r="CS412"/>
  <c r="CR412"/>
  <c r="CQ412"/>
  <c r="CP412"/>
  <c r="CO412"/>
  <c r="CN412"/>
  <c r="CM412"/>
  <c r="CL412"/>
  <c r="CK412"/>
  <c r="CJ412"/>
  <c r="CI412"/>
  <c r="CH412"/>
  <c r="CG412"/>
  <c r="CF412"/>
  <c r="CE412"/>
  <c r="CD412"/>
  <c r="CC412"/>
  <c r="CB412"/>
  <c r="CA412"/>
  <c r="BZ412"/>
  <c r="BY412"/>
  <c r="BX412"/>
  <c r="BW412"/>
  <c r="BV412"/>
  <c r="BU412"/>
  <c r="BT412"/>
  <c r="BS412"/>
  <c r="BR412"/>
  <c r="BQ412"/>
  <c r="BP412"/>
  <c r="BO412"/>
  <c r="BN412"/>
  <c r="E412"/>
  <c r="D412"/>
  <c r="C412"/>
  <c r="B412"/>
  <c r="A412"/>
  <c r="DU411"/>
  <c r="DT411"/>
  <c r="DS411"/>
  <c r="DR411"/>
  <c r="DQ411"/>
  <c r="DP411"/>
  <c r="DO411"/>
  <c r="DN411"/>
  <c r="DM411"/>
  <c r="DL411"/>
  <c r="DK411"/>
  <c r="DJ411"/>
  <c r="DI411"/>
  <c r="DH411"/>
  <c r="DG411"/>
  <c r="DF411"/>
  <c r="DE411"/>
  <c r="DD411"/>
  <c r="DC411"/>
  <c r="DB411"/>
  <c r="DA411"/>
  <c r="CZ411"/>
  <c r="CY411"/>
  <c r="CX411"/>
  <c r="CW411"/>
  <c r="CV411"/>
  <c r="CU411"/>
  <c r="CT411"/>
  <c r="CS411"/>
  <c r="CR411"/>
  <c r="CQ411"/>
  <c r="CP411"/>
  <c r="CO411"/>
  <c r="CN411"/>
  <c r="CM411"/>
  <c r="CL411"/>
  <c r="CK411"/>
  <c r="CJ411"/>
  <c r="CI411"/>
  <c r="CH411"/>
  <c r="CG411"/>
  <c r="CF411"/>
  <c r="CE411"/>
  <c r="CD411"/>
  <c r="CC411"/>
  <c r="CB411"/>
  <c r="CA411"/>
  <c r="BZ411"/>
  <c r="BY411"/>
  <c r="BX411"/>
  <c r="BW411"/>
  <c r="BV411"/>
  <c r="BU411"/>
  <c r="BT411"/>
  <c r="BS411"/>
  <c r="BR411"/>
  <c r="BQ411"/>
  <c r="BP411"/>
  <c r="BO411"/>
  <c r="BN411"/>
  <c r="DU410"/>
  <c r="DT410"/>
  <c r="DS410"/>
  <c r="DR410"/>
  <c r="DQ410"/>
  <c r="DP410"/>
  <c r="DO410"/>
  <c r="DN410"/>
  <c r="DM410"/>
  <c r="DL410"/>
  <c r="DK410"/>
  <c r="DJ410"/>
  <c r="DI410"/>
  <c r="DH410"/>
  <c r="DG410"/>
  <c r="DF410"/>
  <c r="DE410"/>
  <c r="DD410"/>
  <c r="DC410"/>
  <c r="DB410"/>
  <c r="DA410"/>
  <c r="CZ410"/>
  <c r="CY410"/>
  <c r="CX410"/>
  <c r="CW410"/>
  <c r="CV410"/>
  <c r="CU410"/>
  <c r="CT410"/>
  <c r="CS410"/>
  <c r="CR410"/>
  <c r="CQ410"/>
  <c r="CP410"/>
  <c r="CO410"/>
  <c r="CN410"/>
  <c r="CM410"/>
  <c r="CL410"/>
  <c r="CK410"/>
  <c r="CJ410"/>
  <c r="CI410"/>
  <c r="CH410"/>
  <c r="CG410"/>
  <c r="CF410"/>
  <c r="CE410"/>
  <c r="CD410"/>
  <c r="CC410"/>
  <c r="CB410"/>
  <c r="CA410"/>
  <c r="BZ410"/>
  <c r="BY410"/>
  <c r="BX410"/>
  <c r="BW410"/>
  <c r="BV410"/>
  <c r="BU410"/>
  <c r="BT410"/>
  <c r="BS410"/>
  <c r="BR410"/>
  <c r="BQ410"/>
  <c r="BP410"/>
  <c r="BO410"/>
  <c r="BN410"/>
  <c r="B410"/>
  <c r="DU409"/>
  <c r="DT409"/>
  <c r="DS409"/>
  <c r="DR409"/>
  <c r="DQ409"/>
  <c r="DP409"/>
  <c r="DO409"/>
  <c r="DN409"/>
  <c r="DM409"/>
  <c r="DL409"/>
  <c r="DK409"/>
  <c r="DJ409"/>
  <c r="DI409"/>
  <c r="DH409"/>
  <c r="DG409"/>
  <c r="DF409"/>
  <c r="DE409"/>
  <c r="DD409"/>
  <c r="DC409"/>
  <c r="DB409"/>
  <c r="DA409"/>
  <c r="CZ409"/>
  <c r="CY409"/>
  <c r="CX409"/>
  <c r="CW409"/>
  <c r="CV409"/>
  <c r="CU409"/>
  <c r="CT409"/>
  <c r="CS409"/>
  <c r="CR409"/>
  <c r="CQ409"/>
  <c r="CP409"/>
  <c r="CO409"/>
  <c r="CN409"/>
  <c r="CM409"/>
  <c r="CL409"/>
  <c r="CK409"/>
  <c r="CJ409"/>
  <c r="CI409"/>
  <c r="CH409"/>
  <c r="CG409"/>
  <c r="CF409"/>
  <c r="CE409"/>
  <c r="CD409"/>
  <c r="CC409"/>
  <c r="CB409"/>
  <c r="CA409"/>
  <c r="BZ409"/>
  <c r="BY409"/>
  <c r="BX409"/>
  <c r="BW409"/>
  <c r="BV409"/>
  <c r="BU409"/>
  <c r="BT409"/>
  <c r="BS409"/>
  <c r="BR409"/>
  <c r="BQ409"/>
  <c r="BP409"/>
  <c r="BO409"/>
  <c r="BN409"/>
  <c r="C409"/>
  <c r="DU408"/>
  <c r="DT408"/>
  <c r="DS408"/>
  <c r="DR408"/>
  <c r="DQ408"/>
  <c r="DP408"/>
  <c r="DO408"/>
  <c r="DN408"/>
  <c r="DM408"/>
  <c r="DL408"/>
  <c r="DK408"/>
  <c r="DJ408"/>
  <c r="DI408"/>
  <c r="DH408"/>
  <c r="DG408"/>
  <c r="DF408"/>
  <c r="DE408"/>
  <c r="DD408"/>
  <c r="DC408"/>
  <c r="DB408"/>
  <c r="DA408"/>
  <c r="CZ408"/>
  <c r="CY408"/>
  <c r="CX408"/>
  <c r="CW408"/>
  <c r="CV408"/>
  <c r="CU408"/>
  <c r="CT408"/>
  <c r="CS408"/>
  <c r="CR408"/>
  <c r="CQ408"/>
  <c r="CP408"/>
  <c r="CO408"/>
  <c r="CN408"/>
  <c r="CM408"/>
  <c r="CL408"/>
  <c r="CK408"/>
  <c r="CJ408"/>
  <c r="CI408"/>
  <c r="CH408"/>
  <c r="CG408"/>
  <c r="CF408"/>
  <c r="CE408"/>
  <c r="CD408"/>
  <c r="CC408"/>
  <c r="CB408"/>
  <c r="CA408"/>
  <c r="BZ408"/>
  <c r="BY408"/>
  <c r="BX408"/>
  <c r="BW408"/>
  <c r="BV408"/>
  <c r="BU408"/>
  <c r="BT408"/>
  <c r="BS408"/>
  <c r="BR408"/>
  <c r="BQ408"/>
  <c r="BP408"/>
  <c r="BO408"/>
  <c r="BN408"/>
  <c r="D408"/>
  <c r="DU407"/>
  <c r="DT407"/>
  <c r="DS407"/>
  <c r="DR407"/>
  <c r="DQ407"/>
  <c r="DP407"/>
  <c r="DO407"/>
  <c r="DN407"/>
  <c r="DM407"/>
  <c r="DL407"/>
  <c r="DK407"/>
  <c r="DJ407"/>
  <c r="DI407"/>
  <c r="DH407"/>
  <c r="DG407"/>
  <c r="DF407"/>
  <c r="DE407"/>
  <c r="DD407"/>
  <c r="DC407"/>
  <c r="DB407"/>
  <c r="DA407"/>
  <c r="CZ407"/>
  <c r="CY407"/>
  <c r="CX407"/>
  <c r="CW407"/>
  <c r="CV407"/>
  <c r="CU407"/>
  <c r="CT407"/>
  <c r="CS407"/>
  <c r="CR407"/>
  <c r="CQ407"/>
  <c r="CP407"/>
  <c r="CO407"/>
  <c r="CN407"/>
  <c r="CM407"/>
  <c r="CL407"/>
  <c r="CK407"/>
  <c r="CJ407"/>
  <c r="CI407"/>
  <c r="CH407"/>
  <c r="CG407"/>
  <c r="CF407"/>
  <c r="CE407"/>
  <c r="CD407"/>
  <c r="CC407"/>
  <c r="CB407"/>
  <c r="CA407"/>
  <c r="BZ407"/>
  <c r="BY407"/>
  <c r="BX407"/>
  <c r="BW407"/>
  <c r="BV407"/>
  <c r="BU407"/>
  <c r="BT407"/>
  <c r="BS407"/>
  <c r="BR407"/>
  <c r="BQ407"/>
  <c r="BP407"/>
  <c r="BO407"/>
  <c r="BN407"/>
  <c r="DU406"/>
  <c r="DT406"/>
  <c r="DS406"/>
  <c r="DR406"/>
  <c r="DQ406"/>
  <c r="DP406"/>
  <c r="DO406"/>
  <c r="DN406"/>
  <c r="DM406"/>
  <c r="DL406"/>
  <c r="DK406"/>
  <c r="DJ406"/>
  <c r="DI406"/>
  <c r="DH406"/>
  <c r="DG406"/>
  <c r="DF406"/>
  <c r="DE406"/>
  <c r="DD406"/>
  <c r="DC406"/>
  <c r="DB406"/>
  <c r="DA406"/>
  <c r="CZ406"/>
  <c r="CY406"/>
  <c r="CX406"/>
  <c r="CW406"/>
  <c r="CV406"/>
  <c r="CU406"/>
  <c r="CT406"/>
  <c r="CS406"/>
  <c r="CR406"/>
  <c r="CQ406"/>
  <c r="CP406"/>
  <c r="CO406"/>
  <c r="CN406"/>
  <c r="CM406"/>
  <c r="CL406"/>
  <c r="CK406"/>
  <c r="CJ406"/>
  <c r="CI406"/>
  <c r="CH406"/>
  <c r="CG406"/>
  <c r="CF406"/>
  <c r="CE406"/>
  <c r="CD406"/>
  <c r="CC406"/>
  <c r="CB406"/>
  <c r="CA406"/>
  <c r="BZ406"/>
  <c r="BY406"/>
  <c r="BX406"/>
  <c r="BW406"/>
  <c r="BV406"/>
  <c r="BU406"/>
  <c r="BT406"/>
  <c r="BS406"/>
  <c r="BR406"/>
  <c r="BQ406"/>
  <c r="BP406"/>
  <c r="BO406"/>
  <c r="BN406"/>
  <c r="E406"/>
  <c r="DU405"/>
  <c r="DT405"/>
  <c r="DS405"/>
  <c r="DR405"/>
  <c r="DQ405"/>
  <c r="DP405"/>
  <c r="DO405"/>
  <c r="DN405"/>
  <c r="DM405"/>
  <c r="DL405"/>
  <c r="DK405"/>
  <c r="DJ405"/>
  <c r="DI405"/>
  <c r="DH405"/>
  <c r="DG405"/>
  <c r="DF405"/>
  <c r="DE405"/>
  <c r="DD405"/>
  <c r="DC405"/>
  <c r="DB405"/>
  <c r="DA405"/>
  <c r="CZ405"/>
  <c r="CY405"/>
  <c r="CX405"/>
  <c r="CW405"/>
  <c r="CV405"/>
  <c r="CU405"/>
  <c r="CT405"/>
  <c r="CS405"/>
  <c r="CR405"/>
  <c r="CQ405"/>
  <c r="CP405"/>
  <c r="CO405"/>
  <c r="CN405"/>
  <c r="CM405"/>
  <c r="CL405"/>
  <c r="CK405"/>
  <c r="CJ405"/>
  <c r="CI405"/>
  <c r="CH405"/>
  <c r="CG405"/>
  <c r="CF405"/>
  <c r="CE405"/>
  <c r="CD405"/>
  <c r="CC405"/>
  <c r="CB405"/>
  <c r="CA405"/>
  <c r="BZ405"/>
  <c r="BY405"/>
  <c r="BX405"/>
  <c r="BW405"/>
  <c r="BV405"/>
  <c r="BU405"/>
  <c r="BT405"/>
  <c r="BS405"/>
  <c r="BR405"/>
  <c r="BQ405"/>
  <c r="BP405"/>
  <c r="BO405"/>
  <c r="BN405"/>
  <c r="E405"/>
  <c r="DU404"/>
  <c r="DT404"/>
  <c r="DS404"/>
  <c r="DR404"/>
  <c r="DQ404"/>
  <c r="DP404"/>
  <c r="DO404"/>
  <c r="DN404"/>
  <c r="DM404"/>
  <c r="DL404"/>
  <c r="DK404"/>
  <c r="DJ404"/>
  <c r="DI404"/>
  <c r="DH404"/>
  <c r="DG404"/>
  <c r="DF404"/>
  <c r="DE404"/>
  <c r="DD404"/>
  <c r="DC404"/>
  <c r="DB404"/>
  <c r="DA404"/>
  <c r="CZ404"/>
  <c r="CY404"/>
  <c r="CX404"/>
  <c r="CW404"/>
  <c r="CV404"/>
  <c r="CU404"/>
  <c r="CT404"/>
  <c r="CS404"/>
  <c r="CR404"/>
  <c r="CQ404"/>
  <c r="CP404"/>
  <c r="CO404"/>
  <c r="CN404"/>
  <c r="CM404"/>
  <c r="CL404"/>
  <c r="CK404"/>
  <c r="CJ404"/>
  <c r="CI404"/>
  <c r="CH404"/>
  <c r="CG404"/>
  <c r="CF404"/>
  <c r="CE404"/>
  <c r="CD404"/>
  <c r="CC404"/>
  <c r="CB404"/>
  <c r="CA404"/>
  <c r="BZ404"/>
  <c r="BY404"/>
  <c r="BX404"/>
  <c r="BW404"/>
  <c r="BV404"/>
  <c r="BU404"/>
  <c r="BT404"/>
  <c r="BS404"/>
  <c r="BR404"/>
  <c r="BQ404"/>
  <c r="BP404"/>
  <c r="BO404"/>
  <c r="BN404"/>
  <c r="DU403"/>
  <c r="DT403"/>
  <c r="DS403"/>
  <c r="DR403"/>
  <c r="DQ403"/>
  <c r="DP403"/>
  <c r="DO403"/>
  <c r="DN403"/>
  <c r="DM403"/>
  <c r="DL403"/>
  <c r="DK403"/>
  <c r="DJ403"/>
  <c r="DI403"/>
  <c r="DH403"/>
  <c r="DG403"/>
  <c r="DF403"/>
  <c r="DE403"/>
  <c r="DD403"/>
  <c r="DC403"/>
  <c r="DB403"/>
  <c r="DA403"/>
  <c r="CZ403"/>
  <c r="CY403"/>
  <c r="CX403"/>
  <c r="CW403"/>
  <c r="CV403"/>
  <c r="CU403"/>
  <c r="CT403"/>
  <c r="CS403"/>
  <c r="CR403"/>
  <c r="CQ403"/>
  <c r="CP403"/>
  <c r="CO403"/>
  <c r="CN403"/>
  <c r="CM403"/>
  <c r="CL403"/>
  <c r="CK403"/>
  <c r="CJ403"/>
  <c r="CI403"/>
  <c r="CH403"/>
  <c r="CG403"/>
  <c r="CF403"/>
  <c r="CE403"/>
  <c r="CD403"/>
  <c r="CC403"/>
  <c r="CB403"/>
  <c r="CA403"/>
  <c r="BZ403"/>
  <c r="BY403"/>
  <c r="BX403"/>
  <c r="BW403"/>
  <c r="BV403"/>
  <c r="BU403"/>
  <c r="BT403"/>
  <c r="BS403"/>
  <c r="BR403"/>
  <c r="BQ403"/>
  <c r="BP403"/>
  <c r="BO403"/>
  <c r="BN403"/>
  <c r="D403"/>
  <c r="DU402"/>
  <c r="DT402"/>
  <c r="DS402"/>
  <c r="DR402"/>
  <c r="DQ402"/>
  <c r="DP402"/>
  <c r="DO402"/>
  <c r="DN402"/>
  <c r="DM402"/>
  <c r="DL402"/>
  <c r="DK402"/>
  <c r="DJ402"/>
  <c r="DI402"/>
  <c r="DH402"/>
  <c r="DG402"/>
  <c r="DF402"/>
  <c r="DE402"/>
  <c r="DD402"/>
  <c r="DC402"/>
  <c r="DB402"/>
  <c r="DA402"/>
  <c r="CZ402"/>
  <c r="CY402"/>
  <c r="CX402"/>
  <c r="CW402"/>
  <c r="CV402"/>
  <c r="CU402"/>
  <c r="CT402"/>
  <c r="CS402"/>
  <c r="CR402"/>
  <c r="CQ402"/>
  <c r="CP402"/>
  <c r="CO402"/>
  <c r="CN402"/>
  <c r="CM402"/>
  <c r="CL402"/>
  <c r="CK402"/>
  <c r="CJ402"/>
  <c r="CI402"/>
  <c r="CH402"/>
  <c r="CG402"/>
  <c r="CF402"/>
  <c r="CE402"/>
  <c r="CD402"/>
  <c r="CC402"/>
  <c r="CB402"/>
  <c r="CA402"/>
  <c r="BZ402"/>
  <c r="BY402"/>
  <c r="BX402"/>
  <c r="BW402"/>
  <c r="BV402"/>
  <c r="BU402"/>
  <c r="BT402"/>
  <c r="BS402"/>
  <c r="BR402"/>
  <c r="BQ402"/>
  <c r="BP402"/>
  <c r="BO402"/>
  <c r="BN402"/>
  <c r="DU401"/>
  <c r="DT401"/>
  <c r="DS401"/>
  <c r="DR401"/>
  <c r="DQ401"/>
  <c r="DP401"/>
  <c r="DO401"/>
  <c r="DN401"/>
  <c r="DM401"/>
  <c r="DL401"/>
  <c r="DK401"/>
  <c r="DJ401"/>
  <c r="DI401"/>
  <c r="DH401"/>
  <c r="DG401"/>
  <c r="DF401"/>
  <c r="DE401"/>
  <c r="DD401"/>
  <c r="DC401"/>
  <c r="DB401"/>
  <c r="DA401"/>
  <c r="CZ401"/>
  <c r="CY401"/>
  <c r="CX401"/>
  <c r="CW401"/>
  <c r="CV401"/>
  <c r="CU401"/>
  <c r="CT401"/>
  <c r="CS401"/>
  <c r="CR401"/>
  <c r="CQ401"/>
  <c r="CP401"/>
  <c r="CO401"/>
  <c r="CN401"/>
  <c r="CM401"/>
  <c r="CL401"/>
  <c r="CK401"/>
  <c r="CJ401"/>
  <c r="CI401"/>
  <c r="CH401"/>
  <c r="CG401"/>
  <c r="CF401"/>
  <c r="CE401"/>
  <c r="CD401"/>
  <c r="CC401"/>
  <c r="CB401"/>
  <c r="CA401"/>
  <c r="BZ401"/>
  <c r="BY401"/>
  <c r="BX401"/>
  <c r="BW401"/>
  <c r="BV401"/>
  <c r="BU401"/>
  <c r="BT401"/>
  <c r="BS401"/>
  <c r="BR401"/>
  <c r="BQ401"/>
  <c r="BP401"/>
  <c r="BO401"/>
  <c r="BN401"/>
  <c r="DU400"/>
  <c r="DT400"/>
  <c r="DS400"/>
  <c r="DR400"/>
  <c r="DQ400"/>
  <c r="DP400"/>
  <c r="DO400"/>
  <c r="DN400"/>
  <c r="DM400"/>
  <c r="DL400"/>
  <c r="DK400"/>
  <c r="DJ400"/>
  <c r="DI400"/>
  <c r="DH400"/>
  <c r="DG400"/>
  <c r="DF400"/>
  <c r="DE400"/>
  <c r="DD400"/>
  <c r="DC400"/>
  <c r="DB400"/>
  <c r="DA400"/>
  <c r="CZ400"/>
  <c r="CY400"/>
  <c r="CX400"/>
  <c r="CW400"/>
  <c r="CV400"/>
  <c r="CU400"/>
  <c r="CT400"/>
  <c r="CS400"/>
  <c r="CR400"/>
  <c r="CQ400"/>
  <c r="CP400"/>
  <c r="CO400"/>
  <c r="CN400"/>
  <c r="CM400"/>
  <c r="CL400"/>
  <c r="CK400"/>
  <c r="CJ400"/>
  <c r="CI400"/>
  <c r="CH400"/>
  <c r="CG400"/>
  <c r="CF400"/>
  <c r="CE400"/>
  <c r="CD400"/>
  <c r="CC400"/>
  <c r="CB400"/>
  <c r="CA400"/>
  <c r="BZ400"/>
  <c r="BY400"/>
  <c r="BX400"/>
  <c r="BW400"/>
  <c r="BV400"/>
  <c r="BU400"/>
  <c r="BT400"/>
  <c r="BS400"/>
  <c r="BR400"/>
  <c r="BQ400"/>
  <c r="BP400"/>
  <c r="BO400"/>
  <c r="BN400"/>
  <c r="DU399"/>
  <c r="DT399"/>
  <c r="DS399"/>
  <c r="DR399"/>
  <c r="DQ399"/>
  <c r="DP399"/>
  <c r="DO399"/>
  <c r="DN399"/>
  <c r="DM399"/>
  <c r="DL399"/>
  <c r="DK399"/>
  <c r="DJ399"/>
  <c r="DI399"/>
  <c r="DH399"/>
  <c r="DG399"/>
  <c r="DF399"/>
  <c r="DE399"/>
  <c r="DD399"/>
  <c r="DC399"/>
  <c r="DB399"/>
  <c r="DA399"/>
  <c r="CZ399"/>
  <c r="CY399"/>
  <c r="CX399"/>
  <c r="CW399"/>
  <c r="CV399"/>
  <c r="CU399"/>
  <c r="CT399"/>
  <c r="CS399"/>
  <c r="CR399"/>
  <c r="CQ399"/>
  <c r="CP399"/>
  <c r="CO399"/>
  <c r="CN399"/>
  <c r="CM399"/>
  <c r="CL399"/>
  <c r="CK399"/>
  <c r="CJ399"/>
  <c r="CI399"/>
  <c r="CH399"/>
  <c r="CG399"/>
  <c r="CF399"/>
  <c r="CE399"/>
  <c r="CD399"/>
  <c r="CC399"/>
  <c r="CB399"/>
  <c r="CA399"/>
  <c r="BZ399"/>
  <c r="BY399"/>
  <c r="BX399"/>
  <c r="BW399"/>
  <c r="BV399"/>
  <c r="BU399"/>
  <c r="BT399"/>
  <c r="BS399"/>
  <c r="BR399"/>
  <c r="BQ399"/>
  <c r="BP399"/>
  <c r="BO399"/>
  <c r="BN399"/>
  <c r="DU398"/>
  <c r="DT398"/>
  <c r="DS398"/>
  <c r="DR398"/>
  <c r="DQ398"/>
  <c r="DP398"/>
  <c r="DO398"/>
  <c r="DN398"/>
  <c r="DM398"/>
  <c r="DL398"/>
  <c r="DK398"/>
  <c r="DJ398"/>
  <c r="DI398"/>
  <c r="DH398"/>
  <c r="DG398"/>
  <c r="DF398"/>
  <c r="DE398"/>
  <c r="DD398"/>
  <c r="DC398"/>
  <c r="DB398"/>
  <c r="DA398"/>
  <c r="CZ398"/>
  <c r="CY398"/>
  <c r="CX398"/>
  <c r="CW398"/>
  <c r="CV398"/>
  <c r="CU398"/>
  <c r="CT398"/>
  <c r="CS398"/>
  <c r="CR398"/>
  <c r="CQ398"/>
  <c r="CP398"/>
  <c r="CO398"/>
  <c r="CN398"/>
  <c r="CM398"/>
  <c r="CL398"/>
  <c r="CK398"/>
  <c r="CJ398"/>
  <c r="CI398"/>
  <c r="CH398"/>
  <c r="CG398"/>
  <c r="CF398"/>
  <c r="CE398"/>
  <c r="CD398"/>
  <c r="CC398"/>
  <c r="CB398"/>
  <c r="CA398"/>
  <c r="BZ398"/>
  <c r="BY398"/>
  <c r="BX398"/>
  <c r="BW398"/>
  <c r="BV398"/>
  <c r="BU398"/>
  <c r="BT398"/>
  <c r="BS398"/>
  <c r="BR398"/>
  <c r="BQ398"/>
  <c r="BP398"/>
  <c r="BO398"/>
  <c r="BN398"/>
  <c r="E398"/>
  <c r="DU397"/>
  <c r="DT397"/>
  <c r="DS397"/>
  <c r="DR397"/>
  <c r="DQ397"/>
  <c r="DP397"/>
  <c r="DO397"/>
  <c r="DN397"/>
  <c r="DM397"/>
  <c r="DL397"/>
  <c r="DK397"/>
  <c r="DJ397"/>
  <c r="DI397"/>
  <c r="DH397"/>
  <c r="DG397"/>
  <c r="DF397"/>
  <c r="DE397"/>
  <c r="DD397"/>
  <c r="DC397"/>
  <c r="DB397"/>
  <c r="DA397"/>
  <c r="CZ397"/>
  <c r="CY397"/>
  <c r="CX397"/>
  <c r="CW397"/>
  <c r="CV397"/>
  <c r="CU397"/>
  <c r="CT397"/>
  <c r="CS397"/>
  <c r="CR397"/>
  <c r="CQ397"/>
  <c r="CP397"/>
  <c r="CO397"/>
  <c r="CN397"/>
  <c r="CM397"/>
  <c r="CL397"/>
  <c r="CK397"/>
  <c r="CJ397"/>
  <c r="CI397"/>
  <c r="CH397"/>
  <c r="CG397"/>
  <c r="CF397"/>
  <c r="CE397"/>
  <c r="CD397"/>
  <c r="CC397"/>
  <c r="CB397"/>
  <c r="CA397"/>
  <c r="BZ397"/>
  <c r="BY397"/>
  <c r="BX397"/>
  <c r="BW397"/>
  <c r="BV397"/>
  <c r="BU397"/>
  <c r="BT397"/>
  <c r="BS397"/>
  <c r="BR397"/>
  <c r="BQ397"/>
  <c r="BP397"/>
  <c r="BO397"/>
  <c r="BN397"/>
  <c r="B397"/>
  <c r="DU396"/>
  <c r="DT396"/>
  <c r="DS396"/>
  <c r="DR396"/>
  <c r="DQ396"/>
  <c r="DP396"/>
  <c r="DO396"/>
  <c r="DN396"/>
  <c r="DM396"/>
  <c r="DL396"/>
  <c r="DK396"/>
  <c r="DJ396"/>
  <c r="DI396"/>
  <c r="DH396"/>
  <c r="DG396"/>
  <c r="DF396"/>
  <c r="DE396"/>
  <c r="DD396"/>
  <c r="DC396"/>
  <c r="DB396"/>
  <c r="DA396"/>
  <c r="CZ396"/>
  <c r="CY396"/>
  <c r="CX396"/>
  <c r="CW396"/>
  <c r="CV396"/>
  <c r="CU396"/>
  <c r="CT396"/>
  <c r="CS396"/>
  <c r="CR396"/>
  <c r="CQ396"/>
  <c r="CP396"/>
  <c r="CO396"/>
  <c r="CN396"/>
  <c r="CM396"/>
  <c r="CL396"/>
  <c r="CK396"/>
  <c r="CJ396"/>
  <c r="CI396"/>
  <c r="CH396"/>
  <c r="CG396"/>
  <c r="CF396"/>
  <c r="CE396"/>
  <c r="CD396"/>
  <c r="CC396"/>
  <c r="CB396"/>
  <c r="CA396"/>
  <c r="BZ396"/>
  <c r="BY396"/>
  <c r="BX396"/>
  <c r="BW396"/>
  <c r="BV396"/>
  <c r="BU396"/>
  <c r="BT396"/>
  <c r="BS396"/>
  <c r="BR396"/>
  <c r="BQ396"/>
  <c r="BP396"/>
  <c r="BO396"/>
  <c r="BN396"/>
  <c r="DU395"/>
  <c r="DT395"/>
  <c r="DS395"/>
  <c r="DR395"/>
  <c r="DQ395"/>
  <c r="DP395"/>
  <c r="DO395"/>
  <c r="DN395"/>
  <c r="DM395"/>
  <c r="DL395"/>
  <c r="DK395"/>
  <c r="DJ395"/>
  <c r="DI395"/>
  <c r="DH395"/>
  <c r="DG395"/>
  <c r="DF395"/>
  <c r="DE395"/>
  <c r="DD395"/>
  <c r="DC395"/>
  <c r="DB395"/>
  <c r="DA395"/>
  <c r="CZ395"/>
  <c r="CY395"/>
  <c r="CX395"/>
  <c r="CW395"/>
  <c r="CV395"/>
  <c r="CU395"/>
  <c r="CT395"/>
  <c r="CS395"/>
  <c r="CR395"/>
  <c r="CQ395"/>
  <c r="CP395"/>
  <c r="CO395"/>
  <c r="CN395"/>
  <c r="CM395"/>
  <c r="CL395"/>
  <c r="CK395"/>
  <c r="CJ395"/>
  <c r="CI395"/>
  <c r="CH395"/>
  <c r="CG395"/>
  <c r="CF395"/>
  <c r="CE395"/>
  <c r="CD395"/>
  <c r="CC395"/>
  <c r="CB395"/>
  <c r="CA395"/>
  <c r="BZ395"/>
  <c r="BY395"/>
  <c r="BX395"/>
  <c r="BW395"/>
  <c r="BV395"/>
  <c r="BU395"/>
  <c r="BT395"/>
  <c r="BS395"/>
  <c r="BR395"/>
  <c r="BQ395"/>
  <c r="BP395"/>
  <c r="BO395"/>
  <c r="BN395"/>
  <c r="C395"/>
  <c r="DU394"/>
  <c r="DT394"/>
  <c r="DS394"/>
  <c r="DR394"/>
  <c r="DQ394"/>
  <c r="DP394"/>
  <c r="DO394"/>
  <c r="DN394"/>
  <c r="DM394"/>
  <c r="DL394"/>
  <c r="DK394"/>
  <c r="DJ394"/>
  <c r="DI394"/>
  <c r="DH394"/>
  <c r="DG394"/>
  <c r="DF394"/>
  <c r="DE394"/>
  <c r="DD394"/>
  <c r="DC394"/>
  <c r="DB394"/>
  <c r="DA394"/>
  <c r="CZ394"/>
  <c r="CY394"/>
  <c r="CX394"/>
  <c r="CW394"/>
  <c r="CV394"/>
  <c r="CU394"/>
  <c r="CT394"/>
  <c r="CS394"/>
  <c r="CR394"/>
  <c r="CQ394"/>
  <c r="CP394"/>
  <c r="CO394"/>
  <c r="CN394"/>
  <c r="CM394"/>
  <c r="CL394"/>
  <c r="CK394"/>
  <c r="CJ394"/>
  <c r="CI394"/>
  <c r="CH394"/>
  <c r="CG394"/>
  <c r="CF394"/>
  <c r="CE394"/>
  <c r="CD394"/>
  <c r="CC394"/>
  <c r="CB394"/>
  <c r="CA394"/>
  <c r="BZ394"/>
  <c r="BY394"/>
  <c r="BX394"/>
  <c r="BW394"/>
  <c r="BV394"/>
  <c r="BU394"/>
  <c r="BT394"/>
  <c r="BS394"/>
  <c r="BR394"/>
  <c r="BQ394"/>
  <c r="BP394"/>
  <c r="BO394"/>
  <c r="BN394"/>
  <c r="B394"/>
  <c r="DU393"/>
  <c r="DT393"/>
  <c r="DS393"/>
  <c r="DR393"/>
  <c r="DQ393"/>
  <c r="DP393"/>
  <c r="DO393"/>
  <c r="DN393"/>
  <c r="DM393"/>
  <c r="DL393"/>
  <c r="DK393"/>
  <c r="DJ393"/>
  <c r="DI393"/>
  <c r="DH393"/>
  <c r="DG393"/>
  <c r="DF393"/>
  <c r="DE393"/>
  <c r="DD393"/>
  <c r="DC393"/>
  <c r="DB393"/>
  <c r="DA393"/>
  <c r="CZ393"/>
  <c r="CY393"/>
  <c r="CX393"/>
  <c r="CW393"/>
  <c r="CV393"/>
  <c r="CU393"/>
  <c r="CT393"/>
  <c r="CS393"/>
  <c r="CR393"/>
  <c r="CQ393"/>
  <c r="CP393"/>
  <c r="CO393"/>
  <c r="CN393"/>
  <c r="CM393"/>
  <c r="CL393"/>
  <c r="CK393"/>
  <c r="CJ393"/>
  <c r="CI393"/>
  <c r="CH393"/>
  <c r="CG393"/>
  <c r="CF393"/>
  <c r="CE393"/>
  <c r="CD393"/>
  <c r="CC393"/>
  <c r="CB393"/>
  <c r="CA393"/>
  <c r="BZ393"/>
  <c r="BY393"/>
  <c r="BX393"/>
  <c r="BW393"/>
  <c r="BV393"/>
  <c r="BU393"/>
  <c r="BT393"/>
  <c r="BS393"/>
  <c r="BR393"/>
  <c r="BQ393"/>
  <c r="BP393"/>
  <c r="BO393"/>
  <c r="BN393"/>
  <c r="DU392"/>
  <c r="DT392"/>
  <c r="DS392"/>
  <c r="DR392"/>
  <c r="DQ392"/>
  <c r="DP392"/>
  <c r="DO392"/>
  <c r="DN392"/>
  <c r="DM392"/>
  <c r="DL392"/>
  <c r="DK392"/>
  <c r="DJ392"/>
  <c r="DI392"/>
  <c r="DH392"/>
  <c r="DG392"/>
  <c r="DF392"/>
  <c r="DE392"/>
  <c r="DD392"/>
  <c r="DC392"/>
  <c r="DB392"/>
  <c r="DA392"/>
  <c r="CZ392"/>
  <c r="CY392"/>
  <c r="CX392"/>
  <c r="CW392"/>
  <c r="CV392"/>
  <c r="CU392"/>
  <c r="CT392"/>
  <c r="CS392"/>
  <c r="CR392"/>
  <c r="CQ392"/>
  <c r="CP392"/>
  <c r="CO392"/>
  <c r="CN392"/>
  <c r="CM392"/>
  <c r="CL392"/>
  <c r="CK392"/>
  <c r="CJ392"/>
  <c r="CI392"/>
  <c r="CH392"/>
  <c r="CG392"/>
  <c r="CF392"/>
  <c r="CE392"/>
  <c r="CD392"/>
  <c r="CC392"/>
  <c r="CB392"/>
  <c r="CA392"/>
  <c r="BZ392"/>
  <c r="BY392"/>
  <c r="BX392"/>
  <c r="BW392"/>
  <c r="BV392"/>
  <c r="BU392"/>
  <c r="BT392"/>
  <c r="BS392"/>
  <c r="BR392"/>
  <c r="BQ392"/>
  <c r="BP392"/>
  <c r="BO392"/>
  <c r="BN392"/>
  <c r="DU391"/>
  <c r="DT391"/>
  <c r="DS391"/>
  <c r="DR391"/>
  <c r="DQ391"/>
  <c r="DP391"/>
  <c r="DO391"/>
  <c r="DN391"/>
  <c r="DM391"/>
  <c r="DL391"/>
  <c r="DK391"/>
  <c r="DJ391"/>
  <c r="DI391"/>
  <c r="DH391"/>
  <c r="DG391"/>
  <c r="DF391"/>
  <c r="DE391"/>
  <c r="DD391"/>
  <c r="DC391"/>
  <c r="DB391"/>
  <c r="DA391"/>
  <c r="CZ391"/>
  <c r="CY391"/>
  <c r="CX391"/>
  <c r="CW391"/>
  <c r="CV391"/>
  <c r="CU391"/>
  <c r="CT391"/>
  <c r="CS391"/>
  <c r="CR391"/>
  <c r="CQ391"/>
  <c r="CP391"/>
  <c r="CO391"/>
  <c r="CN391"/>
  <c r="CM391"/>
  <c r="CL391"/>
  <c r="CK391"/>
  <c r="CJ391"/>
  <c r="CI391"/>
  <c r="CH391"/>
  <c r="CG391"/>
  <c r="CF391"/>
  <c r="CE391"/>
  <c r="CD391"/>
  <c r="CC391"/>
  <c r="CB391"/>
  <c r="CA391"/>
  <c r="BZ391"/>
  <c r="BY391"/>
  <c r="BX391"/>
  <c r="BW391"/>
  <c r="BV391"/>
  <c r="BU391"/>
  <c r="BT391"/>
  <c r="BS391"/>
  <c r="BR391"/>
  <c r="BQ391"/>
  <c r="BP391"/>
  <c r="BO391"/>
  <c r="BN391"/>
  <c r="C391"/>
  <c r="DU390"/>
  <c r="DT390"/>
  <c r="DS390"/>
  <c r="DR390"/>
  <c r="DQ390"/>
  <c r="DP390"/>
  <c r="DO390"/>
  <c r="DN390"/>
  <c r="DM390"/>
  <c r="DL390"/>
  <c r="DK390"/>
  <c r="DJ390"/>
  <c r="DI390"/>
  <c r="DH390"/>
  <c r="DG390"/>
  <c r="DF390"/>
  <c r="DE390"/>
  <c r="DD390"/>
  <c r="DC390"/>
  <c r="DB390"/>
  <c r="DA390"/>
  <c r="CZ390"/>
  <c r="CY390"/>
  <c r="CX390"/>
  <c r="CW390"/>
  <c r="CV390"/>
  <c r="CU390"/>
  <c r="CT390"/>
  <c r="CS390"/>
  <c r="CR390"/>
  <c r="CQ390"/>
  <c r="CP390"/>
  <c r="CO390"/>
  <c r="CN390"/>
  <c r="CM390"/>
  <c r="CL390"/>
  <c r="CK390"/>
  <c r="CJ390"/>
  <c r="CI390"/>
  <c r="CH390"/>
  <c r="CG390"/>
  <c r="CF390"/>
  <c r="CE390"/>
  <c r="CD390"/>
  <c r="CC390"/>
  <c r="CB390"/>
  <c r="CA390"/>
  <c r="BZ390"/>
  <c r="BY390"/>
  <c r="BX390"/>
  <c r="BW390"/>
  <c r="BV390"/>
  <c r="BU390"/>
  <c r="BT390"/>
  <c r="BS390"/>
  <c r="BR390"/>
  <c r="BQ390"/>
  <c r="BP390"/>
  <c r="BO390"/>
  <c r="BN390"/>
  <c r="C390"/>
  <c r="DU389"/>
  <c r="DT389"/>
  <c r="DS389"/>
  <c r="DR389"/>
  <c r="DQ389"/>
  <c r="DP389"/>
  <c r="DO389"/>
  <c r="DN389"/>
  <c r="DM389"/>
  <c r="DL389"/>
  <c r="DK389"/>
  <c r="DJ389"/>
  <c r="DI389"/>
  <c r="DH389"/>
  <c r="DG389"/>
  <c r="DF389"/>
  <c r="DE389"/>
  <c r="DD389"/>
  <c r="DC389"/>
  <c r="DB389"/>
  <c r="DA389"/>
  <c r="CZ389"/>
  <c r="CY389"/>
  <c r="CX389"/>
  <c r="CW389"/>
  <c r="CV389"/>
  <c r="CU389"/>
  <c r="CT389"/>
  <c r="CS389"/>
  <c r="CR389"/>
  <c r="CQ389"/>
  <c r="CP389"/>
  <c r="CO389"/>
  <c r="CN389"/>
  <c r="CM389"/>
  <c r="CL389"/>
  <c r="CK389"/>
  <c r="CJ389"/>
  <c r="CI389"/>
  <c r="CH389"/>
  <c r="CG389"/>
  <c r="CF389"/>
  <c r="CE389"/>
  <c r="CD389"/>
  <c r="CC389"/>
  <c r="CB389"/>
  <c r="CA389"/>
  <c r="BZ389"/>
  <c r="BY389"/>
  <c r="BX389"/>
  <c r="BW389"/>
  <c r="BV389"/>
  <c r="BU389"/>
  <c r="BT389"/>
  <c r="BS389"/>
  <c r="BR389"/>
  <c r="BQ389"/>
  <c r="BP389"/>
  <c r="BO389"/>
  <c r="BN389"/>
  <c r="DU388"/>
  <c r="DT388"/>
  <c r="DS388"/>
  <c r="DR388"/>
  <c r="DQ388"/>
  <c r="DP388"/>
  <c r="DO388"/>
  <c r="DN388"/>
  <c r="DM388"/>
  <c r="DL388"/>
  <c r="DK388"/>
  <c r="DJ388"/>
  <c r="DI388"/>
  <c r="DH388"/>
  <c r="DG388"/>
  <c r="DF388"/>
  <c r="DE388"/>
  <c r="DD388"/>
  <c r="DC388"/>
  <c r="DB388"/>
  <c r="DA388"/>
  <c r="CZ388"/>
  <c r="CY388"/>
  <c r="CX388"/>
  <c r="CW388"/>
  <c r="CV388"/>
  <c r="CU388"/>
  <c r="CT388"/>
  <c r="CS388"/>
  <c r="CR388"/>
  <c r="CQ388"/>
  <c r="CP388"/>
  <c r="CO388"/>
  <c r="CN388"/>
  <c r="CM388"/>
  <c r="CL388"/>
  <c r="CK388"/>
  <c r="CJ388"/>
  <c r="CI388"/>
  <c r="CH388"/>
  <c r="CG388"/>
  <c r="CF388"/>
  <c r="CE388"/>
  <c r="CD388"/>
  <c r="CC388"/>
  <c r="CB388"/>
  <c r="CA388"/>
  <c r="BZ388"/>
  <c r="BY388"/>
  <c r="BX388"/>
  <c r="BW388"/>
  <c r="BV388"/>
  <c r="BU388"/>
  <c r="BT388"/>
  <c r="BS388"/>
  <c r="BR388"/>
  <c r="BQ388"/>
  <c r="BP388"/>
  <c r="BO388"/>
  <c r="BN388"/>
  <c r="E388"/>
  <c r="DU387"/>
  <c r="DT387"/>
  <c r="DS387"/>
  <c r="DR387"/>
  <c r="DQ387"/>
  <c r="DP387"/>
  <c r="DO387"/>
  <c r="DN387"/>
  <c r="DM387"/>
  <c r="DL387"/>
  <c r="DK387"/>
  <c r="DJ387"/>
  <c r="DI387"/>
  <c r="DH387"/>
  <c r="DG387"/>
  <c r="DF387"/>
  <c r="DE387"/>
  <c r="DD387"/>
  <c r="DC387"/>
  <c r="DB387"/>
  <c r="DA387"/>
  <c r="CZ387"/>
  <c r="CY387"/>
  <c r="CX387"/>
  <c r="CW387"/>
  <c r="CV387"/>
  <c r="CU387"/>
  <c r="CT387"/>
  <c r="CS387"/>
  <c r="CR387"/>
  <c r="CQ387"/>
  <c r="CP387"/>
  <c r="CO387"/>
  <c r="CN387"/>
  <c r="CM387"/>
  <c r="CL387"/>
  <c r="CK387"/>
  <c r="CJ387"/>
  <c r="CI387"/>
  <c r="CH387"/>
  <c r="CG387"/>
  <c r="CF387"/>
  <c r="CE387"/>
  <c r="CD387"/>
  <c r="CC387"/>
  <c r="CB387"/>
  <c r="CA387"/>
  <c r="BZ387"/>
  <c r="BY387"/>
  <c r="BX387"/>
  <c r="BW387"/>
  <c r="BV387"/>
  <c r="BU387"/>
  <c r="BT387"/>
  <c r="BS387"/>
  <c r="BR387"/>
  <c r="BQ387"/>
  <c r="BP387"/>
  <c r="BO387"/>
  <c r="BN387"/>
  <c r="DU386"/>
  <c r="DT386"/>
  <c r="DS386"/>
  <c r="DR386"/>
  <c r="DQ386"/>
  <c r="DP386"/>
  <c r="DO386"/>
  <c r="DN386"/>
  <c r="DM386"/>
  <c r="DL386"/>
  <c r="DK386"/>
  <c r="DJ386"/>
  <c r="DI386"/>
  <c r="DH386"/>
  <c r="DG386"/>
  <c r="DF386"/>
  <c r="DE386"/>
  <c r="DD386"/>
  <c r="DC386"/>
  <c r="DB386"/>
  <c r="DA386"/>
  <c r="CZ386"/>
  <c r="CY386"/>
  <c r="CX386"/>
  <c r="CW386"/>
  <c r="CV386"/>
  <c r="CU386"/>
  <c r="CT386"/>
  <c r="CS386"/>
  <c r="CR386"/>
  <c r="CQ386"/>
  <c r="CP386"/>
  <c r="CO386"/>
  <c r="CN386"/>
  <c r="CM386"/>
  <c r="CL386"/>
  <c r="CK386"/>
  <c r="CJ386"/>
  <c r="CI386"/>
  <c r="CH386"/>
  <c r="CG386"/>
  <c r="CF386"/>
  <c r="CE386"/>
  <c r="CD386"/>
  <c r="CC386"/>
  <c r="CB386"/>
  <c r="CA386"/>
  <c r="BZ386"/>
  <c r="BY386"/>
  <c r="BX386"/>
  <c r="BW386"/>
  <c r="BV386"/>
  <c r="BU386"/>
  <c r="BT386"/>
  <c r="BS386"/>
  <c r="BR386"/>
  <c r="BQ386"/>
  <c r="BP386"/>
  <c r="BO386"/>
  <c r="BN386"/>
  <c r="DU385"/>
  <c r="DT385"/>
  <c r="DS385"/>
  <c r="DR385"/>
  <c r="DQ385"/>
  <c r="DP385"/>
  <c r="DO385"/>
  <c r="DN385"/>
  <c r="DM385"/>
  <c r="DL385"/>
  <c r="DK385"/>
  <c r="DJ385"/>
  <c r="DI385"/>
  <c r="DH385"/>
  <c r="DG385"/>
  <c r="DF385"/>
  <c r="DE385"/>
  <c r="DD385"/>
  <c r="DC385"/>
  <c r="DB385"/>
  <c r="DA385"/>
  <c r="CZ385"/>
  <c r="CY385"/>
  <c r="CX385"/>
  <c r="CW385"/>
  <c r="CV385"/>
  <c r="CU385"/>
  <c r="CT385"/>
  <c r="CS385"/>
  <c r="CR385"/>
  <c r="CQ385"/>
  <c r="CP385"/>
  <c r="CO385"/>
  <c r="CN385"/>
  <c r="CM385"/>
  <c r="CL385"/>
  <c r="CK385"/>
  <c r="CJ385"/>
  <c r="CI385"/>
  <c r="CH385"/>
  <c r="CG385"/>
  <c r="CF385"/>
  <c r="CE385"/>
  <c r="CD385"/>
  <c r="CC385"/>
  <c r="CB385"/>
  <c r="CA385"/>
  <c r="BZ385"/>
  <c r="BY385"/>
  <c r="BX385"/>
  <c r="BW385"/>
  <c r="BV385"/>
  <c r="BU385"/>
  <c r="BT385"/>
  <c r="BS385"/>
  <c r="BR385"/>
  <c r="BQ385"/>
  <c r="BP385"/>
  <c r="BO385"/>
  <c r="BN385"/>
  <c r="DU384"/>
  <c r="DT384"/>
  <c r="DS384"/>
  <c r="DR384"/>
  <c r="DQ384"/>
  <c r="DP384"/>
  <c r="DO384"/>
  <c r="DN384"/>
  <c r="DM384"/>
  <c r="DL384"/>
  <c r="DK384"/>
  <c r="DJ384"/>
  <c r="DI384"/>
  <c r="DH384"/>
  <c r="DG384"/>
  <c r="DF384"/>
  <c r="DE384"/>
  <c r="DD384"/>
  <c r="DC384"/>
  <c r="DB384"/>
  <c r="DA384"/>
  <c r="CZ384"/>
  <c r="CY384"/>
  <c r="CX384"/>
  <c r="CW384"/>
  <c r="CV384"/>
  <c r="CU384"/>
  <c r="CT384"/>
  <c r="CS384"/>
  <c r="CR384"/>
  <c r="CQ384"/>
  <c r="CP384"/>
  <c r="CO384"/>
  <c r="CN384"/>
  <c r="CM384"/>
  <c r="CL384"/>
  <c r="CK384"/>
  <c r="CJ384"/>
  <c r="CI384"/>
  <c r="CH384"/>
  <c r="CG384"/>
  <c r="CF384"/>
  <c r="CE384"/>
  <c r="CD384"/>
  <c r="CC384"/>
  <c r="CB384"/>
  <c r="CA384"/>
  <c r="BZ384"/>
  <c r="BY384"/>
  <c r="BX384"/>
  <c r="BW384"/>
  <c r="BV384"/>
  <c r="BU384"/>
  <c r="BT384"/>
  <c r="BS384"/>
  <c r="BR384"/>
  <c r="BQ384"/>
  <c r="BP384"/>
  <c r="BO384"/>
  <c r="BN384"/>
  <c r="DU383"/>
  <c r="DT383"/>
  <c r="DS383"/>
  <c r="DR383"/>
  <c r="DQ383"/>
  <c r="DP383"/>
  <c r="DO383"/>
  <c r="DN383"/>
  <c r="DM383"/>
  <c r="DL383"/>
  <c r="DK383"/>
  <c r="DJ383"/>
  <c r="DI383"/>
  <c r="DH383"/>
  <c r="DG383"/>
  <c r="DF383"/>
  <c r="DE383"/>
  <c r="DD383"/>
  <c r="DC383"/>
  <c r="DB383"/>
  <c r="DA383"/>
  <c r="CZ383"/>
  <c r="CY383"/>
  <c r="CX383"/>
  <c r="CW383"/>
  <c r="CV383"/>
  <c r="CU383"/>
  <c r="CT383"/>
  <c r="CS383"/>
  <c r="CR383"/>
  <c r="CQ383"/>
  <c r="CP383"/>
  <c r="CO383"/>
  <c r="CN383"/>
  <c r="CM383"/>
  <c r="CL383"/>
  <c r="CK383"/>
  <c r="CJ383"/>
  <c r="CI383"/>
  <c r="CH383"/>
  <c r="CG383"/>
  <c r="CF383"/>
  <c r="CE383"/>
  <c r="CD383"/>
  <c r="CC383"/>
  <c r="CB383"/>
  <c r="CA383"/>
  <c r="BZ383"/>
  <c r="BY383"/>
  <c r="BX383"/>
  <c r="BW383"/>
  <c r="BV383"/>
  <c r="BU383"/>
  <c r="BT383"/>
  <c r="BS383"/>
  <c r="BR383"/>
  <c r="BQ383"/>
  <c r="BP383"/>
  <c r="BO383"/>
  <c r="BN383"/>
  <c r="D383"/>
  <c r="DU382"/>
  <c r="DT382"/>
  <c r="DS382"/>
  <c r="DR382"/>
  <c r="DQ382"/>
  <c r="DP382"/>
  <c r="DO382"/>
  <c r="DN382"/>
  <c r="DM382"/>
  <c r="DL382"/>
  <c r="DK382"/>
  <c r="DJ382"/>
  <c r="DI382"/>
  <c r="DH382"/>
  <c r="DG382"/>
  <c r="DF382"/>
  <c r="DE382"/>
  <c r="DD382"/>
  <c r="DC382"/>
  <c r="DB382"/>
  <c r="DA382"/>
  <c r="CZ382"/>
  <c r="CY382"/>
  <c r="CX382"/>
  <c r="CW382"/>
  <c r="CV382"/>
  <c r="CU382"/>
  <c r="CT382"/>
  <c r="CS382"/>
  <c r="CR382"/>
  <c r="CQ382"/>
  <c r="CP382"/>
  <c r="CO382"/>
  <c r="CN382"/>
  <c r="CM382"/>
  <c r="CL382"/>
  <c r="CK382"/>
  <c r="CJ382"/>
  <c r="CI382"/>
  <c r="CH382"/>
  <c r="CG382"/>
  <c r="CF382"/>
  <c r="CE382"/>
  <c r="CD382"/>
  <c r="CC382"/>
  <c r="CB382"/>
  <c r="CA382"/>
  <c r="BZ382"/>
  <c r="BY382"/>
  <c r="BX382"/>
  <c r="BW382"/>
  <c r="BV382"/>
  <c r="BU382"/>
  <c r="BT382"/>
  <c r="BS382"/>
  <c r="BR382"/>
  <c r="BQ382"/>
  <c r="BP382"/>
  <c r="BO382"/>
  <c r="BN382"/>
  <c r="E382"/>
  <c r="DU381"/>
  <c r="DT381"/>
  <c r="DS381"/>
  <c r="DR381"/>
  <c r="DQ381"/>
  <c r="DP381"/>
  <c r="DO381"/>
  <c r="DN381"/>
  <c r="DM381"/>
  <c r="DL381"/>
  <c r="DK381"/>
  <c r="DJ381"/>
  <c r="DI381"/>
  <c r="DH381"/>
  <c r="DG381"/>
  <c r="DF381"/>
  <c r="DE381"/>
  <c r="DD381"/>
  <c r="DC381"/>
  <c r="DB381"/>
  <c r="DA381"/>
  <c r="CZ381"/>
  <c r="CY381"/>
  <c r="CX381"/>
  <c r="CW381"/>
  <c r="CV381"/>
  <c r="CU381"/>
  <c r="CT381"/>
  <c r="CS381"/>
  <c r="CR381"/>
  <c r="CQ381"/>
  <c r="CP381"/>
  <c r="CO381"/>
  <c r="CN381"/>
  <c r="CM381"/>
  <c r="CL381"/>
  <c r="CK381"/>
  <c r="CJ381"/>
  <c r="CI381"/>
  <c r="CH381"/>
  <c r="CG381"/>
  <c r="CF381"/>
  <c r="CE381"/>
  <c r="CD381"/>
  <c r="CC381"/>
  <c r="CB381"/>
  <c r="CA381"/>
  <c r="BZ381"/>
  <c r="BY381"/>
  <c r="BX381"/>
  <c r="BW381"/>
  <c r="BV381"/>
  <c r="BU381"/>
  <c r="BT381"/>
  <c r="BS381"/>
  <c r="BR381"/>
  <c r="BQ381"/>
  <c r="BP381"/>
  <c r="BO381"/>
  <c r="BN381"/>
  <c r="C381"/>
  <c r="DU380"/>
  <c r="DT380"/>
  <c r="DS380"/>
  <c r="DR380"/>
  <c r="DQ380"/>
  <c r="DP380"/>
  <c r="DO380"/>
  <c r="DN380"/>
  <c r="DM380"/>
  <c r="DL380"/>
  <c r="DK380"/>
  <c r="DJ380"/>
  <c r="DI380"/>
  <c r="DH380"/>
  <c r="DG380"/>
  <c r="DF380"/>
  <c r="DE380"/>
  <c r="DD380"/>
  <c r="DC380"/>
  <c r="DB380"/>
  <c r="DA380"/>
  <c r="CZ380"/>
  <c r="CY380"/>
  <c r="CX380"/>
  <c r="CW380"/>
  <c r="CV380"/>
  <c r="CU380"/>
  <c r="CT380"/>
  <c r="CS380"/>
  <c r="CR380"/>
  <c r="CQ380"/>
  <c r="CP380"/>
  <c r="CO380"/>
  <c r="CN380"/>
  <c r="CM380"/>
  <c r="CL380"/>
  <c r="CK380"/>
  <c r="CJ380"/>
  <c r="CI380"/>
  <c r="CH380"/>
  <c r="CG380"/>
  <c r="CF380"/>
  <c r="CE380"/>
  <c r="CD380"/>
  <c r="CC380"/>
  <c r="CB380"/>
  <c r="CA380"/>
  <c r="BZ380"/>
  <c r="BY380"/>
  <c r="BX380"/>
  <c r="BW380"/>
  <c r="BV380"/>
  <c r="BU380"/>
  <c r="BT380"/>
  <c r="BS380"/>
  <c r="BR380"/>
  <c r="BQ380"/>
  <c r="BP380"/>
  <c r="BO380"/>
  <c r="BN380"/>
  <c r="DU379"/>
  <c r="DT379"/>
  <c r="DS379"/>
  <c r="DR379"/>
  <c r="DQ379"/>
  <c r="DP379"/>
  <c r="DO379"/>
  <c r="DN379"/>
  <c r="DM379"/>
  <c r="DL379"/>
  <c r="DK379"/>
  <c r="DJ379"/>
  <c r="DI379"/>
  <c r="DH379"/>
  <c r="DG379"/>
  <c r="DF379"/>
  <c r="DE379"/>
  <c r="DD379"/>
  <c r="DC379"/>
  <c r="DB379"/>
  <c r="DA379"/>
  <c r="CZ379"/>
  <c r="CY379"/>
  <c r="CX379"/>
  <c r="CW379"/>
  <c r="CV379"/>
  <c r="CU379"/>
  <c r="CT379"/>
  <c r="CS379"/>
  <c r="CR379"/>
  <c r="CQ379"/>
  <c r="CP379"/>
  <c r="CO379"/>
  <c r="CN379"/>
  <c r="CM379"/>
  <c r="CL379"/>
  <c r="CK379"/>
  <c r="CJ379"/>
  <c r="CI379"/>
  <c r="CH379"/>
  <c r="CG379"/>
  <c r="CF379"/>
  <c r="CE379"/>
  <c r="CD379"/>
  <c r="CC379"/>
  <c r="CB379"/>
  <c r="CA379"/>
  <c r="BZ379"/>
  <c r="BY379"/>
  <c r="BX379"/>
  <c r="BW379"/>
  <c r="BV379"/>
  <c r="BU379"/>
  <c r="BT379"/>
  <c r="BS379"/>
  <c r="BR379"/>
  <c r="BQ379"/>
  <c r="BP379"/>
  <c r="BO379"/>
  <c r="BN379"/>
  <c r="A379"/>
  <c r="DU378"/>
  <c r="DT378"/>
  <c r="DS378"/>
  <c r="DR378"/>
  <c r="DQ378"/>
  <c r="DP378"/>
  <c r="DO378"/>
  <c r="DN378"/>
  <c r="DM378"/>
  <c r="DL378"/>
  <c r="DK378"/>
  <c r="DJ378"/>
  <c r="DI378"/>
  <c r="DH378"/>
  <c r="DG378"/>
  <c r="DF378"/>
  <c r="DE378"/>
  <c r="DD378"/>
  <c r="DC378"/>
  <c r="DB378"/>
  <c r="DA378"/>
  <c r="CZ378"/>
  <c r="CY378"/>
  <c r="CX378"/>
  <c r="CW378"/>
  <c r="CV378"/>
  <c r="CU378"/>
  <c r="CT378"/>
  <c r="CS378"/>
  <c r="CR378"/>
  <c r="CQ378"/>
  <c r="CP378"/>
  <c r="CO378"/>
  <c r="CN378"/>
  <c r="CM378"/>
  <c r="CL378"/>
  <c r="CK378"/>
  <c r="CJ378"/>
  <c r="CI378"/>
  <c r="CH378"/>
  <c r="CG378"/>
  <c r="CF378"/>
  <c r="CE378"/>
  <c r="CD378"/>
  <c r="CC378"/>
  <c r="CB378"/>
  <c r="CA378"/>
  <c r="BZ378"/>
  <c r="BY378"/>
  <c r="BX378"/>
  <c r="BW378"/>
  <c r="BV378"/>
  <c r="BU378"/>
  <c r="BT378"/>
  <c r="BS378"/>
  <c r="BR378"/>
  <c r="BQ378"/>
  <c r="BP378"/>
  <c r="BO378"/>
  <c r="BN378"/>
  <c r="DU377"/>
  <c r="DT377"/>
  <c r="DS377"/>
  <c r="DR377"/>
  <c r="DQ377"/>
  <c r="DP377"/>
  <c r="DO377"/>
  <c r="DN377"/>
  <c r="DM377"/>
  <c r="DL377"/>
  <c r="DK377"/>
  <c r="DJ377"/>
  <c r="DI377"/>
  <c r="DH377"/>
  <c r="DG377"/>
  <c r="DF377"/>
  <c r="DE377"/>
  <c r="DD377"/>
  <c r="DC377"/>
  <c r="DB377"/>
  <c r="DA377"/>
  <c r="CZ377"/>
  <c r="CY377"/>
  <c r="CX377"/>
  <c r="CW377"/>
  <c r="CV377"/>
  <c r="CU377"/>
  <c r="CT377"/>
  <c r="CS377"/>
  <c r="CR377"/>
  <c r="CQ377"/>
  <c r="CP377"/>
  <c r="CO377"/>
  <c r="CN377"/>
  <c r="CM377"/>
  <c r="CL377"/>
  <c r="CK377"/>
  <c r="CJ377"/>
  <c r="CI377"/>
  <c r="CH377"/>
  <c r="CG377"/>
  <c r="CF377"/>
  <c r="CE377"/>
  <c r="CD377"/>
  <c r="CC377"/>
  <c r="CB377"/>
  <c r="CA377"/>
  <c r="BZ377"/>
  <c r="BY377"/>
  <c r="BX377"/>
  <c r="BW377"/>
  <c r="BV377"/>
  <c r="BU377"/>
  <c r="BT377"/>
  <c r="BS377"/>
  <c r="BR377"/>
  <c r="BQ377"/>
  <c r="BP377"/>
  <c r="BO377"/>
  <c r="BN377"/>
  <c r="C377"/>
  <c r="DU376"/>
  <c r="DT376"/>
  <c r="DS376"/>
  <c r="DR376"/>
  <c r="DQ376"/>
  <c r="DP376"/>
  <c r="DO376"/>
  <c r="DN376"/>
  <c r="DM376"/>
  <c r="DL376"/>
  <c r="DK376"/>
  <c r="DJ376"/>
  <c r="DI376"/>
  <c r="DH376"/>
  <c r="DG376"/>
  <c r="DF376"/>
  <c r="DE376"/>
  <c r="DD376"/>
  <c r="DC376"/>
  <c r="DB376"/>
  <c r="DA376"/>
  <c r="CZ376"/>
  <c r="CY376"/>
  <c r="CX376"/>
  <c r="CW376"/>
  <c r="CV376"/>
  <c r="CU376"/>
  <c r="CT376"/>
  <c r="CS376"/>
  <c r="CR376"/>
  <c r="CQ376"/>
  <c r="CP376"/>
  <c r="CO376"/>
  <c r="CN376"/>
  <c r="CM376"/>
  <c r="CL376"/>
  <c r="CK376"/>
  <c r="CJ376"/>
  <c r="CI376"/>
  <c r="CH376"/>
  <c r="CG376"/>
  <c r="CF376"/>
  <c r="CE376"/>
  <c r="CD376"/>
  <c r="CC376"/>
  <c r="CB376"/>
  <c r="CA376"/>
  <c r="BZ376"/>
  <c r="BY376"/>
  <c r="BX376"/>
  <c r="BW376"/>
  <c r="BV376"/>
  <c r="BU376"/>
  <c r="BT376"/>
  <c r="BS376"/>
  <c r="BR376"/>
  <c r="BQ376"/>
  <c r="BP376"/>
  <c r="BO376"/>
  <c r="BN376"/>
  <c r="DU375"/>
  <c r="DT375"/>
  <c r="DS375"/>
  <c r="DR375"/>
  <c r="DQ375"/>
  <c r="DP375"/>
  <c r="DO375"/>
  <c r="DN375"/>
  <c r="DM375"/>
  <c r="DL375"/>
  <c r="DK375"/>
  <c r="DJ375"/>
  <c r="DI375"/>
  <c r="DH375"/>
  <c r="DG375"/>
  <c r="DF375"/>
  <c r="DE375"/>
  <c r="DD375"/>
  <c r="DC375"/>
  <c r="DB375"/>
  <c r="DA375"/>
  <c r="CZ375"/>
  <c r="CY375"/>
  <c r="CX375"/>
  <c r="CW375"/>
  <c r="CV375"/>
  <c r="CU375"/>
  <c r="CT375"/>
  <c r="CS375"/>
  <c r="CR375"/>
  <c r="CQ375"/>
  <c r="CP375"/>
  <c r="CO375"/>
  <c r="CN375"/>
  <c r="CM375"/>
  <c r="CL375"/>
  <c r="CK375"/>
  <c r="CJ375"/>
  <c r="CI375"/>
  <c r="CH375"/>
  <c r="CG375"/>
  <c r="CF375"/>
  <c r="CE375"/>
  <c r="CD375"/>
  <c r="CC375"/>
  <c r="CB375"/>
  <c r="CA375"/>
  <c r="BZ375"/>
  <c r="BY375"/>
  <c r="BX375"/>
  <c r="BW375"/>
  <c r="BV375"/>
  <c r="BU375"/>
  <c r="BT375"/>
  <c r="BS375"/>
  <c r="BR375"/>
  <c r="BQ375"/>
  <c r="BP375"/>
  <c r="BO375"/>
  <c r="BN375"/>
  <c r="DU374"/>
  <c r="DT374"/>
  <c r="DS374"/>
  <c r="DR374"/>
  <c r="DQ374"/>
  <c r="DP374"/>
  <c r="DO374"/>
  <c r="DN374"/>
  <c r="DM374"/>
  <c r="DL374"/>
  <c r="DK374"/>
  <c r="DJ374"/>
  <c r="DI374"/>
  <c r="DH374"/>
  <c r="DG374"/>
  <c r="DF374"/>
  <c r="DE374"/>
  <c r="DD374"/>
  <c r="DC374"/>
  <c r="DB374"/>
  <c r="DA374"/>
  <c r="CZ374"/>
  <c r="CY374"/>
  <c r="CX374"/>
  <c r="CW374"/>
  <c r="CV374"/>
  <c r="CU374"/>
  <c r="CT374"/>
  <c r="CS374"/>
  <c r="CR374"/>
  <c r="CQ374"/>
  <c r="CP374"/>
  <c r="CO374"/>
  <c r="CN374"/>
  <c r="CM374"/>
  <c r="CL374"/>
  <c r="CK374"/>
  <c r="CJ374"/>
  <c r="CI374"/>
  <c r="CH374"/>
  <c r="CG374"/>
  <c r="CF374"/>
  <c r="CE374"/>
  <c r="CD374"/>
  <c r="CC374"/>
  <c r="CB374"/>
  <c r="CA374"/>
  <c r="BZ374"/>
  <c r="BY374"/>
  <c r="BX374"/>
  <c r="BW374"/>
  <c r="BV374"/>
  <c r="BU374"/>
  <c r="BT374"/>
  <c r="BS374"/>
  <c r="BR374"/>
  <c r="BQ374"/>
  <c r="BP374"/>
  <c r="BO374"/>
  <c r="BN374"/>
  <c r="DU373"/>
  <c r="DT373"/>
  <c r="DS373"/>
  <c r="DR373"/>
  <c r="DQ373"/>
  <c r="DP373"/>
  <c r="DO373"/>
  <c r="DN373"/>
  <c r="DM373"/>
  <c r="DL373"/>
  <c r="DK373"/>
  <c r="DJ373"/>
  <c r="DI373"/>
  <c r="DH373"/>
  <c r="DG373"/>
  <c r="DF373"/>
  <c r="DE373"/>
  <c r="DD373"/>
  <c r="DC373"/>
  <c r="DB373"/>
  <c r="DA373"/>
  <c r="CZ373"/>
  <c r="CY373"/>
  <c r="CX373"/>
  <c r="CW373"/>
  <c r="CV373"/>
  <c r="CU373"/>
  <c r="CT373"/>
  <c r="CS373"/>
  <c r="CR373"/>
  <c r="CQ373"/>
  <c r="CP373"/>
  <c r="CO373"/>
  <c r="CN373"/>
  <c r="CM373"/>
  <c r="CL373"/>
  <c r="CK373"/>
  <c r="CJ373"/>
  <c r="CI373"/>
  <c r="CH373"/>
  <c r="CG373"/>
  <c r="CF373"/>
  <c r="CE373"/>
  <c r="CD373"/>
  <c r="CC373"/>
  <c r="CB373"/>
  <c r="CA373"/>
  <c r="BZ373"/>
  <c r="BY373"/>
  <c r="BX373"/>
  <c r="BW373"/>
  <c r="BV373"/>
  <c r="BU373"/>
  <c r="BT373"/>
  <c r="BS373"/>
  <c r="BR373"/>
  <c r="BQ373"/>
  <c r="BP373"/>
  <c r="BO373"/>
  <c r="BN373"/>
  <c r="E373"/>
  <c r="DU372"/>
  <c r="DT372"/>
  <c r="DS372"/>
  <c r="DR372"/>
  <c r="DQ372"/>
  <c r="DP372"/>
  <c r="DO372"/>
  <c r="DN372"/>
  <c r="DM372"/>
  <c r="DL372"/>
  <c r="DK372"/>
  <c r="DJ372"/>
  <c r="DI372"/>
  <c r="DH372"/>
  <c r="DG372"/>
  <c r="DF372"/>
  <c r="DE372"/>
  <c r="DD372"/>
  <c r="DC372"/>
  <c r="DB372"/>
  <c r="DA372"/>
  <c r="CZ372"/>
  <c r="CY372"/>
  <c r="CX372"/>
  <c r="CW372"/>
  <c r="CV372"/>
  <c r="CU372"/>
  <c r="CT372"/>
  <c r="CS372"/>
  <c r="CR372"/>
  <c r="CQ372"/>
  <c r="CP372"/>
  <c r="CO372"/>
  <c r="CN372"/>
  <c r="CM372"/>
  <c r="CL372"/>
  <c r="CK372"/>
  <c r="CJ372"/>
  <c r="CI372"/>
  <c r="CH372"/>
  <c r="CG372"/>
  <c r="CF372"/>
  <c r="CE372"/>
  <c r="CD372"/>
  <c r="CC372"/>
  <c r="CB372"/>
  <c r="CA372"/>
  <c r="BZ372"/>
  <c r="BY372"/>
  <c r="BX372"/>
  <c r="BW372"/>
  <c r="BV372"/>
  <c r="BU372"/>
  <c r="BT372"/>
  <c r="BS372"/>
  <c r="BR372"/>
  <c r="BQ372"/>
  <c r="BP372"/>
  <c r="BO372"/>
  <c r="BN372"/>
  <c r="DU371"/>
  <c r="DT371"/>
  <c r="DS371"/>
  <c r="DR371"/>
  <c r="DQ371"/>
  <c r="DP371"/>
  <c r="DO371"/>
  <c r="DN371"/>
  <c r="DM371"/>
  <c r="DL371"/>
  <c r="DK371"/>
  <c r="DJ371"/>
  <c r="DI371"/>
  <c r="DH371"/>
  <c r="DG371"/>
  <c r="DF371"/>
  <c r="DE371"/>
  <c r="DD371"/>
  <c r="DC371"/>
  <c r="DB371"/>
  <c r="DA371"/>
  <c r="CZ371"/>
  <c r="CY371"/>
  <c r="CX371"/>
  <c r="CW371"/>
  <c r="CV371"/>
  <c r="CU371"/>
  <c r="CT371"/>
  <c r="CS371"/>
  <c r="CR371"/>
  <c r="CQ371"/>
  <c r="CP371"/>
  <c r="CO371"/>
  <c r="CN371"/>
  <c r="CM371"/>
  <c r="CL371"/>
  <c r="CK371"/>
  <c r="CJ371"/>
  <c r="CI371"/>
  <c r="CH371"/>
  <c r="CG371"/>
  <c r="CF371"/>
  <c r="CE371"/>
  <c r="CD371"/>
  <c r="CC371"/>
  <c r="CB371"/>
  <c r="CA371"/>
  <c r="BZ371"/>
  <c r="BY371"/>
  <c r="BX371"/>
  <c r="BW371"/>
  <c r="BV371"/>
  <c r="BU371"/>
  <c r="BT371"/>
  <c r="BS371"/>
  <c r="BR371"/>
  <c r="BQ371"/>
  <c r="BP371"/>
  <c r="BO371"/>
  <c r="BN371"/>
  <c r="DU370"/>
  <c r="DT370"/>
  <c r="DS370"/>
  <c r="DR370"/>
  <c r="DQ370"/>
  <c r="DP370"/>
  <c r="DO370"/>
  <c r="DN370"/>
  <c r="DM370"/>
  <c r="DL370"/>
  <c r="DK370"/>
  <c r="DJ370"/>
  <c r="DI370"/>
  <c r="DH370"/>
  <c r="DG370"/>
  <c r="DF370"/>
  <c r="DE370"/>
  <c r="DD370"/>
  <c r="DC370"/>
  <c r="DB370"/>
  <c r="DA370"/>
  <c r="CZ370"/>
  <c r="CY370"/>
  <c r="CX370"/>
  <c r="CW370"/>
  <c r="CV370"/>
  <c r="CU370"/>
  <c r="CT370"/>
  <c r="CS370"/>
  <c r="CR370"/>
  <c r="CQ370"/>
  <c r="CP370"/>
  <c r="CO370"/>
  <c r="CN370"/>
  <c r="CM370"/>
  <c r="CL370"/>
  <c r="CK370"/>
  <c r="CJ370"/>
  <c r="CI370"/>
  <c r="CH370"/>
  <c r="CG370"/>
  <c r="CF370"/>
  <c r="CE370"/>
  <c r="CD370"/>
  <c r="CC370"/>
  <c r="CB370"/>
  <c r="CA370"/>
  <c r="BZ370"/>
  <c r="BY370"/>
  <c r="BX370"/>
  <c r="BW370"/>
  <c r="BV370"/>
  <c r="BU370"/>
  <c r="BT370"/>
  <c r="BS370"/>
  <c r="BR370"/>
  <c r="BQ370"/>
  <c r="BP370"/>
  <c r="BO370"/>
  <c r="BN370"/>
  <c r="DU369"/>
  <c r="DT369"/>
  <c r="DS369"/>
  <c r="DR369"/>
  <c r="DQ369"/>
  <c r="DP369"/>
  <c r="DO369"/>
  <c r="DN369"/>
  <c r="DM369"/>
  <c r="DL369"/>
  <c r="DK369"/>
  <c r="DJ369"/>
  <c r="DI369"/>
  <c r="DH369"/>
  <c r="DG369"/>
  <c r="DF369"/>
  <c r="DE369"/>
  <c r="DD369"/>
  <c r="DC369"/>
  <c r="DB369"/>
  <c r="DA369"/>
  <c r="CZ369"/>
  <c r="CY369"/>
  <c r="CX369"/>
  <c r="CW369"/>
  <c r="CV369"/>
  <c r="CU369"/>
  <c r="CT369"/>
  <c r="CS369"/>
  <c r="CR369"/>
  <c r="CQ369"/>
  <c r="CP369"/>
  <c r="CO369"/>
  <c r="CN369"/>
  <c r="CM369"/>
  <c r="CL369"/>
  <c r="CK369"/>
  <c r="CJ369"/>
  <c r="CI369"/>
  <c r="CH369"/>
  <c r="CG369"/>
  <c r="CF369"/>
  <c r="CE369"/>
  <c r="CD369"/>
  <c r="CC369"/>
  <c r="CB369"/>
  <c r="CA369"/>
  <c r="BZ369"/>
  <c r="BY369"/>
  <c r="BX369"/>
  <c r="BW369"/>
  <c r="BV369"/>
  <c r="BU369"/>
  <c r="BT369"/>
  <c r="BS369"/>
  <c r="BR369"/>
  <c r="BQ369"/>
  <c r="BP369"/>
  <c r="BO369"/>
  <c r="BN369"/>
  <c r="DU368"/>
  <c r="DT368"/>
  <c r="DS368"/>
  <c r="DR368"/>
  <c r="DQ368"/>
  <c r="DP368"/>
  <c r="DO368"/>
  <c r="DN368"/>
  <c r="DM368"/>
  <c r="DL368"/>
  <c r="DK368"/>
  <c r="DJ368"/>
  <c r="DI368"/>
  <c r="DH368"/>
  <c r="DG368"/>
  <c r="DF368"/>
  <c r="DE368"/>
  <c r="DD368"/>
  <c r="DC368"/>
  <c r="DB368"/>
  <c r="DA368"/>
  <c r="CZ368"/>
  <c r="CY368"/>
  <c r="CX368"/>
  <c r="CW368"/>
  <c r="CV368"/>
  <c r="CU368"/>
  <c r="CT368"/>
  <c r="CS368"/>
  <c r="CR368"/>
  <c r="CQ368"/>
  <c r="CP368"/>
  <c r="CO368"/>
  <c r="CN368"/>
  <c r="CM368"/>
  <c r="CL368"/>
  <c r="CK368"/>
  <c r="CJ368"/>
  <c r="CI368"/>
  <c r="CH368"/>
  <c r="CG368"/>
  <c r="CF368"/>
  <c r="CE368"/>
  <c r="CD368"/>
  <c r="CC368"/>
  <c r="CB368"/>
  <c r="CA368"/>
  <c r="BZ368"/>
  <c r="BY368"/>
  <c r="BX368"/>
  <c r="BW368"/>
  <c r="BV368"/>
  <c r="BU368"/>
  <c r="BT368"/>
  <c r="BS368"/>
  <c r="BR368"/>
  <c r="BQ368"/>
  <c r="BP368"/>
  <c r="BO368"/>
  <c r="BN368"/>
  <c r="DU367"/>
  <c r="DT367"/>
  <c r="DS367"/>
  <c r="DR367"/>
  <c r="DQ367"/>
  <c r="DP367"/>
  <c r="DO367"/>
  <c r="DN367"/>
  <c r="DM367"/>
  <c r="DL367"/>
  <c r="DK367"/>
  <c r="DJ367"/>
  <c r="DI367"/>
  <c r="DH367"/>
  <c r="DG367"/>
  <c r="DF367"/>
  <c r="DE367"/>
  <c r="DD367"/>
  <c r="DC367"/>
  <c r="DB367"/>
  <c r="DA367"/>
  <c r="CZ367"/>
  <c r="CY367"/>
  <c r="CX367"/>
  <c r="CW367"/>
  <c r="CV367"/>
  <c r="CU367"/>
  <c r="CT367"/>
  <c r="CS367"/>
  <c r="CR367"/>
  <c r="CQ367"/>
  <c r="CP367"/>
  <c r="CO367"/>
  <c r="CN367"/>
  <c r="CM367"/>
  <c r="CL367"/>
  <c r="CK367"/>
  <c r="CJ367"/>
  <c r="CI367"/>
  <c r="CH367"/>
  <c r="CG367"/>
  <c r="CF367"/>
  <c r="CE367"/>
  <c r="CD367"/>
  <c r="CC367"/>
  <c r="CB367"/>
  <c r="CA367"/>
  <c r="BZ367"/>
  <c r="BY367"/>
  <c r="BX367"/>
  <c r="BW367"/>
  <c r="BV367"/>
  <c r="BU367"/>
  <c r="BT367"/>
  <c r="BS367"/>
  <c r="BR367"/>
  <c r="BQ367"/>
  <c r="BP367"/>
  <c r="BO367"/>
  <c r="BN367"/>
  <c r="DU366"/>
  <c r="DT366"/>
  <c r="DS366"/>
  <c r="DR366"/>
  <c r="DQ366"/>
  <c r="DP366"/>
  <c r="DO366"/>
  <c r="DN366"/>
  <c r="DM366"/>
  <c r="DL366"/>
  <c r="DK366"/>
  <c r="DJ366"/>
  <c r="DI366"/>
  <c r="DH366"/>
  <c r="DG366"/>
  <c r="DF366"/>
  <c r="DE366"/>
  <c r="DD366"/>
  <c r="DC366"/>
  <c r="DB366"/>
  <c r="DA366"/>
  <c r="CZ366"/>
  <c r="CY366"/>
  <c r="CX366"/>
  <c r="CW366"/>
  <c r="CV366"/>
  <c r="CU366"/>
  <c r="CT366"/>
  <c r="CS366"/>
  <c r="CR366"/>
  <c r="CQ366"/>
  <c r="CP366"/>
  <c r="CO366"/>
  <c r="CN366"/>
  <c r="CM366"/>
  <c r="CL366"/>
  <c r="CK366"/>
  <c r="CJ366"/>
  <c r="CI366"/>
  <c r="CH366"/>
  <c r="CG366"/>
  <c r="CF366"/>
  <c r="CE366"/>
  <c r="CD366"/>
  <c r="CC366"/>
  <c r="CB366"/>
  <c r="CA366"/>
  <c r="BZ366"/>
  <c r="BY366"/>
  <c r="BX366"/>
  <c r="BW366"/>
  <c r="BV366"/>
  <c r="BU366"/>
  <c r="BT366"/>
  <c r="BS366"/>
  <c r="BR366"/>
  <c r="BQ366"/>
  <c r="BP366"/>
  <c r="BO366"/>
  <c r="BN366"/>
  <c r="DU365"/>
  <c r="DT365"/>
  <c r="DS365"/>
  <c r="DR365"/>
  <c r="DQ365"/>
  <c r="DP365"/>
  <c r="DO365"/>
  <c r="DN365"/>
  <c r="DM365"/>
  <c r="DL365"/>
  <c r="DK365"/>
  <c r="DJ365"/>
  <c r="DI365"/>
  <c r="DH365"/>
  <c r="DG365"/>
  <c r="DF365"/>
  <c r="DE365"/>
  <c r="DD365"/>
  <c r="DC365"/>
  <c r="DB365"/>
  <c r="DA365"/>
  <c r="CZ365"/>
  <c r="CY365"/>
  <c r="CX365"/>
  <c r="CW365"/>
  <c r="CV365"/>
  <c r="CU365"/>
  <c r="CT365"/>
  <c r="CS365"/>
  <c r="CR365"/>
  <c r="CQ365"/>
  <c r="CP365"/>
  <c r="CO365"/>
  <c r="CN365"/>
  <c r="CM365"/>
  <c r="CL365"/>
  <c r="CK365"/>
  <c r="CJ365"/>
  <c r="CI365"/>
  <c r="CH365"/>
  <c r="CG365"/>
  <c r="CF365"/>
  <c r="CE365"/>
  <c r="CD365"/>
  <c r="CC365"/>
  <c r="CB365"/>
  <c r="CA365"/>
  <c r="BZ365"/>
  <c r="BY365"/>
  <c r="BX365"/>
  <c r="BW365"/>
  <c r="BV365"/>
  <c r="BU365"/>
  <c r="BT365"/>
  <c r="BS365"/>
  <c r="BR365"/>
  <c r="BQ365"/>
  <c r="BP365"/>
  <c r="BO365"/>
  <c r="BN365"/>
  <c r="B365"/>
  <c r="DU364"/>
  <c r="DT364"/>
  <c r="DS364"/>
  <c r="DR364"/>
  <c r="DQ364"/>
  <c r="DP364"/>
  <c r="DO364"/>
  <c r="DN364"/>
  <c r="DM364"/>
  <c r="DL364"/>
  <c r="DK364"/>
  <c r="DJ364"/>
  <c r="DI364"/>
  <c r="DH364"/>
  <c r="DG364"/>
  <c r="DF364"/>
  <c r="DE364"/>
  <c r="DD364"/>
  <c r="DC364"/>
  <c r="DB364"/>
  <c r="DA364"/>
  <c r="CZ364"/>
  <c r="CY364"/>
  <c r="CX364"/>
  <c r="CW364"/>
  <c r="CV364"/>
  <c r="CU364"/>
  <c r="CT364"/>
  <c r="CS364"/>
  <c r="CR364"/>
  <c r="CQ364"/>
  <c r="CP364"/>
  <c r="CO364"/>
  <c r="CN364"/>
  <c r="CM364"/>
  <c r="CL364"/>
  <c r="CK364"/>
  <c r="CJ364"/>
  <c r="CI364"/>
  <c r="CH364"/>
  <c r="CG364"/>
  <c r="CF364"/>
  <c r="CE364"/>
  <c r="CD364"/>
  <c r="CC364"/>
  <c r="CB364"/>
  <c r="CA364"/>
  <c r="BZ364"/>
  <c r="BY364"/>
  <c r="BX364"/>
  <c r="BW364"/>
  <c r="BV364"/>
  <c r="BU364"/>
  <c r="BT364"/>
  <c r="BS364"/>
  <c r="BR364"/>
  <c r="BQ364"/>
  <c r="BP364"/>
  <c r="BO364"/>
  <c r="BN364"/>
  <c r="DU363"/>
  <c r="DT363"/>
  <c r="DS363"/>
  <c r="DR363"/>
  <c r="DQ363"/>
  <c r="DP363"/>
  <c r="DO363"/>
  <c r="DN363"/>
  <c r="DM363"/>
  <c r="DL363"/>
  <c r="DK363"/>
  <c r="DJ363"/>
  <c r="DI363"/>
  <c r="DH363"/>
  <c r="DG363"/>
  <c r="DF363"/>
  <c r="DE363"/>
  <c r="DD363"/>
  <c r="DC363"/>
  <c r="DB363"/>
  <c r="DA363"/>
  <c r="CZ363"/>
  <c r="CY363"/>
  <c r="CX363"/>
  <c r="CW363"/>
  <c r="CV363"/>
  <c r="CU363"/>
  <c r="CT363"/>
  <c r="CS363"/>
  <c r="CR363"/>
  <c r="CQ363"/>
  <c r="CP363"/>
  <c r="CO363"/>
  <c r="CN363"/>
  <c r="CM363"/>
  <c r="CL363"/>
  <c r="CK363"/>
  <c r="CJ363"/>
  <c r="CI363"/>
  <c r="CH363"/>
  <c r="CG363"/>
  <c r="CF363"/>
  <c r="CE363"/>
  <c r="CD363"/>
  <c r="CC363"/>
  <c r="CB363"/>
  <c r="CA363"/>
  <c r="BZ363"/>
  <c r="BY363"/>
  <c r="BX363"/>
  <c r="BW363"/>
  <c r="BV363"/>
  <c r="BU363"/>
  <c r="BT363"/>
  <c r="BS363"/>
  <c r="BR363"/>
  <c r="BQ363"/>
  <c r="BP363"/>
  <c r="BO363"/>
  <c r="BN363"/>
  <c r="DU362"/>
  <c r="DT362"/>
  <c r="DS362"/>
  <c r="DR362"/>
  <c r="DQ362"/>
  <c r="DP362"/>
  <c r="DO362"/>
  <c r="DN362"/>
  <c r="DM362"/>
  <c r="DL362"/>
  <c r="DK362"/>
  <c r="DJ362"/>
  <c r="DI362"/>
  <c r="DH362"/>
  <c r="DG362"/>
  <c r="DF362"/>
  <c r="DE362"/>
  <c r="DD362"/>
  <c r="DC362"/>
  <c r="DB362"/>
  <c r="DA362"/>
  <c r="CZ362"/>
  <c r="CY362"/>
  <c r="CX362"/>
  <c r="CW362"/>
  <c r="CV362"/>
  <c r="CU362"/>
  <c r="CT362"/>
  <c r="CS362"/>
  <c r="CR362"/>
  <c r="CQ362"/>
  <c r="CP362"/>
  <c r="CO362"/>
  <c r="CN362"/>
  <c r="CM362"/>
  <c r="CL362"/>
  <c r="CK362"/>
  <c r="CJ362"/>
  <c r="CI362"/>
  <c r="CH362"/>
  <c r="CG362"/>
  <c r="CF362"/>
  <c r="CE362"/>
  <c r="CD362"/>
  <c r="CC362"/>
  <c r="CB362"/>
  <c r="CA362"/>
  <c r="BZ362"/>
  <c r="BY362"/>
  <c r="BX362"/>
  <c r="BW362"/>
  <c r="BV362"/>
  <c r="BU362"/>
  <c r="BT362"/>
  <c r="BS362"/>
  <c r="BR362"/>
  <c r="BQ362"/>
  <c r="BP362"/>
  <c r="BO362"/>
  <c r="BN362"/>
  <c r="DU361"/>
  <c r="DT361"/>
  <c r="DS361"/>
  <c r="DR361"/>
  <c r="DQ361"/>
  <c r="DP361"/>
  <c r="DO361"/>
  <c r="DN361"/>
  <c r="DM361"/>
  <c r="DL361"/>
  <c r="DK361"/>
  <c r="DJ361"/>
  <c r="DI361"/>
  <c r="DH361"/>
  <c r="DG361"/>
  <c r="DF361"/>
  <c r="DE361"/>
  <c r="DD361"/>
  <c r="DC361"/>
  <c r="DB361"/>
  <c r="DA361"/>
  <c r="CZ361"/>
  <c r="CY361"/>
  <c r="CX361"/>
  <c r="CW361"/>
  <c r="CV361"/>
  <c r="CU361"/>
  <c r="CT361"/>
  <c r="CS361"/>
  <c r="CR361"/>
  <c r="CQ361"/>
  <c r="CP361"/>
  <c r="CO361"/>
  <c r="CN361"/>
  <c r="CM361"/>
  <c r="CL361"/>
  <c r="CK361"/>
  <c r="CJ361"/>
  <c r="CI361"/>
  <c r="CH361"/>
  <c r="CG361"/>
  <c r="CF361"/>
  <c r="CE361"/>
  <c r="CD361"/>
  <c r="CC361"/>
  <c r="CB361"/>
  <c r="CA361"/>
  <c r="BZ361"/>
  <c r="BY361"/>
  <c r="BX361"/>
  <c r="BW361"/>
  <c r="BV361"/>
  <c r="BU361"/>
  <c r="BT361"/>
  <c r="BS361"/>
  <c r="BR361"/>
  <c r="BQ361"/>
  <c r="BP361"/>
  <c r="BO361"/>
  <c r="BN361"/>
  <c r="DU360"/>
  <c r="DT360"/>
  <c r="DS360"/>
  <c r="DR360"/>
  <c r="DQ360"/>
  <c r="DP360"/>
  <c r="DO360"/>
  <c r="DN360"/>
  <c r="DM360"/>
  <c r="DL360"/>
  <c r="DK360"/>
  <c r="DJ360"/>
  <c r="DI360"/>
  <c r="DH360"/>
  <c r="DG360"/>
  <c r="DF360"/>
  <c r="DE360"/>
  <c r="DD360"/>
  <c r="DC360"/>
  <c r="DB360"/>
  <c r="DA360"/>
  <c r="CZ360"/>
  <c r="CY360"/>
  <c r="CX360"/>
  <c r="CW360"/>
  <c r="CV360"/>
  <c r="CU360"/>
  <c r="CT360"/>
  <c r="CS360"/>
  <c r="CR360"/>
  <c r="CQ360"/>
  <c r="CP360"/>
  <c r="CO360"/>
  <c r="CN360"/>
  <c r="CM360"/>
  <c r="CL360"/>
  <c r="CK360"/>
  <c r="CJ360"/>
  <c r="CI360"/>
  <c r="CH360"/>
  <c r="CG360"/>
  <c r="CF360"/>
  <c r="CE360"/>
  <c r="CD360"/>
  <c r="CC360"/>
  <c r="CB360"/>
  <c r="CA360"/>
  <c r="BZ360"/>
  <c r="BY360"/>
  <c r="BX360"/>
  <c r="BW360"/>
  <c r="BV360"/>
  <c r="BU360"/>
  <c r="BT360"/>
  <c r="BS360"/>
  <c r="BR360"/>
  <c r="BQ360"/>
  <c r="BP360"/>
  <c r="BO360"/>
  <c r="BN360"/>
  <c r="DU359"/>
  <c r="DT359"/>
  <c r="DS359"/>
  <c r="DR359"/>
  <c r="DQ359"/>
  <c r="DP359"/>
  <c r="DO359"/>
  <c r="DN359"/>
  <c r="DM359"/>
  <c r="DL359"/>
  <c r="DK359"/>
  <c r="DJ359"/>
  <c r="DI359"/>
  <c r="DH359"/>
  <c r="DG359"/>
  <c r="DF359"/>
  <c r="DE359"/>
  <c r="DD359"/>
  <c r="DC359"/>
  <c r="DB359"/>
  <c r="DA359"/>
  <c r="CZ359"/>
  <c r="CY359"/>
  <c r="CX359"/>
  <c r="CW359"/>
  <c r="CV359"/>
  <c r="CU359"/>
  <c r="CT359"/>
  <c r="CS359"/>
  <c r="CR359"/>
  <c r="CQ359"/>
  <c r="CP359"/>
  <c r="CO359"/>
  <c r="CN359"/>
  <c r="CM359"/>
  <c r="CL359"/>
  <c r="CK359"/>
  <c r="CJ359"/>
  <c r="CI359"/>
  <c r="CH359"/>
  <c r="CG359"/>
  <c r="CF359"/>
  <c r="CE359"/>
  <c r="CD359"/>
  <c r="CC359"/>
  <c r="CB359"/>
  <c r="CA359"/>
  <c r="BZ359"/>
  <c r="BY359"/>
  <c r="BX359"/>
  <c r="BW359"/>
  <c r="BV359"/>
  <c r="BU359"/>
  <c r="BT359"/>
  <c r="BS359"/>
  <c r="BR359"/>
  <c r="BQ359"/>
  <c r="BP359"/>
  <c r="BO359"/>
  <c r="BN359"/>
  <c r="DU358"/>
  <c r="DT358"/>
  <c r="DS358"/>
  <c r="DR358"/>
  <c r="DQ358"/>
  <c r="DP358"/>
  <c r="DO358"/>
  <c r="DN358"/>
  <c r="DM358"/>
  <c r="DL358"/>
  <c r="DK358"/>
  <c r="DJ358"/>
  <c r="DI358"/>
  <c r="DH358"/>
  <c r="DG358"/>
  <c r="DF358"/>
  <c r="DE358"/>
  <c r="DD358"/>
  <c r="DC358"/>
  <c r="DB358"/>
  <c r="DA358"/>
  <c r="CZ358"/>
  <c r="CY358"/>
  <c r="CX358"/>
  <c r="CW358"/>
  <c r="CV358"/>
  <c r="CU358"/>
  <c r="CT358"/>
  <c r="CS358"/>
  <c r="CR358"/>
  <c r="CQ358"/>
  <c r="CP358"/>
  <c r="CO358"/>
  <c r="CN358"/>
  <c r="CM358"/>
  <c r="CL358"/>
  <c r="CK358"/>
  <c r="CJ358"/>
  <c r="CI358"/>
  <c r="CH358"/>
  <c r="CG358"/>
  <c r="CF358"/>
  <c r="CE358"/>
  <c r="CD358"/>
  <c r="CC358"/>
  <c r="CB358"/>
  <c r="CA358"/>
  <c r="BZ358"/>
  <c r="BY358"/>
  <c r="BX358"/>
  <c r="BW358"/>
  <c r="BV358"/>
  <c r="BU358"/>
  <c r="BT358"/>
  <c r="BS358"/>
  <c r="BR358"/>
  <c r="BQ358"/>
  <c r="BP358"/>
  <c r="BO358"/>
  <c r="BN358"/>
  <c r="DU357"/>
  <c r="DT357"/>
  <c r="DS357"/>
  <c r="DR357"/>
  <c r="DQ357"/>
  <c r="DP357"/>
  <c r="DO357"/>
  <c r="DN357"/>
  <c r="DM357"/>
  <c r="DL357"/>
  <c r="DK357"/>
  <c r="DJ357"/>
  <c r="DI357"/>
  <c r="DH357"/>
  <c r="DG357"/>
  <c r="DF357"/>
  <c r="DE357"/>
  <c r="DD357"/>
  <c r="DC357"/>
  <c r="DB357"/>
  <c r="DA357"/>
  <c r="CZ357"/>
  <c r="CY357"/>
  <c r="CX357"/>
  <c r="CW357"/>
  <c r="CV357"/>
  <c r="CU357"/>
  <c r="CT357"/>
  <c r="CS357"/>
  <c r="CR357"/>
  <c r="CQ357"/>
  <c r="CP357"/>
  <c r="CO357"/>
  <c r="CN357"/>
  <c r="CM357"/>
  <c r="CL357"/>
  <c r="CK357"/>
  <c r="CJ357"/>
  <c r="CI357"/>
  <c r="CH357"/>
  <c r="CG357"/>
  <c r="CF357"/>
  <c r="CE357"/>
  <c r="CD357"/>
  <c r="CC357"/>
  <c r="CB357"/>
  <c r="CA357"/>
  <c r="BZ357"/>
  <c r="BY357"/>
  <c r="BX357"/>
  <c r="BW357"/>
  <c r="BV357"/>
  <c r="BU357"/>
  <c r="BT357"/>
  <c r="BS357"/>
  <c r="BR357"/>
  <c r="BQ357"/>
  <c r="BP357"/>
  <c r="BO357"/>
  <c r="BN357"/>
  <c r="DU356"/>
  <c r="DT356"/>
  <c r="DS356"/>
  <c r="DR356"/>
  <c r="DQ356"/>
  <c r="DP356"/>
  <c r="DO356"/>
  <c r="DN356"/>
  <c r="DM356"/>
  <c r="DL356"/>
  <c r="DK356"/>
  <c r="DJ356"/>
  <c r="DI356"/>
  <c r="DH356"/>
  <c r="DG356"/>
  <c r="DF356"/>
  <c r="DE356"/>
  <c r="DD356"/>
  <c r="DC356"/>
  <c r="DB356"/>
  <c r="DA356"/>
  <c r="CZ356"/>
  <c r="CY356"/>
  <c r="CX356"/>
  <c r="CW356"/>
  <c r="CV356"/>
  <c r="CU356"/>
  <c r="CT356"/>
  <c r="CS356"/>
  <c r="CR356"/>
  <c r="CQ356"/>
  <c r="CP356"/>
  <c r="CO356"/>
  <c r="CN356"/>
  <c r="CM356"/>
  <c r="CL356"/>
  <c r="CK356"/>
  <c r="CJ356"/>
  <c r="CI356"/>
  <c r="CH356"/>
  <c r="CG356"/>
  <c r="CF356"/>
  <c r="CE356"/>
  <c r="CD356"/>
  <c r="CC356"/>
  <c r="CB356"/>
  <c r="CA356"/>
  <c r="BZ356"/>
  <c r="BY356"/>
  <c r="BX356"/>
  <c r="BW356"/>
  <c r="BV356"/>
  <c r="BU356"/>
  <c r="BT356"/>
  <c r="BS356"/>
  <c r="BR356"/>
  <c r="BQ356"/>
  <c r="BP356"/>
  <c r="BO356"/>
  <c r="BN356"/>
  <c r="DU355"/>
  <c r="DT355"/>
  <c r="DS355"/>
  <c r="DR355"/>
  <c r="DQ355"/>
  <c r="DP355"/>
  <c r="DO355"/>
  <c r="DN355"/>
  <c r="DM355"/>
  <c r="DL355"/>
  <c r="DK355"/>
  <c r="DJ355"/>
  <c r="DI355"/>
  <c r="DH355"/>
  <c r="DG355"/>
  <c r="DF355"/>
  <c r="DE355"/>
  <c r="DD355"/>
  <c r="DC355"/>
  <c r="DB355"/>
  <c r="DA355"/>
  <c r="CZ355"/>
  <c r="CY355"/>
  <c r="CX355"/>
  <c r="CW355"/>
  <c r="CV355"/>
  <c r="CU355"/>
  <c r="CT355"/>
  <c r="CS355"/>
  <c r="CR355"/>
  <c r="CQ355"/>
  <c r="CP355"/>
  <c r="CO355"/>
  <c r="CN355"/>
  <c r="CM355"/>
  <c r="CL355"/>
  <c r="CK355"/>
  <c r="CJ355"/>
  <c r="CI355"/>
  <c r="CH355"/>
  <c r="CG355"/>
  <c r="CF355"/>
  <c r="CE355"/>
  <c r="CD355"/>
  <c r="CC355"/>
  <c r="CB355"/>
  <c r="CA355"/>
  <c r="BZ355"/>
  <c r="BY355"/>
  <c r="BX355"/>
  <c r="BW355"/>
  <c r="BV355"/>
  <c r="BU355"/>
  <c r="BT355"/>
  <c r="BS355"/>
  <c r="BR355"/>
  <c r="BQ355"/>
  <c r="BP355"/>
  <c r="BO355"/>
  <c r="BN355"/>
  <c r="DU354"/>
  <c r="DT354"/>
  <c r="DS354"/>
  <c r="DR354"/>
  <c r="DQ354"/>
  <c r="DP354"/>
  <c r="DO354"/>
  <c r="DN354"/>
  <c r="DM354"/>
  <c r="DL354"/>
  <c r="DK354"/>
  <c r="DJ354"/>
  <c r="DI354"/>
  <c r="DH354"/>
  <c r="DG354"/>
  <c r="DF354"/>
  <c r="DE354"/>
  <c r="DD354"/>
  <c r="DC354"/>
  <c r="DB354"/>
  <c r="DA354"/>
  <c r="CZ354"/>
  <c r="CY354"/>
  <c r="CX354"/>
  <c r="CW354"/>
  <c r="CV354"/>
  <c r="CU354"/>
  <c r="CT354"/>
  <c r="CS354"/>
  <c r="CR354"/>
  <c r="CQ354"/>
  <c r="CP354"/>
  <c r="CO354"/>
  <c r="CN354"/>
  <c r="CM354"/>
  <c r="CL354"/>
  <c r="CK354"/>
  <c r="CJ354"/>
  <c r="CI354"/>
  <c r="CH354"/>
  <c r="CG354"/>
  <c r="CF354"/>
  <c r="CE354"/>
  <c r="CD354"/>
  <c r="CC354"/>
  <c r="CB354"/>
  <c r="CA354"/>
  <c r="BZ354"/>
  <c r="BY354"/>
  <c r="BX354"/>
  <c r="BW354"/>
  <c r="BV354"/>
  <c r="BU354"/>
  <c r="BT354"/>
  <c r="BS354"/>
  <c r="BR354"/>
  <c r="BQ354"/>
  <c r="BP354"/>
  <c r="BO354"/>
  <c r="BN354"/>
  <c r="DU353"/>
  <c r="DT353"/>
  <c r="DS353"/>
  <c r="DR353"/>
  <c r="DQ353"/>
  <c r="DP353"/>
  <c r="DO353"/>
  <c r="DN353"/>
  <c r="DM353"/>
  <c r="DL353"/>
  <c r="DK353"/>
  <c r="DJ353"/>
  <c r="DI353"/>
  <c r="DH353"/>
  <c r="DG353"/>
  <c r="DF353"/>
  <c r="DE353"/>
  <c r="DD353"/>
  <c r="DC353"/>
  <c r="DB353"/>
  <c r="DA353"/>
  <c r="CZ353"/>
  <c r="CY353"/>
  <c r="CX353"/>
  <c r="CW353"/>
  <c r="CV353"/>
  <c r="CU353"/>
  <c r="CT353"/>
  <c r="CS353"/>
  <c r="CR353"/>
  <c r="CQ353"/>
  <c r="CP353"/>
  <c r="CO353"/>
  <c r="CN353"/>
  <c r="CM353"/>
  <c r="CL353"/>
  <c r="CK353"/>
  <c r="CJ353"/>
  <c r="CI353"/>
  <c r="CH353"/>
  <c r="CG353"/>
  <c r="CF353"/>
  <c r="CE353"/>
  <c r="CD353"/>
  <c r="CC353"/>
  <c r="CB353"/>
  <c r="CA353"/>
  <c r="BZ353"/>
  <c r="BY353"/>
  <c r="BX353"/>
  <c r="BW353"/>
  <c r="BV353"/>
  <c r="BU353"/>
  <c r="BT353"/>
  <c r="BS353"/>
  <c r="BR353"/>
  <c r="BQ353"/>
  <c r="BP353"/>
  <c r="BO353"/>
  <c r="BN353"/>
  <c r="DU352"/>
  <c r="DT352"/>
  <c r="DS352"/>
  <c r="DR352"/>
  <c r="DQ352"/>
  <c r="DP352"/>
  <c r="DO352"/>
  <c r="DN352"/>
  <c r="DM352"/>
  <c r="DL352"/>
  <c r="DK352"/>
  <c r="DJ352"/>
  <c r="DI352"/>
  <c r="DH352"/>
  <c r="DG352"/>
  <c r="DF352"/>
  <c r="DE352"/>
  <c r="DD352"/>
  <c r="DC352"/>
  <c r="DB352"/>
  <c r="DA352"/>
  <c r="CZ352"/>
  <c r="CY352"/>
  <c r="CX352"/>
  <c r="CW352"/>
  <c r="CV352"/>
  <c r="CU352"/>
  <c r="CT352"/>
  <c r="CS352"/>
  <c r="CR352"/>
  <c r="CQ352"/>
  <c r="CP352"/>
  <c r="CO352"/>
  <c r="CN352"/>
  <c r="CM352"/>
  <c r="CL352"/>
  <c r="CK352"/>
  <c r="CJ352"/>
  <c r="CI352"/>
  <c r="CH352"/>
  <c r="CG352"/>
  <c r="CF352"/>
  <c r="CE352"/>
  <c r="CD352"/>
  <c r="CC352"/>
  <c r="CB352"/>
  <c r="CA352"/>
  <c r="BZ352"/>
  <c r="BY352"/>
  <c r="BX352"/>
  <c r="BW352"/>
  <c r="BV352"/>
  <c r="BU352"/>
  <c r="BT352"/>
  <c r="BS352"/>
  <c r="BR352"/>
  <c r="BQ352"/>
  <c r="BP352"/>
  <c r="BO352"/>
  <c r="BN352"/>
  <c r="DU351"/>
  <c r="DT351"/>
  <c r="DS351"/>
  <c r="DR351"/>
  <c r="DQ351"/>
  <c r="DP351"/>
  <c r="DO351"/>
  <c r="DN351"/>
  <c r="DM351"/>
  <c r="DL351"/>
  <c r="DK351"/>
  <c r="DJ351"/>
  <c r="DI351"/>
  <c r="DH351"/>
  <c r="DG351"/>
  <c r="DF351"/>
  <c r="DE351"/>
  <c r="DD351"/>
  <c r="DC351"/>
  <c r="DB351"/>
  <c r="DA351"/>
  <c r="CZ351"/>
  <c r="CY351"/>
  <c r="CX351"/>
  <c r="CW351"/>
  <c r="CV351"/>
  <c r="CU351"/>
  <c r="CT351"/>
  <c r="CS351"/>
  <c r="CR351"/>
  <c r="CQ351"/>
  <c r="CP351"/>
  <c r="CO351"/>
  <c r="CN351"/>
  <c r="CM351"/>
  <c r="CL351"/>
  <c r="CK351"/>
  <c r="CJ351"/>
  <c r="CI351"/>
  <c r="CH351"/>
  <c r="CG351"/>
  <c r="CF351"/>
  <c r="CE351"/>
  <c r="CD351"/>
  <c r="CC351"/>
  <c r="CB351"/>
  <c r="CA351"/>
  <c r="BZ351"/>
  <c r="BY351"/>
  <c r="BX351"/>
  <c r="BW351"/>
  <c r="BV351"/>
  <c r="BU351"/>
  <c r="BT351"/>
  <c r="BS351"/>
  <c r="BR351"/>
  <c r="BQ351"/>
  <c r="BP351"/>
  <c r="BO351"/>
  <c r="BN351"/>
  <c r="DU350"/>
  <c r="DT350"/>
  <c r="DS350"/>
  <c r="DR350"/>
  <c r="DQ350"/>
  <c r="DP350"/>
  <c r="DO350"/>
  <c r="DN350"/>
  <c r="DM350"/>
  <c r="DL350"/>
  <c r="DK350"/>
  <c r="DJ350"/>
  <c r="DI350"/>
  <c r="DH350"/>
  <c r="DG350"/>
  <c r="DF350"/>
  <c r="DE350"/>
  <c r="DD350"/>
  <c r="DC350"/>
  <c r="DB350"/>
  <c r="DA350"/>
  <c r="CZ350"/>
  <c r="CY350"/>
  <c r="CX350"/>
  <c r="CW350"/>
  <c r="CV350"/>
  <c r="CU350"/>
  <c r="CT350"/>
  <c r="CS350"/>
  <c r="CR350"/>
  <c r="CQ350"/>
  <c r="CP350"/>
  <c r="CO350"/>
  <c r="CN350"/>
  <c r="CM350"/>
  <c r="CL350"/>
  <c r="CK350"/>
  <c r="CJ350"/>
  <c r="CI350"/>
  <c r="CH350"/>
  <c r="CG350"/>
  <c r="CF350"/>
  <c r="CE350"/>
  <c r="CD350"/>
  <c r="CC350"/>
  <c r="CB350"/>
  <c r="CA350"/>
  <c r="BZ350"/>
  <c r="BY350"/>
  <c r="BX350"/>
  <c r="BW350"/>
  <c r="BV350"/>
  <c r="BU350"/>
  <c r="BT350"/>
  <c r="BS350"/>
  <c r="BR350"/>
  <c r="BQ350"/>
  <c r="BP350"/>
  <c r="BO350"/>
  <c r="BN350"/>
  <c r="A350"/>
  <c r="DU349"/>
  <c r="DT349"/>
  <c r="DS349"/>
  <c r="DR349"/>
  <c r="DQ349"/>
  <c r="DP349"/>
  <c r="DO349"/>
  <c r="DN349"/>
  <c r="DM349"/>
  <c r="DL349"/>
  <c r="DK349"/>
  <c r="DJ349"/>
  <c r="DI349"/>
  <c r="DH349"/>
  <c r="DG349"/>
  <c r="DF349"/>
  <c r="DE349"/>
  <c r="DD349"/>
  <c r="DC349"/>
  <c r="DB349"/>
  <c r="DA349"/>
  <c r="CZ349"/>
  <c r="CY349"/>
  <c r="CX349"/>
  <c r="CW349"/>
  <c r="CV349"/>
  <c r="CU349"/>
  <c r="CT349"/>
  <c r="CS349"/>
  <c r="CR349"/>
  <c r="CQ349"/>
  <c r="CP349"/>
  <c r="CO349"/>
  <c r="CN349"/>
  <c r="CM349"/>
  <c r="CL349"/>
  <c r="CK349"/>
  <c r="CJ349"/>
  <c r="CI349"/>
  <c r="CH349"/>
  <c r="CG349"/>
  <c r="CF349"/>
  <c r="CE349"/>
  <c r="CD349"/>
  <c r="CC349"/>
  <c r="CB349"/>
  <c r="CA349"/>
  <c r="BZ349"/>
  <c r="BY349"/>
  <c r="BX349"/>
  <c r="BW349"/>
  <c r="BV349"/>
  <c r="BU349"/>
  <c r="BT349"/>
  <c r="BS349"/>
  <c r="BR349"/>
  <c r="BQ349"/>
  <c r="BP349"/>
  <c r="BO349"/>
  <c r="BN349"/>
  <c r="DU348"/>
  <c r="DT348"/>
  <c r="DS348"/>
  <c r="DR348"/>
  <c r="DQ348"/>
  <c r="DP348"/>
  <c r="DO348"/>
  <c r="DN348"/>
  <c r="DM348"/>
  <c r="DL348"/>
  <c r="DK348"/>
  <c r="DJ348"/>
  <c r="DI348"/>
  <c r="DH348"/>
  <c r="DG348"/>
  <c r="DF348"/>
  <c r="DE348"/>
  <c r="DD348"/>
  <c r="DC348"/>
  <c r="DB348"/>
  <c r="DA348"/>
  <c r="CZ348"/>
  <c r="CY348"/>
  <c r="CX348"/>
  <c r="CW348"/>
  <c r="CV348"/>
  <c r="CU348"/>
  <c r="CT348"/>
  <c r="CS348"/>
  <c r="CR348"/>
  <c r="CQ348"/>
  <c r="CP348"/>
  <c r="CO348"/>
  <c r="CN348"/>
  <c r="CM348"/>
  <c r="CL348"/>
  <c r="CK348"/>
  <c r="CJ348"/>
  <c r="CI348"/>
  <c r="CH348"/>
  <c r="CG348"/>
  <c r="CF348"/>
  <c r="CE348"/>
  <c r="CD348"/>
  <c r="CC348"/>
  <c r="CB348"/>
  <c r="CA348"/>
  <c r="BZ348"/>
  <c r="BY348"/>
  <c r="BX348"/>
  <c r="BW348"/>
  <c r="BV348"/>
  <c r="BU348"/>
  <c r="BT348"/>
  <c r="BS348"/>
  <c r="BR348"/>
  <c r="BQ348"/>
  <c r="BP348"/>
  <c r="BO348"/>
  <c r="BN348"/>
  <c r="DU347"/>
  <c r="DT347"/>
  <c r="DS347"/>
  <c r="DR347"/>
  <c r="DQ347"/>
  <c r="DP347"/>
  <c r="DO347"/>
  <c r="DN347"/>
  <c r="DM347"/>
  <c r="DL347"/>
  <c r="DK347"/>
  <c r="DJ347"/>
  <c r="DI347"/>
  <c r="DH347"/>
  <c r="DG347"/>
  <c r="DF347"/>
  <c r="DE347"/>
  <c r="DD347"/>
  <c r="DC347"/>
  <c r="DB347"/>
  <c r="DA347"/>
  <c r="CZ347"/>
  <c r="CY347"/>
  <c r="CX347"/>
  <c r="CW347"/>
  <c r="CV347"/>
  <c r="CU347"/>
  <c r="CT347"/>
  <c r="CS347"/>
  <c r="CR347"/>
  <c r="CQ347"/>
  <c r="CP347"/>
  <c r="CO347"/>
  <c r="CN347"/>
  <c r="CM347"/>
  <c r="CL347"/>
  <c r="CK347"/>
  <c r="CJ347"/>
  <c r="CI347"/>
  <c r="CH347"/>
  <c r="CG347"/>
  <c r="CF347"/>
  <c r="CE347"/>
  <c r="CD347"/>
  <c r="CC347"/>
  <c r="CB347"/>
  <c r="CA347"/>
  <c r="BZ347"/>
  <c r="BY347"/>
  <c r="BX347"/>
  <c r="BW347"/>
  <c r="BV347"/>
  <c r="BU347"/>
  <c r="BT347"/>
  <c r="BS347"/>
  <c r="BR347"/>
  <c r="BQ347"/>
  <c r="BP347"/>
  <c r="BO347"/>
  <c r="BN347"/>
  <c r="DU346"/>
  <c r="DT346"/>
  <c r="DS346"/>
  <c r="DR346"/>
  <c r="DQ346"/>
  <c r="DP346"/>
  <c r="DO346"/>
  <c r="DN346"/>
  <c r="DM346"/>
  <c r="DL346"/>
  <c r="DK346"/>
  <c r="DJ346"/>
  <c r="DI346"/>
  <c r="DH346"/>
  <c r="DG346"/>
  <c r="DF346"/>
  <c r="DE346"/>
  <c r="DD346"/>
  <c r="DC346"/>
  <c r="DB346"/>
  <c r="DA346"/>
  <c r="CZ346"/>
  <c r="CY346"/>
  <c r="CX346"/>
  <c r="CW346"/>
  <c r="CV346"/>
  <c r="CU346"/>
  <c r="CT346"/>
  <c r="CS346"/>
  <c r="CR346"/>
  <c r="CQ346"/>
  <c r="CP346"/>
  <c r="CO346"/>
  <c r="CN346"/>
  <c r="CM346"/>
  <c r="CL346"/>
  <c r="CK346"/>
  <c r="CJ346"/>
  <c r="CI346"/>
  <c r="CH346"/>
  <c r="CG346"/>
  <c r="CF346"/>
  <c r="CE346"/>
  <c r="CD346"/>
  <c r="CC346"/>
  <c r="CB346"/>
  <c r="CA346"/>
  <c r="BZ346"/>
  <c r="BY346"/>
  <c r="BX346"/>
  <c r="BW346"/>
  <c r="BV346"/>
  <c r="BU346"/>
  <c r="BT346"/>
  <c r="BS346"/>
  <c r="BR346"/>
  <c r="BQ346"/>
  <c r="BP346"/>
  <c r="BO346"/>
  <c r="BN346"/>
  <c r="B346"/>
  <c r="DU345"/>
  <c r="DT345"/>
  <c r="DS345"/>
  <c r="DR345"/>
  <c r="DQ345"/>
  <c r="DP345"/>
  <c r="DO345"/>
  <c r="DN345"/>
  <c r="DM345"/>
  <c r="DL345"/>
  <c r="DK345"/>
  <c r="DJ345"/>
  <c r="DI345"/>
  <c r="DH345"/>
  <c r="DG345"/>
  <c r="DF345"/>
  <c r="DE345"/>
  <c r="DD345"/>
  <c r="DC345"/>
  <c r="DB345"/>
  <c r="DA345"/>
  <c r="CZ345"/>
  <c r="CY345"/>
  <c r="CX345"/>
  <c r="CW345"/>
  <c r="CV345"/>
  <c r="CU345"/>
  <c r="CT345"/>
  <c r="CS345"/>
  <c r="CR345"/>
  <c r="CQ345"/>
  <c r="CP345"/>
  <c r="CO345"/>
  <c r="CN345"/>
  <c r="CM345"/>
  <c r="CL345"/>
  <c r="CK345"/>
  <c r="CJ345"/>
  <c r="CI345"/>
  <c r="CH345"/>
  <c r="CG345"/>
  <c r="CF345"/>
  <c r="CE345"/>
  <c r="CD345"/>
  <c r="CC345"/>
  <c r="CB345"/>
  <c r="CA345"/>
  <c r="BZ345"/>
  <c r="BY345"/>
  <c r="BX345"/>
  <c r="BW345"/>
  <c r="BV345"/>
  <c r="BU345"/>
  <c r="BT345"/>
  <c r="BS345"/>
  <c r="BR345"/>
  <c r="BQ345"/>
  <c r="BP345"/>
  <c r="BO345"/>
  <c r="BN345"/>
  <c r="DU344"/>
  <c r="DT344"/>
  <c r="DS344"/>
  <c r="DR344"/>
  <c r="DQ344"/>
  <c r="DP344"/>
  <c r="DO344"/>
  <c r="DN344"/>
  <c r="DM344"/>
  <c r="DL344"/>
  <c r="DK344"/>
  <c r="DJ344"/>
  <c r="DI344"/>
  <c r="DH344"/>
  <c r="DG344"/>
  <c r="DF344"/>
  <c r="DE344"/>
  <c r="DD344"/>
  <c r="DC344"/>
  <c r="DB344"/>
  <c r="DA344"/>
  <c r="CZ344"/>
  <c r="CY344"/>
  <c r="CX344"/>
  <c r="CW344"/>
  <c r="CV344"/>
  <c r="CU344"/>
  <c r="CT344"/>
  <c r="CS344"/>
  <c r="CR344"/>
  <c r="CQ344"/>
  <c r="CP344"/>
  <c r="CO344"/>
  <c r="CN344"/>
  <c r="CM344"/>
  <c r="CL344"/>
  <c r="CK344"/>
  <c r="CJ344"/>
  <c r="CI344"/>
  <c r="CH344"/>
  <c r="CG344"/>
  <c r="CF344"/>
  <c r="CE344"/>
  <c r="CD344"/>
  <c r="CC344"/>
  <c r="CB344"/>
  <c r="CA344"/>
  <c r="BZ344"/>
  <c r="BY344"/>
  <c r="BX344"/>
  <c r="BW344"/>
  <c r="BV344"/>
  <c r="BU344"/>
  <c r="BT344"/>
  <c r="BS344"/>
  <c r="BR344"/>
  <c r="BQ344"/>
  <c r="BP344"/>
  <c r="BO344"/>
  <c r="BN344"/>
  <c r="DU343"/>
  <c r="DT343"/>
  <c r="DS343"/>
  <c r="DR343"/>
  <c r="DQ343"/>
  <c r="DP343"/>
  <c r="DO343"/>
  <c r="DN343"/>
  <c r="DM343"/>
  <c r="DL343"/>
  <c r="DK343"/>
  <c r="DJ343"/>
  <c r="DI343"/>
  <c r="DH343"/>
  <c r="DG343"/>
  <c r="DF343"/>
  <c r="DE343"/>
  <c r="DD343"/>
  <c r="DC343"/>
  <c r="DB343"/>
  <c r="DA343"/>
  <c r="CZ343"/>
  <c r="CY343"/>
  <c r="CX343"/>
  <c r="CW343"/>
  <c r="CV343"/>
  <c r="CU343"/>
  <c r="CT343"/>
  <c r="CS343"/>
  <c r="CR343"/>
  <c r="CQ343"/>
  <c r="CP343"/>
  <c r="CO343"/>
  <c r="CN343"/>
  <c r="CM343"/>
  <c r="CL343"/>
  <c r="CK343"/>
  <c r="CJ343"/>
  <c r="CI343"/>
  <c r="CH343"/>
  <c r="CG343"/>
  <c r="CF343"/>
  <c r="CE343"/>
  <c r="CD343"/>
  <c r="CC343"/>
  <c r="CB343"/>
  <c r="CA343"/>
  <c r="BZ343"/>
  <c r="BY343"/>
  <c r="BX343"/>
  <c r="BW343"/>
  <c r="BV343"/>
  <c r="BU343"/>
  <c r="BT343"/>
  <c r="BS343"/>
  <c r="BR343"/>
  <c r="BQ343"/>
  <c r="BP343"/>
  <c r="BO343"/>
  <c r="BN343"/>
  <c r="DU342"/>
  <c r="DT342"/>
  <c r="DS342"/>
  <c r="DR342"/>
  <c r="DQ342"/>
  <c r="DP342"/>
  <c r="DO342"/>
  <c r="DN342"/>
  <c r="DM342"/>
  <c r="DL342"/>
  <c r="DK342"/>
  <c r="DJ342"/>
  <c r="DI342"/>
  <c r="DH342"/>
  <c r="DG342"/>
  <c r="DF342"/>
  <c r="DE342"/>
  <c r="DD342"/>
  <c r="DC342"/>
  <c r="DB342"/>
  <c r="DA342"/>
  <c r="CZ342"/>
  <c r="CY342"/>
  <c r="CX342"/>
  <c r="CW342"/>
  <c r="CV342"/>
  <c r="CU342"/>
  <c r="CT342"/>
  <c r="CS342"/>
  <c r="CR342"/>
  <c r="CQ342"/>
  <c r="CP342"/>
  <c r="CO342"/>
  <c r="CN342"/>
  <c r="CM342"/>
  <c r="CL342"/>
  <c r="CK342"/>
  <c r="CJ342"/>
  <c r="CI342"/>
  <c r="CH342"/>
  <c r="CG342"/>
  <c r="CF342"/>
  <c r="CE342"/>
  <c r="CD342"/>
  <c r="CC342"/>
  <c r="CB342"/>
  <c r="CA342"/>
  <c r="BZ342"/>
  <c r="BY342"/>
  <c r="BX342"/>
  <c r="BW342"/>
  <c r="BV342"/>
  <c r="BU342"/>
  <c r="BT342"/>
  <c r="BS342"/>
  <c r="BR342"/>
  <c r="BQ342"/>
  <c r="BP342"/>
  <c r="BO342"/>
  <c r="BN342"/>
  <c r="DU341"/>
  <c r="DT341"/>
  <c r="DS341"/>
  <c r="DR341"/>
  <c r="DQ341"/>
  <c r="DP341"/>
  <c r="DO341"/>
  <c r="DN341"/>
  <c r="DM341"/>
  <c r="DL341"/>
  <c r="DK341"/>
  <c r="DJ341"/>
  <c r="DI341"/>
  <c r="DH341"/>
  <c r="DG341"/>
  <c r="DF341"/>
  <c r="DE341"/>
  <c r="DD341"/>
  <c r="DC341"/>
  <c r="DB341"/>
  <c r="DA341"/>
  <c r="CZ341"/>
  <c r="CY341"/>
  <c r="CX341"/>
  <c r="CW341"/>
  <c r="CV341"/>
  <c r="CU341"/>
  <c r="CT341"/>
  <c r="CS341"/>
  <c r="CR341"/>
  <c r="CQ341"/>
  <c r="CP341"/>
  <c r="CO341"/>
  <c r="CN341"/>
  <c r="CM341"/>
  <c r="CL341"/>
  <c r="CK341"/>
  <c r="CJ341"/>
  <c r="CI341"/>
  <c r="CH341"/>
  <c r="CG341"/>
  <c r="CF341"/>
  <c r="CE341"/>
  <c r="CD341"/>
  <c r="CC341"/>
  <c r="CB341"/>
  <c r="CA341"/>
  <c r="BZ341"/>
  <c r="BY341"/>
  <c r="BX341"/>
  <c r="BW341"/>
  <c r="BV341"/>
  <c r="BU341"/>
  <c r="BT341"/>
  <c r="BS341"/>
  <c r="BR341"/>
  <c r="BQ341"/>
  <c r="BP341"/>
  <c r="BO341"/>
  <c r="BN341"/>
  <c r="DU340"/>
  <c r="DT340"/>
  <c r="DS340"/>
  <c r="DR340"/>
  <c r="DQ340"/>
  <c r="DP340"/>
  <c r="DO340"/>
  <c r="DN340"/>
  <c r="DM340"/>
  <c r="DL340"/>
  <c r="DK340"/>
  <c r="DJ340"/>
  <c r="DI340"/>
  <c r="DH340"/>
  <c r="DG340"/>
  <c r="DF340"/>
  <c r="DE340"/>
  <c r="DD340"/>
  <c r="DC340"/>
  <c r="DB340"/>
  <c r="DA340"/>
  <c r="CZ340"/>
  <c r="CY340"/>
  <c r="CX340"/>
  <c r="CW340"/>
  <c r="CV340"/>
  <c r="CU340"/>
  <c r="CT340"/>
  <c r="CS340"/>
  <c r="CR340"/>
  <c r="CQ340"/>
  <c r="CP340"/>
  <c r="CO340"/>
  <c r="CN340"/>
  <c r="CM340"/>
  <c r="CL340"/>
  <c r="CK340"/>
  <c r="CJ340"/>
  <c r="CI340"/>
  <c r="CH340"/>
  <c r="CG340"/>
  <c r="CF340"/>
  <c r="CE340"/>
  <c r="CD340"/>
  <c r="CC340"/>
  <c r="CB340"/>
  <c r="CA340"/>
  <c r="BZ340"/>
  <c r="BY340"/>
  <c r="BX340"/>
  <c r="BW340"/>
  <c r="BV340"/>
  <c r="BU340"/>
  <c r="BT340"/>
  <c r="BS340"/>
  <c r="BR340"/>
  <c r="BQ340"/>
  <c r="BP340"/>
  <c r="BO340"/>
  <c r="BN340"/>
  <c r="DU339"/>
  <c r="DT339"/>
  <c r="DS339"/>
  <c r="DR339"/>
  <c r="DQ339"/>
  <c r="DP339"/>
  <c r="DO339"/>
  <c r="DN339"/>
  <c r="DM339"/>
  <c r="DL339"/>
  <c r="DK339"/>
  <c r="DJ339"/>
  <c r="DI339"/>
  <c r="DH339"/>
  <c r="DG339"/>
  <c r="DF339"/>
  <c r="DE339"/>
  <c r="DD339"/>
  <c r="DC339"/>
  <c r="DB339"/>
  <c r="DA339"/>
  <c r="CZ339"/>
  <c r="CY339"/>
  <c r="CX339"/>
  <c r="CW339"/>
  <c r="CV339"/>
  <c r="CU339"/>
  <c r="CT339"/>
  <c r="CS339"/>
  <c r="CR339"/>
  <c r="CQ339"/>
  <c r="CP339"/>
  <c r="CO339"/>
  <c r="CN339"/>
  <c r="CM339"/>
  <c r="CL339"/>
  <c r="CK339"/>
  <c r="CJ339"/>
  <c r="CI339"/>
  <c r="CH339"/>
  <c r="CG339"/>
  <c r="CF339"/>
  <c r="CE339"/>
  <c r="CD339"/>
  <c r="CC339"/>
  <c r="CB339"/>
  <c r="CA339"/>
  <c r="BZ339"/>
  <c r="BY339"/>
  <c r="BX339"/>
  <c r="BW339"/>
  <c r="BV339"/>
  <c r="BU339"/>
  <c r="BT339"/>
  <c r="BS339"/>
  <c r="BR339"/>
  <c r="BQ339"/>
  <c r="BP339"/>
  <c r="BO339"/>
  <c r="BN339"/>
  <c r="DU338"/>
  <c r="DT338"/>
  <c r="DS338"/>
  <c r="DR338"/>
  <c r="DQ338"/>
  <c r="DP338"/>
  <c r="DO338"/>
  <c r="DN338"/>
  <c r="DM338"/>
  <c r="DL338"/>
  <c r="DK338"/>
  <c r="DJ338"/>
  <c r="DI338"/>
  <c r="DH338"/>
  <c r="DG338"/>
  <c r="DF338"/>
  <c r="DE338"/>
  <c r="DD338"/>
  <c r="DC338"/>
  <c r="DB338"/>
  <c r="DA338"/>
  <c r="CZ338"/>
  <c r="CY338"/>
  <c r="CX338"/>
  <c r="CW338"/>
  <c r="CV338"/>
  <c r="CU338"/>
  <c r="CT338"/>
  <c r="CS338"/>
  <c r="CR338"/>
  <c r="CQ338"/>
  <c r="CP338"/>
  <c r="CO338"/>
  <c r="CN338"/>
  <c r="CM338"/>
  <c r="CL338"/>
  <c r="CK338"/>
  <c r="CJ338"/>
  <c r="CI338"/>
  <c r="CH338"/>
  <c r="CG338"/>
  <c r="CF338"/>
  <c r="CE338"/>
  <c r="CD338"/>
  <c r="CC338"/>
  <c r="CB338"/>
  <c r="CA338"/>
  <c r="BZ338"/>
  <c r="BY338"/>
  <c r="BX338"/>
  <c r="BW338"/>
  <c r="BV338"/>
  <c r="BU338"/>
  <c r="BT338"/>
  <c r="BS338"/>
  <c r="BR338"/>
  <c r="BQ338"/>
  <c r="BP338"/>
  <c r="BO338"/>
  <c r="BN338"/>
  <c r="DU337"/>
  <c r="DT337"/>
  <c r="DS337"/>
  <c r="DR337"/>
  <c r="DQ337"/>
  <c r="DP337"/>
  <c r="DO337"/>
  <c r="DN337"/>
  <c r="DM337"/>
  <c r="DL337"/>
  <c r="DK337"/>
  <c r="DJ337"/>
  <c r="DI337"/>
  <c r="DH337"/>
  <c r="DG337"/>
  <c r="DF337"/>
  <c r="DE337"/>
  <c r="DD337"/>
  <c r="DC337"/>
  <c r="DB337"/>
  <c r="DA337"/>
  <c r="CZ337"/>
  <c r="CY337"/>
  <c r="CX337"/>
  <c r="CW337"/>
  <c r="CV337"/>
  <c r="CU337"/>
  <c r="CT337"/>
  <c r="CS337"/>
  <c r="CR337"/>
  <c r="CQ337"/>
  <c r="CP337"/>
  <c r="CO337"/>
  <c r="CN337"/>
  <c r="CM337"/>
  <c r="CL337"/>
  <c r="CK337"/>
  <c r="CJ337"/>
  <c r="CI337"/>
  <c r="CH337"/>
  <c r="CG337"/>
  <c r="CF337"/>
  <c r="CE337"/>
  <c r="CD337"/>
  <c r="CC337"/>
  <c r="CB337"/>
  <c r="CA337"/>
  <c r="BZ337"/>
  <c r="BY337"/>
  <c r="BX337"/>
  <c r="BW337"/>
  <c r="BV337"/>
  <c r="BU337"/>
  <c r="BT337"/>
  <c r="BS337"/>
  <c r="BR337"/>
  <c r="BQ337"/>
  <c r="BP337"/>
  <c r="BO337"/>
  <c r="BN337"/>
  <c r="C337"/>
  <c r="DU336"/>
  <c r="DT336"/>
  <c r="DS336"/>
  <c r="DR336"/>
  <c r="DQ336"/>
  <c r="DP336"/>
  <c r="DO336"/>
  <c r="DN336"/>
  <c r="DM336"/>
  <c r="DL336"/>
  <c r="DK336"/>
  <c r="DJ336"/>
  <c r="DI336"/>
  <c r="DH336"/>
  <c r="DG336"/>
  <c r="DF336"/>
  <c r="DE336"/>
  <c r="DD336"/>
  <c r="DC336"/>
  <c r="DB336"/>
  <c r="DA336"/>
  <c r="CZ336"/>
  <c r="CY336"/>
  <c r="CX336"/>
  <c r="CW336"/>
  <c r="CV336"/>
  <c r="CU336"/>
  <c r="CT336"/>
  <c r="CS336"/>
  <c r="CR336"/>
  <c r="CQ336"/>
  <c r="CP336"/>
  <c r="CO336"/>
  <c r="CN336"/>
  <c r="CM336"/>
  <c r="CL336"/>
  <c r="CK336"/>
  <c r="CJ336"/>
  <c r="CI336"/>
  <c r="CH336"/>
  <c r="CG336"/>
  <c r="CF336"/>
  <c r="CE336"/>
  <c r="CD336"/>
  <c r="CC336"/>
  <c r="CB336"/>
  <c r="CA336"/>
  <c r="BZ336"/>
  <c r="BY336"/>
  <c r="BX336"/>
  <c r="BW336"/>
  <c r="BV336"/>
  <c r="BU336"/>
  <c r="BT336"/>
  <c r="BS336"/>
  <c r="BR336"/>
  <c r="BQ336"/>
  <c r="BP336"/>
  <c r="BO336"/>
  <c r="BN336"/>
  <c r="DU335"/>
  <c r="DT335"/>
  <c r="DS335"/>
  <c r="DR335"/>
  <c r="DQ335"/>
  <c r="DP335"/>
  <c r="DO335"/>
  <c r="DN335"/>
  <c r="DM335"/>
  <c r="DL335"/>
  <c r="DK335"/>
  <c r="DJ335"/>
  <c r="DI335"/>
  <c r="DH335"/>
  <c r="DG335"/>
  <c r="DF335"/>
  <c r="DE335"/>
  <c r="DD335"/>
  <c r="DC335"/>
  <c r="DB335"/>
  <c r="DA335"/>
  <c r="CZ335"/>
  <c r="CY335"/>
  <c r="CX335"/>
  <c r="CW335"/>
  <c r="CV335"/>
  <c r="CU335"/>
  <c r="CT335"/>
  <c r="CS335"/>
  <c r="CR335"/>
  <c r="CQ335"/>
  <c r="CP335"/>
  <c r="CO335"/>
  <c r="CN335"/>
  <c r="CM335"/>
  <c r="CL335"/>
  <c r="CK335"/>
  <c r="CJ335"/>
  <c r="CI335"/>
  <c r="CH335"/>
  <c r="CG335"/>
  <c r="CF335"/>
  <c r="CE335"/>
  <c r="CD335"/>
  <c r="CC335"/>
  <c r="CB335"/>
  <c r="CA335"/>
  <c r="BZ335"/>
  <c r="BY335"/>
  <c r="BX335"/>
  <c r="BW335"/>
  <c r="BV335"/>
  <c r="BU335"/>
  <c r="BT335"/>
  <c r="BS335"/>
  <c r="BR335"/>
  <c r="BQ335"/>
  <c r="BP335"/>
  <c r="BO335"/>
  <c r="BN335"/>
  <c r="DU334"/>
  <c r="DT334"/>
  <c r="DS334"/>
  <c r="DR334"/>
  <c r="DQ334"/>
  <c r="DP334"/>
  <c r="DO334"/>
  <c r="DN334"/>
  <c r="DM334"/>
  <c r="DL334"/>
  <c r="DK334"/>
  <c r="DJ334"/>
  <c r="DI334"/>
  <c r="DH334"/>
  <c r="DG334"/>
  <c r="DF334"/>
  <c r="DE334"/>
  <c r="DD334"/>
  <c r="DC334"/>
  <c r="DB334"/>
  <c r="DA334"/>
  <c r="CZ334"/>
  <c r="CY334"/>
  <c r="CX334"/>
  <c r="CW334"/>
  <c r="CV334"/>
  <c r="CU334"/>
  <c r="CT334"/>
  <c r="CS334"/>
  <c r="CR334"/>
  <c r="CQ334"/>
  <c r="CP334"/>
  <c r="CO334"/>
  <c r="CN334"/>
  <c r="CM334"/>
  <c r="CL334"/>
  <c r="CK334"/>
  <c r="CJ334"/>
  <c r="CI334"/>
  <c r="CH334"/>
  <c r="CG334"/>
  <c r="CF334"/>
  <c r="CE334"/>
  <c r="CD334"/>
  <c r="CC334"/>
  <c r="CB334"/>
  <c r="CA334"/>
  <c r="BZ334"/>
  <c r="BY334"/>
  <c r="BX334"/>
  <c r="BW334"/>
  <c r="BV334"/>
  <c r="BU334"/>
  <c r="BT334"/>
  <c r="BS334"/>
  <c r="BR334"/>
  <c r="BQ334"/>
  <c r="BP334"/>
  <c r="BO334"/>
  <c r="BN334"/>
  <c r="DU333"/>
  <c r="DT333"/>
  <c r="DS333"/>
  <c r="DR333"/>
  <c r="DQ333"/>
  <c r="DP333"/>
  <c r="DO333"/>
  <c r="DN333"/>
  <c r="DM333"/>
  <c r="DL333"/>
  <c r="DK333"/>
  <c r="DJ333"/>
  <c r="DI333"/>
  <c r="DH333"/>
  <c r="DG333"/>
  <c r="DF333"/>
  <c r="DE333"/>
  <c r="DD333"/>
  <c r="DC333"/>
  <c r="DB333"/>
  <c r="DA333"/>
  <c r="CZ333"/>
  <c r="CY333"/>
  <c r="CX333"/>
  <c r="CW333"/>
  <c r="CV333"/>
  <c r="CU333"/>
  <c r="CT333"/>
  <c r="CS333"/>
  <c r="CR333"/>
  <c r="CQ333"/>
  <c r="CP333"/>
  <c r="CO333"/>
  <c r="CN333"/>
  <c r="CM333"/>
  <c r="CL333"/>
  <c r="CK333"/>
  <c r="CJ333"/>
  <c r="CI333"/>
  <c r="CH333"/>
  <c r="CG333"/>
  <c r="CF333"/>
  <c r="CE333"/>
  <c r="CD333"/>
  <c r="CC333"/>
  <c r="CB333"/>
  <c r="CA333"/>
  <c r="BZ333"/>
  <c r="BY333"/>
  <c r="BX333"/>
  <c r="BW333"/>
  <c r="BV333"/>
  <c r="BU333"/>
  <c r="BT333"/>
  <c r="BS333"/>
  <c r="BR333"/>
  <c r="BQ333"/>
  <c r="BP333"/>
  <c r="BO333"/>
  <c r="BN333"/>
  <c r="DU332"/>
  <c r="DT332"/>
  <c r="DS332"/>
  <c r="DR332"/>
  <c r="DQ332"/>
  <c r="DP332"/>
  <c r="DO332"/>
  <c r="DN332"/>
  <c r="DM332"/>
  <c r="DL332"/>
  <c r="DK332"/>
  <c r="DJ332"/>
  <c r="DI332"/>
  <c r="DH332"/>
  <c r="DG332"/>
  <c r="DF332"/>
  <c r="DE332"/>
  <c r="DD332"/>
  <c r="DC332"/>
  <c r="DB332"/>
  <c r="DA332"/>
  <c r="CZ332"/>
  <c r="CY332"/>
  <c r="CX332"/>
  <c r="CW332"/>
  <c r="CV332"/>
  <c r="CU332"/>
  <c r="CT332"/>
  <c r="CS332"/>
  <c r="CR332"/>
  <c r="CQ332"/>
  <c r="CP332"/>
  <c r="CO332"/>
  <c r="CN332"/>
  <c r="CM332"/>
  <c r="CL332"/>
  <c r="CK332"/>
  <c r="CJ332"/>
  <c r="CI332"/>
  <c r="CH332"/>
  <c r="CG332"/>
  <c r="CF332"/>
  <c r="CE332"/>
  <c r="CD332"/>
  <c r="CC332"/>
  <c r="CB332"/>
  <c r="CA332"/>
  <c r="BZ332"/>
  <c r="BY332"/>
  <c r="BX332"/>
  <c r="BW332"/>
  <c r="BV332"/>
  <c r="BU332"/>
  <c r="BT332"/>
  <c r="BS332"/>
  <c r="BR332"/>
  <c r="BQ332"/>
  <c r="BP332"/>
  <c r="BO332"/>
  <c r="BN332"/>
  <c r="DU331"/>
  <c r="DT331"/>
  <c r="DS331"/>
  <c r="DR331"/>
  <c r="DQ331"/>
  <c r="DP331"/>
  <c r="DO331"/>
  <c r="DN331"/>
  <c r="DM331"/>
  <c r="DL331"/>
  <c r="DK331"/>
  <c r="DJ331"/>
  <c r="DI331"/>
  <c r="DH331"/>
  <c r="DG331"/>
  <c r="DF331"/>
  <c r="DE331"/>
  <c r="DD331"/>
  <c r="DC331"/>
  <c r="DB331"/>
  <c r="DA331"/>
  <c r="CZ331"/>
  <c r="CY331"/>
  <c r="CX331"/>
  <c r="CW331"/>
  <c r="CV331"/>
  <c r="CU331"/>
  <c r="CT331"/>
  <c r="CS331"/>
  <c r="CR331"/>
  <c r="CQ331"/>
  <c r="CP331"/>
  <c r="CO331"/>
  <c r="CN331"/>
  <c r="CM331"/>
  <c r="CL331"/>
  <c r="CK331"/>
  <c r="CJ331"/>
  <c r="CI331"/>
  <c r="CH331"/>
  <c r="CG331"/>
  <c r="CF331"/>
  <c r="CE331"/>
  <c r="CD331"/>
  <c r="CC331"/>
  <c r="CB331"/>
  <c r="CA331"/>
  <c r="BZ331"/>
  <c r="BY331"/>
  <c r="BX331"/>
  <c r="BW331"/>
  <c r="BV331"/>
  <c r="BU331"/>
  <c r="BT331"/>
  <c r="BS331"/>
  <c r="BR331"/>
  <c r="BQ331"/>
  <c r="BP331"/>
  <c r="BO331"/>
  <c r="BN331"/>
  <c r="DU330"/>
  <c r="DT330"/>
  <c r="DS330"/>
  <c r="DR330"/>
  <c r="DQ330"/>
  <c r="DP330"/>
  <c r="DO330"/>
  <c r="DN330"/>
  <c r="DM330"/>
  <c r="DL330"/>
  <c r="DK330"/>
  <c r="DJ330"/>
  <c r="DI330"/>
  <c r="DH330"/>
  <c r="DG330"/>
  <c r="DF330"/>
  <c r="DE330"/>
  <c r="DD330"/>
  <c r="DC330"/>
  <c r="DB330"/>
  <c r="DA330"/>
  <c r="CZ330"/>
  <c r="CY330"/>
  <c r="CX330"/>
  <c r="CW330"/>
  <c r="CV330"/>
  <c r="CU330"/>
  <c r="CT330"/>
  <c r="CS330"/>
  <c r="CR330"/>
  <c r="CQ330"/>
  <c r="CP330"/>
  <c r="CO330"/>
  <c r="CN330"/>
  <c r="CM330"/>
  <c r="CL330"/>
  <c r="CK330"/>
  <c r="CJ330"/>
  <c r="CI330"/>
  <c r="CH330"/>
  <c r="CG330"/>
  <c r="CF330"/>
  <c r="CE330"/>
  <c r="CD330"/>
  <c r="CC330"/>
  <c r="CB330"/>
  <c r="CA330"/>
  <c r="BZ330"/>
  <c r="BY330"/>
  <c r="BX330"/>
  <c r="BW330"/>
  <c r="BV330"/>
  <c r="BU330"/>
  <c r="BT330"/>
  <c r="BS330"/>
  <c r="BR330"/>
  <c r="BQ330"/>
  <c r="BP330"/>
  <c r="BO330"/>
  <c r="BN330"/>
  <c r="DU329"/>
  <c r="DT329"/>
  <c r="DS329"/>
  <c r="DR329"/>
  <c r="DQ329"/>
  <c r="DP329"/>
  <c r="DO329"/>
  <c r="DN329"/>
  <c r="DM329"/>
  <c r="DL329"/>
  <c r="DK329"/>
  <c r="DJ329"/>
  <c r="DI329"/>
  <c r="DH329"/>
  <c r="DG329"/>
  <c r="DF329"/>
  <c r="DE329"/>
  <c r="DD329"/>
  <c r="DC329"/>
  <c r="DB329"/>
  <c r="DA329"/>
  <c r="CZ329"/>
  <c r="CY329"/>
  <c r="CX329"/>
  <c r="CW329"/>
  <c r="CV329"/>
  <c r="CU329"/>
  <c r="CT329"/>
  <c r="CS329"/>
  <c r="CR329"/>
  <c r="CQ329"/>
  <c r="CP329"/>
  <c r="CO329"/>
  <c r="CN329"/>
  <c r="CM329"/>
  <c r="CL329"/>
  <c r="CK329"/>
  <c r="CJ329"/>
  <c r="CI329"/>
  <c r="CH329"/>
  <c r="CG329"/>
  <c r="CF329"/>
  <c r="CE329"/>
  <c r="CD329"/>
  <c r="CC329"/>
  <c r="CB329"/>
  <c r="CA329"/>
  <c r="BZ329"/>
  <c r="BY329"/>
  <c r="BX329"/>
  <c r="BW329"/>
  <c r="BV329"/>
  <c r="BU329"/>
  <c r="BT329"/>
  <c r="BS329"/>
  <c r="BR329"/>
  <c r="BQ329"/>
  <c r="BP329"/>
  <c r="BO329"/>
  <c r="BN329"/>
  <c r="DU328"/>
  <c r="DT328"/>
  <c r="DS328"/>
  <c r="DR328"/>
  <c r="DQ328"/>
  <c r="DP328"/>
  <c r="DO328"/>
  <c r="DN328"/>
  <c r="DM328"/>
  <c r="DL328"/>
  <c r="DK328"/>
  <c r="DJ328"/>
  <c r="DI328"/>
  <c r="DH328"/>
  <c r="DG328"/>
  <c r="DF328"/>
  <c r="DE328"/>
  <c r="DD328"/>
  <c r="DC328"/>
  <c r="DB328"/>
  <c r="DA328"/>
  <c r="CZ328"/>
  <c r="CY328"/>
  <c r="CX328"/>
  <c r="CW328"/>
  <c r="CV328"/>
  <c r="CU328"/>
  <c r="CT328"/>
  <c r="CS328"/>
  <c r="CR328"/>
  <c r="CQ328"/>
  <c r="CP328"/>
  <c r="CO328"/>
  <c r="CN328"/>
  <c r="CM328"/>
  <c r="CL328"/>
  <c r="CK328"/>
  <c r="CJ328"/>
  <c r="CI328"/>
  <c r="CH328"/>
  <c r="CG328"/>
  <c r="CF328"/>
  <c r="CE328"/>
  <c r="CD328"/>
  <c r="CC328"/>
  <c r="CB328"/>
  <c r="CA328"/>
  <c r="BZ328"/>
  <c r="BY328"/>
  <c r="BX328"/>
  <c r="BW328"/>
  <c r="BV328"/>
  <c r="BU328"/>
  <c r="BT328"/>
  <c r="BS328"/>
  <c r="BR328"/>
  <c r="BQ328"/>
  <c r="BP328"/>
  <c r="BO328"/>
  <c r="BN328"/>
  <c r="DU327"/>
  <c r="DT327"/>
  <c r="DS327"/>
  <c r="DR327"/>
  <c r="DQ327"/>
  <c r="DP327"/>
  <c r="DO327"/>
  <c r="DN327"/>
  <c r="DM327"/>
  <c r="DL327"/>
  <c r="DK327"/>
  <c r="DJ327"/>
  <c r="DI327"/>
  <c r="DH327"/>
  <c r="DG327"/>
  <c r="DF327"/>
  <c r="DE327"/>
  <c r="DD327"/>
  <c r="DC327"/>
  <c r="DB327"/>
  <c r="DA327"/>
  <c r="CZ327"/>
  <c r="CY327"/>
  <c r="CX327"/>
  <c r="CW327"/>
  <c r="CV327"/>
  <c r="CU327"/>
  <c r="CT327"/>
  <c r="CS327"/>
  <c r="CR327"/>
  <c r="CQ327"/>
  <c r="CP327"/>
  <c r="CO327"/>
  <c r="CN327"/>
  <c r="CM327"/>
  <c r="CL327"/>
  <c r="CK327"/>
  <c r="CJ327"/>
  <c r="CI327"/>
  <c r="CH327"/>
  <c r="CG327"/>
  <c r="CF327"/>
  <c r="CE327"/>
  <c r="CD327"/>
  <c r="CC327"/>
  <c r="CB327"/>
  <c r="CA327"/>
  <c r="BZ327"/>
  <c r="BY327"/>
  <c r="BX327"/>
  <c r="BW327"/>
  <c r="BV327"/>
  <c r="BU327"/>
  <c r="BT327"/>
  <c r="BS327"/>
  <c r="BR327"/>
  <c r="BQ327"/>
  <c r="BP327"/>
  <c r="BO327"/>
  <c r="BN327"/>
  <c r="DU326"/>
  <c r="DT326"/>
  <c r="DS326"/>
  <c r="DR326"/>
  <c r="DQ326"/>
  <c r="DP326"/>
  <c r="DO326"/>
  <c r="DN326"/>
  <c r="DM326"/>
  <c r="DL326"/>
  <c r="DK326"/>
  <c r="DJ326"/>
  <c r="DI326"/>
  <c r="DH326"/>
  <c r="DG326"/>
  <c r="DF326"/>
  <c r="DE326"/>
  <c r="DD326"/>
  <c r="DC326"/>
  <c r="DB326"/>
  <c r="DA326"/>
  <c r="CZ326"/>
  <c r="CY326"/>
  <c r="CX326"/>
  <c r="CW326"/>
  <c r="CV326"/>
  <c r="CU326"/>
  <c r="CT326"/>
  <c r="CS326"/>
  <c r="CR326"/>
  <c r="CQ326"/>
  <c r="CP326"/>
  <c r="CO326"/>
  <c r="CN326"/>
  <c r="CM326"/>
  <c r="CL326"/>
  <c r="CK326"/>
  <c r="CJ326"/>
  <c r="CI326"/>
  <c r="CH326"/>
  <c r="CG326"/>
  <c r="CF326"/>
  <c r="CE326"/>
  <c r="CD326"/>
  <c r="CC326"/>
  <c r="CB326"/>
  <c r="CA326"/>
  <c r="BZ326"/>
  <c r="BY326"/>
  <c r="BX326"/>
  <c r="BW326"/>
  <c r="BV326"/>
  <c r="BU326"/>
  <c r="BT326"/>
  <c r="BS326"/>
  <c r="BR326"/>
  <c r="BQ326"/>
  <c r="BP326"/>
  <c r="BO326"/>
  <c r="BN326"/>
  <c r="DU325"/>
  <c r="DT325"/>
  <c r="DS325"/>
  <c r="DR325"/>
  <c r="DQ325"/>
  <c r="DP325"/>
  <c r="DO325"/>
  <c r="DN325"/>
  <c r="DM325"/>
  <c r="DL325"/>
  <c r="DK325"/>
  <c r="DJ325"/>
  <c r="DI325"/>
  <c r="DH325"/>
  <c r="DG325"/>
  <c r="DF325"/>
  <c r="DE325"/>
  <c r="DD325"/>
  <c r="DC325"/>
  <c r="DB325"/>
  <c r="DA325"/>
  <c r="CZ325"/>
  <c r="CY325"/>
  <c r="CX325"/>
  <c r="CW325"/>
  <c r="CV325"/>
  <c r="CU325"/>
  <c r="CT325"/>
  <c r="CS325"/>
  <c r="CR325"/>
  <c r="CQ325"/>
  <c r="CP325"/>
  <c r="CO325"/>
  <c r="CN325"/>
  <c r="CM325"/>
  <c r="CL325"/>
  <c r="CK325"/>
  <c r="CJ325"/>
  <c r="CI325"/>
  <c r="CH325"/>
  <c r="CG325"/>
  <c r="CF325"/>
  <c r="CE325"/>
  <c r="CD325"/>
  <c r="CC325"/>
  <c r="CB325"/>
  <c r="CA325"/>
  <c r="BZ325"/>
  <c r="BY325"/>
  <c r="BX325"/>
  <c r="BW325"/>
  <c r="BV325"/>
  <c r="BU325"/>
  <c r="BT325"/>
  <c r="BS325"/>
  <c r="BR325"/>
  <c r="BQ325"/>
  <c r="BP325"/>
  <c r="BO325"/>
  <c r="BN325"/>
  <c r="DU324"/>
  <c r="DT324"/>
  <c r="DS324"/>
  <c r="DR324"/>
  <c r="DQ324"/>
  <c r="DP324"/>
  <c r="DO324"/>
  <c r="DN324"/>
  <c r="DM324"/>
  <c r="DL324"/>
  <c r="DK324"/>
  <c r="DJ324"/>
  <c r="DI324"/>
  <c r="DH324"/>
  <c r="DG324"/>
  <c r="DF324"/>
  <c r="DE324"/>
  <c r="DD324"/>
  <c r="DC324"/>
  <c r="DB324"/>
  <c r="DA324"/>
  <c r="CZ324"/>
  <c r="CY324"/>
  <c r="CX324"/>
  <c r="CW324"/>
  <c r="CV324"/>
  <c r="CU324"/>
  <c r="CT324"/>
  <c r="CS324"/>
  <c r="CR324"/>
  <c r="CQ324"/>
  <c r="CP324"/>
  <c r="CO324"/>
  <c r="CN324"/>
  <c r="CM324"/>
  <c r="CL324"/>
  <c r="CK324"/>
  <c r="CJ324"/>
  <c r="CI324"/>
  <c r="CH324"/>
  <c r="CG324"/>
  <c r="CF324"/>
  <c r="CE324"/>
  <c r="CD324"/>
  <c r="CC324"/>
  <c r="CB324"/>
  <c r="CA324"/>
  <c r="BZ324"/>
  <c r="BY324"/>
  <c r="BX324"/>
  <c r="BW324"/>
  <c r="BV324"/>
  <c r="BU324"/>
  <c r="BT324"/>
  <c r="BS324"/>
  <c r="BR324"/>
  <c r="BQ324"/>
  <c r="BP324"/>
  <c r="BO324"/>
  <c r="BN324"/>
  <c r="DU323"/>
  <c r="DT323"/>
  <c r="DS323"/>
  <c r="DR323"/>
  <c r="DQ323"/>
  <c r="DP323"/>
  <c r="DO323"/>
  <c r="DN323"/>
  <c r="DM323"/>
  <c r="DL323"/>
  <c r="DK323"/>
  <c r="DJ323"/>
  <c r="DI323"/>
  <c r="DH323"/>
  <c r="DG323"/>
  <c r="DF323"/>
  <c r="DE323"/>
  <c r="DD323"/>
  <c r="DC323"/>
  <c r="DB323"/>
  <c r="DA323"/>
  <c r="CZ323"/>
  <c r="CY323"/>
  <c r="CX323"/>
  <c r="CW323"/>
  <c r="CV323"/>
  <c r="CU323"/>
  <c r="CT323"/>
  <c r="CS323"/>
  <c r="CR323"/>
  <c r="CQ323"/>
  <c r="CP323"/>
  <c r="CO323"/>
  <c r="CN323"/>
  <c r="CM323"/>
  <c r="CL323"/>
  <c r="CK323"/>
  <c r="CJ323"/>
  <c r="CI323"/>
  <c r="CH323"/>
  <c r="CG323"/>
  <c r="CF323"/>
  <c r="CE323"/>
  <c r="CD323"/>
  <c r="CC323"/>
  <c r="CB323"/>
  <c r="CA323"/>
  <c r="BZ323"/>
  <c r="BY323"/>
  <c r="BX323"/>
  <c r="BW323"/>
  <c r="BV323"/>
  <c r="BU323"/>
  <c r="BT323"/>
  <c r="BS323"/>
  <c r="BR323"/>
  <c r="BQ323"/>
  <c r="BP323"/>
  <c r="BO323"/>
  <c r="BN323"/>
  <c r="DU322"/>
  <c r="DT322"/>
  <c r="DS322"/>
  <c r="DR322"/>
  <c r="DQ322"/>
  <c r="DP322"/>
  <c r="DO322"/>
  <c r="DN322"/>
  <c r="DM322"/>
  <c r="DL322"/>
  <c r="DK322"/>
  <c r="DJ322"/>
  <c r="DI322"/>
  <c r="DH322"/>
  <c r="DG322"/>
  <c r="DF322"/>
  <c r="DE322"/>
  <c r="DD322"/>
  <c r="DC322"/>
  <c r="DB322"/>
  <c r="DA322"/>
  <c r="CZ322"/>
  <c r="CY322"/>
  <c r="CX322"/>
  <c r="CW322"/>
  <c r="CV322"/>
  <c r="CU322"/>
  <c r="CT322"/>
  <c r="CS322"/>
  <c r="CR322"/>
  <c r="CQ322"/>
  <c r="CP322"/>
  <c r="CO322"/>
  <c r="CN322"/>
  <c r="CM322"/>
  <c r="CL322"/>
  <c r="CK322"/>
  <c r="CJ322"/>
  <c r="CI322"/>
  <c r="CH322"/>
  <c r="CG322"/>
  <c r="CF322"/>
  <c r="CE322"/>
  <c r="CD322"/>
  <c r="CC322"/>
  <c r="CB322"/>
  <c r="CA322"/>
  <c r="BZ322"/>
  <c r="BY322"/>
  <c r="BX322"/>
  <c r="BW322"/>
  <c r="BV322"/>
  <c r="BU322"/>
  <c r="BT322"/>
  <c r="BS322"/>
  <c r="BR322"/>
  <c r="BQ322"/>
  <c r="BP322"/>
  <c r="BO322"/>
  <c r="BN322"/>
  <c r="DU321"/>
  <c r="DT321"/>
  <c r="DS321"/>
  <c r="DR321"/>
  <c r="DQ321"/>
  <c r="DP321"/>
  <c r="DO321"/>
  <c r="DN321"/>
  <c r="DM321"/>
  <c r="DL321"/>
  <c r="DK321"/>
  <c r="DJ321"/>
  <c r="DI321"/>
  <c r="DH321"/>
  <c r="DG321"/>
  <c r="DF321"/>
  <c r="DE321"/>
  <c r="DD321"/>
  <c r="DC321"/>
  <c r="DB321"/>
  <c r="DA321"/>
  <c r="CZ321"/>
  <c r="CY321"/>
  <c r="CX321"/>
  <c r="CW321"/>
  <c r="CV321"/>
  <c r="CU321"/>
  <c r="CT321"/>
  <c r="CS321"/>
  <c r="CR321"/>
  <c r="CQ321"/>
  <c r="CP321"/>
  <c r="CO321"/>
  <c r="CN321"/>
  <c r="CM321"/>
  <c r="CL321"/>
  <c r="CK321"/>
  <c r="CJ321"/>
  <c r="CI321"/>
  <c r="CH321"/>
  <c r="CG321"/>
  <c r="CF321"/>
  <c r="CE321"/>
  <c r="CD321"/>
  <c r="CC321"/>
  <c r="CB321"/>
  <c r="CA321"/>
  <c r="BZ321"/>
  <c r="BY321"/>
  <c r="BX321"/>
  <c r="BW321"/>
  <c r="BV321"/>
  <c r="BU321"/>
  <c r="BT321"/>
  <c r="BS321"/>
  <c r="BR321"/>
  <c r="BQ321"/>
  <c r="BP321"/>
  <c r="BO321"/>
  <c r="BN321"/>
  <c r="DU320"/>
  <c r="DT320"/>
  <c r="DS320"/>
  <c r="DR320"/>
  <c r="DQ320"/>
  <c r="DP320"/>
  <c r="DO320"/>
  <c r="DN320"/>
  <c r="DM320"/>
  <c r="DL320"/>
  <c r="DK320"/>
  <c r="DJ320"/>
  <c r="DI320"/>
  <c r="DH320"/>
  <c r="DG320"/>
  <c r="DF320"/>
  <c r="DE320"/>
  <c r="DD320"/>
  <c r="DC320"/>
  <c r="DB320"/>
  <c r="DA320"/>
  <c r="CZ320"/>
  <c r="CY320"/>
  <c r="CX320"/>
  <c r="CW320"/>
  <c r="CV320"/>
  <c r="CU320"/>
  <c r="CT320"/>
  <c r="CS320"/>
  <c r="CR320"/>
  <c r="CQ320"/>
  <c r="CP320"/>
  <c r="CO320"/>
  <c r="CN320"/>
  <c r="CM320"/>
  <c r="CL320"/>
  <c r="CK320"/>
  <c r="CJ320"/>
  <c r="CI320"/>
  <c r="CH320"/>
  <c r="CG320"/>
  <c r="CF320"/>
  <c r="CE320"/>
  <c r="CD320"/>
  <c r="CC320"/>
  <c r="CB320"/>
  <c r="CA320"/>
  <c r="BZ320"/>
  <c r="BY320"/>
  <c r="BX320"/>
  <c r="BW320"/>
  <c r="BV320"/>
  <c r="BU320"/>
  <c r="BT320"/>
  <c r="BS320"/>
  <c r="BR320"/>
  <c r="BQ320"/>
  <c r="BP320"/>
  <c r="BO320"/>
  <c r="BN320"/>
  <c r="DU319"/>
  <c r="DT319"/>
  <c r="DS319"/>
  <c r="DR319"/>
  <c r="DQ319"/>
  <c r="DP319"/>
  <c r="DO319"/>
  <c r="DN319"/>
  <c r="DM319"/>
  <c r="DL319"/>
  <c r="DK319"/>
  <c r="DJ319"/>
  <c r="DI319"/>
  <c r="DH319"/>
  <c r="DG319"/>
  <c r="DF319"/>
  <c r="DE319"/>
  <c r="DD319"/>
  <c r="DC319"/>
  <c r="DB319"/>
  <c r="DA319"/>
  <c r="CZ319"/>
  <c r="CY319"/>
  <c r="CX319"/>
  <c r="CW319"/>
  <c r="CV319"/>
  <c r="CU319"/>
  <c r="CT319"/>
  <c r="CS319"/>
  <c r="CR319"/>
  <c r="CQ319"/>
  <c r="CP319"/>
  <c r="CO319"/>
  <c r="CN319"/>
  <c r="CM319"/>
  <c r="CL319"/>
  <c r="CK319"/>
  <c r="CJ319"/>
  <c r="CI319"/>
  <c r="CH319"/>
  <c r="CG319"/>
  <c r="CF319"/>
  <c r="CE319"/>
  <c r="CD319"/>
  <c r="CC319"/>
  <c r="CB319"/>
  <c r="CA319"/>
  <c r="BZ319"/>
  <c r="BY319"/>
  <c r="BX319"/>
  <c r="BW319"/>
  <c r="BV319"/>
  <c r="BU319"/>
  <c r="BT319"/>
  <c r="BS319"/>
  <c r="BR319"/>
  <c r="BQ319"/>
  <c r="BP319"/>
  <c r="BO319"/>
  <c r="BN319"/>
  <c r="DU318"/>
  <c r="DT318"/>
  <c r="DS318"/>
  <c r="DR318"/>
  <c r="DQ318"/>
  <c r="DP318"/>
  <c r="DO318"/>
  <c r="DN318"/>
  <c r="DM318"/>
  <c r="DL318"/>
  <c r="DK318"/>
  <c r="DJ318"/>
  <c r="DI318"/>
  <c r="DH318"/>
  <c r="DG318"/>
  <c r="DF318"/>
  <c r="DE318"/>
  <c r="DD318"/>
  <c r="DC318"/>
  <c r="DB318"/>
  <c r="DA318"/>
  <c r="CZ318"/>
  <c r="CY318"/>
  <c r="CX318"/>
  <c r="CW318"/>
  <c r="CV318"/>
  <c r="CU318"/>
  <c r="CT318"/>
  <c r="CS318"/>
  <c r="CR318"/>
  <c r="CQ318"/>
  <c r="CP318"/>
  <c r="CO318"/>
  <c r="CN318"/>
  <c r="CM318"/>
  <c r="CL318"/>
  <c r="CK318"/>
  <c r="CJ318"/>
  <c r="CI318"/>
  <c r="CH318"/>
  <c r="CG318"/>
  <c r="CF318"/>
  <c r="CE318"/>
  <c r="CD318"/>
  <c r="CC318"/>
  <c r="CB318"/>
  <c r="CA318"/>
  <c r="BZ318"/>
  <c r="BY318"/>
  <c r="BX318"/>
  <c r="BW318"/>
  <c r="BV318"/>
  <c r="BU318"/>
  <c r="BT318"/>
  <c r="BS318"/>
  <c r="BR318"/>
  <c r="BQ318"/>
  <c r="BP318"/>
  <c r="BO318"/>
  <c r="BN318"/>
  <c r="A318"/>
  <c r="DU317"/>
  <c r="DT317"/>
  <c r="DS317"/>
  <c r="DR317"/>
  <c r="DQ317"/>
  <c r="DP317"/>
  <c r="DO317"/>
  <c r="DN317"/>
  <c r="DM317"/>
  <c r="DL317"/>
  <c r="DK317"/>
  <c r="DJ317"/>
  <c r="DI317"/>
  <c r="DH317"/>
  <c r="DG317"/>
  <c r="DF317"/>
  <c r="DE317"/>
  <c r="DD317"/>
  <c r="DC317"/>
  <c r="DB317"/>
  <c r="DA317"/>
  <c r="CZ317"/>
  <c r="CY317"/>
  <c r="CX317"/>
  <c r="CW317"/>
  <c r="CV317"/>
  <c r="CU317"/>
  <c r="CT317"/>
  <c r="CS317"/>
  <c r="CR317"/>
  <c r="CQ317"/>
  <c r="CP317"/>
  <c r="CO317"/>
  <c r="CN317"/>
  <c r="CM317"/>
  <c r="CL317"/>
  <c r="CK317"/>
  <c r="CJ317"/>
  <c r="CI317"/>
  <c r="CH317"/>
  <c r="CG317"/>
  <c r="CF317"/>
  <c r="CE317"/>
  <c r="CD317"/>
  <c r="CC317"/>
  <c r="CB317"/>
  <c r="CA317"/>
  <c r="BZ317"/>
  <c r="BY317"/>
  <c r="BX317"/>
  <c r="BW317"/>
  <c r="BV317"/>
  <c r="BU317"/>
  <c r="BT317"/>
  <c r="BS317"/>
  <c r="BR317"/>
  <c r="BQ317"/>
  <c r="BP317"/>
  <c r="BO317"/>
  <c r="BN317"/>
  <c r="DU316"/>
  <c r="DT316"/>
  <c r="DS316"/>
  <c r="DR316"/>
  <c r="DQ316"/>
  <c r="DP316"/>
  <c r="DO316"/>
  <c r="DN316"/>
  <c r="DM316"/>
  <c r="DL316"/>
  <c r="DK316"/>
  <c r="DJ316"/>
  <c r="DI316"/>
  <c r="DH316"/>
  <c r="DG316"/>
  <c r="DF316"/>
  <c r="DE316"/>
  <c r="DD316"/>
  <c r="DC316"/>
  <c r="DB316"/>
  <c r="DA316"/>
  <c r="CZ316"/>
  <c r="CY316"/>
  <c r="CX316"/>
  <c r="CW316"/>
  <c r="CV316"/>
  <c r="CU316"/>
  <c r="CT316"/>
  <c r="CS316"/>
  <c r="CR316"/>
  <c r="CQ316"/>
  <c r="CP316"/>
  <c r="CO316"/>
  <c r="CN316"/>
  <c r="CM316"/>
  <c r="CL316"/>
  <c r="CK316"/>
  <c r="CJ316"/>
  <c r="CI316"/>
  <c r="CH316"/>
  <c r="CG316"/>
  <c r="CF316"/>
  <c r="CE316"/>
  <c r="CD316"/>
  <c r="CC316"/>
  <c r="CB316"/>
  <c r="CA316"/>
  <c r="BZ316"/>
  <c r="BY316"/>
  <c r="BX316"/>
  <c r="BW316"/>
  <c r="BV316"/>
  <c r="BU316"/>
  <c r="BT316"/>
  <c r="BS316"/>
  <c r="BR316"/>
  <c r="BQ316"/>
  <c r="BP316"/>
  <c r="BO316"/>
  <c r="BN316"/>
  <c r="DU315"/>
  <c r="DT315"/>
  <c r="DS315"/>
  <c r="DR315"/>
  <c r="DQ315"/>
  <c r="DP315"/>
  <c r="DO315"/>
  <c r="DN315"/>
  <c r="DM315"/>
  <c r="DL315"/>
  <c r="DK315"/>
  <c r="DJ315"/>
  <c r="DI315"/>
  <c r="DH315"/>
  <c r="DG315"/>
  <c r="DF315"/>
  <c r="DE315"/>
  <c r="DD315"/>
  <c r="DC315"/>
  <c r="DB315"/>
  <c r="DA315"/>
  <c r="CZ315"/>
  <c r="CY315"/>
  <c r="CX315"/>
  <c r="CW315"/>
  <c r="CV315"/>
  <c r="CU315"/>
  <c r="CT315"/>
  <c r="CS315"/>
  <c r="CR315"/>
  <c r="CQ315"/>
  <c r="CP315"/>
  <c r="CO315"/>
  <c r="CN315"/>
  <c r="CM315"/>
  <c r="CL315"/>
  <c r="CK315"/>
  <c r="CJ315"/>
  <c r="CI315"/>
  <c r="CH315"/>
  <c r="CG315"/>
  <c r="CF315"/>
  <c r="CE315"/>
  <c r="CD315"/>
  <c r="CC315"/>
  <c r="CB315"/>
  <c r="CA315"/>
  <c r="BZ315"/>
  <c r="BY315"/>
  <c r="BX315"/>
  <c r="BW315"/>
  <c r="BV315"/>
  <c r="BU315"/>
  <c r="BT315"/>
  <c r="BS315"/>
  <c r="BR315"/>
  <c r="BQ315"/>
  <c r="BP315"/>
  <c r="BO315"/>
  <c r="BN315"/>
  <c r="DU314"/>
  <c r="DT314"/>
  <c r="DS314"/>
  <c r="DR314"/>
  <c r="DQ314"/>
  <c r="DP314"/>
  <c r="DO314"/>
  <c r="DN314"/>
  <c r="DM314"/>
  <c r="DL314"/>
  <c r="DK314"/>
  <c r="DJ314"/>
  <c r="DI314"/>
  <c r="DH314"/>
  <c r="DG314"/>
  <c r="DF314"/>
  <c r="DE314"/>
  <c r="DD314"/>
  <c r="DC314"/>
  <c r="DB314"/>
  <c r="DA314"/>
  <c r="CZ314"/>
  <c r="CY314"/>
  <c r="CX314"/>
  <c r="CW314"/>
  <c r="CV314"/>
  <c r="CU314"/>
  <c r="CT314"/>
  <c r="CS314"/>
  <c r="CR314"/>
  <c r="CQ314"/>
  <c r="CP314"/>
  <c r="CO314"/>
  <c r="CN314"/>
  <c r="CM314"/>
  <c r="CL314"/>
  <c r="CK314"/>
  <c r="CJ314"/>
  <c r="CI314"/>
  <c r="CH314"/>
  <c r="CG314"/>
  <c r="CF314"/>
  <c r="CE314"/>
  <c r="CD314"/>
  <c r="CC314"/>
  <c r="CB314"/>
  <c r="CA314"/>
  <c r="BZ314"/>
  <c r="BY314"/>
  <c r="BX314"/>
  <c r="BW314"/>
  <c r="BV314"/>
  <c r="BU314"/>
  <c r="BT314"/>
  <c r="BS314"/>
  <c r="BR314"/>
  <c r="BQ314"/>
  <c r="BP314"/>
  <c r="BO314"/>
  <c r="BN314"/>
  <c r="DU313"/>
  <c r="DT313"/>
  <c r="DS313"/>
  <c r="DR313"/>
  <c r="DQ313"/>
  <c r="DP313"/>
  <c r="DO313"/>
  <c r="DN313"/>
  <c r="DM313"/>
  <c r="DL313"/>
  <c r="DK313"/>
  <c r="DJ313"/>
  <c r="DI313"/>
  <c r="DH313"/>
  <c r="DG313"/>
  <c r="DF313"/>
  <c r="DE313"/>
  <c r="DD313"/>
  <c r="DC313"/>
  <c r="DB313"/>
  <c r="DA313"/>
  <c r="CZ313"/>
  <c r="CY313"/>
  <c r="CX313"/>
  <c r="CW313"/>
  <c r="CV313"/>
  <c r="CU313"/>
  <c r="CT313"/>
  <c r="CS313"/>
  <c r="CR313"/>
  <c r="CQ313"/>
  <c r="CP313"/>
  <c r="CO313"/>
  <c r="CN313"/>
  <c r="CM313"/>
  <c r="CL313"/>
  <c r="CK313"/>
  <c r="CJ313"/>
  <c r="CI313"/>
  <c r="CH313"/>
  <c r="CG313"/>
  <c r="CF313"/>
  <c r="CE313"/>
  <c r="CD313"/>
  <c r="CC313"/>
  <c r="CB313"/>
  <c r="CA313"/>
  <c r="BZ313"/>
  <c r="BY313"/>
  <c r="BX313"/>
  <c r="BW313"/>
  <c r="BV313"/>
  <c r="BU313"/>
  <c r="BT313"/>
  <c r="BS313"/>
  <c r="BR313"/>
  <c r="BQ313"/>
  <c r="BP313"/>
  <c r="BO313"/>
  <c r="BN313"/>
  <c r="DU312"/>
  <c r="DT312"/>
  <c r="DS312"/>
  <c r="DR312"/>
  <c r="DQ312"/>
  <c r="DP312"/>
  <c r="DO312"/>
  <c r="DN312"/>
  <c r="DM312"/>
  <c r="DL312"/>
  <c r="DK312"/>
  <c r="DJ312"/>
  <c r="DI312"/>
  <c r="DH312"/>
  <c r="DG312"/>
  <c r="DF312"/>
  <c r="DE312"/>
  <c r="DD312"/>
  <c r="DC312"/>
  <c r="DB312"/>
  <c r="DA312"/>
  <c r="CZ312"/>
  <c r="CY312"/>
  <c r="CX312"/>
  <c r="CW312"/>
  <c r="CV312"/>
  <c r="CU312"/>
  <c r="CT312"/>
  <c r="CS312"/>
  <c r="CR312"/>
  <c r="CQ312"/>
  <c r="CP312"/>
  <c r="CO312"/>
  <c r="CN312"/>
  <c r="CM312"/>
  <c r="CL312"/>
  <c r="CK312"/>
  <c r="CJ312"/>
  <c r="CI312"/>
  <c r="CH312"/>
  <c r="CG312"/>
  <c r="CF312"/>
  <c r="CE312"/>
  <c r="CD312"/>
  <c r="CC312"/>
  <c r="CB312"/>
  <c r="CA312"/>
  <c r="BZ312"/>
  <c r="BY312"/>
  <c r="BX312"/>
  <c r="BW312"/>
  <c r="BV312"/>
  <c r="BU312"/>
  <c r="BT312"/>
  <c r="BS312"/>
  <c r="BR312"/>
  <c r="BQ312"/>
  <c r="BP312"/>
  <c r="BO312"/>
  <c r="BN312"/>
  <c r="DU311"/>
  <c r="DT311"/>
  <c r="DS311"/>
  <c r="DR311"/>
  <c r="DQ311"/>
  <c r="DP311"/>
  <c r="DO311"/>
  <c r="DN311"/>
  <c r="DM311"/>
  <c r="DL311"/>
  <c r="DK311"/>
  <c r="DJ311"/>
  <c r="DI311"/>
  <c r="DH311"/>
  <c r="DG311"/>
  <c r="DF311"/>
  <c r="DE311"/>
  <c r="DD311"/>
  <c r="DC311"/>
  <c r="DB311"/>
  <c r="DA311"/>
  <c r="CZ311"/>
  <c r="CY311"/>
  <c r="CX311"/>
  <c r="CW311"/>
  <c r="CV311"/>
  <c r="CU311"/>
  <c r="CT311"/>
  <c r="CS311"/>
  <c r="CR311"/>
  <c r="CQ311"/>
  <c r="CP311"/>
  <c r="CO311"/>
  <c r="CN311"/>
  <c r="CM311"/>
  <c r="CL311"/>
  <c r="CK311"/>
  <c r="CJ311"/>
  <c r="CI311"/>
  <c r="CH311"/>
  <c r="CG311"/>
  <c r="CF311"/>
  <c r="CE311"/>
  <c r="CD311"/>
  <c r="CC311"/>
  <c r="CB311"/>
  <c r="CA311"/>
  <c r="BZ311"/>
  <c r="BY311"/>
  <c r="BX311"/>
  <c r="BW311"/>
  <c r="BV311"/>
  <c r="BU311"/>
  <c r="BT311"/>
  <c r="BS311"/>
  <c r="BR311"/>
  <c r="BQ311"/>
  <c r="BP311"/>
  <c r="BO311"/>
  <c r="BN311"/>
  <c r="DU310"/>
  <c r="DT310"/>
  <c r="DS310"/>
  <c r="DR310"/>
  <c r="DQ310"/>
  <c r="DP310"/>
  <c r="DO310"/>
  <c r="DN310"/>
  <c r="DM310"/>
  <c r="DL310"/>
  <c r="DK310"/>
  <c r="DJ310"/>
  <c r="DI310"/>
  <c r="DH310"/>
  <c r="DG310"/>
  <c r="DF310"/>
  <c r="DE310"/>
  <c r="DD310"/>
  <c r="DC310"/>
  <c r="DB310"/>
  <c r="DA310"/>
  <c r="CZ310"/>
  <c r="CY310"/>
  <c r="CX310"/>
  <c r="CW310"/>
  <c r="CV310"/>
  <c r="CU310"/>
  <c r="CT310"/>
  <c r="CS310"/>
  <c r="CR310"/>
  <c r="CQ310"/>
  <c r="CP310"/>
  <c r="CO310"/>
  <c r="CN310"/>
  <c r="CM310"/>
  <c r="CL310"/>
  <c r="CK310"/>
  <c r="CJ310"/>
  <c r="CI310"/>
  <c r="CH310"/>
  <c r="CG310"/>
  <c r="CF310"/>
  <c r="CE310"/>
  <c r="CD310"/>
  <c r="CC310"/>
  <c r="CB310"/>
  <c r="CA310"/>
  <c r="BZ310"/>
  <c r="BY310"/>
  <c r="BX310"/>
  <c r="BW310"/>
  <c r="BV310"/>
  <c r="BU310"/>
  <c r="BT310"/>
  <c r="BS310"/>
  <c r="BR310"/>
  <c r="BQ310"/>
  <c r="BP310"/>
  <c r="BO310"/>
  <c r="BN310"/>
  <c r="DU309"/>
  <c r="DT309"/>
  <c r="DS309"/>
  <c r="DR309"/>
  <c r="DQ309"/>
  <c r="DP309"/>
  <c r="DO309"/>
  <c r="DN309"/>
  <c r="DM309"/>
  <c r="DL309"/>
  <c r="DK309"/>
  <c r="DJ309"/>
  <c r="DI309"/>
  <c r="DH309"/>
  <c r="DG309"/>
  <c r="DF309"/>
  <c r="DE309"/>
  <c r="DD309"/>
  <c r="DC309"/>
  <c r="DB309"/>
  <c r="DA309"/>
  <c r="CZ309"/>
  <c r="CY309"/>
  <c r="CX309"/>
  <c r="CW309"/>
  <c r="CV309"/>
  <c r="CU309"/>
  <c r="CT309"/>
  <c r="CS309"/>
  <c r="CR309"/>
  <c r="CQ309"/>
  <c r="CP309"/>
  <c r="CO309"/>
  <c r="CN309"/>
  <c r="CM309"/>
  <c r="CL309"/>
  <c r="CK309"/>
  <c r="CJ309"/>
  <c r="CI309"/>
  <c r="CH309"/>
  <c r="CG309"/>
  <c r="CF309"/>
  <c r="CE309"/>
  <c r="CD309"/>
  <c r="CC309"/>
  <c r="CB309"/>
  <c r="CA309"/>
  <c r="BZ309"/>
  <c r="BY309"/>
  <c r="BX309"/>
  <c r="BW309"/>
  <c r="BV309"/>
  <c r="BU309"/>
  <c r="BT309"/>
  <c r="BS309"/>
  <c r="BR309"/>
  <c r="BQ309"/>
  <c r="BP309"/>
  <c r="BO309"/>
  <c r="BN309"/>
  <c r="DU308"/>
  <c r="DT308"/>
  <c r="DS308"/>
  <c r="DR308"/>
  <c r="DQ308"/>
  <c r="DP308"/>
  <c r="DO308"/>
  <c r="DN308"/>
  <c r="DM308"/>
  <c r="DL308"/>
  <c r="DK308"/>
  <c r="DJ308"/>
  <c r="DI308"/>
  <c r="DH308"/>
  <c r="DG308"/>
  <c r="DF308"/>
  <c r="DE308"/>
  <c r="DD308"/>
  <c r="DC308"/>
  <c r="DB308"/>
  <c r="DA308"/>
  <c r="CZ308"/>
  <c r="CY308"/>
  <c r="CX308"/>
  <c r="CW308"/>
  <c r="CV308"/>
  <c r="CU308"/>
  <c r="CT308"/>
  <c r="CS308"/>
  <c r="CR308"/>
  <c r="CQ308"/>
  <c r="CP308"/>
  <c r="CO308"/>
  <c r="CN308"/>
  <c r="CM308"/>
  <c r="CL308"/>
  <c r="CK308"/>
  <c r="CJ308"/>
  <c r="CI308"/>
  <c r="CH308"/>
  <c r="CG308"/>
  <c r="CF308"/>
  <c r="CE308"/>
  <c r="CD308"/>
  <c r="CC308"/>
  <c r="CB308"/>
  <c r="CA308"/>
  <c r="BZ308"/>
  <c r="BY308"/>
  <c r="BX308"/>
  <c r="BW308"/>
  <c r="BV308"/>
  <c r="BU308"/>
  <c r="BT308"/>
  <c r="BS308"/>
  <c r="BR308"/>
  <c r="BQ308"/>
  <c r="BP308"/>
  <c r="BO308"/>
  <c r="BN308"/>
  <c r="DU307"/>
  <c r="DT307"/>
  <c r="DS307"/>
  <c r="DR307"/>
  <c r="DQ307"/>
  <c r="DP307"/>
  <c r="DO307"/>
  <c r="DN307"/>
  <c r="DM307"/>
  <c r="DL307"/>
  <c r="DK307"/>
  <c r="DJ307"/>
  <c r="DI307"/>
  <c r="DH307"/>
  <c r="DG307"/>
  <c r="DF307"/>
  <c r="DE307"/>
  <c r="DD307"/>
  <c r="DC307"/>
  <c r="DB307"/>
  <c r="DA307"/>
  <c r="CZ307"/>
  <c r="CY307"/>
  <c r="CX307"/>
  <c r="CW307"/>
  <c r="CV307"/>
  <c r="CU307"/>
  <c r="CT307"/>
  <c r="CS307"/>
  <c r="CR307"/>
  <c r="CQ307"/>
  <c r="CP307"/>
  <c r="CO307"/>
  <c r="CN307"/>
  <c r="CM307"/>
  <c r="CL307"/>
  <c r="CK307"/>
  <c r="CJ307"/>
  <c r="CI307"/>
  <c r="CH307"/>
  <c r="CG307"/>
  <c r="CF307"/>
  <c r="CE307"/>
  <c r="CD307"/>
  <c r="CC307"/>
  <c r="CB307"/>
  <c r="CA307"/>
  <c r="BZ307"/>
  <c r="BY307"/>
  <c r="BX307"/>
  <c r="BW307"/>
  <c r="BV307"/>
  <c r="BU307"/>
  <c r="BT307"/>
  <c r="BS307"/>
  <c r="BR307"/>
  <c r="BQ307"/>
  <c r="BP307"/>
  <c r="BO307"/>
  <c r="BN307"/>
  <c r="DU306"/>
  <c r="DT306"/>
  <c r="DS306"/>
  <c r="DR306"/>
  <c r="DQ306"/>
  <c r="DP306"/>
  <c r="DO306"/>
  <c r="DN306"/>
  <c r="DM306"/>
  <c r="DL306"/>
  <c r="DK306"/>
  <c r="DJ306"/>
  <c r="DI306"/>
  <c r="DH306"/>
  <c r="DG306"/>
  <c r="DF306"/>
  <c r="DE306"/>
  <c r="DD306"/>
  <c r="DC306"/>
  <c r="DB306"/>
  <c r="DA306"/>
  <c r="CZ306"/>
  <c r="CY306"/>
  <c r="CX306"/>
  <c r="CW306"/>
  <c r="CV306"/>
  <c r="CU306"/>
  <c r="CT306"/>
  <c r="CS306"/>
  <c r="CR306"/>
  <c r="CQ306"/>
  <c r="CP306"/>
  <c r="CO306"/>
  <c r="CN306"/>
  <c r="CM306"/>
  <c r="CL306"/>
  <c r="CK306"/>
  <c r="CJ306"/>
  <c r="CI306"/>
  <c r="CH306"/>
  <c r="CG306"/>
  <c r="CF306"/>
  <c r="CE306"/>
  <c r="CD306"/>
  <c r="CC306"/>
  <c r="CB306"/>
  <c r="CA306"/>
  <c r="BZ306"/>
  <c r="BY306"/>
  <c r="BX306"/>
  <c r="BW306"/>
  <c r="BV306"/>
  <c r="BU306"/>
  <c r="BT306"/>
  <c r="BS306"/>
  <c r="BR306"/>
  <c r="BQ306"/>
  <c r="BP306"/>
  <c r="BO306"/>
  <c r="BN306"/>
  <c r="DU305"/>
  <c r="DT305"/>
  <c r="DS305"/>
  <c r="DR305"/>
  <c r="DQ305"/>
  <c r="DP305"/>
  <c r="DO305"/>
  <c r="DN305"/>
  <c r="DM305"/>
  <c r="DL305"/>
  <c r="DK305"/>
  <c r="DJ305"/>
  <c r="DI305"/>
  <c r="DH305"/>
  <c r="DG305"/>
  <c r="DF305"/>
  <c r="DE305"/>
  <c r="DD305"/>
  <c r="DC305"/>
  <c r="DB305"/>
  <c r="DA305"/>
  <c r="CZ305"/>
  <c r="CY305"/>
  <c r="CX305"/>
  <c r="CW305"/>
  <c r="CV305"/>
  <c r="CU305"/>
  <c r="CT305"/>
  <c r="CS305"/>
  <c r="CR305"/>
  <c r="CQ305"/>
  <c r="CP305"/>
  <c r="CO305"/>
  <c r="CN305"/>
  <c r="CM305"/>
  <c r="CL305"/>
  <c r="CK305"/>
  <c r="CJ305"/>
  <c r="CI305"/>
  <c r="CH305"/>
  <c r="CG305"/>
  <c r="CF305"/>
  <c r="CE305"/>
  <c r="CD305"/>
  <c r="CC305"/>
  <c r="CB305"/>
  <c r="CA305"/>
  <c r="BZ305"/>
  <c r="BY305"/>
  <c r="BX305"/>
  <c r="BW305"/>
  <c r="BV305"/>
  <c r="BU305"/>
  <c r="BT305"/>
  <c r="BS305"/>
  <c r="BR305"/>
  <c r="BQ305"/>
  <c r="BP305"/>
  <c r="BO305"/>
  <c r="BN305"/>
  <c r="DU304"/>
  <c r="DT304"/>
  <c r="DS304"/>
  <c r="DR304"/>
  <c r="DQ304"/>
  <c r="DP304"/>
  <c r="DO304"/>
  <c r="DN304"/>
  <c r="DM304"/>
  <c r="DL304"/>
  <c r="DK304"/>
  <c r="DJ304"/>
  <c r="DI304"/>
  <c r="DH304"/>
  <c r="DG304"/>
  <c r="DF304"/>
  <c r="DE304"/>
  <c r="DD304"/>
  <c r="DC304"/>
  <c r="DB304"/>
  <c r="DA304"/>
  <c r="CZ304"/>
  <c r="CY304"/>
  <c r="CX304"/>
  <c r="CW304"/>
  <c r="CV304"/>
  <c r="CU304"/>
  <c r="CT304"/>
  <c r="CS304"/>
  <c r="CR304"/>
  <c r="CQ304"/>
  <c r="CP304"/>
  <c r="CO304"/>
  <c r="CN304"/>
  <c r="CM304"/>
  <c r="CL304"/>
  <c r="CK304"/>
  <c r="CJ304"/>
  <c r="CI304"/>
  <c r="CH304"/>
  <c r="CG304"/>
  <c r="CF304"/>
  <c r="CE304"/>
  <c r="CD304"/>
  <c r="CC304"/>
  <c r="CB304"/>
  <c r="CA304"/>
  <c r="BZ304"/>
  <c r="BY304"/>
  <c r="BX304"/>
  <c r="BW304"/>
  <c r="BV304"/>
  <c r="BU304"/>
  <c r="BT304"/>
  <c r="BS304"/>
  <c r="BR304"/>
  <c r="BQ304"/>
  <c r="BP304"/>
  <c r="BO304"/>
  <c r="BN304"/>
  <c r="DU303"/>
  <c r="DT303"/>
  <c r="DS303"/>
  <c r="DR303"/>
  <c r="DQ303"/>
  <c r="DP303"/>
  <c r="DO303"/>
  <c r="DN303"/>
  <c r="DM303"/>
  <c r="DL303"/>
  <c r="DK303"/>
  <c r="DJ303"/>
  <c r="DI303"/>
  <c r="DH303"/>
  <c r="DG303"/>
  <c r="DF303"/>
  <c r="DE303"/>
  <c r="DD303"/>
  <c r="DC303"/>
  <c r="DB303"/>
  <c r="DA303"/>
  <c r="CZ303"/>
  <c r="CY303"/>
  <c r="CX303"/>
  <c r="CW303"/>
  <c r="CV303"/>
  <c r="CU303"/>
  <c r="CT303"/>
  <c r="CS303"/>
  <c r="CR303"/>
  <c r="CQ303"/>
  <c r="CP303"/>
  <c r="CO303"/>
  <c r="CN303"/>
  <c r="CM303"/>
  <c r="CL303"/>
  <c r="CK303"/>
  <c r="CJ303"/>
  <c r="CI303"/>
  <c r="CH303"/>
  <c r="CG303"/>
  <c r="CF303"/>
  <c r="CE303"/>
  <c r="CD303"/>
  <c r="CC303"/>
  <c r="CB303"/>
  <c r="CA303"/>
  <c r="BZ303"/>
  <c r="BY303"/>
  <c r="BX303"/>
  <c r="BW303"/>
  <c r="BV303"/>
  <c r="BU303"/>
  <c r="BT303"/>
  <c r="BS303"/>
  <c r="BR303"/>
  <c r="BQ303"/>
  <c r="BP303"/>
  <c r="BO303"/>
  <c r="BN303"/>
  <c r="DU302"/>
  <c r="DT302"/>
  <c r="DS302"/>
  <c r="DR302"/>
  <c r="DQ302"/>
  <c r="DP302"/>
  <c r="DO302"/>
  <c r="DN302"/>
  <c r="DM302"/>
  <c r="DL302"/>
  <c r="DK302"/>
  <c r="DJ302"/>
  <c r="DI302"/>
  <c r="DH302"/>
  <c r="DG302"/>
  <c r="DF302"/>
  <c r="DE302"/>
  <c r="DD302"/>
  <c r="DC302"/>
  <c r="DB302"/>
  <c r="DA302"/>
  <c r="CZ302"/>
  <c r="CY302"/>
  <c r="CX302"/>
  <c r="CW302"/>
  <c r="CV302"/>
  <c r="CU302"/>
  <c r="CT302"/>
  <c r="CS302"/>
  <c r="CR302"/>
  <c r="CQ302"/>
  <c r="CP302"/>
  <c r="CO302"/>
  <c r="CN302"/>
  <c r="CM302"/>
  <c r="CL302"/>
  <c r="CK302"/>
  <c r="CJ302"/>
  <c r="CI302"/>
  <c r="CH302"/>
  <c r="CG302"/>
  <c r="CF302"/>
  <c r="CE302"/>
  <c r="CD302"/>
  <c r="CC302"/>
  <c r="CB302"/>
  <c r="CA302"/>
  <c r="BZ302"/>
  <c r="BY302"/>
  <c r="BX302"/>
  <c r="BW302"/>
  <c r="BV302"/>
  <c r="BU302"/>
  <c r="BT302"/>
  <c r="BS302"/>
  <c r="BR302"/>
  <c r="BQ302"/>
  <c r="BP302"/>
  <c r="BO302"/>
  <c r="BN302"/>
  <c r="DU301"/>
  <c r="DT301"/>
  <c r="DS301"/>
  <c r="DR301"/>
  <c r="DQ301"/>
  <c r="DP301"/>
  <c r="DO301"/>
  <c r="DN301"/>
  <c r="DM301"/>
  <c r="DL301"/>
  <c r="DK301"/>
  <c r="DJ301"/>
  <c r="DI301"/>
  <c r="DH301"/>
  <c r="DG301"/>
  <c r="DF301"/>
  <c r="DE301"/>
  <c r="DD301"/>
  <c r="DC301"/>
  <c r="DB301"/>
  <c r="DA301"/>
  <c r="CZ301"/>
  <c r="CY301"/>
  <c r="CX301"/>
  <c r="CW301"/>
  <c r="CV301"/>
  <c r="CU301"/>
  <c r="CT301"/>
  <c r="CS301"/>
  <c r="CR301"/>
  <c r="CQ301"/>
  <c r="CP301"/>
  <c r="CO301"/>
  <c r="CN301"/>
  <c r="CM301"/>
  <c r="CL301"/>
  <c r="CK301"/>
  <c r="CJ301"/>
  <c r="CI301"/>
  <c r="CH301"/>
  <c r="CG301"/>
  <c r="CF301"/>
  <c r="CE301"/>
  <c r="CD301"/>
  <c r="CC301"/>
  <c r="CB301"/>
  <c r="CA301"/>
  <c r="BZ301"/>
  <c r="BY301"/>
  <c r="BX301"/>
  <c r="BW301"/>
  <c r="BV301"/>
  <c r="BU301"/>
  <c r="BT301"/>
  <c r="BS301"/>
  <c r="BR301"/>
  <c r="BQ301"/>
  <c r="BP301"/>
  <c r="BO301"/>
  <c r="BN301"/>
  <c r="B301"/>
  <c r="DU300"/>
  <c r="DT300"/>
  <c r="DS300"/>
  <c r="DR300"/>
  <c r="DQ300"/>
  <c r="DP300"/>
  <c r="DO300"/>
  <c r="DN300"/>
  <c r="DM300"/>
  <c r="DL300"/>
  <c r="DK300"/>
  <c r="DJ300"/>
  <c r="DI300"/>
  <c r="DH300"/>
  <c r="DG300"/>
  <c r="DF300"/>
  <c r="DE300"/>
  <c r="DD300"/>
  <c r="DC300"/>
  <c r="DB300"/>
  <c r="DA300"/>
  <c r="CZ300"/>
  <c r="CY300"/>
  <c r="CX300"/>
  <c r="CW300"/>
  <c r="CV300"/>
  <c r="CU300"/>
  <c r="CT300"/>
  <c r="CS300"/>
  <c r="CR300"/>
  <c r="CQ300"/>
  <c r="CP300"/>
  <c r="CO300"/>
  <c r="CN300"/>
  <c r="CM300"/>
  <c r="CL300"/>
  <c r="CK300"/>
  <c r="CJ300"/>
  <c r="CI300"/>
  <c r="CH300"/>
  <c r="CG300"/>
  <c r="CF300"/>
  <c r="CE300"/>
  <c r="CD300"/>
  <c r="CC300"/>
  <c r="CB300"/>
  <c r="CA300"/>
  <c r="BZ300"/>
  <c r="BY300"/>
  <c r="BX300"/>
  <c r="BW300"/>
  <c r="BV300"/>
  <c r="BU300"/>
  <c r="BT300"/>
  <c r="BS300"/>
  <c r="BR300"/>
  <c r="BQ300"/>
  <c r="BP300"/>
  <c r="BO300"/>
  <c r="BN300"/>
  <c r="DU299"/>
  <c r="DT299"/>
  <c r="DS299"/>
  <c r="DR299"/>
  <c r="DQ299"/>
  <c r="DP299"/>
  <c r="DO299"/>
  <c r="DN299"/>
  <c r="DM299"/>
  <c r="DL299"/>
  <c r="DK299"/>
  <c r="DJ299"/>
  <c r="DI299"/>
  <c r="DH299"/>
  <c r="DG299"/>
  <c r="DF299"/>
  <c r="DE299"/>
  <c r="DD299"/>
  <c r="DC299"/>
  <c r="DB299"/>
  <c r="DA299"/>
  <c r="CZ299"/>
  <c r="CY299"/>
  <c r="CX299"/>
  <c r="CW299"/>
  <c r="CV299"/>
  <c r="CU299"/>
  <c r="CT299"/>
  <c r="CS299"/>
  <c r="CR299"/>
  <c r="CQ299"/>
  <c r="CP299"/>
  <c r="CO299"/>
  <c r="CN299"/>
  <c r="CM299"/>
  <c r="CL299"/>
  <c r="CK299"/>
  <c r="CJ299"/>
  <c r="CI299"/>
  <c r="CH299"/>
  <c r="CG299"/>
  <c r="CF299"/>
  <c r="CE299"/>
  <c r="CD299"/>
  <c r="CC299"/>
  <c r="CB299"/>
  <c r="CA299"/>
  <c r="BZ299"/>
  <c r="BY299"/>
  <c r="BX299"/>
  <c r="BW299"/>
  <c r="BV299"/>
  <c r="BU299"/>
  <c r="BT299"/>
  <c r="BS299"/>
  <c r="BR299"/>
  <c r="BQ299"/>
  <c r="BP299"/>
  <c r="BO299"/>
  <c r="BN299"/>
  <c r="DU298"/>
  <c r="DT298"/>
  <c r="DS298"/>
  <c r="DR298"/>
  <c r="DQ298"/>
  <c r="DP298"/>
  <c r="DO298"/>
  <c r="DN298"/>
  <c r="DM298"/>
  <c r="DL298"/>
  <c r="DK298"/>
  <c r="DJ298"/>
  <c r="DI298"/>
  <c r="DH298"/>
  <c r="DG298"/>
  <c r="DF298"/>
  <c r="DE298"/>
  <c r="DD298"/>
  <c r="DC298"/>
  <c r="DB298"/>
  <c r="DA298"/>
  <c r="CZ298"/>
  <c r="CY298"/>
  <c r="CX298"/>
  <c r="CW298"/>
  <c r="CV298"/>
  <c r="CU298"/>
  <c r="CT298"/>
  <c r="CS298"/>
  <c r="CR298"/>
  <c r="CQ298"/>
  <c r="CP298"/>
  <c r="CO298"/>
  <c r="CN298"/>
  <c r="CM298"/>
  <c r="CL298"/>
  <c r="CK298"/>
  <c r="CJ298"/>
  <c r="CI298"/>
  <c r="CH298"/>
  <c r="CG298"/>
  <c r="CF298"/>
  <c r="CE298"/>
  <c r="CD298"/>
  <c r="CC298"/>
  <c r="CB298"/>
  <c r="CA298"/>
  <c r="BZ298"/>
  <c r="BY298"/>
  <c r="BX298"/>
  <c r="BW298"/>
  <c r="BV298"/>
  <c r="BU298"/>
  <c r="BT298"/>
  <c r="BS298"/>
  <c r="BR298"/>
  <c r="BQ298"/>
  <c r="BP298"/>
  <c r="BO298"/>
  <c r="BN298"/>
  <c r="DU297"/>
  <c r="DT297"/>
  <c r="DS297"/>
  <c r="DR297"/>
  <c r="DQ297"/>
  <c r="DP297"/>
  <c r="DO297"/>
  <c r="DN297"/>
  <c r="DM297"/>
  <c r="DL297"/>
  <c r="DK297"/>
  <c r="DJ297"/>
  <c r="DI297"/>
  <c r="DH297"/>
  <c r="DG297"/>
  <c r="DF297"/>
  <c r="DE297"/>
  <c r="DD297"/>
  <c r="DC297"/>
  <c r="DB297"/>
  <c r="DA297"/>
  <c r="CZ297"/>
  <c r="CY297"/>
  <c r="CX297"/>
  <c r="CW297"/>
  <c r="CV297"/>
  <c r="CU297"/>
  <c r="CT297"/>
  <c r="CS297"/>
  <c r="CR297"/>
  <c r="CQ297"/>
  <c r="CP297"/>
  <c r="CO297"/>
  <c r="CN297"/>
  <c r="CM297"/>
  <c r="CL297"/>
  <c r="CK297"/>
  <c r="CJ297"/>
  <c r="CI297"/>
  <c r="CH297"/>
  <c r="CG297"/>
  <c r="CF297"/>
  <c r="CE297"/>
  <c r="CD297"/>
  <c r="CC297"/>
  <c r="CB297"/>
  <c r="CA297"/>
  <c r="BZ297"/>
  <c r="BY297"/>
  <c r="BX297"/>
  <c r="BW297"/>
  <c r="BV297"/>
  <c r="BU297"/>
  <c r="BT297"/>
  <c r="BS297"/>
  <c r="BR297"/>
  <c r="BQ297"/>
  <c r="BP297"/>
  <c r="BO297"/>
  <c r="BN297"/>
  <c r="DU296"/>
  <c r="DT296"/>
  <c r="DS296"/>
  <c r="DR296"/>
  <c r="DQ296"/>
  <c r="DP296"/>
  <c r="DO296"/>
  <c r="DN296"/>
  <c r="DM296"/>
  <c r="DL296"/>
  <c r="DK296"/>
  <c r="DJ296"/>
  <c r="DI296"/>
  <c r="DH296"/>
  <c r="DG296"/>
  <c r="DF296"/>
  <c r="DE296"/>
  <c r="DD296"/>
  <c r="DC296"/>
  <c r="DB296"/>
  <c r="DA296"/>
  <c r="CZ296"/>
  <c r="CY296"/>
  <c r="CX296"/>
  <c r="CW296"/>
  <c r="CV296"/>
  <c r="CU296"/>
  <c r="CT296"/>
  <c r="CS296"/>
  <c r="CR296"/>
  <c r="CQ296"/>
  <c r="CP296"/>
  <c r="CO296"/>
  <c r="CN296"/>
  <c r="CM296"/>
  <c r="CL296"/>
  <c r="CK296"/>
  <c r="CJ296"/>
  <c r="CI296"/>
  <c r="CH296"/>
  <c r="CG296"/>
  <c r="CF296"/>
  <c r="CE296"/>
  <c r="CD296"/>
  <c r="CC296"/>
  <c r="CB296"/>
  <c r="CA296"/>
  <c r="BZ296"/>
  <c r="BY296"/>
  <c r="BX296"/>
  <c r="BW296"/>
  <c r="BV296"/>
  <c r="BU296"/>
  <c r="BT296"/>
  <c r="BS296"/>
  <c r="BR296"/>
  <c r="BQ296"/>
  <c r="BP296"/>
  <c r="BO296"/>
  <c r="BN296"/>
  <c r="DU295"/>
  <c r="DT295"/>
  <c r="DS295"/>
  <c r="DR295"/>
  <c r="DQ295"/>
  <c r="DP295"/>
  <c r="DO295"/>
  <c r="DN295"/>
  <c r="DM295"/>
  <c r="DL295"/>
  <c r="DK295"/>
  <c r="DJ295"/>
  <c r="DI295"/>
  <c r="DH295"/>
  <c r="DG295"/>
  <c r="DF295"/>
  <c r="DE295"/>
  <c r="DD295"/>
  <c r="DC295"/>
  <c r="DB295"/>
  <c r="DA295"/>
  <c r="CZ295"/>
  <c r="CY295"/>
  <c r="CX295"/>
  <c r="CW295"/>
  <c r="CV295"/>
  <c r="CU295"/>
  <c r="CT295"/>
  <c r="CS295"/>
  <c r="CR295"/>
  <c r="CQ295"/>
  <c r="CP295"/>
  <c r="CO295"/>
  <c r="CN295"/>
  <c r="CM295"/>
  <c r="CL295"/>
  <c r="CK295"/>
  <c r="CJ295"/>
  <c r="CI295"/>
  <c r="CH295"/>
  <c r="CG295"/>
  <c r="CF295"/>
  <c r="CE295"/>
  <c r="CD295"/>
  <c r="CC295"/>
  <c r="CB295"/>
  <c r="CA295"/>
  <c r="BZ295"/>
  <c r="BY295"/>
  <c r="BX295"/>
  <c r="BW295"/>
  <c r="BV295"/>
  <c r="BU295"/>
  <c r="BT295"/>
  <c r="BS295"/>
  <c r="BR295"/>
  <c r="BQ295"/>
  <c r="BP295"/>
  <c r="BO295"/>
  <c r="BN295"/>
  <c r="DU294"/>
  <c r="DT294"/>
  <c r="DS294"/>
  <c r="DR294"/>
  <c r="DQ294"/>
  <c r="DP294"/>
  <c r="DO294"/>
  <c r="DN294"/>
  <c r="DM294"/>
  <c r="DL294"/>
  <c r="DK294"/>
  <c r="DJ294"/>
  <c r="DI294"/>
  <c r="DH294"/>
  <c r="DG294"/>
  <c r="DF294"/>
  <c r="DE294"/>
  <c r="DD294"/>
  <c r="DC294"/>
  <c r="DB294"/>
  <c r="DA294"/>
  <c r="CZ294"/>
  <c r="CY294"/>
  <c r="CX294"/>
  <c r="CW294"/>
  <c r="CV294"/>
  <c r="CU294"/>
  <c r="CT294"/>
  <c r="CS294"/>
  <c r="CR294"/>
  <c r="CQ294"/>
  <c r="CP294"/>
  <c r="CO294"/>
  <c r="CN294"/>
  <c r="CM294"/>
  <c r="CL294"/>
  <c r="CK294"/>
  <c r="CJ294"/>
  <c r="CI294"/>
  <c r="CH294"/>
  <c r="CG294"/>
  <c r="CF294"/>
  <c r="CE294"/>
  <c r="CD294"/>
  <c r="CC294"/>
  <c r="CB294"/>
  <c r="CA294"/>
  <c r="BZ294"/>
  <c r="BY294"/>
  <c r="BX294"/>
  <c r="BW294"/>
  <c r="BV294"/>
  <c r="BU294"/>
  <c r="BT294"/>
  <c r="BS294"/>
  <c r="BR294"/>
  <c r="BQ294"/>
  <c r="BP294"/>
  <c r="BO294"/>
  <c r="BN294"/>
  <c r="DU293"/>
  <c r="DT293"/>
  <c r="DS293"/>
  <c r="DR293"/>
  <c r="DQ293"/>
  <c r="DP293"/>
  <c r="DO293"/>
  <c r="DN293"/>
  <c r="DM293"/>
  <c r="DL293"/>
  <c r="DK293"/>
  <c r="DJ293"/>
  <c r="DI293"/>
  <c r="DH293"/>
  <c r="DG293"/>
  <c r="DF293"/>
  <c r="DE293"/>
  <c r="DD293"/>
  <c r="DC293"/>
  <c r="DB293"/>
  <c r="DA293"/>
  <c r="CZ293"/>
  <c r="CY293"/>
  <c r="CX293"/>
  <c r="CW293"/>
  <c r="CV293"/>
  <c r="CU293"/>
  <c r="CT293"/>
  <c r="CS293"/>
  <c r="CR293"/>
  <c r="CQ293"/>
  <c r="CP293"/>
  <c r="CO293"/>
  <c r="CN293"/>
  <c r="CM293"/>
  <c r="CL293"/>
  <c r="CK293"/>
  <c r="CJ293"/>
  <c r="CI293"/>
  <c r="CH293"/>
  <c r="CG293"/>
  <c r="CF293"/>
  <c r="CE293"/>
  <c r="CD293"/>
  <c r="CC293"/>
  <c r="CB293"/>
  <c r="CA293"/>
  <c r="BZ293"/>
  <c r="BY293"/>
  <c r="BX293"/>
  <c r="BW293"/>
  <c r="BV293"/>
  <c r="BU293"/>
  <c r="BT293"/>
  <c r="BS293"/>
  <c r="BR293"/>
  <c r="BQ293"/>
  <c r="BP293"/>
  <c r="BO293"/>
  <c r="BN293"/>
  <c r="DU292"/>
  <c r="DT292"/>
  <c r="DS292"/>
  <c r="DR292"/>
  <c r="DQ292"/>
  <c r="DP292"/>
  <c r="DO292"/>
  <c r="DN292"/>
  <c r="DM292"/>
  <c r="DL292"/>
  <c r="DK292"/>
  <c r="DJ292"/>
  <c r="DI292"/>
  <c r="DH292"/>
  <c r="DG292"/>
  <c r="DF292"/>
  <c r="DE292"/>
  <c r="DD292"/>
  <c r="DC292"/>
  <c r="DB292"/>
  <c r="DA292"/>
  <c r="CZ292"/>
  <c r="CY292"/>
  <c r="CX292"/>
  <c r="CW292"/>
  <c r="CV292"/>
  <c r="CU292"/>
  <c r="CT292"/>
  <c r="CS292"/>
  <c r="CR292"/>
  <c r="CQ292"/>
  <c r="CP292"/>
  <c r="CO292"/>
  <c r="CN292"/>
  <c r="CM292"/>
  <c r="CL292"/>
  <c r="CK292"/>
  <c r="CJ292"/>
  <c r="CI292"/>
  <c r="CH292"/>
  <c r="CG292"/>
  <c r="CF292"/>
  <c r="CE292"/>
  <c r="CD292"/>
  <c r="CC292"/>
  <c r="CB292"/>
  <c r="CA292"/>
  <c r="BZ292"/>
  <c r="BY292"/>
  <c r="BX292"/>
  <c r="BW292"/>
  <c r="BV292"/>
  <c r="BU292"/>
  <c r="BT292"/>
  <c r="BS292"/>
  <c r="BR292"/>
  <c r="BQ292"/>
  <c r="BP292"/>
  <c r="BO292"/>
  <c r="BN292"/>
  <c r="DU291"/>
  <c r="DT291"/>
  <c r="DS291"/>
  <c r="DR291"/>
  <c r="DQ291"/>
  <c r="DP291"/>
  <c r="DO291"/>
  <c r="DN291"/>
  <c r="DM291"/>
  <c r="DL291"/>
  <c r="DK291"/>
  <c r="DJ291"/>
  <c r="DI291"/>
  <c r="DH291"/>
  <c r="DG291"/>
  <c r="DF291"/>
  <c r="DE291"/>
  <c r="DD291"/>
  <c r="DC291"/>
  <c r="DB291"/>
  <c r="DA291"/>
  <c r="CZ291"/>
  <c r="CY291"/>
  <c r="CX291"/>
  <c r="CW291"/>
  <c r="CV291"/>
  <c r="CU291"/>
  <c r="CT291"/>
  <c r="CS291"/>
  <c r="CR291"/>
  <c r="CQ291"/>
  <c r="CP291"/>
  <c r="CO291"/>
  <c r="CN291"/>
  <c r="CM291"/>
  <c r="CL291"/>
  <c r="CK291"/>
  <c r="CJ291"/>
  <c r="CI291"/>
  <c r="CH291"/>
  <c r="CG291"/>
  <c r="CF291"/>
  <c r="CE291"/>
  <c r="CD291"/>
  <c r="CC291"/>
  <c r="CB291"/>
  <c r="CA291"/>
  <c r="BZ291"/>
  <c r="BY291"/>
  <c r="BX291"/>
  <c r="BW291"/>
  <c r="BV291"/>
  <c r="BU291"/>
  <c r="BT291"/>
  <c r="BS291"/>
  <c r="BR291"/>
  <c r="BQ291"/>
  <c r="BP291"/>
  <c r="BO291"/>
  <c r="BN291"/>
  <c r="DU290"/>
  <c r="DT290"/>
  <c r="DS290"/>
  <c r="DR290"/>
  <c r="DQ290"/>
  <c r="DP290"/>
  <c r="DO290"/>
  <c r="DN290"/>
  <c r="DM290"/>
  <c r="DL290"/>
  <c r="DK290"/>
  <c r="DJ290"/>
  <c r="DI290"/>
  <c r="DH290"/>
  <c r="DG290"/>
  <c r="DF290"/>
  <c r="DE290"/>
  <c r="DD290"/>
  <c r="DC290"/>
  <c r="DB290"/>
  <c r="DA290"/>
  <c r="CZ290"/>
  <c r="CY290"/>
  <c r="CX290"/>
  <c r="CW290"/>
  <c r="CV290"/>
  <c r="CU290"/>
  <c r="CT290"/>
  <c r="CS290"/>
  <c r="CR290"/>
  <c r="CQ290"/>
  <c r="CP290"/>
  <c r="CO290"/>
  <c r="CN290"/>
  <c r="CM290"/>
  <c r="CL290"/>
  <c r="CK290"/>
  <c r="CJ290"/>
  <c r="CI290"/>
  <c r="CH290"/>
  <c r="CG290"/>
  <c r="CF290"/>
  <c r="CE290"/>
  <c r="CD290"/>
  <c r="CC290"/>
  <c r="CB290"/>
  <c r="CA290"/>
  <c r="BZ290"/>
  <c r="BY290"/>
  <c r="BX290"/>
  <c r="BW290"/>
  <c r="BV290"/>
  <c r="BU290"/>
  <c r="BT290"/>
  <c r="BS290"/>
  <c r="BR290"/>
  <c r="BQ290"/>
  <c r="BP290"/>
  <c r="BO290"/>
  <c r="BN290"/>
  <c r="DU289"/>
  <c r="DT289"/>
  <c r="DS289"/>
  <c r="DR289"/>
  <c r="DQ289"/>
  <c r="DP289"/>
  <c r="DO289"/>
  <c r="DN289"/>
  <c r="DM289"/>
  <c r="DL289"/>
  <c r="DK289"/>
  <c r="DJ289"/>
  <c r="DI289"/>
  <c r="DH289"/>
  <c r="DG289"/>
  <c r="DF289"/>
  <c r="DE289"/>
  <c r="DD289"/>
  <c r="DC289"/>
  <c r="DB289"/>
  <c r="DA289"/>
  <c r="CZ289"/>
  <c r="CY289"/>
  <c r="CX289"/>
  <c r="CW289"/>
  <c r="CV289"/>
  <c r="CU289"/>
  <c r="CT289"/>
  <c r="CS289"/>
  <c r="CR289"/>
  <c r="CQ289"/>
  <c r="CP289"/>
  <c r="CO289"/>
  <c r="CN289"/>
  <c r="CM289"/>
  <c r="CL289"/>
  <c r="CK289"/>
  <c r="CJ289"/>
  <c r="CI289"/>
  <c r="CH289"/>
  <c r="CG289"/>
  <c r="CF289"/>
  <c r="CE289"/>
  <c r="CD289"/>
  <c r="CC289"/>
  <c r="CB289"/>
  <c r="CA289"/>
  <c r="BZ289"/>
  <c r="BY289"/>
  <c r="BX289"/>
  <c r="BW289"/>
  <c r="BV289"/>
  <c r="BU289"/>
  <c r="BT289"/>
  <c r="BS289"/>
  <c r="BR289"/>
  <c r="BQ289"/>
  <c r="BP289"/>
  <c r="BO289"/>
  <c r="BN289"/>
  <c r="B289"/>
  <c r="DU288"/>
  <c r="DT288"/>
  <c r="DS288"/>
  <c r="DR288"/>
  <c r="DQ288"/>
  <c r="DP288"/>
  <c r="DO288"/>
  <c r="DN288"/>
  <c r="DM288"/>
  <c r="DL288"/>
  <c r="DK288"/>
  <c r="DJ288"/>
  <c r="DI288"/>
  <c r="DH288"/>
  <c r="DG288"/>
  <c r="DF288"/>
  <c r="DE288"/>
  <c r="DD288"/>
  <c r="DC288"/>
  <c r="DB288"/>
  <c r="DA288"/>
  <c r="CZ288"/>
  <c r="CY288"/>
  <c r="CX288"/>
  <c r="CW288"/>
  <c r="CV288"/>
  <c r="CU288"/>
  <c r="CT288"/>
  <c r="CS288"/>
  <c r="CR288"/>
  <c r="CQ288"/>
  <c r="CP288"/>
  <c r="CO288"/>
  <c r="CN288"/>
  <c r="CM288"/>
  <c r="CL288"/>
  <c r="CK288"/>
  <c r="CJ288"/>
  <c r="CI288"/>
  <c r="CH288"/>
  <c r="CG288"/>
  <c r="CF288"/>
  <c r="CE288"/>
  <c r="CD288"/>
  <c r="CC288"/>
  <c r="CB288"/>
  <c r="CA288"/>
  <c r="BZ288"/>
  <c r="BY288"/>
  <c r="BX288"/>
  <c r="BW288"/>
  <c r="BV288"/>
  <c r="BU288"/>
  <c r="BT288"/>
  <c r="BS288"/>
  <c r="BR288"/>
  <c r="BQ288"/>
  <c r="BP288"/>
  <c r="BO288"/>
  <c r="BN288"/>
  <c r="DU287"/>
  <c r="DT287"/>
  <c r="DS287"/>
  <c r="DR287"/>
  <c r="DQ287"/>
  <c r="DP287"/>
  <c r="DO287"/>
  <c r="DN287"/>
  <c r="DM287"/>
  <c r="DL287"/>
  <c r="DK287"/>
  <c r="DJ287"/>
  <c r="DI287"/>
  <c r="DH287"/>
  <c r="DG287"/>
  <c r="DF287"/>
  <c r="DE287"/>
  <c r="DD287"/>
  <c r="DC287"/>
  <c r="DB287"/>
  <c r="DA287"/>
  <c r="CZ287"/>
  <c r="CY287"/>
  <c r="CX287"/>
  <c r="CW287"/>
  <c r="CV287"/>
  <c r="CU287"/>
  <c r="CT287"/>
  <c r="CS287"/>
  <c r="CR287"/>
  <c r="CQ287"/>
  <c r="CP287"/>
  <c r="CO287"/>
  <c r="CN287"/>
  <c r="CM287"/>
  <c r="CL287"/>
  <c r="CK287"/>
  <c r="CJ287"/>
  <c r="CI287"/>
  <c r="CH287"/>
  <c r="CG287"/>
  <c r="CF287"/>
  <c r="CE287"/>
  <c r="CD287"/>
  <c r="CC287"/>
  <c r="CB287"/>
  <c r="CA287"/>
  <c r="BZ287"/>
  <c r="BY287"/>
  <c r="BX287"/>
  <c r="BW287"/>
  <c r="BV287"/>
  <c r="BU287"/>
  <c r="BT287"/>
  <c r="BS287"/>
  <c r="BR287"/>
  <c r="BQ287"/>
  <c r="BP287"/>
  <c r="BO287"/>
  <c r="BN287"/>
  <c r="DU286"/>
  <c r="DT286"/>
  <c r="DS286"/>
  <c r="DR286"/>
  <c r="DQ286"/>
  <c r="DP286"/>
  <c r="DO286"/>
  <c r="DN286"/>
  <c r="DM286"/>
  <c r="DL286"/>
  <c r="DK286"/>
  <c r="DJ286"/>
  <c r="DI286"/>
  <c r="DH286"/>
  <c r="DG286"/>
  <c r="DF286"/>
  <c r="DE286"/>
  <c r="DD286"/>
  <c r="DC286"/>
  <c r="DB286"/>
  <c r="DA286"/>
  <c r="CZ286"/>
  <c r="CY286"/>
  <c r="CX286"/>
  <c r="CW286"/>
  <c r="CV286"/>
  <c r="CU286"/>
  <c r="CT286"/>
  <c r="CS286"/>
  <c r="CR286"/>
  <c r="CQ286"/>
  <c r="CP286"/>
  <c r="CO286"/>
  <c r="CN286"/>
  <c r="CM286"/>
  <c r="CL286"/>
  <c r="CK286"/>
  <c r="CJ286"/>
  <c r="CI286"/>
  <c r="CH286"/>
  <c r="CG286"/>
  <c r="CF286"/>
  <c r="CE286"/>
  <c r="CD286"/>
  <c r="CC286"/>
  <c r="CB286"/>
  <c r="CA286"/>
  <c r="BZ286"/>
  <c r="BY286"/>
  <c r="BX286"/>
  <c r="BW286"/>
  <c r="BV286"/>
  <c r="BU286"/>
  <c r="BT286"/>
  <c r="BS286"/>
  <c r="BR286"/>
  <c r="BQ286"/>
  <c r="BP286"/>
  <c r="BO286"/>
  <c r="BN286"/>
  <c r="DU285"/>
  <c r="DT285"/>
  <c r="DS285"/>
  <c r="DR285"/>
  <c r="DQ285"/>
  <c r="DP285"/>
  <c r="DO285"/>
  <c r="DN285"/>
  <c r="DM285"/>
  <c r="DL285"/>
  <c r="DK285"/>
  <c r="DJ285"/>
  <c r="DI285"/>
  <c r="DH285"/>
  <c r="DG285"/>
  <c r="DF285"/>
  <c r="DE285"/>
  <c r="DD285"/>
  <c r="DC285"/>
  <c r="DB285"/>
  <c r="DA285"/>
  <c r="CZ285"/>
  <c r="CY285"/>
  <c r="CX285"/>
  <c r="CW285"/>
  <c r="CV285"/>
  <c r="CU285"/>
  <c r="CT285"/>
  <c r="CS285"/>
  <c r="CR285"/>
  <c r="CQ285"/>
  <c r="CP285"/>
  <c r="CO285"/>
  <c r="CN285"/>
  <c r="CM285"/>
  <c r="CL285"/>
  <c r="CK285"/>
  <c r="CJ285"/>
  <c r="CI285"/>
  <c r="CH285"/>
  <c r="CG285"/>
  <c r="CF285"/>
  <c r="CE285"/>
  <c r="CD285"/>
  <c r="CC285"/>
  <c r="CB285"/>
  <c r="CA285"/>
  <c r="BZ285"/>
  <c r="BY285"/>
  <c r="BX285"/>
  <c r="BW285"/>
  <c r="BV285"/>
  <c r="BU285"/>
  <c r="BT285"/>
  <c r="BS285"/>
  <c r="BR285"/>
  <c r="BQ285"/>
  <c r="BP285"/>
  <c r="BO285"/>
  <c r="BN285"/>
  <c r="DU284"/>
  <c r="DT284"/>
  <c r="DS284"/>
  <c r="DR284"/>
  <c r="DQ284"/>
  <c r="DP284"/>
  <c r="DO284"/>
  <c r="DN284"/>
  <c r="DM284"/>
  <c r="DL284"/>
  <c r="DK284"/>
  <c r="DJ284"/>
  <c r="DI284"/>
  <c r="DH284"/>
  <c r="DG284"/>
  <c r="DF284"/>
  <c r="DE284"/>
  <c r="DD284"/>
  <c r="DC284"/>
  <c r="DB284"/>
  <c r="DA284"/>
  <c r="CZ284"/>
  <c r="CY284"/>
  <c r="CX284"/>
  <c r="CW284"/>
  <c r="CV284"/>
  <c r="CU284"/>
  <c r="CT284"/>
  <c r="CS284"/>
  <c r="CR284"/>
  <c r="CQ284"/>
  <c r="CP284"/>
  <c r="CO284"/>
  <c r="CN284"/>
  <c r="CM284"/>
  <c r="CL284"/>
  <c r="CK284"/>
  <c r="CJ284"/>
  <c r="CI284"/>
  <c r="CH284"/>
  <c r="CG284"/>
  <c r="CF284"/>
  <c r="CE284"/>
  <c r="CD284"/>
  <c r="CC284"/>
  <c r="CB284"/>
  <c r="CA284"/>
  <c r="BZ284"/>
  <c r="BY284"/>
  <c r="BX284"/>
  <c r="BW284"/>
  <c r="BV284"/>
  <c r="BU284"/>
  <c r="BT284"/>
  <c r="BS284"/>
  <c r="BR284"/>
  <c r="BQ284"/>
  <c r="BP284"/>
  <c r="BO284"/>
  <c r="BN284"/>
  <c r="DU283"/>
  <c r="DT283"/>
  <c r="DS283"/>
  <c r="DR283"/>
  <c r="DQ283"/>
  <c r="DP283"/>
  <c r="DO283"/>
  <c r="DN283"/>
  <c r="DM283"/>
  <c r="DL283"/>
  <c r="DK283"/>
  <c r="DJ283"/>
  <c r="DI283"/>
  <c r="DH283"/>
  <c r="DG283"/>
  <c r="DF283"/>
  <c r="DE283"/>
  <c r="DD283"/>
  <c r="DC283"/>
  <c r="DB283"/>
  <c r="DA283"/>
  <c r="CZ283"/>
  <c r="CY283"/>
  <c r="CX283"/>
  <c r="CW283"/>
  <c r="CV283"/>
  <c r="CU283"/>
  <c r="CT283"/>
  <c r="CS283"/>
  <c r="CR283"/>
  <c r="CQ283"/>
  <c r="CP283"/>
  <c r="CO283"/>
  <c r="CN283"/>
  <c r="CM283"/>
  <c r="CL283"/>
  <c r="CK283"/>
  <c r="CJ283"/>
  <c r="CI283"/>
  <c r="CH283"/>
  <c r="CG283"/>
  <c r="CF283"/>
  <c r="CE283"/>
  <c r="CD283"/>
  <c r="CC283"/>
  <c r="CB283"/>
  <c r="CA283"/>
  <c r="BZ283"/>
  <c r="BY283"/>
  <c r="BX283"/>
  <c r="BW283"/>
  <c r="BV283"/>
  <c r="BU283"/>
  <c r="BT283"/>
  <c r="BS283"/>
  <c r="BR283"/>
  <c r="BQ283"/>
  <c r="BP283"/>
  <c r="BO283"/>
  <c r="BN283"/>
  <c r="DU282"/>
  <c r="DT282"/>
  <c r="DS282"/>
  <c r="DR282"/>
  <c r="DQ282"/>
  <c r="DP282"/>
  <c r="DO282"/>
  <c r="DN282"/>
  <c r="DM282"/>
  <c r="DL282"/>
  <c r="DK282"/>
  <c r="DJ282"/>
  <c r="DI282"/>
  <c r="DH282"/>
  <c r="DG282"/>
  <c r="DF282"/>
  <c r="DE282"/>
  <c r="DD282"/>
  <c r="DC282"/>
  <c r="DB282"/>
  <c r="DA282"/>
  <c r="CZ282"/>
  <c r="CY282"/>
  <c r="CX282"/>
  <c r="CW282"/>
  <c r="CV282"/>
  <c r="CU282"/>
  <c r="CT282"/>
  <c r="CS282"/>
  <c r="CR282"/>
  <c r="CQ282"/>
  <c r="CP282"/>
  <c r="CO282"/>
  <c r="CN282"/>
  <c r="CM282"/>
  <c r="CL282"/>
  <c r="CK282"/>
  <c r="CJ282"/>
  <c r="CI282"/>
  <c r="CH282"/>
  <c r="CG282"/>
  <c r="CF282"/>
  <c r="CE282"/>
  <c r="CD282"/>
  <c r="CC282"/>
  <c r="CB282"/>
  <c r="CA282"/>
  <c r="BZ282"/>
  <c r="BY282"/>
  <c r="BX282"/>
  <c r="BW282"/>
  <c r="BV282"/>
  <c r="BU282"/>
  <c r="BT282"/>
  <c r="BS282"/>
  <c r="BR282"/>
  <c r="BQ282"/>
  <c r="BP282"/>
  <c r="BO282"/>
  <c r="BN282"/>
  <c r="DU281"/>
  <c r="DT281"/>
  <c r="DS281"/>
  <c r="DR281"/>
  <c r="DQ281"/>
  <c r="DP281"/>
  <c r="DO281"/>
  <c r="DN281"/>
  <c r="DM281"/>
  <c r="DL281"/>
  <c r="DK281"/>
  <c r="DJ281"/>
  <c r="DI281"/>
  <c r="DH281"/>
  <c r="DG281"/>
  <c r="DF281"/>
  <c r="DE281"/>
  <c r="DD281"/>
  <c r="DC281"/>
  <c r="DB281"/>
  <c r="DA281"/>
  <c r="CZ281"/>
  <c r="CY281"/>
  <c r="CX281"/>
  <c r="CW281"/>
  <c r="CV281"/>
  <c r="CU281"/>
  <c r="CT281"/>
  <c r="CS281"/>
  <c r="CR281"/>
  <c r="CQ281"/>
  <c r="CP281"/>
  <c r="CO281"/>
  <c r="CN281"/>
  <c r="CM281"/>
  <c r="CL281"/>
  <c r="CK281"/>
  <c r="CJ281"/>
  <c r="CI281"/>
  <c r="CH281"/>
  <c r="CG281"/>
  <c r="CF281"/>
  <c r="CE281"/>
  <c r="CD281"/>
  <c r="CC281"/>
  <c r="CB281"/>
  <c r="CA281"/>
  <c r="BZ281"/>
  <c r="BY281"/>
  <c r="BX281"/>
  <c r="BW281"/>
  <c r="BV281"/>
  <c r="BU281"/>
  <c r="BT281"/>
  <c r="BS281"/>
  <c r="BR281"/>
  <c r="BQ281"/>
  <c r="BP281"/>
  <c r="BO281"/>
  <c r="BN281"/>
  <c r="C281"/>
  <c r="DU280"/>
  <c r="DT280"/>
  <c r="DS280"/>
  <c r="DR280"/>
  <c r="DQ280"/>
  <c r="DP280"/>
  <c r="DO280"/>
  <c r="DN280"/>
  <c r="DM280"/>
  <c r="DL280"/>
  <c r="DK280"/>
  <c r="DJ280"/>
  <c r="DI280"/>
  <c r="DH280"/>
  <c r="DG280"/>
  <c r="DF280"/>
  <c r="DE280"/>
  <c r="DD280"/>
  <c r="DC280"/>
  <c r="DB280"/>
  <c r="DA280"/>
  <c r="CZ280"/>
  <c r="CY280"/>
  <c r="CX280"/>
  <c r="CW280"/>
  <c r="CV280"/>
  <c r="CU280"/>
  <c r="CT280"/>
  <c r="CS280"/>
  <c r="CR280"/>
  <c r="CQ280"/>
  <c r="CP280"/>
  <c r="CO280"/>
  <c r="CN280"/>
  <c r="CM280"/>
  <c r="CL280"/>
  <c r="CK280"/>
  <c r="CJ280"/>
  <c r="CI280"/>
  <c r="CH280"/>
  <c r="CG280"/>
  <c r="CF280"/>
  <c r="CE280"/>
  <c r="CD280"/>
  <c r="CC280"/>
  <c r="CB280"/>
  <c r="CA280"/>
  <c r="BZ280"/>
  <c r="BY280"/>
  <c r="BX280"/>
  <c r="BW280"/>
  <c r="BV280"/>
  <c r="BU280"/>
  <c r="BT280"/>
  <c r="BS280"/>
  <c r="BR280"/>
  <c r="BQ280"/>
  <c r="BP280"/>
  <c r="BO280"/>
  <c r="BN280"/>
  <c r="DU279"/>
  <c r="DT279"/>
  <c r="DS279"/>
  <c r="DR279"/>
  <c r="DQ279"/>
  <c r="DP279"/>
  <c r="DO279"/>
  <c r="DN279"/>
  <c r="DM279"/>
  <c r="DL279"/>
  <c r="DK279"/>
  <c r="DJ279"/>
  <c r="DI279"/>
  <c r="DH279"/>
  <c r="DG279"/>
  <c r="DF279"/>
  <c r="DE279"/>
  <c r="DD279"/>
  <c r="DC279"/>
  <c r="DB279"/>
  <c r="DA279"/>
  <c r="CZ279"/>
  <c r="CY279"/>
  <c r="CX279"/>
  <c r="CW279"/>
  <c r="CV279"/>
  <c r="CU279"/>
  <c r="CT279"/>
  <c r="CS279"/>
  <c r="CR279"/>
  <c r="CQ279"/>
  <c r="CP279"/>
  <c r="CO279"/>
  <c r="CN279"/>
  <c r="CM279"/>
  <c r="CL279"/>
  <c r="CK279"/>
  <c r="CJ279"/>
  <c r="CI279"/>
  <c r="CH279"/>
  <c r="CG279"/>
  <c r="CF279"/>
  <c r="CE279"/>
  <c r="CD279"/>
  <c r="CC279"/>
  <c r="CB279"/>
  <c r="CA279"/>
  <c r="BZ279"/>
  <c r="BY279"/>
  <c r="BX279"/>
  <c r="BW279"/>
  <c r="BV279"/>
  <c r="BU279"/>
  <c r="BT279"/>
  <c r="BS279"/>
  <c r="BR279"/>
  <c r="BQ279"/>
  <c r="BP279"/>
  <c r="BO279"/>
  <c r="BN279"/>
  <c r="DU278"/>
  <c r="DT278"/>
  <c r="DS278"/>
  <c r="DR278"/>
  <c r="DQ278"/>
  <c r="DP278"/>
  <c r="DO278"/>
  <c r="DN278"/>
  <c r="DM278"/>
  <c r="DL278"/>
  <c r="DK278"/>
  <c r="DJ278"/>
  <c r="DI278"/>
  <c r="DH278"/>
  <c r="DG278"/>
  <c r="DF278"/>
  <c r="DE278"/>
  <c r="DD278"/>
  <c r="DC278"/>
  <c r="DB278"/>
  <c r="DA278"/>
  <c r="CZ278"/>
  <c r="CY278"/>
  <c r="CX278"/>
  <c r="CW278"/>
  <c r="CV278"/>
  <c r="CU278"/>
  <c r="CT278"/>
  <c r="CS278"/>
  <c r="CR278"/>
  <c r="CQ278"/>
  <c r="CP278"/>
  <c r="CO278"/>
  <c r="CN278"/>
  <c r="CM278"/>
  <c r="CL278"/>
  <c r="CK278"/>
  <c r="CJ278"/>
  <c r="CI278"/>
  <c r="CH278"/>
  <c r="CG278"/>
  <c r="CF278"/>
  <c r="CE278"/>
  <c r="CD278"/>
  <c r="CC278"/>
  <c r="CB278"/>
  <c r="CA278"/>
  <c r="BZ278"/>
  <c r="BY278"/>
  <c r="BX278"/>
  <c r="BW278"/>
  <c r="BV278"/>
  <c r="BU278"/>
  <c r="BT278"/>
  <c r="BS278"/>
  <c r="BR278"/>
  <c r="BQ278"/>
  <c r="BP278"/>
  <c r="BO278"/>
  <c r="BN278"/>
  <c r="DU277"/>
  <c r="DT277"/>
  <c r="DS277"/>
  <c r="DR277"/>
  <c r="DQ277"/>
  <c r="DP277"/>
  <c r="DO277"/>
  <c r="DN277"/>
  <c r="DM277"/>
  <c r="DL277"/>
  <c r="DK277"/>
  <c r="DJ277"/>
  <c r="DI277"/>
  <c r="DH277"/>
  <c r="DG277"/>
  <c r="DF277"/>
  <c r="DE277"/>
  <c r="DD277"/>
  <c r="DC277"/>
  <c r="DB277"/>
  <c r="DA277"/>
  <c r="CZ277"/>
  <c r="CY277"/>
  <c r="CX277"/>
  <c r="CW277"/>
  <c r="CV277"/>
  <c r="CU277"/>
  <c r="CT277"/>
  <c r="CS277"/>
  <c r="CR277"/>
  <c r="CQ277"/>
  <c r="CP277"/>
  <c r="CO277"/>
  <c r="CN277"/>
  <c r="CM277"/>
  <c r="CL277"/>
  <c r="CK277"/>
  <c r="CJ277"/>
  <c r="CI277"/>
  <c r="CH277"/>
  <c r="CG277"/>
  <c r="CF277"/>
  <c r="CE277"/>
  <c r="CD277"/>
  <c r="CC277"/>
  <c r="CB277"/>
  <c r="CA277"/>
  <c r="BZ277"/>
  <c r="BY277"/>
  <c r="BX277"/>
  <c r="BW277"/>
  <c r="BV277"/>
  <c r="BU277"/>
  <c r="BT277"/>
  <c r="BS277"/>
  <c r="BR277"/>
  <c r="BQ277"/>
  <c r="BP277"/>
  <c r="BO277"/>
  <c r="BN277"/>
  <c r="DU276"/>
  <c r="DT276"/>
  <c r="DS276"/>
  <c r="DR276"/>
  <c r="DQ276"/>
  <c r="DP276"/>
  <c r="DO276"/>
  <c r="DN276"/>
  <c r="DM276"/>
  <c r="DL276"/>
  <c r="DK276"/>
  <c r="DJ276"/>
  <c r="DI276"/>
  <c r="DH276"/>
  <c r="DG276"/>
  <c r="DF276"/>
  <c r="DE276"/>
  <c r="DD276"/>
  <c r="DC276"/>
  <c r="DB276"/>
  <c r="DA276"/>
  <c r="CZ276"/>
  <c r="CY276"/>
  <c r="CX276"/>
  <c r="CW276"/>
  <c r="CV276"/>
  <c r="CU276"/>
  <c r="CT276"/>
  <c r="CS276"/>
  <c r="CR276"/>
  <c r="CQ276"/>
  <c r="CP276"/>
  <c r="CO276"/>
  <c r="CN276"/>
  <c r="CM276"/>
  <c r="CL276"/>
  <c r="CK276"/>
  <c r="CJ276"/>
  <c r="CI276"/>
  <c r="CH276"/>
  <c r="CG276"/>
  <c r="CF276"/>
  <c r="CE276"/>
  <c r="CD276"/>
  <c r="CC276"/>
  <c r="CB276"/>
  <c r="CA276"/>
  <c r="BZ276"/>
  <c r="BY276"/>
  <c r="BX276"/>
  <c r="BW276"/>
  <c r="BV276"/>
  <c r="BU276"/>
  <c r="BT276"/>
  <c r="BS276"/>
  <c r="BR276"/>
  <c r="BQ276"/>
  <c r="BP276"/>
  <c r="BO276"/>
  <c r="BN276"/>
  <c r="DU275"/>
  <c r="DT275"/>
  <c r="DS275"/>
  <c r="DR275"/>
  <c r="DQ275"/>
  <c r="DP275"/>
  <c r="DO275"/>
  <c r="DN275"/>
  <c r="DM275"/>
  <c r="DL275"/>
  <c r="DK275"/>
  <c r="DJ275"/>
  <c r="DI275"/>
  <c r="DH275"/>
  <c r="DG275"/>
  <c r="DF275"/>
  <c r="DE275"/>
  <c r="DD275"/>
  <c r="DC275"/>
  <c r="DB275"/>
  <c r="DA275"/>
  <c r="CZ275"/>
  <c r="CY275"/>
  <c r="CX275"/>
  <c r="CW275"/>
  <c r="CV275"/>
  <c r="CU275"/>
  <c r="CT275"/>
  <c r="CS275"/>
  <c r="CR275"/>
  <c r="CQ275"/>
  <c r="CP275"/>
  <c r="CO275"/>
  <c r="CN275"/>
  <c r="CM275"/>
  <c r="CL275"/>
  <c r="CK275"/>
  <c r="CJ275"/>
  <c r="CI275"/>
  <c r="CH275"/>
  <c r="CG275"/>
  <c r="CF275"/>
  <c r="CE275"/>
  <c r="CD275"/>
  <c r="CC275"/>
  <c r="CB275"/>
  <c r="CA275"/>
  <c r="BZ275"/>
  <c r="BY275"/>
  <c r="BX275"/>
  <c r="BW275"/>
  <c r="BV275"/>
  <c r="BU275"/>
  <c r="BT275"/>
  <c r="BS275"/>
  <c r="BR275"/>
  <c r="BQ275"/>
  <c r="BP275"/>
  <c r="BO275"/>
  <c r="BN275"/>
  <c r="DU274"/>
  <c r="DT274"/>
  <c r="DS274"/>
  <c r="DR274"/>
  <c r="DQ274"/>
  <c r="DP274"/>
  <c r="DO274"/>
  <c r="DN274"/>
  <c r="DM274"/>
  <c r="DL274"/>
  <c r="DK274"/>
  <c r="DJ274"/>
  <c r="DI274"/>
  <c r="DH274"/>
  <c r="DG274"/>
  <c r="DF274"/>
  <c r="DE274"/>
  <c r="DD274"/>
  <c r="DC274"/>
  <c r="DB274"/>
  <c r="DA274"/>
  <c r="CZ274"/>
  <c r="CY274"/>
  <c r="CX274"/>
  <c r="CW274"/>
  <c r="CV274"/>
  <c r="CU274"/>
  <c r="CT274"/>
  <c r="CS274"/>
  <c r="CR274"/>
  <c r="CQ274"/>
  <c r="CP274"/>
  <c r="CO274"/>
  <c r="CN274"/>
  <c r="CM274"/>
  <c r="CL274"/>
  <c r="CK274"/>
  <c r="CJ274"/>
  <c r="CI274"/>
  <c r="CH274"/>
  <c r="CG274"/>
  <c r="CF274"/>
  <c r="CE274"/>
  <c r="CD274"/>
  <c r="CC274"/>
  <c r="CB274"/>
  <c r="CA274"/>
  <c r="BZ274"/>
  <c r="BY274"/>
  <c r="BX274"/>
  <c r="BW274"/>
  <c r="BV274"/>
  <c r="BU274"/>
  <c r="BT274"/>
  <c r="BS274"/>
  <c r="BR274"/>
  <c r="BQ274"/>
  <c r="BP274"/>
  <c r="BO274"/>
  <c r="BN274"/>
  <c r="DU273"/>
  <c r="DT273"/>
  <c r="DS273"/>
  <c r="DR273"/>
  <c r="DQ273"/>
  <c r="DP273"/>
  <c r="DO273"/>
  <c r="DN273"/>
  <c r="DM273"/>
  <c r="DL273"/>
  <c r="DK273"/>
  <c r="DJ273"/>
  <c r="DI273"/>
  <c r="DH273"/>
  <c r="DG273"/>
  <c r="DF273"/>
  <c r="DE273"/>
  <c r="DD273"/>
  <c r="DC273"/>
  <c r="DB273"/>
  <c r="DA273"/>
  <c r="CZ273"/>
  <c r="CY273"/>
  <c r="CX273"/>
  <c r="CW273"/>
  <c r="CV273"/>
  <c r="CU273"/>
  <c r="CT273"/>
  <c r="CS273"/>
  <c r="CR273"/>
  <c r="CQ273"/>
  <c r="CP273"/>
  <c r="CO273"/>
  <c r="CN273"/>
  <c r="CM273"/>
  <c r="CL273"/>
  <c r="CK273"/>
  <c r="CJ273"/>
  <c r="CI273"/>
  <c r="CH273"/>
  <c r="CG273"/>
  <c r="CF273"/>
  <c r="CE273"/>
  <c r="CD273"/>
  <c r="CC273"/>
  <c r="CB273"/>
  <c r="CA273"/>
  <c r="BZ273"/>
  <c r="BY273"/>
  <c r="BX273"/>
  <c r="BW273"/>
  <c r="BV273"/>
  <c r="BU273"/>
  <c r="BT273"/>
  <c r="BS273"/>
  <c r="BR273"/>
  <c r="BQ273"/>
  <c r="BP273"/>
  <c r="BO273"/>
  <c r="BN273"/>
  <c r="DU272"/>
  <c r="DT272"/>
  <c r="DS272"/>
  <c r="DR272"/>
  <c r="DQ272"/>
  <c r="DP272"/>
  <c r="DO272"/>
  <c r="DN272"/>
  <c r="DM272"/>
  <c r="DL272"/>
  <c r="DK272"/>
  <c r="DJ272"/>
  <c r="DI272"/>
  <c r="DH272"/>
  <c r="DG272"/>
  <c r="DF272"/>
  <c r="DE272"/>
  <c r="DD272"/>
  <c r="DC272"/>
  <c r="DB272"/>
  <c r="DA272"/>
  <c r="CZ272"/>
  <c r="CY272"/>
  <c r="CX272"/>
  <c r="CW272"/>
  <c r="CV272"/>
  <c r="CU272"/>
  <c r="CT272"/>
  <c r="CS272"/>
  <c r="CR272"/>
  <c r="CQ272"/>
  <c r="CP272"/>
  <c r="CO272"/>
  <c r="CN272"/>
  <c r="CM272"/>
  <c r="CL272"/>
  <c r="CK272"/>
  <c r="CJ272"/>
  <c r="CI272"/>
  <c r="CH272"/>
  <c r="CG272"/>
  <c r="CF272"/>
  <c r="CE272"/>
  <c r="CD272"/>
  <c r="CC272"/>
  <c r="CB272"/>
  <c r="CA272"/>
  <c r="BZ272"/>
  <c r="BY272"/>
  <c r="BX272"/>
  <c r="BW272"/>
  <c r="BV272"/>
  <c r="BU272"/>
  <c r="BT272"/>
  <c r="BS272"/>
  <c r="BR272"/>
  <c r="BQ272"/>
  <c r="BP272"/>
  <c r="BO272"/>
  <c r="BN272"/>
  <c r="DU271"/>
  <c r="DT271"/>
  <c r="DS271"/>
  <c r="DR271"/>
  <c r="DQ271"/>
  <c r="DP271"/>
  <c r="DO271"/>
  <c r="DN271"/>
  <c r="DM271"/>
  <c r="DL271"/>
  <c r="DK271"/>
  <c r="DJ271"/>
  <c r="DI271"/>
  <c r="DH271"/>
  <c r="DG271"/>
  <c r="DF271"/>
  <c r="DE271"/>
  <c r="DD271"/>
  <c r="DC271"/>
  <c r="DB271"/>
  <c r="DA271"/>
  <c r="CZ271"/>
  <c r="CY271"/>
  <c r="CX271"/>
  <c r="CW271"/>
  <c r="CV271"/>
  <c r="CU271"/>
  <c r="CT271"/>
  <c r="CS271"/>
  <c r="CR271"/>
  <c r="CQ271"/>
  <c r="CP271"/>
  <c r="CO271"/>
  <c r="CN271"/>
  <c r="CM271"/>
  <c r="CL271"/>
  <c r="CK271"/>
  <c r="CJ271"/>
  <c r="CI271"/>
  <c r="CH271"/>
  <c r="CG271"/>
  <c r="CF271"/>
  <c r="CE271"/>
  <c r="CD271"/>
  <c r="CC271"/>
  <c r="CB271"/>
  <c r="CA271"/>
  <c r="BZ271"/>
  <c r="BY271"/>
  <c r="BX271"/>
  <c r="BW271"/>
  <c r="BV271"/>
  <c r="BU271"/>
  <c r="BT271"/>
  <c r="BS271"/>
  <c r="BR271"/>
  <c r="BQ271"/>
  <c r="BP271"/>
  <c r="BO271"/>
  <c r="BN271"/>
  <c r="DU270"/>
  <c r="DT270"/>
  <c r="DS270"/>
  <c r="DR270"/>
  <c r="DQ270"/>
  <c r="DP270"/>
  <c r="DO270"/>
  <c r="DN270"/>
  <c r="DM270"/>
  <c r="DL270"/>
  <c r="DK270"/>
  <c r="DJ270"/>
  <c r="DI270"/>
  <c r="DH270"/>
  <c r="DG270"/>
  <c r="DF270"/>
  <c r="DE270"/>
  <c r="DD270"/>
  <c r="DC270"/>
  <c r="DB270"/>
  <c r="DA270"/>
  <c r="CZ270"/>
  <c r="CY270"/>
  <c r="CX270"/>
  <c r="CW270"/>
  <c r="CV270"/>
  <c r="CU270"/>
  <c r="CT270"/>
  <c r="CS270"/>
  <c r="CR270"/>
  <c r="CQ270"/>
  <c r="CP270"/>
  <c r="CO270"/>
  <c r="CN270"/>
  <c r="CM270"/>
  <c r="CL270"/>
  <c r="CK270"/>
  <c r="CJ270"/>
  <c r="CI270"/>
  <c r="CH270"/>
  <c r="CG270"/>
  <c r="CF270"/>
  <c r="CE270"/>
  <c r="CD270"/>
  <c r="CC270"/>
  <c r="CB270"/>
  <c r="CA270"/>
  <c r="BZ270"/>
  <c r="BY270"/>
  <c r="BX270"/>
  <c r="BW270"/>
  <c r="BV270"/>
  <c r="BU270"/>
  <c r="BT270"/>
  <c r="BS270"/>
  <c r="BR270"/>
  <c r="BQ270"/>
  <c r="BP270"/>
  <c r="BO270"/>
  <c r="BN270"/>
  <c r="DU269"/>
  <c r="DT269"/>
  <c r="DS269"/>
  <c r="DR269"/>
  <c r="DQ269"/>
  <c r="DP269"/>
  <c r="DO269"/>
  <c r="DN269"/>
  <c r="DM269"/>
  <c r="DL269"/>
  <c r="DK269"/>
  <c r="DJ269"/>
  <c r="DI269"/>
  <c r="DH269"/>
  <c r="DG269"/>
  <c r="DF269"/>
  <c r="DE269"/>
  <c r="DD269"/>
  <c r="DC269"/>
  <c r="DB269"/>
  <c r="DA269"/>
  <c r="CZ269"/>
  <c r="CY269"/>
  <c r="CX269"/>
  <c r="CW269"/>
  <c r="CV269"/>
  <c r="CU269"/>
  <c r="CT269"/>
  <c r="CS269"/>
  <c r="CR269"/>
  <c r="CQ269"/>
  <c r="CP269"/>
  <c r="CO269"/>
  <c r="CN269"/>
  <c r="CM269"/>
  <c r="CL269"/>
  <c r="CK269"/>
  <c r="CJ269"/>
  <c r="CI269"/>
  <c r="CH269"/>
  <c r="CG269"/>
  <c r="CF269"/>
  <c r="CE269"/>
  <c r="CD269"/>
  <c r="CC269"/>
  <c r="CB269"/>
  <c r="CA269"/>
  <c r="BZ269"/>
  <c r="BY269"/>
  <c r="BX269"/>
  <c r="BW269"/>
  <c r="BV269"/>
  <c r="BU269"/>
  <c r="BT269"/>
  <c r="BS269"/>
  <c r="BR269"/>
  <c r="BQ269"/>
  <c r="BP269"/>
  <c r="BO269"/>
  <c r="BN269"/>
  <c r="DU268"/>
  <c r="DT268"/>
  <c r="DS268"/>
  <c r="DR268"/>
  <c r="DQ268"/>
  <c r="DP268"/>
  <c r="DO268"/>
  <c r="DN268"/>
  <c r="DM268"/>
  <c r="DL268"/>
  <c r="DK268"/>
  <c r="DJ268"/>
  <c r="DI268"/>
  <c r="DH268"/>
  <c r="DG268"/>
  <c r="DF268"/>
  <c r="DE268"/>
  <c r="DD268"/>
  <c r="DC268"/>
  <c r="DB268"/>
  <c r="DA268"/>
  <c r="CZ268"/>
  <c r="CY268"/>
  <c r="CX268"/>
  <c r="CW268"/>
  <c r="CV268"/>
  <c r="CU268"/>
  <c r="CT268"/>
  <c r="CS268"/>
  <c r="CR268"/>
  <c r="CQ268"/>
  <c r="CP268"/>
  <c r="CO268"/>
  <c r="CN268"/>
  <c r="CM268"/>
  <c r="CL268"/>
  <c r="CK268"/>
  <c r="CJ268"/>
  <c r="CI268"/>
  <c r="CH268"/>
  <c r="CG268"/>
  <c r="CF268"/>
  <c r="CE268"/>
  <c r="CD268"/>
  <c r="CC268"/>
  <c r="CB268"/>
  <c r="CA268"/>
  <c r="BZ268"/>
  <c r="BY268"/>
  <c r="BX268"/>
  <c r="BW268"/>
  <c r="BV268"/>
  <c r="BU268"/>
  <c r="BT268"/>
  <c r="BS268"/>
  <c r="BR268"/>
  <c r="BQ268"/>
  <c r="BP268"/>
  <c r="BO268"/>
  <c r="BN268"/>
  <c r="DU267"/>
  <c r="DT267"/>
  <c r="DS267"/>
  <c r="DR267"/>
  <c r="DQ267"/>
  <c r="DP267"/>
  <c r="DO267"/>
  <c r="DN267"/>
  <c r="DM267"/>
  <c r="DL267"/>
  <c r="DK267"/>
  <c r="DJ267"/>
  <c r="DI267"/>
  <c r="DH267"/>
  <c r="DG267"/>
  <c r="DF267"/>
  <c r="DE267"/>
  <c r="DD267"/>
  <c r="DC267"/>
  <c r="DB267"/>
  <c r="DA267"/>
  <c r="CZ267"/>
  <c r="CY267"/>
  <c r="CX267"/>
  <c r="CW267"/>
  <c r="CV267"/>
  <c r="CU267"/>
  <c r="CT267"/>
  <c r="CS267"/>
  <c r="CR267"/>
  <c r="CQ267"/>
  <c r="CP267"/>
  <c r="CO267"/>
  <c r="CN267"/>
  <c r="CM267"/>
  <c r="CL267"/>
  <c r="CK267"/>
  <c r="CJ267"/>
  <c r="CI267"/>
  <c r="CH267"/>
  <c r="CG267"/>
  <c r="CF267"/>
  <c r="CE267"/>
  <c r="CD267"/>
  <c r="CC267"/>
  <c r="CB267"/>
  <c r="CA267"/>
  <c r="BZ267"/>
  <c r="BY267"/>
  <c r="BX267"/>
  <c r="BW267"/>
  <c r="BV267"/>
  <c r="BU267"/>
  <c r="BT267"/>
  <c r="BS267"/>
  <c r="BR267"/>
  <c r="BQ267"/>
  <c r="BP267"/>
  <c r="BO267"/>
  <c r="BN267"/>
  <c r="DU266"/>
  <c r="DT266"/>
  <c r="DS266"/>
  <c r="DR266"/>
  <c r="DQ266"/>
  <c r="DP266"/>
  <c r="DO266"/>
  <c r="DN266"/>
  <c r="DM266"/>
  <c r="DL266"/>
  <c r="DK266"/>
  <c r="DJ266"/>
  <c r="DI266"/>
  <c r="DH266"/>
  <c r="DG266"/>
  <c r="DF266"/>
  <c r="DE266"/>
  <c r="DD266"/>
  <c r="DC266"/>
  <c r="DB266"/>
  <c r="DA266"/>
  <c r="CZ266"/>
  <c r="CY266"/>
  <c r="CX266"/>
  <c r="CW266"/>
  <c r="CV266"/>
  <c r="CU266"/>
  <c r="CT266"/>
  <c r="CS266"/>
  <c r="CR266"/>
  <c r="CQ266"/>
  <c r="CP266"/>
  <c r="CO266"/>
  <c r="CN266"/>
  <c r="CM266"/>
  <c r="CL266"/>
  <c r="CK266"/>
  <c r="CJ266"/>
  <c r="CI266"/>
  <c r="CH266"/>
  <c r="CG266"/>
  <c r="CF266"/>
  <c r="CE266"/>
  <c r="CD266"/>
  <c r="CC266"/>
  <c r="CB266"/>
  <c r="CA266"/>
  <c r="BZ266"/>
  <c r="BY266"/>
  <c r="BX266"/>
  <c r="BW266"/>
  <c r="BV266"/>
  <c r="BU266"/>
  <c r="BT266"/>
  <c r="BS266"/>
  <c r="BR266"/>
  <c r="BQ266"/>
  <c r="BP266"/>
  <c r="BO266"/>
  <c r="BN266"/>
  <c r="DU265"/>
  <c r="DT265"/>
  <c r="DS265"/>
  <c r="DR265"/>
  <c r="DQ265"/>
  <c r="DP265"/>
  <c r="DO265"/>
  <c r="DN265"/>
  <c r="DM265"/>
  <c r="DL265"/>
  <c r="DK265"/>
  <c r="DJ265"/>
  <c r="DI265"/>
  <c r="DH265"/>
  <c r="DG265"/>
  <c r="DF265"/>
  <c r="DE265"/>
  <c r="DD265"/>
  <c r="DC265"/>
  <c r="DB265"/>
  <c r="DA265"/>
  <c r="CZ265"/>
  <c r="CY265"/>
  <c r="CX265"/>
  <c r="CW265"/>
  <c r="CV265"/>
  <c r="CU265"/>
  <c r="CT265"/>
  <c r="CS265"/>
  <c r="CR265"/>
  <c r="CQ265"/>
  <c r="CP265"/>
  <c r="CO265"/>
  <c r="CN265"/>
  <c r="CM265"/>
  <c r="CL265"/>
  <c r="CK265"/>
  <c r="CJ265"/>
  <c r="CI265"/>
  <c r="CH265"/>
  <c r="CG265"/>
  <c r="CF265"/>
  <c r="CE265"/>
  <c r="CD265"/>
  <c r="CC265"/>
  <c r="CB265"/>
  <c r="CA265"/>
  <c r="BZ265"/>
  <c r="BY265"/>
  <c r="BX265"/>
  <c r="BW265"/>
  <c r="BV265"/>
  <c r="BU265"/>
  <c r="BT265"/>
  <c r="BS265"/>
  <c r="BR265"/>
  <c r="BQ265"/>
  <c r="BP265"/>
  <c r="BO265"/>
  <c r="BN265"/>
  <c r="DU264"/>
  <c r="DT264"/>
  <c r="DS264"/>
  <c r="DR264"/>
  <c r="DQ264"/>
  <c r="DP264"/>
  <c r="DO264"/>
  <c r="DN264"/>
  <c r="DM264"/>
  <c r="DL264"/>
  <c r="DK264"/>
  <c r="DJ264"/>
  <c r="DI264"/>
  <c r="DH264"/>
  <c r="DG264"/>
  <c r="DF264"/>
  <c r="DE264"/>
  <c r="DD264"/>
  <c r="DC264"/>
  <c r="DB264"/>
  <c r="DA264"/>
  <c r="CZ264"/>
  <c r="CY264"/>
  <c r="CX264"/>
  <c r="CW264"/>
  <c r="CV264"/>
  <c r="CU264"/>
  <c r="CT264"/>
  <c r="CS264"/>
  <c r="CR264"/>
  <c r="CQ264"/>
  <c r="CP264"/>
  <c r="CO264"/>
  <c r="CN264"/>
  <c r="CM264"/>
  <c r="CL264"/>
  <c r="CK264"/>
  <c r="CJ264"/>
  <c r="CI264"/>
  <c r="CH264"/>
  <c r="CG264"/>
  <c r="CF264"/>
  <c r="CE264"/>
  <c r="CD264"/>
  <c r="CC264"/>
  <c r="CB264"/>
  <c r="CA264"/>
  <c r="BZ264"/>
  <c r="BY264"/>
  <c r="BX264"/>
  <c r="BW264"/>
  <c r="BV264"/>
  <c r="BU264"/>
  <c r="BT264"/>
  <c r="BS264"/>
  <c r="BR264"/>
  <c r="BQ264"/>
  <c r="BP264"/>
  <c r="BO264"/>
  <c r="BN264"/>
  <c r="DU263"/>
  <c r="DT263"/>
  <c r="DS263"/>
  <c r="DR263"/>
  <c r="DQ263"/>
  <c r="DP263"/>
  <c r="DO263"/>
  <c r="DN263"/>
  <c r="DM263"/>
  <c r="DL263"/>
  <c r="DK263"/>
  <c r="DJ263"/>
  <c r="DI263"/>
  <c r="DH263"/>
  <c r="DG263"/>
  <c r="DF263"/>
  <c r="DE263"/>
  <c r="DD263"/>
  <c r="DC263"/>
  <c r="DB263"/>
  <c r="DA263"/>
  <c r="CZ263"/>
  <c r="CY263"/>
  <c r="CX263"/>
  <c r="CW263"/>
  <c r="CV263"/>
  <c r="CU263"/>
  <c r="CT263"/>
  <c r="CS263"/>
  <c r="CR263"/>
  <c r="CQ263"/>
  <c r="CP263"/>
  <c r="CO263"/>
  <c r="CN263"/>
  <c r="CM263"/>
  <c r="CL263"/>
  <c r="CK263"/>
  <c r="CJ263"/>
  <c r="CI263"/>
  <c r="CH263"/>
  <c r="CG263"/>
  <c r="CF263"/>
  <c r="CE263"/>
  <c r="CD263"/>
  <c r="CC263"/>
  <c r="CB263"/>
  <c r="CA263"/>
  <c r="BZ263"/>
  <c r="BY263"/>
  <c r="BX263"/>
  <c r="BW263"/>
  <c r="BV263"/>
  <c r="BU263"/>
  <c r="BT263"/>
  <c r="BS263"/>
  <c r="BR263"/>
  <c r="BQ263"/>
  <c r="BP263"/>
  <c r="BO263"/>
  <c r="BN263"/>
  <c r="DU262"/>
  <c r="DT262"/>
  <c r="DS262"/>
  <c r="DR262"/>
  <c r="DQ262"/>
  <c r="DP262"/>
  <c r="DO262"/>
  <c r="DN262"/>
  <c r="DM262"/>
  <c r="DL262"/>
  <c r="DK262"/>
  <c r="DJ262"/>
  <c r="DI262"/>
  <c r="DH262"/>
  <c r="DG262"/>
  <c r="DF262"/>
  <c r="DE262"/>
  <c r="DD262"/>
  <c r="DC262"/>
  <c r="DB262"/>
  <c r="DA262"/>
  <c r="CZ262"/>
  <c r="CY262"/>
  <c r="CX262"/>
  <c r="CW262"/>
  <c r="CV262"/>
  <c r="CU262"/>
  <c r="CT262"/>
  <c r="CS262"/>
  <c r="CR262"/>
  <c r="CQ262"/>
  <c r="CP262"/>
  <c r="CO262"/>
  <c r="CN262"/>
  <c r="CM262"/>
  <c r="CL262"/>
  <c r="CK262"/>
  <c r="CJ262"/>
  <c r="CI262"/>
  <c r="CH262"/>
  <c r="CG262"/>
  <c r="CF262"/>
  <c r="CE262"/>
  <c r="CD262"/>
  <c r="CC262"/>
  <c r="CB262"/>
  <c r="CA262"/>
  <c r="BZ262"/>
  <c r="BY262"/>
  <c r="BX262"/>
  <c r="BW262"/>
  <c r="BV262"/>
  <c r="BU262"/>
  <c r="BT262"/>
  <c r="BS262"/>
  <c r="BR262"/>
  <c r="BQ262"/>
  <c r="BP262"/>
  <c r="BO262"/>
  <c r="BN262"/>
  <c r="DU261"/>
  <c r="DT261"/>
  <c r="DS261"/>
  <c r="DR261"/>
  <c r="DQ261"/>
  <c r="DP261"/>
  <c r="DO261"/>
  <c r="DN261"/>
  <c r="DM261"/>
  <c r="DL261"/>
  <c r="DK261"/>
  <c r="DJ261"/>
  <c r="DI261"/>
  <c r="DH261"/>
  <c r="DG261"/>
  <c r="DF261"/>
  <c r="DE261"/>
  <c r="DD261"/>
  <c r="DC261"/>
  <c r="DB261"/>
  <c r="DA261"/>
  <c r="CZ261"/>
  <c r="CY261"/>
  <c r="CX261"/>
  <c r="CW261"/>
  <c r="CV261"/>
  <c r="CU261"/>
  <c r="CT261"/>
  <c r="CS261"/>
  <c r="CR261"/>
  <c r="CQ261"/>
  <c r="CP261"/>
  <c r="CO261"/>
  <c r="CN261"/>
  <c r="CM261"/>
  <c r="CL261"/>
  <c r="CK261"/>
  <c r="CJ261"/>
  <c r="CI261"/>
  <c r="CH261"/>
  <c r="CG261"/>
  <c r="CF261"/>
  <c r="CE261"/>
  <c r="CD261"/>
  <c r="CC261"/>
  <c r="CB261"/>
  <c r="CA261"/>
  <c r="BZ261"/>
  <c r="BY261"/>
  <c r="BX261"/>
  <c r="BW261"/>
  <c r="BV261"/>
  <c r="BU261"/>
  <c r="BT261"/>
  <c r="BS261"/>
  <c r="BR261"/>
  <c r="BQ261"/>
  <c r="BP261"/>
  <c r="BO261"/>
  <c r="BN261"/>
  <c r="DU260"/>
  <c r="DT260"/>
  <c r="DS260"/>
  <c r="DR260"/>
  <c r="DQ260"/>
  <c r="DP260"/>
  <c r="DO260"/>
  <c r="DN260"/>
  <c r="DM260"/>
  <c r="DL260"/>
  <c r="DK260"/>
  <c r="DJ260"/>
  <c r="DI260"/>
  <c r="DH260"/>
  <c r="DG260"/>
  <c r="DF260"/>
  <c r="DE260"/>
  <c r="DD260"/>
  <c r="DC260"/>
  <c r="DB260"/>
  <c r="DA260"/>
  <c r="CZ260"/>
  <c r="CY260"/>
  <c r="CX260"/>
  <c r="CW260"/>
  <c r="CV260"/>
  <c r="CU260"/>
  <c r="CT260"/>
  <c r="CS260"/>
  <c r="CR260"/>
  <c r="CQ260"/>
  <c r="CP260"/>
  <c r="CO260"/>
  <c r="CN260"/>
  <c r="CM260"/>
  <c r="CL260"/>
  <c r="CK260"/>
  <c r="CJ260"/>
  <c r="CI260"/>
  <c r="CH260"/>
  <c r="CG260"/>
  <c r="CF260"/>
  <c r="CE260"/>
  <c r="CD260"/>
  <c r="CC260"/>
  <c r="CB260"/>
  <c r="CA260"/>
  <c r="BZ260"/>
  <c r="BY260"/>
  <c r="BX260"/>
  <c r="BW260"/>
  <c r="BV260"/>
  <c r="BU260"/>
  <c r="BT260"/>
  <c r="BS260"/>
  <c r="BR260"/>
  <c r="BQ260"/>
  <c r="BP260"/>
  <c r="BO260"/>
  <c r="BN260"/>
  <c r="DU259"/>
  <c r="DT259"/>
  <c r="DS259"/>
  <c r="DR259"/>
  <c r="DQ259"/>
  <c r="DP259"/>
  <c r="DO259"/>
  <c r="DN259"/>
  <c r="DM259"/>
  <c r="DL259"/>
  <c r="DK259"/>
  <c r="DJ259"/>
  <c r="DI259"/>
  <c r="DH259"/>
  <c r="DG259"/>
  <c r="DF259"/>
  <c r="DE259"/>
  <c r="DD259"/>
  <c r="DC259"/>
  <c r="DB259"/>
  <c r="DA259"/>
  <c r="CZ259"/>
  <c r="CY259"/>
  <c r="CX259"/>
  <c r="CW259"/>
  <c r="CV259"/>
  <c r="CU259"/>
  <c r="CT259"/>
  <c r="CS259"/>
  <c r="CR259"/>
  <c r="CQ259"/>
  <c r="CP259"/>
  <c r="CO259"/>
  <c r="CN259"/>
  <c r="CM259"/>
  <c r="CL259"/>
  <c r="CK259"/>
  <c r="CJ259"/>
  <c r="CI259"/>
  <c r="CH259"/>
  <c r="CG259"/>
  <c r="CF259"/>
  <c r="CE259"/>
  <c r="CD259"/>
  <c r="CC259"/>
  <c r="CB259"/>
  <c r="CA259"/>
  <c r="BZ259"/>
  <c r="BY259"/>
  <c r="BX259"/>
  <c r="BW259"/>
  <c r="BV259"/>
  <c r="BU259"/>
  <c r="BT259"/>
  <c r="BS259"/>
  <c r="BR259"/>
  <c r="BQ259"/>
  <c r="BP259"/>
  <c r="BO259"/>
  <c r="BN259"/>
  <c r="DU258"/>
  <c r="DT258"/>
  <c r="DS258"/>
  <c r="DR258"/>
  <c r="DQ258"/>
  <c r="DP258"/>
  <c r="DO258"/>
  <c r="DN258"/>
  <c r="DM258"/>
  <c r="DL258"/>
  <c r="DK258"/>
  <c r="DJ258"/>
  <c r="DI258"/>
  <c r="DH258"/>
  <c r="DG258"/>
  <c r="DF258"/>
  <c r="DE258"/>
  <c r="DD258"/>
  <c r="DC258"/>
  <c r="DB258"/>
  <c r="DA258"/>
  <c r="CZ258"/>
  <c r="CY258"/>
  <c r="CX258"/>
  <c r="CW258"/>
  <c r="CV258"/>
  <c r="CU258"/>
  <c r="CT258"/>
  <c r="CS258"/>
  <c r="CR258"/>
  <c r="CQ258"/>
  <c r="CP258"/>
  <c r="CO258"/>
  <c r="CN258"/>
  <c r="CM258"/>
  <c r="CL258"/>
  <c r="CK258"/>
  <c r="CJ258"/>
  <c r="CI258"/>
  <c r="CH258"/>
  <c r="CG258"/>
  <c r="CF258"/>
  <c r="CE258"/>
  <c r="CD258"/>
  <c r="CC258"/>
  <c r="CB258"/>
  <c r="CA258"/>
  <c r="BZ258"/>
  <c r="BY258"/>
  <c r="BX258"/>
  <c r="BW258"/>
  <c r="BV258"/>
  <c r="BU258"/>
  <c r="BT258"/>
  <c r="BS258"/>
  <c r="BR258"/>
  <c r="BQ258"/>
  <c r="BP258"/>
  <c r="BO258"/>
  <c r="BN258"/>
  <c r="DU257"/>
  <c r="DT257"/>
  <c r="DS257"/>
  <c r="DR257"/>
  <c r="DQ257"/>
  <c r="DP257"/>
  <c r="DO257"/>
  <c r="DN257"/>
  <c r="DM257"/>
  <c r="DL257"/>
  <c r="DK257"/>
  <c r="DJ257"/>
  <c r="DI257"/>
  <c r="DH257"/>
  <c r="DG257"/>
  <c r="DF257"/>
  <c r="DE257"/>
  <c r="DD257"/>
  <c r="DC257"/>
  <c r="DB257"/>
  <c r="DA257"/>
  <c r="CZ257"/>
  <c r="CY257"/>
  <c r="CX257"/>
  <c r="CW257"/>
  <c r="CV257"/>
  <c r="CU257"/>
  <c r="CT257"/>
  <c r="CS257"/>
  <c r="CR257"/>
  <c r="CQ257"/>
  <c r="CP257"/>
  <c r="CO257"/>
  <c r="CN257"/>
  <c r="CM257"/>
  <c r="CL257"/>
  <c r="CK257"/>
  <c r="CJ257"/>
  <c r="CI257"/>
  <c r="CH257"/>
  <c r="CG257"/>
  <c r="CF257"/>
  <c r="CE257"/>
  <c r="CD257"/>
  <c r="CC257"/>
  <c r="CB257"/>
  <c r="CA257"/>
  <c r="BZ257"/>
  <c r="BY257"/>
  <c r="BX257"/>
  <c r="BW257"/>
  <c r="BV257"/>
  <c r="BU257"/>
  <c r="BT257"/>
  <c r="BS257"/>
  <c r="BR257"/>
  <c r="BQ257"/>
  <c r="BP257"/>
  <c r="BO257"/>
  <c r="BN257"/>
  <c r="DU256"/>
  <c r="DT256"/>
  <c r="DS256"/>
  <c r="DR256"/>
  <c r="DQ256"/>
  <c r="DP256"/>
  <c r="DO256"/>
  <c r="DN256"/>
  <c r="DM256"/>
  <c r="DL256"/>
  <c r="DK256"/>
  <c r="DJ256"/>
  <c r="DI256"/>
  <c r="DH256"/>
  <c r="DG256"/>
  <c r="DF256"/>
  <c r="DE256"/>
  <c r="DD256"/>
  <c r="DC256"/>
  <c r="DB256"/>
  <c r="DA256"/>
  <c r="CZ256"/>
  <c r="CY256"/>
  <c r="CX256"/>
  <c r="CW256"/>
  <c r="CV256"/>
  <c r="CU256"/>
  <c r="CT256"/>
  <c r="CS256"/>
  <c r="CR256"/>
  <c r="CQ256"/>
  <c r="CP256"/>
  <c r="CO256"/>
  <c r="CN256"/>
  <c r="CM256"/>
  <c r="CL256"/>
  <c r="CK256"/>
  <c r="CJ256"/>
  <c r="CI256"/>
  <c r="CH256"/>
  <c r="CG256"/>
  <c r="CF256"/>
  <c r="CE256"/>
  <c r="CD256"/>
  <c r="CC256"/>
  <c r="CB256"/>
  <c r="CA256"/>
  <c r="BZ256"/>
  <c r="BY256"/>
  <c r="BX256"/>
  <c r="BW256"/>
  <c r="BV256"/>
  <c r="BU256"/>
  <c r="BT256"/>
  <c r="BS256"/>
  <c r="BR256"/>
  <c r="BQ256"/>
  <c r="BP256"/>
  <c r="BO256"/>
  <c r="BN256"/>
  <c r="DU255"/>
  <c r="DT255"/>
  <c r="DS255"/>
  <c r="DR255"/>
  <c r="DQ255"/>
  <c r="DP255"/>
  <c r="DO255"/>
  <c r="DN255"/>
  <c r="DM255"/>
  <c r="DL255"/>
  <c r="DK255"/>
  <c r="DJ255"/>
  <c r="DI255"/>
  <c r="DH255"/>
  <c r="DG255"/>
  <c r="DF255"/>
  <c r="DE255"/>
  <c r="DD255"/>
  <c r="DC255"/>
  <c r="DB255"/>
  <c r="DA255"/>
  <c r="CZ255"/>
  <c r="CY255"/>
  <c r="CX255"/>
  <c r="CW255"/>
  <c r="CV255"/>
  <c r="CU255"/>
  <c r="CT255"/>
  <c r="CS255"/>
  <c r="CR255"/>
  <c r="CQ255"/>
  <c r="CP255"/>
  <c r="CO255"/>
  <c r="CN255"/>
  <c r="CM255"/>
  <c r="CL255"/>
  <c r="CK255"/>
  <c r="CJ255"/>
  <c r="CI255"/>
  <c r="CH255"/>
  <c r="CG255"/>
  <c r="CF255"/>
  <c r="CE255"/>
  <c r="CD255"/>
  <c r="CC255"/>
  <c r="CB255"/>
  <c r="CA255"/>
  <c r="BZ255"/>
  <c r="BY255"/>
  <c r="BX255"/>
  <c r="BW255"/>
  <c r="BV255"/>
  <c r="BU255"/>
  <c r="BT255"/>
  <c r="BS255"/>
  <c r="BR255"/>
  <c r="BQ255"/>
  <c r="BP255"/>
  <c r="BO255"/>
  <c r="BN255"/>
  <c r="DU254"/>
  <c r="DT254"/>
  <c r="DS254"/>
  <c r="DR254"/>
  <c r="DQ254"/>
  <c r="DP254"/>
  <c r="DO254"/>
  <c r="DN254"/>
  <c r="DM254"/>
  <c r="DL254"/>
  <c r="DK254"/>
  <c r="DJ254"/>
  <c r="DI254"/>
  <c r="DH254"/>
  <c r="DG254"/>
  <c r="DF254"/>
  <c r="DE254"/>
  <c r="DD254"/>
  <c r="DC254"/>
  <c r="DB254"/>
  <c r="DA254"/>
  <c r="CZ254"/>
  <c r="CY254"/>
  <c r="CX254"/>
  <c r="CW254"/>
  <c r="CV254"/>
  <c r="CU254"/>
  <c r="CT254"/>
  <c r="CS254"/>
  <c r="CR254"/>
  <c r="CQ254"/>
  <c r="CP254"/>
  <c r="CO254"/>
  <c r="CN254"/>
  <c r="CM254"/>
  <c r="CL254"/>
  <c r="CK254"/>
  <c r="CJ254"/>
  <c r="CI254"/>
  <c r="CH254"/>
  <c r="CG254"/>
  <c r="CF254"/>
  <c r="CE254"/>
  <c r="CD254"/>
  <c r="CC254"/>
  <c r="CB254"/>
  <c r="CA254"/>
  <c r="BZ254"/>
  <c r="BY254"/>
  <c r="BX254"/>
  <c r="BW254"/>
  <c r="BV254"/>
  <c r="BU254"/>
  <c r="BT254"/>
  <c r="BS254"/>
  <c r="BR254"/>
  <c r="BQ254"/>
  <c r="BP254"/>
  <c r="BO254"/>
  <c r="BN254"/>
  <c r="DU253"/>
  <c r="DT253"/>
  <c r="DS253"/>
  <c r="DR253"/>
  <c r="DQ253"/>
  <c r="DP253"/>
  <c r="DO253"/>
  <c r="DN253"/>
  <c r="DM253"/>
  <c r="DL253"/>
  <c r="DK253"/>
  <c r="DJ253"/>
  <c r="DI253"/>
  <c r="DH253"/>
  <c r="DG253"/>
  <c r="DF253"/>
  <c r="DE253"/>
  <c r="DD253"/>
  <c r="DC253"/>
  <c r="DB253"/>
  <c r="DA253"/>
  <c r="CZ253"/>
  <c r="CY253"/>
  <c r="CX253"/>
  <c r="CW253"/>
  <c r="CV253"/>
  <c r="CU253"/>
  <c r="CT253"/>
  <c r="CS253"/>
  <c r="CR253"/>
  <c r="CQ253"/>
  <c r="CP253"/>
  <c r="CO253"/>
  <c r="CN253"/>
  <c r="CM253"/>
  <c r="CL253"/>
  <c r="CK253"/>
  <c r="CJ253"/>
  <c r="CI253"/>
  <c r="CH253"/>
  <c r="CG253"/>
  <c r="CF253"/>
  <c r="CE253"/>
  <c r="CD253"/>
  <c r="CC253"/>
  <c r="CB253"/>
  <c r="CA253"/>
  <c r="BZ253"/>
  <c r="BY253"/>
  <c r="BX253"/>
  <c r="BW253"/>
  <c r="BV253"/>
  <c r="BU253"/>
  <c r="BT253"/>
  <c r="BS253"/>
  <c r="BR253"/>
  <c r="BQ253"/>
  <c r="BP253"/>
  <c r="BO253"/>
  <c r="BN253"/>
  <c r="DU252"/>
  <c r="DT252"/>
  <c r="DS252"/>
  <c r="DR252"/>
  <c r="DQ252"/>
  <c r="DP252"/>
  <c r="DO252"/>
  <c r="DN252"/>
  <c r="DM252"/>
  <c r="DL252"/>
  <c r="DK252"/>
  <c r="DJ252"/>
  <c r="DI252"/>
  <c r="DH252"/>
  <c r="DG252"/>
  <c r="DF252"/>
  <c r="DE252"/>
  <c r="DD252"/>
  <c r="DC252"/>
  <c r="DB252"/>
  <c r="DA252"/>
  <c r="CZ252"/>
  <c r="CY252"/>
  <c r="CX252"/>
  <c r="CW252"/>
  <c r="CV252"/>
  <c r="CU252"/>
  <c r="CT252"/>
  <c r="CS252"/>
  <c r="CR252"/>
  <c r="CQ252"/>
  <c r="CP252"/>
  <c r="CO252"/>
  <c r="CN252"/>
  <c r="CM252"/>
  <c r="CL252"/>
  <c r="CK252"/>
  <c r="CJ252"/>
  <c r="CI252"/>
  <c r="CH252"/>
  <c r="CG252"/>
  <c r="CF252"/>
  <c r="CE252"/>
  <c r="CD252"/>
  <c r="CC252"/>
  <c r="CB252"/>
  <c r="CA252"/>
  <c r="BZ252"/>
  <c r="BY252"/>
  <c r="BX252"/>
  <c r="BW252"/>
  <c r="BV252"/>
  <c r="BU252"/>
  <c r="BT252"/>
  <c r="BS252"/>
  <c r="BR252"/>
  <c r="BQ252"/>
  <c r="BP252"/>
  <c r="BO252"/>
  <c r="BN252"/>
  <c r="DU251"/>
  <c r="DT251"/>
  <c r="DS251"/>
  <c r="DR251"/>
  <c r="DQ251"/>
  <c r="DP251"/>
  <c r="DO251"/>
  <c r="DN251"/>
  <c r="DM251"/>
  <c r="DL251"/>
  <c r="DK251"/>
  <c r="DJ251"/>
  <c r="DI251"/>
  <c r="DH251"/>
  <c r="DG251"/>
  <c r="DF251"/>
  <c r="DE251"/>
  <c r="DD251"/>
  <c r="DC251"/>
  <c r="DB251"/>
  <c r="DA251"/>
  <c r="CZ251"/>
  <c r="CY251"/>
  <c r="CX251"/>
  <c r="CW251"/>
  <c r="CV251"/>
  <c r="CU251"/>
  <c r="CT251"/>
  <c r="CS251"/>
  <c r="CR251"/>
  <c r="CQ251"/>
  <c r="CP251"/>
  <c r="CO251"/>
  <c r="CN251"/>
  <c r="CM251"/>
  <c r="CL251"/>
  <c r="CK251"/>
  <c r="CJ251"/>
  <c r="CI251"/>
  <c r="CH251"/>
  <c r="CG251"/>
  <c r="CF251"/>
  <c r="CE251"/>
  <c r="CD251"/>
  <c r="CC251"/>
  <c r="CB251"/>
  <c r="CA251"/>
  <c r="BZ251"/>
  <c r="BY251"/>
  <c r="BX251"/>
  <c r="BW251"/>
  <c r="BV251"/>
  <c r="BU251"/>
  <c r="BT251"/>
  <c r="BS251"/>
  <c r="BR251"/>
  <c r="BQ251"/>
  <c r="BP251"/>
  <c r="BO251"/>
  <c r="BN251"/>
  <c r="DU250"/>
  <c r="DT250"/>
  <c r="DS250"/>
  <c r="DR250"/>
  <c r="DQ250"/>
  <c r="DP250"/>
  <c r="DO250"/>
  <c r="DN250"/>
  <c r="DM250"/>
  <c r="DL250"/>
  <c r="DK250"/>
  <c r="DJ250"/>
  <c r="DI250"/>
  <c r="DH250"/>
  <c r="DG250"/>
  <c r="DF250"/>
  <c r="DE250"/>
  <c r="DD250"/>
  <c r="DC250"/>
  <c r="DB250"/>
  <c r="DA250"/>
  <c r="CZ250"/>
  <c r="CY250"/>
  <c r="CX250"/>
  <c r="CW250"/>
  <c r="CV250"/>
  <c r="CU250"/>
  <c r="CT250"/>
  <c r="CS250"/>
  <c r="CR250"/>
  <c r="CQ250"/>
  <c r="CP250"/>
  <c r="CO250"/>
  <c r="CN250"/>
  <c r="CM250"/>
  <c r="CL250"/>
  <c r="CK250"/>
  <c r="CJ250"/>
  <c r="CI250"/>
  <c r="CH250"/>
  <c r="CG250"/>
  <c r="CF250"/>
  <c r="CE250"/>
  <c r="CD250"/>
  <c r="CC250"/>
  <c r="CB250"/>
  <c r="CA250"/>
  <c r="BZ250"/>
  <c r="BY250"/>
  <c r="BX250"/>
  <c r="BW250"/>
  <c r="BV250"/>
  <c r="BU250"/>
  <c r="BT250"/>
  <c r="BS250"/>
  <c r="BR250"/>
  <c r="BQ250"/>
  <c r="BP250"/>
  <c r="BO250"/>
  <c r="BN250"/>
  <c r="DU249"/>
  <c r="DT249"/>
  <c r="DS249"/>
  <c r="DR249"/>
  <c r="DQ249"/>
  <c r="DP249"/>
  <c r="DO249"/>
  <c r="DN249"/>
  <c r="DM249"/>
  <c r="DL249"/>
  <c r="DK249"/>
  <c r="DJ249"/>
  <c r="DI249"/>
  <c r="DH249"/>
  <c r="DG249"/>
  <c r="DF249"/>
  <c r="DE249"/>
  <c r="DD249"/>
  <c r="DC249"/>
  <c r="DB249"/>
  <c r="DA249"/>
  <c r="CZ249"/>
  <c r="CY249"/>
  <c r="CX249"/>
  <c r="CW249"/>
  <c r="CV249"/>
  <c r="CU249"/>
  <c r="CT249"/>
  <c r="CS249"/>
  <c r="CR249"/>
  <c r="CQ249"/>
  <c r="CP249"/>
  <c r="CO249"/>
  <c r="CN249"/>
  <c r="CM249"/>
  <c r="CL249"/>
  <c r="CK249"/>
  <c r="CJ249"/>
  <c r="CI249"/>
  <c r="CH249"/>
  <c r="CG249"/>
  <c r="CF249"/>
  <c r="CE249"/>
  <c r="CD249"/>
  <c r="CC249"/>
  <c r="CB249"/>
  <c r="CA249"/>
  <c r="BZ249"/>
  <c r="BY249"/>
  <c r="BX249"/>
  <c r="BW249"/>
  <c r="BV249"/>
  <c r="BU249"/>
  <c r="BT249"/>
  <c r="BS249"/>
  <c r="BR249"/>
  <c r="BQ249"/>
  <c r="BP249"/>
  <c r="BO249"/>
  <c r="BN249"/>
  <c r="DU248"/>
  <c r="DT248"/>
  <c r="DS248"/>
  <c r="DR248"/>
  <c r="DQ248"/>
  <c r="DP248"/>
  <c r="DO248"/>
  <c r="DN248"/>
  <c r="DM248"/>
  <c r="DL248"/>
  <c r="DK248"/>
  <c r="DJ248"/>
  <c r="DI248"/>
  <c r="DH248"/>
  <c r="DG248"/>
  <c r="DF248"/>
  <c r="DE248"/>
  <c r="DD248"/>
  <c r="DC248"/>
  <c r="DB248"/>
  <c r="DA248"/>
  <c r="CZ248"/>
  <c r="CY248"/>
  <c r="CX248"/>
  <c r="CW248"/>
  <c r="CV248"/>
  <c r="CU248"/>
  <c r="CT248"/>
  <c r="CS248"/>
  <c r="CR248"/>
  <c r="CQ248"/>
  <c r="CP248"/>
  <c r="CO248"/>
  <c r="CN248"/>
  <c r="CM248"/>
  <c r="CL248"/>
  <c r="CK248"/>
  <c r="CJ248"/>
  <c r="CI248"/>
  <c r="CH248"/>
  <c r="CG248"/>
  <c r="CF248"/>
  <c r="CE248"/>
  <c r="CD248"/>
  <c r="CC248"/>
  <c r="CB248"/>
  <c r="CA248"/>
  <c r="BZ248"/>
  <c r="BY248"/>
  <c r="BX248"/>
  <c r="BW248"/>
  <c r="BV248"/>
  <c r="BU248"/>
  <c r="BT248"/>
  <c r="BS248"/>
  <c r="BR248"/>
  <c r="BQ248"/>
  <c r="BP248"/>
  <c r="BO248"/>
  <c r="BN248"/>
  <c r="DU247"/>
  <c r="DT247"/>
  <c r="DS247"/>
  <c r="DR247"/>
  <c r="DQ247"/>
  <c r="DP247"/>
  <c r="DO247"/>
  <c r="DN247"/>
  <c r="DM247"/>
  <c r="DL247"/>
  <c r="DK247"/>
  <c r="DJ247"/>
  <c r="DI247"/>
  <c r="DH247"/>
  <c r="DG247"/>
  <c r="DF247"/>
  <c r="DE247"/>
  <c r="DD247"/>
  <c r="DC247"/>
  <c r="DB247"/>
  <c r="DA247"/>
  <c r="CZ247"/>
  <c r="CY247"/>
  <c r="CX247"/>
  <c r="CW247"/>
  <c r="CV247"/>
  <c r="CU247"/>
  <c r="CT247"/>
  <c r="CS247"/>
  <c r="CR247"/>
  <c r="CQ247"/>
  <c r="CP247"/>
  <c r="CO247"/>
  <c r="CN247"/>
  <c r="CM247"/>
  <c r="CL247"/>
  <c r="CK247"/>
  <c r="CJ247"/>
  <c r="CI247"/>
  <c r="CH247"/>
  <c r="CG247"/>
  <c r="CF247"/>
  <c r="CE247"/>
  <c r="CD247"/>
  <c r="CC247"/>
  <c r="CB247"/>
  <c r="CA247"/>
  <c r="BZ247"/>
  <c r="BY247"/>
  <c r="BX247"/>
  <c r="BW247"/>
  <c r="BV247"/>
  <c r="BU247"/>
  <c r="BT247"/>
  <c r="BS247"/>
  <c r="BR247"/>
  <c r="BQ247"/>
  <c r="BP247"/>
  <c r="BO247"/>
  <c r="BN247"/>
  <c r="DU246"/>
  <c r="DT246"/>
  <c r="DS246"/>
  <c r="DR246"/>
  <c r="DQ246"/>
  <c r="DP246"/>
  <c r="DO246"/>
  <c r="DN246"/>
  <c r="DM246"/>
  <c r="DL246"/>
  <c r="DK246"/>
  <c r="DJ246"/>
  <c r="DI246"/>
  <c r="DH246"/>
  <c r="DG246"/>
  <c r="DF246"/>
  <c r="DE246"/>
  <c r="DD246"/>
  <c r="DC246"/>
  <c r="DB246"/>
  <c r="DA246"/>
  <c r="CZ246"/>
  <c r="CY246"/>
  <c r="CX246"/>
  <c r="CW246"/>
  <c r="CV246"/>
  <c r="CU246"/>
  <c r="CT246"/>
  <c r="CS246"/>
  <c r="CR246"/>
  <c r="CQ246"/>
  <c r="CP246"/>
  <c r="CO246"/>
  <c r="CN246"/>
  <c r="CM246"/>
  <c r="CL246"/>
  <c r="CK246"/>
  <c r="CJ246"/>
  <c r="CI246"/>
  <c r="CH246"/>
  <c r="CG246"/>
  <c r="CF246"/>
  <c r="CE246"/>
  <c r="CD246"/>
  <c r="CC246"/>
  <c r="CB246"/>
  <c r="CA246"/>
  <c r="BZ246"/>
  <c r="BY246"/>
  <c r="BX246"/>
  <c r="BW246"/>
  <c r="BV246"/>
  <c r="BU246"/>
  <c r="BT246"/>
  <c r="BS246"/>
  <c r="BR246"/>
  <c r="BQ246"/>
  <c r="BP246"/>
  <c r="BO246"/>
  <c r="BN246"/>
  <c r="DU245"/>
  <c r="DT245"/>
  <c r="DS245"/>
  <c r="DR245"/>
  <c r="DQ245"/>
  <c r="DP245"/>
  <c r="DO245"/>
  <c r="DN245"/>
  <c r="DM245"/>
  <c r="DL245"/>
  <c r="DK245"/>
  <c r="DJ245"/>
  <c r="DI245"/>
  <c r="DH245"/>
  <c r="DG245"/>
  <c r="DF245"/>
  <c r="DE245"/>
  <c r="DD245"/>
  <c r="DC245"/>
  <c r="DB245"/>
  <c r="DA245"/>
  <c r="CZ245"/>
  <c r="CY245"/>
  <c r="CX245"/>
  <c r="CW245"/>
  <c r="CV245"/>
  <c r="CU245"/>
  <c r="CT245"/>
  <c r="CS245"/>
  <c r="CR245"/>
  <c r="CQ245"/>
  <c r="CP245"/>
  <c r="CO245"/>
  <c r="CN245"/>
  <c r="CM245"/>
  <c r="CL245"/>
  <c r="CK245"/>
  <c r="CJ245"/>
  <c r="CI245"/>
  <c r="CH245"/>
  <c r="CG245"/>
  <c r="CF245"/>
  <c r="CE245"/>
  <c r="CD245"/>
  <c r="CC245"/>
  <c r="CB245"/>
  <c r="CA245"/>
  <c r="BZ245"/>
  <c r="BY245"/>
  <c r="BX245"/>
  <c r="BW245"/>
  <c r="BV245"/>
  <c r="BU245"/>
  <c r="BT245"/>
  <c r="BS245"/>
  <c r="BR245"/>
  <c r="BQ245"/>
  <c r="BP245"/>
  <c r="BO245"/>
  <c r="BN245"/>
  <c r="DU244"/>
  <c r="DT244"/>
  <c r="DS244"/>
  <c r="DR244"/>
  <c r="DQ244"/>
  <c r="DP244"/>
  <c r="DO244"/>
  <c r="DN244"/>
  <c r="DM244"/>
  <c r="DL244"/>
  <c r="DK244"/>
  <c r="DJ244"/>
  <c r="DI244"/>
  <c r="DH244"/>
  <c r="DG244"/>
  <c r="DF244"/>
  <c r="DE244"/>
  <c r="DD244"/>
  <c r="DC244"/>
  <c r="DB244"/>
  <c r="DA244"/>
  <c r="CZ244"/>
  <c r="CY244"/>
  <c r="CX244"/>
  <c r="CW244"/>
  <c r="CV244"/>
  <c r="CU244"/>
  <c r="CT244"/>
  <c r="CS244"/>
  <c r="CR244"/>
  <c r="CQ244"/>
  <c r="CP244"/>
  <c r="CO244"/>
  <c r="CN244"/>
  <c r="CM244"/>
  <c r="CL244"/>
  <c r="CK244"/>
  <c r="CJ244"/>
  <c r="CI244"/>
  <c r="CH244"/>
  <c r="CG244"/>
  <c r="CF244"/>
  <c r="CE244"/>
  <c r="CD244"/>
  <c r="CC244"/>
  <c r="CB244"/>
  <c r="CA244"/>
  <c r="BZ244"/>
  <c r="BY244"/>
  <c r="BX244"/>
  <c r="BW244"/>
  <c r="BV244"/>
  <c r="BU244"/>
  <c r="BT244"/>
  <c r="BS244"/>
  <c r="BR244"/>
  <c r="BQ244"/>
  <c r="BP244"/>
  <c r="BO244"/>
  <c r="BN244"/>
  <c r="DU243"/>
  <c r="DT243"/>
  <c r="DS243"/>
  <c r="DR243"/>
  <c r="DQ243"/>
  <c r="DP243"/>
  <c r="DO243"/>
  <c r="DN243"/>
  <c r="DM243"/>
  <c r="DL243"/>
  <c r="DK243"/>
  <c r="DJ243"/>
  <c r="DI243"/>
  <c r="DH243"/>
  <c r="DG243"/>
  <c r="DF243"/>
  <c r="DE243"/>
  <c r="DD243"/>
  <c r="DC243"/>
  <c r="DB243"/>
  <c r="DA243"/>
  <c r="CZ243"/>
  <c r="CY243"/>
  <c r="CX243"/>
  <c r="CW243"/>
  <c r="CV243"/>
  <c r="CU243"/>
  <c r="CT243"/>
  <c r="CS243"/>
  <c r="CR243"/>
  <c r="CQ243"/>
  <c r="CP243"/>
  <c r="CO243"/>
  <c r="CN243"/>
  <c r="CM243"/>
  <c r="CL243"/>
  <c r="CK243"/>
  <c r="CJ243"/>
  <c r="CI243"/>
  <c r="CH243"/>
  <c r="CG243"/>
  <c r="CF243"/>
  <c r="CE243"/>
  <c r="CD243"/>
  <c r="CC243"/>
  <c r="CB243"/>
  <c r="CA243"/>
  <c r="BZ243"/>
  <c r="BY243"/>
  <c r="BX243"/>
  <c r="BW243"/>
  <c r="BV243"/>
  <c r="BU243"/>
  <c r="BT243"/>
  <c r="BS243"/>
  <c r="BR243"/>
  <c r="BQ243"/>
  <c r="BP243"/>
  <c r="BO243"/>
  <c r="BN243"/>
  <c r="DU242"/>
  <c r="DT242"/>
  <c r="DS242"/>
  <c r="DR242"/>
  <c r="DQ242"/>
  <c r="DP242"/>
  <c r="DO242"/>
  <c r="DN242"/>
  <c r="DM242"/>
  <c r="DL242"/>
  <c r="DK242"/>
  <c r="DJ242"/>
  <c r="DI242"/>
  <c r="DH242"/>
  <c r="DG242"/>
  <c r="DF242"/>
  <c r="DE242"/>
  <c r="DD242"/>
  <c r="DC242"/>
  <c r="DB242"/>
  <c r="DA242"/>
  <c r="CZ242"/>
  <c r="CY242"/>
  <c r="CX242"/>
  <c r="CW242"/>
  <c r="CV242"/>
  <c r="CU242"/>
  <c r="CT242"/>
  <c r="CS242"/>
  <c r="CR242"/>
  <c r="CQ242"/>
  <c r="CP242"/>
  <c r="CO242"/>
  <c r="CN242"/>
  <c r="CM242"/>
  <c r="CL242"/>
  <c r="CK242"/>
  <c r="CJ242"/>
  <c r="CI242"/>
  <c r="CH242"/>
  <c r="CG242"/>
  <c r="CF242"/>
  <c r="CE242"/>
  <c r="CD242"/>
  <c r="CC242"/>
  <c r="CB242"/>
  <c r="CA242"/>
  <c r="BZ242"/>
  <c r="BY242"/>
  <c r="BX242"/>
  <c r="BW242"/>
  <c r="BV242"/>
  <c r="BU242"/>
  <c r="BT242"/>
  <c r="BS242"/>
  <c r="BR242"/>
  <c r="BQ242"/>
  <c r="BP242"/>
  <c r="BO242"/>
  <c r="BN242"/>
  <c r="DU241"/>
  <c r="DT241"/>
  <c r="DS241"/>
  <c r="DR241"/>
  <c r="DQ241"/>
  <c r="DP241"/>
  <c r="DO241"/>
  <c r="DN241"/>
  <c r="DM241"/>
  <c r="DL241"/>
  <c r="DK241"/>
  <c r="DJ241"/>
  <c r="DI241"/>
  <c r="DH241"/>
  <c r="DG241"/>
  <c r="DF241"/>
  <c r="DE241"/>
  <c r="DD241"/>
  <c r="DC241"/>
  <c r="DB241"/>
  <c r="DA241"/>
  <c r="CZ241"/>
  <c r="CY241"/>
  <c r="CX241"/>
  <c r="CW241"/>
  <c r="CV241"/>
  <c r="CU241"/>
  <c r="CT241"/>
  <c r="CS241"/>
  <c r="CR241"/>
  <c r="CQ241"/>
  <c r="CP241"/>
  <c r="CO241"/>
  <c r="CN241"/>
  <c r="CM241"/>
  <c r="CL241"/>
  <c r="CK241"/>
  <c r="CJ241"/>
  <c r="CI241"/>
  <c r="CH241"/>
  <c r="CG241"/>
  <c r="CF241"/>
  <c r="CE241"/>
  <c r="CD241"/>
  <c r="CC241"/>
  <c r="CB241"/>
  <c r="CA241"/>
  <c r="BZ241"/>
  <c r="BY241"/>
  <c r="BX241"/>
  <c r="BW241"/>
  <c r="BV241"/>
  <c r="BU241"/>
  <c r="BT241"/>
  <c r="BS241"/>
  <c r="BR241"/>
  <c r="BQ241"/>
  <c r="BP241"/>
  <c r="BO241"/>
  <c r="BN241"/>
  <c r="DU240"/>
  <c r="DT240"/>
  <c r="DS240"/>
  <c r="DR240"/>
  <c r="DQ240"/>
  <c r="DP240"/>
  <c r="DO240"/>
  <c r="DN240"/>
  <c r="DM240"/>
  <c r="DL240"/>
  <c r="DK240"/>
  <c r="DJ240"/>
  <c r="DI240"/>
  <c r="DH240"/>
  <c r="DG240"/>
  <c r="DF240"/>
  <c r="DE240"/>
  <c r="DD240"/>
  <c r="DC240"/>
  <c r="DB240"/>
  <c r="DA240"/>
  <c r="CZ240"/>
  <c r="CY240"/>
  <c r="CX240"/>
  <c r="CW240"/>
  <c r="CV240"/>
  <c r="CU240"/>
  <c r="CT240"/>
  <c r="CS240"/>
  <c r="CR240"/>
  <c r="CQ240"/>
  <c r="CP240"/>
  <c r="CO240"/>
  <c r="CN240"/>
  <c r="CM240"/>
  <c r="CL240"/>
  <c r="CK240"/>
  <c r="CJ240"/>
  <c r="CI240"/>
  <c r="CH240"/>
  <c r="CG240"/>
  <c r="CF240"/>
  <c r="CE240"/>
  <c r="CD240"/>
  <c r="CC240"/>
  <c r="CB240"/>
  <c r="CA240"/>
  <c r="BZ240"/>
  <c r="BY240"/>
  <c r="BX240"/>
  <c r="BW240"/>
  <c r="BV240"/>
  <c r="BU240"/>
  <c r="BT240"/>
  <c r="BS240"/>
  <c r="BR240"/>
  <c r="BQ240"/>
  <c r="BP240"/>
  <c r="BO240"/>
  <c r="BN240"/>
  <c r="DU239"/>
  <c r="DT239"/>
  <c r="DS239"/>
  <c r="DR239"/>
  <c r="DQ239"/>
  <c r="DP239"/>
  <c r="DO239"/>
  <c r="DN239"/>
  <c r="DM239"/>
  <c r="DL239"/>
  <c r="DK239"/>
  <c r="DJ239"/>
  <c r="DI239"/>
  <c r="DH239"/>
  <c r="DG239"/>
  <c r="DF239"/>
  <c r="DE239"/>
  <c r="DD239"/>
  <c r="DC239"/>
  <c r="DB239"/>
  <c r="DA239"/>
  <c r="CZ239"/>
  <c r="CY239"/>
  <c r="CX239"/>
  <c r="CW239"/>
  <c r="CV239"/>
  <c r="CU239"/>
  <c r="CT239"/>
  <c r="CS239"/>
  <c r="CR239"/>
  <c r="CQ239"/>
  <c r="CP239"/>
  <c r="CO239"/>
  <c r="CN239"/>
  <c r="CM239"/>
  <c r="CL239"/>
  <c r="CK239"/>
  <c r="CJ239"/>
  <c r="CI239"/>
  <c r="CH239"/>
  <c r="CG239"/>
  <c r="CF239"/>
  <c r="CE239"/>
  <c r="CD239"/>
  <c r="CC239"/>
  <c r="CB239"/>
  <c r="CA239"/>
  <c r="BZ239"/>
  <c r="BY239"/>
  <c r="BX239"/>
  <c r="BW239"/>
  <c r="BV239"/>
  <c r="BU239"/>
  <c r="BT239"/>
  <c r="BS239"/>
  <c r="BR239"/>
  <c r="BQ239"/>
  <c r="BP239"/>
  <c r="BO239"/>
  <c r="BN239"/>
  <c r="DU238"/>
  <c r="DT238"/>
  <c r="DS238"/>
  <c r="DR238"/>
  <c r="DQ238"/>
  <c r="DP238"/>
  <c r="DO238"/>
  <c r="DN238"/>
  <c r="DM238"/>
  <c r="DL238"/>
  <c r="DK238"/>
  <c r="DJ238"/>
  <c r="DI238"/>
  <c r="DH238"/>
  <c r="DG238"/>
  <c r="DF238"/>
  <c r="DE238"/>
  <c r="DD238"/>
  <c r="DC238"/>
  <c r="DB238"/>
  <c r="DA238"/>
  <c r="CZ238"/>
  <c r="CY238"/>
  <c r="CX238"/>
  <c r="CW238"/>
  <c r="CV238"/>
  <c r="CU238"/>
  <c r="CT238"/>
  <c r="CS238"/>
  <c r="CR238"/>
  <c r="CQ238"/>
  <c r="CP238"/>
  <c r="CO238"/>
  <c r="CN238"/>
  <c r="CM238"/>
  <c r="CL238"/>
  <c r="CK238"/>
  <c r="CJ238"/>
  <c r="CI238"/>
  <c r="CH238"/>
  <c r="CG238"/>
  <c r="CF238"/>
  <c r="CE238"/>
  <c r="CD238"/>
  <c r="CC238"/>
  <c r="CB238"/>
  <c r="CA238"/>
  <c r="BZ238"/>
  <c r="BY238"/>
  <c r="BX238"/>
  <c r="BW238"/>
  <c r="BV238"/>
  <c r="BU238"/>
  <c r="BT238"/>
  <c r="BS238"/>
  <c r="BR238"/>
  <c r="BQ238"/>
  <c r="BP238"/>
  <c r="BO238"/>
  <c r="BN238"/>
  <c r="DU237"/>
  <c r="DT237"/>
  <c r="DS237"/>
  <c r="DR237"/>
  <c r="DQ237"/>
  <c r="DP237"/>
  <c r="DO237"/>
  <c r="DN237"/>
  <c r="DM237"/>
  <c r="DL237"/>
  <c r="DK237"/>
  <c r="DJ237"/>
  <c r="DI237"/>
  <c r="DH237"/>
  <c r="DG237"/>
  <c r="DF237"/>
  <c r="DE237"/>
  <c r="DD237"/>
  <c r="DC237"/>
  <c r="DB237"/>
  <c r="DA237"/>
  <c r="CZ237"/>
  <c r="CY237"/>
  <c r="CX237"/>
  <c r="CW237"/>
  <c r="CV237"/>
  <c r="CU237"/>
  <c r="CT237"/>
  <c r="CS237"/>
  <c r="CR237"/>
  <c r="CQ237"/>
  <c r="CP237"/>
  <c r="CO237"/>
  <c r="CN237"/>
  <c r="CM237"/>
  <c r="CL237"/>
  <c r="CK237"/>
  <c r="CJ237"/>
  <c r="CI237"/>
  <c r="CH237"/>
  <c r="CG237"/>
  <c r="CF237"/>
  <c r="CE237"/>
  <c r="CD237"/>
  <c r="CC237"/>
  <c r="CB237"/>
  <c r="CA237"/>
  <c r="BZ237"/>
  <c r="BY237"/>
  <c r="BX237"/>
  <c r="BW237"/>
  <c r="BV237"/>
  <c r="BU237"/>
  <c r="BT237"/>
  <c r="BS237"/>
  <c r="BR237"/>
  <c r="BQ237"/>
  <c r="BP237"/>
  <c r="BO237"/>
  <c r="BN237"/>
  <c r="DU236"/>
  <c r="DT236"/>
  <c r="DS236"/>
  <c r="DR236"/>
  <c r="DQ236"/>
  <c r="DP236"/>
  <c r="DO236"/>
  <c r="DN236"/>
  <c r="DM236"/>
  <c r="DL236"/>
  <c r="DK236"/>
  <c r="DJ236"/>
  <c r="DI236"/>
  <c r="DH236"/>
  <c r="DG236"/>
  <c r="DF236"/>
  <c r="DE236"/>
  <c r="DD236"/>
  <c r="DC236"/>
  <c r="DB236"/>
  <c r="DA236"/>
  <c r="CZ236"/>
  <c r="CY236"/>
  <c r="CX236"/>
  <c r="CW236"/>
  <c r="CV236"/>
  <c r="CU236"/>
  <c r="CT236"/>
  <c r="CS236"/>
  <c r="CR236"/>
  <c r="CQ236"/>
  <c r="CP236"/>
  <c r="CO236"/>
  <c r="CN236"/>
  <c r="CM236"/>
  <c r="CL236"/>
  <c r="CK236"/>
  <c r="CJ236"/>
  <c r="CI236"/>
  <c r="CH236"/>
  <c r="CG236"/>
  <c r="CF236"/>
  <c r="CE236"/>
  <c r="CD236"/>
  <c r="CC236"/>
  <c r="CB236"/>
  <c r="CA236"/>
  <c r="BZ236"/>
  <c r="BY236"/>
  <c r="BX236"/>
  <c r="BW236"/>
  <c r="BV236"/>
  <c r="BU236"/>
  <c r="BT236"/>
  <c r="BS236"/>
  <c r="BR236"/>
  <c r="BQ236"/>
  <c r="BP236"/>
  <c r="BO236"/>
  <c r="BN236"/>
  <c r="DU235"/>
  <c r="DT235"/>
  <c r="DS235"/>
  <c r="DR235"/>
  <c r="DQ235"/>
  <c r="DP235"/>
  <c r="DO235"/>
  <c r="DN235"/>
  <c r="DM235"/>
  <c r="DL235"/>
  <c r="DK235"/>
  <c r="DJ235"/>
  <c r="DI235"/>
  <c r="DH235"/>
  <c r="DG235"/>
  <c r="DF235"/>
  <c r="DE235"/>
  <c r="DD235"/>
  <c r="DC235"/>
  <c r="DB235"/>
  <c r="DA235"/>
  <c r="CZ235"/>
  <c r="CY235"/>
  <c r="CX235"/>
  <c r="CW235"/>
  <c r="CV235"/>
  <c r="CU235"/>
  <c r="CT235"/>
  <c r="CS235"/>
  <c r="CR235"/>
  <c r="CQ235"/>
  <c r="CP235"/>
  <c r="CO235"/>
  <c r="CN235"/>
  <c r="CM235"/>
  <c r="CL235"/>
  <c r="CK235"/>
  <c r="CJ235"/>
  <c r="CI235"/>
  <c r="CH235"/>
  <c r="CG235"/>
  <c r="CF235"/>
  <c r="CE235"/>
  <c r="CD235"/>
  <c r="CC235"/>
  <c r="CB235"/>
  <c r="CA235"/>
  <c r="BZ235"/>
  <c r="BY235"/>
  <c r="BX235"/>
  <c r="BW235"/>
  <c r="BV235"/>
  <c r="BU235"/>
  <c r="BT235"/>
  <c r="BS235"/>
  <c r="BR235"/>
  <c r="BQ235"/>
  <c r="BP235"/>
  <c r="BO235"/>
  <c r="BN235"/>
  <c r="DU234"/>
  <c r="DT234"/>
  <c r="DS234"/>
  <c r="DR234"/>
  <c r="DQ234"/>
  <c r="DP234"/>
  <c r="DO234"/>
  <c r="DN234"/>
  <c r="DM234"/>
  <c r="DL234"/>
  <c r="DK234"/>
  <c r="DJ234"/>
  <c r="DI234"/>
  <c r="DH234"/>
  <c r="DG234"/>
  <c r="DF234"/>
  <c r="DE234"/>
  <c r="DD234"/>
  <c r="DC234"/>
  <c r="DB234"/>
  <c r="DA234"/>
  <c r="CZ234"/>
  <c r="CY234"/>
  <c r="CX234"/>
  <c r="CW234"/>
  <c r="CV234"/>
  <c r="CU234"/>
  <c r="CT234"/>
  <c r="CS234"/>
  <c r="CR234"/>
  <c r="CQ234"/>
  <c r="CP234"/>
  <c r="CO234"/>
  <c r="CN234"/>
  <c r="CM234"/>
  <c r="CL234"/>
  <c r="CK234"/>
  <c r="CJ234"/>
  <c r="CI234"/>
  <c r="CH234"/>
  <c r="CG234"/>
  <c r="CF234"/>
  <c r="CE234"/>
  <c r="CD234"/>
  <c r="CC234"/>
  <c r="CB234"/>
  <c r="CA234"/>
  <c r="BZ234"/>
  <c r="BY234"/>
  <c r="BX234"/>
  <c r="BW234"/>
  <c r="BV234"/>
  <c r="BU234"/>
  <c r="BT234"/>
  <c r="BS234"/>
  <c r="BR234"/>
  <c r="BQ234"/>
  <c r="BP234"/>
  <c r="BO234"/>
  <c r="BN234"/>
  <c r="DU233"/>
  <c r="DT233"/>
  <c r="DS233"/>
  <c r="DR233"/>
  <c r="DQ233"/>
  <c r="DP233"/>
  <c r="DO233"/>
  <c r="DN233"/>
  <c r="DM233"/>
  <c r="DL233"/>
  <c r="DK233"/>
  <c r="DJ233"/>
  <c r="DI233"/>
  <c r="DH233"/>
  <c r="DG233"/>
  <c r="DF233"/>
  <c r="DE233"/>
  <c r="DD233"/>
  <c r="DC233"/>
  <c r="DB233"/>
  <c r="DA233"/>
  <c r="CZ233"/>
  <c r="CY233"/>
  <c r="CX233"/>
  <c r="CW233"/>
  <c r="CV233"/>
  <c r="CU233"/>
  <c r="CT233"/>
  <c r="CS233"/>
  <c r="CR233"/>
  <c r="CQ233"/>
  <c r="CP233"/>
  <c r="CO233"/>
  <c r="CN233"/>
  <c r="CM233"/>
  <c r="CL233"/>
  <c r="CK233"/>
  <c r="CJ233"/>
  <c r="CI233"/>
  <c r="CH233"/>
  <c r="CG233"/>
  <c r="CF233"/>
  <c r="CE233"/>
  <c r="CD233"/>
  <c r="CC233"/>
  <c r="CB233"/>
  <c r="CA233"/>
  <c r="BZ233"/>
  <c r="BY233"/>
  <c r="BX233"/>
  <c r="BW233"/>
  <c r="BV233"/>
  <c r="BU233"/>
  <c r="BT233"/>
  <c r="BS233"/>
  <c r="BR233"/>
  <c r="BQ233"/>
  <c r="BP233"/>
  <c r="BO233"/>
  <c r="BN233"/>
  <c r="DU232"/>
  <c r="DT232"/>
  <c r="DS232"/>
  <c r="DR232"/>
  <c r="DQ232"/>
  <c r="DP232"/>
  <c r="DO232"/>
  <c r="DN232"/>
  <c r="DM232"/>
  <c r="DL232"/>
  <c r="DK232"/>
  <c r="DJ232"/>
  <c r="DI232"/>
  <c r="DH232"/>
  <c r="DG232"/>
  <c r="DF232"/>
  <c r="DE232"/>
  <c r="DD232"/>
  <c r="DC232"/>
  <c r="DB232"/>
  <c r="DA232"/>
  <c r="CZ232"/>
  <c r="CY232"/>
  <c r="CX232"/>
  <c r="CW232"/>
  <c r="CV232"/>
  <c r="CU232"/>
  <c r="CT232"/>
  <c r="CS232"/>
  <c r="CR232"/>
  <c r="CQ232"/>
  <c r="CP232"/>
  <c r="CO232"/>
  <c r="CN232"/>
  <c r="CM232"/>
  <c r="CL232"/>
  <c r="CK232"/>
  <c r="CJ232"/>
  <c r="CI232"/>
  <c r="CH232"/>
  <c r="CG232"/>
  <c r="CF232"/>
  <c r="CE232"/>
  <c r="CD232"/>
  <c r="CC232"/>
  <c r="CB232"/>
  <c r="CA232"/>
  <c r="BZ232"/>
  <c r="BY232"/>
  <c r="BX232"/>
  <c r="BW232"/>
  <c r="BV232"/>
  <c r="BU232"/>
  <c r="BT232"/>
  <c r="BS232"/>
  <c r="BR232"/>
  <c r="BQ232"/>
  <c r="BP232"/>
  <c r="BO232"/>
  <c r="BN232"/>
  <c r="DU231"/>
  <c r="DT231"/>
  <c r="DS231"/>
  <c r="DR231"/>
  <c r="DQ231"/>
  <c r="DP231"/>
  <c r="DO231"/>
  <c r="DN231"/>
  <c r="DM231"/>
  <c r="DL231"/>
  <c r="DK231"/>
  <c r="DJ231"/>
  <c r="DI231"/>
  <c r="DH231"/>
  <c r="DG231"/>
  <c r="DF231"/>
  <c r="DE231"/>
  <c r="DD231"/>
  <c r="DC231"/>
  <c r="DB231"/>
  <c r="DA231"/>
  <c r="CZ231"/>
  <c r="CY231"/>
  <c r="CX231"/>
  <c r="CW231"/>
  <c r="CV231"/>
  <c r="CU231"/>
  <c r="CT231"/>
  <c r="CS231"/>
  <c r="CR231"/>
  <c r="CQ231"/>
  <c r="CP231"/>
  <c r="CO231"/>
  <c r="CN231"/>
  <c r="CM231"/>
  <c r="CL231"/>
  <c r="CK231"/>
  <c r="CJ231"/>
  <c r="CI231"/>
  <c r="CH231"/>
  <c r="CG231"/>
  <c r="CF231"/>
  <c r="CE231"/>
  <c r="CD231"/>
  <c r="CC231"/>
  <c r="CB231"/>
  <c r="CA231"/>
  <c r="BZ231"/>
  <c r="BY231"/>
  <c r="BX231"/>
  <c r="BW231"/>
  <c r="BV231"/>
  <c r="BU231"/>
  <c r="BT231"/>
  <c r="BS231"/>
  <c r="BR231"/>
  <c r="BQ231"/>
  <c r="BP231"/>
  <c r="BO231"/>
  <c r="BN231"/>
  <c r="DU230"/>
  <c r="DT230"/>
  <c r="DS230"/>
  <c r="DR230"/>
  <c r="DQ230"/>
  <c r="DP230"/>
  <c r="DO230"/>
  <c r="DN230"/>
  <c r="DM230"/>
  <c r="DL230"/>
  <c r="DK230"/>
  <c r="DJ230"/>
  <c r="DI230"/>
  <c r="DH230"/>
  <c r="DG230"/>
  <c r="DF230"/>
  <c r="DE230"/>
  <c r="DD230"/>
  <c r="DC230"/>
  <c r="DB230"/>
  <c r="DA230"/>
  <c r="CZ230"/>
  <c r="CY230"/>
  <c r="CX230"/>
  <c r="CW230"/>
  <c r="CV230"/>
  <c r="CU230"/>
  <c r="CT230"/>
  <c r="CS230"/>
  <c r="CR230"/>
  <c r="CQ230"/>
  <c r="CP230"/>
  <c r="CO230"/>
  <c r="CN230"/>
  <c r="CM230"/>
  <c r="CL230"/>
  <c r="CK230"/>
  <c r="CJ230"/>
  <c r="CI230"/>
  <c r="CH230"/>
  <c r="CG230"/>
  <c r="CF230"/>
  <c r="CE230"/>
  <c r="CD230"/>
  <c r="CC230"/>
  <c r="CB230"/>
  <c r="CA230"/>
  <c r="BZ230"/>
  <c r="BY230"/>
  <c r="BX230"/>
  <c r="BW230"/>
  <c r="BV230"/>
  <c r="BU230"/>
  <c r="BT230"/>
  <c r="BS230"/>
  <c r="BR230"/>
  <c r="BQ230"/>
  <c r="BP230"/>
  <c r="BO230"/>
  <c r="BN230"/>
  <c r="DU229"/>
  <c r="DT229"/>
  <c r="DS229"/>
  <c r="DR229"/>
  <c r="DQ229"/>
  <c r="DP229"/>
  <c r="DO229"/>
  <c r="DN229"/>
  <c r="DM229"/>
  <c r="DL229"/>
  <c r="DK229"/>
  <c r="DJ229"/>
  <c r="DI229"/>
  <c r="DH229"/>
  <c r="DG229"/>
  <c r="DF229"/>
  <c r="DE229"/>
  <c r="DD229"/>
  <c r="DC229"/>
  <c r="DB229"/>
  <c r="DA229"/>
  <c r="CZ229"/>
  <c r="CY229"/>
  <c r="CX229"/>
  <c r="CW229"/>
  <c r="CV229"/>
  <c r="CU229"/>
  <c r="CT229"/>
  <c r="CS229"/>
  <c r="CR229"/>
  <c r="CQ229"/>
  <c r="CP229"/>
  <c r="CO229"/>
  <c r="CN229"/>
  <c r="CM229"/>
  <c r="CL229"/>
  <c r="CK229"/>
  <c r="CJ229"/>
  <c r="CI229"/>
  <c r="CH229"/>
  <c r="CG229"/>
  <c r="CF229"/>
  <c r="CE229"/>
  <c r="CD229"/>
  <c r="CC229"/>
  <c r="CB229"/>
  <c r="CA229"/>
  <c r="BZ229"/>
  <c r="BY229"/>
  <c r="BX229"/>
  <c r="BW229"/>
  <c r="BV229"/>
  <c r="BU229"/>
  <c r="BT229"/>
  <c r="BS229"/>
  <c r="BR229"/>
  <c r="BQ229"/>
  <c r="BP229"/>
  <c r="BO229"/>
  <c r="BN229"/>
  <c r="DU228"/>
  <c r="DT228"/>
  <c r="DS228"/>
  <c r="DR228"/>
  <c r="DQ228"/>
  <c r="DP228"/>
  <c r="DO228"/>
  <c r="DN228"/>
  <c r="DM228"/>
  <c r="DL228"/>
  <c r="DK228"/>
  <c r="DJ228"/>
  <c r="DI228"/>
  <c r="DH228"/>
  <c r="DG228"/>
  <c r="DF228"/>
  <c r="DE228"/>
  <c r="DD228"/>
  <c r="DC228"/>
  <c r="DB228"/>
  <c r="DA228"/>
  <c r="CZ228"/>
  <c r="CY228"/>
  <c r="CX228"/>
  <c r="CW228"/>
  <c r="CV228"/>
  <c r="CU228"/>
  <c r="CT228"/>
  <c r="CS228"/>
  <c r="CR228"/>
  <c r="CQ228"/>
  <c r="CP228"/>
  <c r="CO228"/>
  <c r="CN228"/>
  <c r="CM228"/>
  <c r="CL228"/>
  <c r="CK228"/>
  <c r="CJ228"/>
  <c r="CI228"/>
  <c r="CH228"/>
  <c r="CG228"/>
  <c r="CF228"/>
  <c r="CE228"/>
  <c r="CD228"/>
  <c r="CC228"/>
  <c r="CB228"/>
  <c r="CA228"/>
  <c r="BZ228"/>
  <c r="BY228"/>
  <c r="BX228"/>
  <c r="BW228"/>
  <c r="BV228"/>
  <c r="BU228"/>
  <c r="BT228"/>
  <c r="BS228"/>
  <c r="BR228"/>
  <c r="BQ228"/>
  <c r="BP228"/>
  <c r="BO228"/>
  <c r="BN228"/>
  <c r="DU227"/>
  <c r="DT227"/>
  <c r="DS227"/>
  <c r="DR227"/>
  <c r="DQ227"/>
  <c r="DP227"/>
  <c r="DO227"/>
  <c r="DN227"/>
  <c r="DM227"/>
  <c r="DL227"/>
  <c r="DK227"/>
  <c r="DJ227"/>
  <c r="DI227"/>
  <c r="DH227"/>
  <c r="DG227"/>
  <c r="DF227"/>
  <c r="DE227"/>
  <c r="DD227"/>
  <c r="DC227"/>
  <c r="DB227"/>
  <c r="DA227"/>
  <c r="CZ227"/>
  <c r="CY227"/>
  <c r="CX227"/>
  <c r="CW227"/>
  <c r="CV227"/>
  <c r="CU227"/>
  <c r="CT227"/>
  <c r="CS227"/>
  <c r="CR227"/>
  <c r="CQ227"/>
  <c r="CP227"/>
  <c r="CO227"/>
  <c r="CN227"/>
  <c r="CM227"/>
  <c r="CL227"/>
  <c r="CK227"/>
  <c r="CJ227"/>
  <c r="CI227"/>
  <c r="CH227"/>
  <c r="CG227"/>
  <c r="CF227"/>
  <c r="CE227"/>
  <c r="CD227"/>
  <c r="CC227"/>
  <c r="CB227"/>
  <c r="CA227"/>
  <c r="BZ227"/>
  <c r="BY227"/>
  <c r="BX227"/>
  <c r="BW227"/>
  <c r="BV227"/>
  <c r="BU227"/>
  <c r="BT227"/>
  <c r="BS227"/>
  <c r="BR227"/>
  <c r="BQ227"/>
  <c r="BP227"/>
  <c r="BO227"/>
  <c r="BN227"/>
  <c r="DU226"/>
  <c r="DT226"/>
  <c r="DS226"/>
  <c r="DR226"/>
  <c r="DQ226"/>
  <c r="DP226"/>
  <c r="DO226"/>
  <c r="DN226"/>
  <c r="DM226"/>
  <c r="DL226"/>
  <c r="DK226"/>
  <c r="DJ226"/>
  <c r="DI226"/>
  <c r="DH226"/>
  <c r="DG226"/>
  <c r="DF226"/>
  <c r="DE226"/>
  <c r="DD226"/>
  <c r="DC226"/>
  <c r="DB226"/>
  <c r="DA226"/>
  <c r="CZ226"/>
  <c r="CY226"/>
  <c r="CX226"/>
  <c r="CW226"/>
  <c r="CV226"/>
  <c r="CU226"/>
  <c r="CT226"/>
  <c r="CS226"/>
  <c r="CR226"/>
  <c r="CQ226"/>
  <c r="CP226"/>
  <c r="CO226"/>
  <c r="CN226"/>
  <c r="CM226"/>
  <c r="CL226"/>
  <c r="CK226"/>
  <c r="CJ226"/>
  <c r="CI226"/>
  <c r="CH226"/>
  <c r="CG226"/>
  <c r="CF226"/>
  <c r="CE226"/>
  <c r="CD226"/>
  <c r="CC226"/>
  <c r="CB226"/>
  <c r="CA226"/>
  <c r="BZ226"/>
  <c r="BY226"/>
  <c r="BX226"/>
  <c r="BW226"/>
  <c r="BV226"/>
  <c r="BU226"/>
  <c r="BT226"/>
  <c r="BS226"/>
  <c r="BR226"/>
  <c r="BQ226"/>
  <c r="BP226"/>
  <c r="BO226"/>
  <c r="BN226"/>
  <c r="A226"/>
  <c r="DU225"/>
  <c r="DT225"/>
  <c r="DS225"/>
  <c r="DR225"/>
  <c r="DQ225"/>
  <c r="DP225"/>
  <c r="DO225"/>
  <c r="DN225"/>
  <c r="DM225"/>
  <c r="DL225"/>
  <c r="DK225"/>
  <c r="DJ225"/>
  <c r="DI225"/>
  <c r="DH225"/>
  <c r="DG225"/>
  <c r="DF225"/>
  <c r="DE225"/>
  <c r="DD225"/>
  <c r="DC225"/>
  <c r="DB225"/>
  <c r="DA225"/>
  <c r="CZ225"/>
  <c r="CY225"/>
  <c r="CX225"/>
  <c r="CW225"/>
  <c r="CV225"/>
  <c r="CU225"/>
  <c r="CT225"/>
  <c r="CS225"/>
  <c r="CR225"/>
  <c r="CQ225"/>
  <c r="CP225"/>
  <c r="CO225"/>
  <c r="CN225"/>
  <c r="CM225"/>
  <c r="CL225"/>
  <c r="CK225"/>
  <c r="CJ225"/>
  <c r="CI225"/>
  <c r="CH225"/>
  <c r="CG225"/>
  <c r="CF225"/>
  <c r="CE225"/>
  <c r="CD225"/>
  <c r="CC225"/>
  <c r="CB225"/>
  <c r="CA225"/>
  <c r="BZ225"/>
  <c r="BY225"/>
  <c r="BX225"/>
  <c r="BW225"/>
  <c r="BV225"/>
  <c r="BU225"/>
  <c r="BT225"/>
  <c r="BS225"/>
  <c r="BR225"/>
  <c r="BQ225"/>
  <c r="BP225"/>
  <c r="BO225"/>
  <c r="BN225"/>
  <c r="B225"/>
  <c r="B420" s="1"/>
  <c r="A225"/>
  <c r="DU224"/>
  <c r="DT224"/>
  <c r="DS224"/>
  <c r="DR224"/>
  <c r="DQ224"/>
  <c r="DP224"/>
  <c r="DO224"/>
  <c r="DN224"/>
  <c r="DM224"/>
  <c r="DL224"/>
  <c r="DK224"/>
  <c r="DJ224"/>
  <c r="DI224"/>
  <c r="DH224"/>
  <c r="DG224"/>
  <c r="DF224"/>
  <c r="DE224"/>
  <c r="DD224"/>
  <c r="DC224"/>
  <c r="DB224"/>
  <c r="DA224"/>
  <c r="CZ224"/>
  <c r="CY224"/>
  <c r="CX224"/>
  <c r="CW224"/>
  <c r="CV224"/>
  <c r="CU224"/>
  <c r="CT224"/>
  <c r="CS224"/>
  <c r="CR224"/>
  <c r="CQ224"/>
  <c r="CP224"/>
  <c r="CO224"/>
  <c r="CN224"/>
  <c r="CM224"/>
  <c r="CL224"/>
  <c r="CK224"/>
  <c r="CJ224"/>
  <c r="CI224"/>
  <c r="CH224"/>
  <c r="CG224"/>
  <c r="CF224"/>
  <c r="CE224"/>
  <c r="CD224"/>
  <c r="CC224"/>
  <c r="CB224"/>
  <c r="CA224"/>
  <c r="BZ224"/>
  <c r="BY224"/>
  <c r="BX224"/>
  <c r="BW224"/>
  <c r="BV224"/>
  <c r="BU224"/>
  <c r="BT224"/>
  <c r="BS224"/>
  <c r="BR224"/>
  <c r="BQ224"/>
  <c r="BP224"/>
  <c r="BO224"/>
  <c r="BN224"/>
  <c r="A224"/>
  <c r="DU223"/>
  <c r="DT223"/>
  <c r="DS223"/>
  <c r="DR223"/>
  <c r="DQ223"/>
  <c r="DP223"/>
  <c r="DO223"/>
  <c r="DN223"/>
  <c r="DM223"/>
  <c r="DL223"/>
  <c r="DK223"/>
  <c r="DJ223"/>
  <c r="DI223"/>
  <c r="DH223"/>
  <c r="DG223"/>
  <c r="DF223"/>
  <c r="DE223"/>
  <c r="DD223"/>
  <c r="DC223"/>
  <c r="DB223"/>
  <c r="DA223"/>
  <c r="CZ223"/>
  <c r="CY223"/>
  <c r="CX223"/>
  <c r="CW223"/>
  <c r="CV223"/>
  <c r="CU223"/>
  <c r="CT223"/>
  <c r="CS223"/>
  <c r="CR223"/>
  <c r="CQ223"/>
  <c r="CP223"/>
  <c r="CO223"/>
  <c r="CN223"/>
  <c r="CM223"/>
  <c r="CL223"/>
  <c r="CK223"/>
  <c r="CJ223"/>
  <c r="CI223"/>
  <c r="CH223"/>
  <c r="CG223"/>
  <c r="CF223"/>
  <c r="CE223"/>
  <c r="CD223"/>
  <c r="CC223"/>
  <c r="CB223"/>
  <c r="CA223"/>
  <c r="BZ223"/>
  <c r="BY223"/>
  <c r="BX223"/>
  <c r="BW223"/>
  <c r="BV223"/>
  <c r="BU223"/>
  <c r="BT223"/>
  <c r="BS223"/>
  <c r="BR223"/>
  <c r="BQ223"/>
  <c r="BP223"/>
  <c r="BO223"/>
  <c r="BN223"/>
  <c r="B223"/>
  <c r="B224" s="1"/>
  <c r="A223"/>
  <c r="DU222"/>
  <c r="DT222"/>
  <c r="DS222"/>
  <c r="DR222"/>
  <c r="DQ222"/>
  <c r="DP222"/>
  <c r="DO222"/>
  <c r="DN222"/>
  <c r="DM222"/>
  <c r="DL222"/>
  <c r="DK222"/>
  <c r="DJ222"/>
  <c r="DI222"/>
  <c r="DH222"/>
  <c r="DG222"/>
  <c r="DF222"/>
  <c r="DE222"/>
  <c r="DD222"/>
  <c r="DC222"/>
  <c r="DB222"/>
  <c r="DA222"/>
  <c r="CZ222"/>
  <c r="CY222"/>
  <c r="CX222"/>
  <c r="CW222"/>
  <c r="CV222"/>
  <c r="CU222"/>
  <c r="CT222"/>
  <c r="CS222"/>
  <c r="CR222"/>
  <c r="CQ222"/>
  <c r="CP222"/>
  <c r="CO222"/>
  <c r="CN222"/>
  <c r="CM222"/>
  <c r="CL222"/>
  <c r="CK222"/>
  <c r="CJ222"/>
  <c r="CI222"/>
  <c r="CH222"/>
  <c r="CG222"/>
  <c r="CF222"/>
  <c r="CE222"/>
  <c r="CD222"/>
  <c r="CC222"/>
  <c r="CB222"/>
  <c r="CA222"/>
  <c r="BZ222"/>
  <c r="BY222"/>
  <c r="BX222"/>
  <c r="BW222"/>
  <c r="BV222"/>
  <c r="BU222"/>
  <c r="BT222"/>
  <c r="BS222"/>
  <c r="BR222"/>
  <c r="BQ222"/>
  <c r="BP222"/>
  <c r="BO222"/>
  <c r="BN222"/>
  <c r="C222"/>
  <c r="B222"/>
  <c r="A222"/>
  <c r="DU221"/>
  <c r="DT221"/>
  <c r="DS221"/>
  <c r="DR221"/>
  <c r="DQ221"/>
  <c r="DP221"/>
  <c r="DO221"/>
  <c r="DN221"/>
  <c r="DM221"/>
  <c r="DL221"/>
  <c r="DK221"/>
  <c r="DJ221"/>
  <c r="DI221"/>
  <c r="DH221"/>
  <c r="DG221"/>
  <c r="DF221"/>
  <c r="DE221"/>
  <c r="DD221"/>
  <c r="DC221"/>
  <c r="DB221"/>
  <c r="DA221"/>
  <c r="CZ221"/>
  <c r="CY221"/>
  <c r="CX221"/>
  <c r="CW221"/>
  <c r="CV221"/>
  <c r="CU221"/>
  <c r="CT221"/>
  <c r="CS221"/>
  <c r="CR221"/>
  <c r="CQ221"/>
  <c r="CP221"/>
  <c r="CO221"/>
  <c r="CN221"/>
  <c r="CM221"/>
  <c r="CL221"/>
  <c r="CK221"/>
  <c r="CJ221"/>
  <c r="CI221"/>
  <c r="CH221"/>
  <c r="CG221"/>
  <c r="CF221"/>
  <c r="CE221"/>
  <c r="CD221"/>
  <c r="CC221"/>
  <c r="CB221"/>
  <c r="CA221"/>
  <c r="BZ221"/>
  <c r="BY221"/>
  <c r="BX221"/>
  <c r="BW221"/>
  <c r="BV221"/>
  <c r="BU221"/>
  <c r="BT221"/>
  <c r="BS221"/>
  <c r="BR221"/>
  <c r="BQ221"/>
  <c r="BP221"/>
  <c r="BO221"/>
  <c r="BN221"/>
  <c r="B221"/>
  <c r="A221"/>
  <c r="DU220"/>
  <c r="DT220"/>
  <c r="DS220"/>
  <c r="DR220"/>
  <c r="DQ220"/>
  <c r="DP220"/>
  <c r="DO220"/>
  <c r="DN220"/>
  <c r="DM220"/>
  <c r="DL220"/>
  <c r="DK220"/>
  <c r="DJ220"/>
  <c r="DI220"/>
  <c r="DH220"/>
  <c r="DG220"/>
  <c r="DF220"/>
  <c r="DE220"/>
  <c r="DD220"/>
  <c r="DC220"/>
  <c r="DB220"/>
  <c r="DA220"/>
  <c r="CZ220"/>
  <c r="CY220"/>
  <c r="CX220"/>
  <c r="CW220"/>
  <c r="CV220"/>
  <c r="CU220"/>
  <c r="CT220"/>
  <c r="CS220"/>
  <c r="CR220"/>
  <c r="CQ220"/>
  <c r="CP220"/>
  <c r="CO220"/>
  <c r="CN220"/>
  <c r="CM220"/>
  <c r="CL220"/>
  <c r="CK220"/>
  <c r="CJ220"/>
  <c r="CI220"/>
  <c r="CH220"/>
  <c r="CG220"/>
  <c r="CF220"/>
  <c r="CE220"/>
  <c r="CD220"/>
  <c r="CC220"/>
  <c r="CB220"/>
  <c r="CA220"/>
  <c r="BZ220"/>
  <c r="BY220"/>
  <c r="BX220"/>
  <c r="BW220"/>
  <c r="BV220"/>
  <c r="BU220"/>
  <c r="BT220"/>
  <c r="BS220"/>
  <c r="BR220"/>
  <c r="BQ220"/>
  <c r="BP220"/>
  <c r="BO220"/>
  <c r="BN220"/>
  <c r="DU219"/>
  <c r="DT219"/>
  <c r="DS219"/>
  <c r="DR219"/>
  <c r="DQ219"/>
  <c r="DP219"/>
  <c r="DO219"/>
  <c r="DN219"/>
  <c r="DM219"/>
  <c r="DL219"/>
  <c r="DK219"/>
  <c r="DJ219"/>
  <c r="DI219"/>
  <c r="DH219"/>
  <c r="DG219"/>
  <c r="DF219"/>
  <c r="DE219"/>
  <c r="DD219"/>
  <c r="DC219"/>
  <c r="DB219"/>
  <c r="DA219"/>
  <c r="CZ219"/>
  <c r="CY219"/>
  <c r="CX219"/>
  <c r="CW219"/>
  <c r="CV219"/>
  <c r="CU219"/>
  <c r="CT219"/>
  <c r="CS219"/>
  <c r="CR219"/>
  <c r="CQ219"/>
  <c r="CP219"/>
  <c r="CO219"/>
  <c r="CN219"/>
  <c r="CM219"/>
  <c r="CL219"/>
  <c r="CK219"/>
  <c r="CJ219"/>
  <c r="CI219"/>
  <c r="CH219"/>
  <c r="CG219"/>
  <c r="CF219"/>
  <c r="CE219"/>
  <c r="CD219"/>
  <c r="CC219"/>
  <c r="CB219"/>
  <c r="CA219"/>
  <c r="BZ219"/>
  <c r="BY219"/>
  <c r="BX219"/>
  <c r="BW219"/>
  <c r="BV219"/>
  <c r="BU219"/>
  <c r="BT219"/>
  <c r="BS219"/>
  <c r="BR219"/>
  <c r="BQ219"/>
  <c r="BP219"/>
  <c r="BO219"/>
  <c r="BN219"/>
  <c r="A219"/>
  <c r="DU218"/>
  <c r="DT218"/>
  <c r="DS218"/>
  <c r="DR218"/>
  <c r="DQ218"/>
  <c r="DP218"/>
  <c r="DO218"/>
  <c r="DN218"/>
  <c r="DM218"/>
  <c r="DL218"/>
  <c r="DK218"/>
  <c r="DJ218"/>
  <c r="DI218"/>
  <c r="DH218"/>
  <c r="DG218"/>
  <c r="DF218"/>
  <c r="DE218"/>
  <c r="DD218"/>
  <c r="DC218"/>
  <c r="DB218"/>
  <c r="DA218"/>
  <c r="CZ218"/>
  <c r="CY218"/>
  <c r="CX218"/>
  <c r="CW218"/>
  <c r="CV218"/>
  <c r="CU218"/>
  <c r="CT218"/>
  <c r="CS218"/>
  <c r="CR218"/>
  <c r="CQ218"/>
  <c r="CP218"/>
  <c r="CO218"/>
  <c r="CN218"/>
  <c r="CM218"/>
  <c r="CL218"/>
  <c r="CK218"/>
  <c r="CJ218"/>
  <c r="CI218"/>
  <c r="CH218"/>
  <c r="CG218"/>
  <c r="CF218"/>
  <c r="CE218"/>
  <c r="CD218"/>
  <c r="CC218"/>
  <c r="CB218"/>
  <c r="CA218"/>
  <c r="BZ218"/>
  <c r="BY218"/>
  <c r="BX218"/>
  <c r="BW218"/>
  <c r="BV218"/>
  <c r="BU218"/>
  <c r="BT218"/>
  <c r="BS218"/>
  <c r="BR218"/>
  <c r="BQ218"/>
  <c r="BP218"/>
  <c r="BO218"/>
  <c r="BN218"/>
  <c r="BM218"/>
  <c r="BL218"/>
  <c r="BK218"/>
  <c r="BJ218"/>
  <c r="BI218"/>
  <c r="BH218"/>
  <c r="BG218"/>
  <c r="BF218"/>
  <c r="BE218"/>
  <c r="BD218"/>
  <c r="BC218"/>
  <c r="BB218"/>
  <c r="BA218"/>
  <c r="AZ218"/>
  <c r="AY218"/>
  <c r="AX218"/>
  <c r="AW218"/>
  <c r="AV218"/>
  <c r="AU218"/>
  <c r="AT218"/>
  <c r="AS218"/>
  <c r="AR218"/>
  <c r="AQ218"/>
  <c r="AP218"/>
  <c r="AO218"/>
  <c r="AN218"/>
  <c r="AM218"/>
  <c r="AL218"/>
  <c r="AK218"/>
  <c r="AJ218"/>
  <c r="AI218"/>
  <c r="AH218"/>
  <c r="AG218"/>
  <c r="AF218"/>
  <c r="AE218"/>
  <c r="AD218"/>
  <c r="AC218"/>
  <c r="AB218"/>
  <c r="AA218"/>
  <c r="Z218"/>
  <c r="Y218"/>
  <c r="X218"/>
  <c r="W218"/>
  <c r="V218"/>
  <c r="U218"/>
  <c r="T218"/>
  <c r="S218"/>
  <c r="R218"/>
  <c r="Q218"/>
  <c r="P218"/>
  <c r="O218"/>
  <c r="N218"/>
  <c r="M218"/>
  <c r="L218"/>
  <c r="K218"/>
  <c r="J218"/>
  <c r="I218"/>
  <c r="H218"/>
  <c r="G218"/>
  <c r="F218"/>
  <c r="E218"/>
  <c r="D218"/>
  <c r="C218"/>
  <c r="B218"/>
  <c r="A218"/>
  <c r="DU217"/>
  <c r="DT217"/>
  <c r="DS217"/>
  <c r="DR217"/>
  <c r="DQ217"/>
  <c r="DP217"/>
  <c r="DO217"/>
  <c r="DN217"/>
  <c r="DM217"/>
  <c r="DL217"/>
  <c r="DK217"/>
  <c r="DJ217"/>
  <c r="DI217"/>
  <c r="DH217"/>
  <c r="DG217"/>
  <c r="DF217"/>
  <c r="DE217"/>
  <c r="DD217"/>
  <c r="DC217"/>
  <c r="DB217"/>
  <c r="DA217"/>
  <c r="CZ217"/>
  <c r="CY217"/>
  <c r="CX217"/>
  <c r="CW217"/>
  <c r="CV217"/>
  <c r="CU217"/>
  <c r="CT217"/>
  <c r="CS217"/>
  <c r="CR217"/>
  <c r="CQ217"/>
  <c r="CP217"/>
  <c r="CO217"/>
  <c r="CN217"/>
  <c r="CM217"/>
  <c r="CL217"/>
  <c r="CK217"/>
  <c r="CJ217"/>
  <c r="CI217"/>
  <c r="CH217"/>
  <c r="CG217"/>
  <c r="CF217"/>
  <c r="CE217"/>
  <c r="CD217"/>
  <c r="CC217"/>
  <c r="CB217"/>
  <c r="CA217"/>
  <c r="BZ217"/>
  <c r="BY217"/>
  <c r="BX217"/>
  <c r="BW217"/>
  <c r="BV217"/>
  <c r="BU217"/>
  <c r="BT217"/>
  <c r="BS217"/>
  <c r="BR217"/>
  <c r="BQ217"/>
  <c r="BP217"/>
  <c r="BO217"/>
  <c r="BN217"/>
  <c r="DU216"/>
  <c r="DT216"/>
  <c r="DS216"/>
  <c r="DR216"/>
  <c r="DQ216"/>
  <c r="DP216"/>
  <c r="DO216"/>
  <c r="DN216"/>
  <c r="DM216"/>
  <c r="DL216"/>
  <c r="DK216"/>
  <c r="DJ216"/>
  <c r="DI216"/>
  <c r="DH216"/>
  <c r="DG216"/>
  <c r="DF216"/>
  <c r="DE216"/>
  <c r="DD216"/>
  <c r="DC216"/>
  <c r="DB216"/>
  <c r="DA216"/>
  <c r="CZ216"/>
  <c r="CY216"/>
  <c r="CX216"/>
  <c r="CW216"/>
  <c r="CV216"/>
  <c r="CU216"/>
  <c r="CT216"/>
  <c r="CS216"/>
  <c r="CR216"/>
  <c r="CQ216"/>
  <c r="CP216"/>
  <c r="CO216"/>
  <c r="CN216"/>
  <c r="CM216"/>
  <c r="CL216"/>
  <c r="CK216"/>
  <c r="CJ216"/>
  <c r="CI216"/>
  <c r="CH216"/>
  <c r="CG216"/>
  <c r="CF216"/>
  <c r="CE216"/>
  <c r="CD216"/>
  <c r="CC216"/>
  <c r="CB216"/>
  <c r="CA216"/>
  <c r="BZ216"/>
  <c r="BY216"/>
  <c r="BX216"/>
  <c r="BW216"/>
  <c r="BV216"/>
  <c r="BU216"/>
  <c r="BT216"/>
  <c r="BS216"/>
  <c r="BR216"/>
  <c r="BQ216"/>
  <c r="BP216"/>
  <c r="BO216"/>
  <c r="BN216"/>
  <c r="DU215"/>
  <c r="DT215"/>
  <c r="DS215"/>
  <c r="DR215"/>
  <c r="DQ215"/>
  <c r="DP215"/>
  <c r="DO215"/>
  <c r="DN215"/>
  <c r="DM215"/>
  <c r="DL215"/>
  <c r="DK215"/>
  <c r="DJ215"/>
  <c r="DI215"/>
  <c r="DH215"/>
  <c r="DG215"/>
  <c r="DF215"/>
  <c r="DE215"/>
  <c r="DD215"/>
  <c r="DC215"/>
  <c r="DB215"/>
  <c r="DA215"/>
  <c r="CZ215"/>
  <c r="CY215"/>
  <c r="CX215"/>
  <c r="CW215"/>
  <c r="CV215"/>
  <c r="CU215"/>
  <c r="CT215"/>
  <c r="CS215"/>
  <c r="CR215"/>
  <c r="CQ215"/>
  <c r="CP215"/>
  <c r="CO215"/>
  <c r="CN215"/>
  <c r="CM215"/>
  <c r="CL215"/>
  <c r="CK215"/>
  <c r="CJ215"/>
  <c r="CI215"/>
  <c r="CH215"/>
  <c r="CG215"/>
  <c r="CF215"/>
  <c r="CE215"/>
  <c r="CD215"/>
  <c r="CC215"/>
  <c r="CB215"/>
  <c r="CA215"/>
  <c r="BZ215"/>
  <c r="BY215"/>
  <c r="BX215"/>
  <c r="BW215"/>
  <c r="BV215"/>
  <c r="BU215"/>
  <c r="BT215"/>
  <c r="BS215"/>
  <c r="BR215"/>
  <c r="BQ215"/>
  <c r="BP215"/>
  <c r="BO215"/>
  <c r="BN215"/>
  <c r="DU214"/>
  <c r="DT214"/>
  <c r="DS214"/>
  <c r="DR214"/>
  <c r="DQ214"/>
  <c r="DP214"/>
  <c r="DO214"/>
  <c r="DN214"/>
  <c r="DM214"/>
  <c r="DL214"/>
  <c r="DK214"/>
  <c r="DJ214"/>
  <c r="DI214"/>
  <c r="DH214"/>
  <c r="DG214"/>
  <c r="DF214"/>
  <c r="DE214"/>
  <c r="DD214"/>
  <c r="DC214"/>
  <c r="DB214"/>
  <c r="DA214"/>
  <c r="CZ214"/>
  <c r="CY214"/>
  <c r="CX214"/>
  <c r="CW214"/>
  <c r="CV214"/>
  <c r="CU214"/>
  <c r="CT214"/>
  <c r="CS214"/>
  <c r="CR214"/>
  <c r="CQ214"/>
  <c r="CP214"/>
  <c r="CO214"/>
  <c r="CN214"/>
  <c r="CM214"/>
  <c r="CL214"/>
  <c r="CK214"/>
  <c r="CJ214"/>
  <c r="CI214"/>
  <c r="CH214"/>
  <c r="CG214"/>
  <c r="CF214"/>
  <c r="CE214"/>
  <c r="CD214"/>
  <c r="CC214"/>
  <c r="CB214"/>
  <c r="CA214"/>
  <c r="BZ214"/>
  <c r="BY214"/>
  <c r="BX214"/>
  <c r="BW214"/>
  <c r="BV214"/>
  <c r="BU214"/>
  <c r="BT214"/>
  <c r="BS214"/>
  <c r="BR214"/>
  <c r="BQ214"/>
  <c r="BP214"/>
  <c r="BO214"/>
  <c r="BN214"/>
  <c r="DU213"/>
  <c r="DT213"/>
  <c r="DS213"/>
  <c r="DR213"/>
  <c r="DQ213"/>
  <c r="DP213"/>
  <c r="DO213"/>
  <c r="DN213"/>
  <c r="DM213"/>
  <c r="DL213"/>
  <c r="DK213"/>
  <c r="DJ213"/>
  <c r="DI213"/>
  <c r="DH213"/>
  <c r="DG213"/>
  <c r="DF213"/>
  <c r="DE213"/>
  <c r="DD213"/>
  <c r="DC213"/>
  <c r="DB213"/>
  <c r="DA213"/>
  <c r="CZ213"/>
  <c r="CY213"/>
  <c r="CX213"/>
  <c r="CW213"/>
  <c r="CV213"/>
  <c r="CU213"/>
  <c r="CT213"/>
  <c r="CS213"/>
  <c r="CR213"/>
  <c r="CQ213"/>
  <c r="CP213"/>
  <c r="CO213"/>
  <c r="CN213"/>
  <c r="CM213"/>
  <c r="CL213"/>
  <c r="CK213"/>
  <c r="CJ213"/>
  <c r="CI213"/>
  <c r="CH213"/>
  <c r="CG213"/>
  <c r="CF213"/>
  <c r="CE213"/>
  <c r="CD213"/>
  <c r="CC213"/>
  <c r="CB213"/>
  <c r="CA213"/>
  <c r="BZ213"/>
  <c r="BY213"/>
  <c r="BX213"/>
  <c r="BW213"/>
  <c r="BV213"/>
  <c r="BU213"/>
  <c r="BT213"/>
  <c r="BS213"/>
  <c r="BR213"/>
  <c r="BQ213"/>
  <c r="BP213"/>
  <c r="BO213"/>
  <c r="BN213"/>
  <c r="DU212"/>
  <c r="DT212"/>
  <c r="DS212"/>
  <c r="DR212"/>
  <c r="DQ212"/>
  <c r="DP212"/>
  <c r="DO212"/>
  <c r="DN212"/>
  <c r="DM212"/>
  <c r="DL212"/>
  <c r="DK212"/>
  <c r="DJ212"/>
  <c r="DI212"/>
  <c r="DH212"/>
  <c r="DG212"/>
  <c r="DF212"/>
  <c r="DE212"/>
  <c r="DD212"/>
  <c r="DC212"/>
  <c r="DB212"/>
  <c r="DA212"/>
  <c r="CZ212"/>
  <c r="CY212"/>
  <c r="CX212"/>
  <c r="CW212"/>
  <c r="CV212"/>
  <c r="CU212"/>
  <c r="CT212"/>
  <c r="CS212"/>
  <c r="CR212"/>
  <c r="CQ212"/>
  <c r="CP212"/>
  <c r="CO212"/>
  <c r="CN212"/>
  <c r="CM212"/>
  <c r="CL212"/>
  <c r="CK212"/>
  <c r="CJ212"/>
  <c r="CI212"/>
  <c r="CH212"/>
  <c r="CG212"/>
  <c r="CF212"/>
  <c r="CE212"/>
  <c r="CD212"/>
  <c r="CC212"/>
  <c r="CB212"/>
  <c r="CA212"/>
  <c r="BZ212"/>
  <c r="BY212"/>
  <c r="BX212"/>
  <c r="BW212"/>
  <c r="BV212"/>
  <c r="BU212"/>
  <c r="BT212"/>
  <c r="BS212"/>
  <c r="BR212"/>
  <c r="BQ212"/>
  <c r="BP212"/>
  <c r="BO212"/>
  <c r="BN212"/>
  <c r="DU211"/>
  <c r="DT211"/>
  <c r="DS211"/>
  <c r="DR211"/>
  <c r="DQ211"/>
  <c r="DP211"/>
  <c r="DO211"/>
  <c r="DN211"/>
  <c r="DM211"/>
  <c r="DL211"/>
  <c r="DK211"/>
  <c r="DJ211"/>
  <c r="DI211"/>
  <c r="DH211"/>
  <c r="DG211"/>
  <c r="DF211"/>
  <c r="DE211"/>
  <c r="DD211"/>
  <c r="DC211"/>
  <c r="DB211"/>
  <c r="DA211"/>
  <c r="CZ211"/>
  <c r="CY211"/>
  <c r="CX211"/>
  <c r="CW211"/>
  <c r="CV211"/>
  <c r="CU211"/>
  <c r="CT211"/>
  <c r="CS211"/>
  <c r="CR211"/>
  <c r="CQ211"/>
  <c r="CP211"/>
  <c r="CO211"/>
  <c r="CN211"/>
  <c r="CM211"/>
  <c r="CL211"/>
  <c r="CK211"/>
  <c r="CJ211"/>
  <c r="CI211"/>
  <c r="CH211"/>
  <c r="CG211"/>
  <c r="CF211"/>
  <c r="CE211"/>
  <c r="CD211"/>
  <c r="CC211"/>
  <c r="CB211"/>
  <c r="CA211"/>
  <c r="BZ211"/>
  <c r="BY211"/>
  <c r="BX211"/>
  <c r="BW211"/>
  <c r="BV211"/>
  <c r="BU211"/>
  <c r="BT211"/>
  <c r="BS211"/>
  <c r="BR211"/>
  <c r="BQ211"/>
  <c r="BP211"/>
  <c r="BO211"/>
  <c r="BN211"/>
  <c r="DU210"/>
  <c r="DT210"/>
  <c r="DS210"/>
  <c r="DR210"/>
  <c r="DQ210"/>
  <c r="DP210"/>
  <c r="DO210"/>
  <c r="DN210"/>
  <c r="DM210"/>
  <c r="DL210"/>
  <c r="DK210"/>
  <c r="DJ210"/>
  <c r="DI210"/>
  <c r="DH210"/>
  <c r="DG210"/>
  <c r="DF210"/>
  <c r="DE210"/>
  <c r="DD210"/>
  <c r="DC210"/>
  <c r="DB210"/>
  <c r="DA210"/>
  <c r="CZ210"/>
  <c r="CY210"/>
  <c r="CX210"/>
  <c r="CW210"/>
  <c r="CV210"/>
  <c r="CU210"/>
  <c r="CT210"/>
  <c r="CS210"/>
  <c r="CR210"/>
  <c r="CQ210"/>
  <c r="CP210"/>
  <c r="CO210"/>
  <c r="CN210"/>
  <c r="CM210"/>
  <c r="CL210"/>
  <c r="CK210"/>
  <c r="CJ210"/>
  <c r="CI210"/>
  <c r="CH210"/>
  <c r="CG210"/>
  <c r="CF210"/>
  <c r="CE210"/>
  <c r="CD210"/>
  <c r="CC210"/>
  <c r="CB210"/>
  <c r="CA210"/>
  <c r="BZ210"/>
  <c r="BY210"/>
  <c r="BX210"/>
  <c r="BW210"/>
  <c r="BV210"/>
  <c r="BU210"/>
  <c r="BT210"/>
  <c r="BS210"/>
  <c r="BR210"/>
  <c r="BQ210"/>
  <c r="BP210"/>
  <c r="BO210"/>
  <c r="BN210"/>
  <c r="E210"/>
  <c r="E411" s="1"/>
  <c r="D210"/>
  <c r="D411" s="1"/>
  <c r="C210"/>
  <c r="C411" s="1"/>
  <c r="B210"/>
  <c r="B411" s="1"/>
  <c r="A210"/>
  <c r="A411" s="1"/>
  <c r="DU209"/>
  <c r="DT209"/>
  <c r="DS209"/>
  <c r="DR209"/>
  <c r="DQ209"/>
  <c r="DP209"/>
  <c r="DO209"/>
  <c r="DN209"/>
  <c r="DM209"/>
  <c r="DL209"/>
  <c r="DK209"/>
  <c r="DJ209"/>
  <c r="DI209"/>
  <c r="DH209"/>
  <c r="DG209"/>
  <c r="DF209"/>
  <c r="DE209"/>
  <c r="DD209"/>
  <c r="DC209"/>
  <c r="DB209"/>
  <c r="DA209"/>
  <c r="CZ209"/>
  <c r="CY209"/>
  <c r="CX209"/>
  <c r="CW209"/>
  <c r="CV209"/>
  <c r="CU209"/>
  <c r="CT209"/>
  <c r="CS209"/>
  <c r="CR209"/>
  <c r="CQ209"/>
  <c r="CP209"/>
  <c r="CO209"/>
  <c r="CN209"/>
  <c r="CM209"/>
  <c r="CL209"/>
  <c r="CK209"/>
  <c r="CJ209"/>
  <c r="CI209"/>
  <c r="CH209"/>
  <c r="CG209"/>
  <c r="CF209"/>
  <c r="CE209"/>
  <c r="CD209"/>
  <c r="CC209"/>
  <c r="CB209"/>
  <c r="CA209"/>
  <c r="BZ209"/>
  <c r="BY209"/>
  <c r="BX209"/>
  <c r="BW209"/>
  <c r="BV209"/>
  <c r="BU209"/>
  <c r="BT209"/>
  <c r="BS209"/>
  <c r="BR209"/>
  <c r="BQ209"/>
  <c r="BP209"/>
  <c r="BO209"/>
  <c r="BN209"/>
  <c r="E209"/>
  <c r="E410" s="1"/>
  <c r="D209"/>
  <c r="D410" s="1"/>
  <c r="C209"/>
  <c r="C410" s="1"/>
  <c r="B209"/>
  <c r="A209"/>
  <c r="A410" s="1"/>
  <c r="DU208"/>
  <c r="DT208"/>
  <c r="DS208"/>
  <c r="DR208"/>
  <c r="DQ208"/>
  <c r="DP208"/>
  <c r="DO208"/>
  <c r="DN208"/>
  <c r="DM208"/>
  <c r="DL208"/>
  <c r="DK208"/>
  <c r="DJ208"/>
  <c r="DI208"/>
  <c r="DH208"/>
  <c r="DG208"/>
  <c r="DF208"/>
  <c r="DE208"/>
  <c r="DD208"/>
  <c r="DC208"/>
  <c r="DB208"/>
  <c r="DA208"/>
  <c r="CZ208"/>
  <c r="CY208"/>
  <c r="CX208"/>
  <c r="CW208"/>
  <c r="CV208"/>
  <c r="CU208"/>
  <c r="CT208"/>
  <c r="CS208"/>
  <c r="CR208"/>
  <c r="CQ208"/>
  <c r="CP208"/>
  <c r="CO208"/>
  <c r="CN208"/>
  <c r="CM208"/>
  <c r="CL208"/>
  <c r="CK208"/>
  <c r="CJ208"/>
  <c r="CI208"/>
  <c r="CH208"/>
  <c r="CG208"/>
  <c r="CF208"/>
  <c r="CE208"/>
  <c r="CD208"/>
  <c r="CC208"/>
  <c r="CB208"/>
  <c r="CA208"/>
  <c r="BZ208"/>
  <c r="BY208"/>
  <c r="BX208"/>
  <c r="BW208"/>
  <c r="BV208"/>
  <c r="BU208"/>
  <c r="BT208"/>
  <c r="BS208"/>
  <c r="BR208"/>
  <c r="BQ208"/>
  <c r="BP208"/>
  <c r="BO208"/>
  <c r="BN208"/>
  <c r="E208"/>
  <c r="E409" s="1"/>
  <c r="D208"/>
  <c r="D409" s="1"/>
  <c r="C208"/>
  <c r="B208"/>
  <c r="B409" s="1"/>
  <c r="A208"/>
  <c r="A409" s="1"/>
  <c r="DU207"/>
  <c r="DT207"/>
  <c r="DS207"/>
  <c r="DR207"/>
  <c r="DQ207"/>
  <c r="DP207"/>
  <c r="DO207"/>
  <c r="DN207"/>
  <c r="DM207"/>
  <c r="DL207"/>
  <c r="DK207"/>
  <c r="DJ207"/>
  <c r="DI207"/>
  <c r="DH207"/>
  <c r="DG207"/>
  <c r="DF207"/>
  <c r="DE207"/>
  <c r="DD207"/>
  <c r="DC207"/>
  <c r="DB207"/>
  <c r="DA207"/>
  <c r="CZ207"/>
  <c r="CY207"/>
  <c r="CX207"/>
  <c r="CW207"/>
  <c r="CV207"/>
  <c r="CU207"/>
  <c r="CT207"/>
  <c r="CS207"/>
  <c r="CR207"/>
  <c r="CQ207"/>
  <c r="CP207"/>
  <c r="CO207"/>
  <c r="CN207"/>
  <c r="CM207"/>
  <c r="CL207"/>
  <c r="CK207"/>
  <c r="CJ207"/>
  <c r="CI207"/>
  <c r="CH207"/>
  <c r="CG207"/>
  <c r="CF207"/>
  <c r="CE207"/>
  <c r="CD207"/>
  <c r="CC207"/>
  <c r="CB207"/>
  <c r="CA207"/>
  <c r="BZ207"/>
  <c r="BY207"/>
  <c r="BX207"/>
  <c r="BW207"/>
  <c r="BV207"/>
  <c r="BU207"/>
  <c r="BT207"/>
  <c r="BS207"/>
  <c r="BR207"/>
  <c r="BQ207"/>
  <c r="BP207"/>
  <c r="BO207"/>
  <c r="BN207"/>
  <c r="E207"/>
  <c r="E207" i="2" s="1"/>
  <c r="D207" i="3"/>
  <c r="C207"/>
  <c r="C408" s="1"/>
  <c r="B207"/>
  <c r="B408" s="1"/>
  <c r="A207"/>
  <c r="A408" s="1"/>
  <c r="DU206"/>
  <c r="DT206"/>
  <c r="DS206"/>
  <c r="DR206"/>
  <c r="DQ206"/>
  <c r="DP206"/>
  <c r="DO206"/>
  <c r="DN206"/>
  <c r="DM206"/>
  <c r="DL206"/>
  <c r="DK206"/>
  <c r="DJ206"/>
  <c r="DI206"/>
  <c r="DH206"/>
  <c r="DG206"/>
  <c r="DF206"/>
  <c r="DE206"/>
  <c r="DD206"/>
  <c r="DC206"/>
  <c r="DB206"/>
  <c r="DA206"/>
  <c r="CZ206"/>
  <c r="CY206"/>
  <c r="CX206"/>
  <c r="CW206"/>
  <c r="CV206"/>
  <c r="CU206"/>
  <c r="CT206"/>
  <c r="CS206"/>
  <c r="CR206"/>
  <c r="CQ206"/>
  <c r="CP206"/>
  <c r="CO206"/>
  <c r="CN206"/>
  <c r="CM206"/>
  <c r="CL206"/>
  <c r="CK206"/>
  <c r="CJ206"/>
  <c r="CI206"/>
  <c r="CH206"/>
  <c r="CG206"/>
  <c r="CF206"/>
  <c r="CE206"/>
  <c r="CD206"/>
  <c r="CC206"/>
  <c r="CB206"/>
  <c r="CA206"/>
  <c r="BZ206"/>
  <c r="BY206"/>
  <c r="BX206"/>
  <c r="BW206"/>
  <c r="BV206"/>
  <c r="BU206"/>
  <c r="BT206"/>
  <c r="BS206"/>
  <c r="BR206"/>
  <c r="BQ206"/>
  <c r="BP206"/>
  <c r="BO206"/>
  <c r="BN206"/>
  <c r="E206"/>
  <c r="E407" s="1"/>
  <c r="D206"/>
  <c r="D407" s="1"/>
  <c r="C206"/>
  <c r="C407" s="1"/>
  <c r="B206"/>
  <c r="B407" s="1"/>
  <c r="A206"/>
  <c r="A407" s="1"/>
  <c r="DU205"/>
  <c r="DT205"/>
  <c r="DS205"/>
  <c r="DR205"/>
  <c r="DQ205"/>
  <c r="DP205"/>
  <c r="DO205"/>
  <c r="DN205"/>
  <c r="DM205"/>
  <c r="DL205"/>
  <c r="DK205"/>
  <c r="DJ205"/>
  <c r="DI205"/>
  <c r="DH205"/>
  <c r="DG205"/>
  <c r="DF205"/>
  <c r="DE205"/>
  <c r="DD205"/>
  <c r="DC205"/>
  <c r="DB205"/>
  <c r="DA205"/>
  <c r="CZ205"/>
  <c r="CY205"/>
  <c r="CX205"/>
  <c r="CW205"/>
  <c r="CV205"/>
  <c r="CU205"/>
  <c r="CT205"/>
  <c r="CS205"/>
  <c r="CR205"/>
  <c r="CQ205"/>
  <c r="CP205"/>
  <c r="CO205"/>
  <c r="CN205"/>
  <c r="CM205"/>
  <c r="CL205"/>
  <c r="CK205"/>
  <c r="CJ205"/>
  <c r="CI205"/>
  <c r="CH205"/>
  <c r="CG205"/>
  <c r="CF205"/>
  <c r="CE205"/>
  <c r="CD205"/>
  <c r="CC205"/>
  <c r="CB205"/>
  <c r="CA205"/>
  <c r="BZ205"/>
  <c r="BY205"/>
  <c r="BX205"/>
  <c r="BW205"/>
  <c r="BV205"/>
  <c r="BU205"/>
  <c r="BT205"/>
  <c r="BS205"/>
  <c r="BR205"/>
  <c r="BQ205"/>
  <c r="BP205"/>
  <c r="BO205"/>
  <c r="BN205"/>
  <c r="E205"/>
  <c r="D205"/>
  <c r="D406" s="1"/>
  <c r="C205"/>
  <c r="C406" s="1"/>
  <c r="B205"/>
  <c r="B406" s="1"/>
  <c r="A205"/>
  <c r="A406" s="1"/>
  <c r="DU204"/>
  <c r="DT204"/>
  <c r="DS204"/>
  <c r="DR204"/>
  <c r="DQ204"/>
  <c r="DP204"/>
  <c r="DO204"/>
  <c r="DN204"/>
  <c r="DM204"/>
  <c r="DL204"/>
  <c r="DK204"/>
  <c r="DJ204"/>
  <c r="DI204"/>
  <c r="DH204"/>
  <c r="DG204"/>
  <c r="DF204"/>
  <c r="DE204"/>
  <c r="DD204"/>
  <c r="DC204"/>
  <c r="DB204"/>
  <c r="DA204"/>
  <c r="CZ204"/>
  <c r="CY204"/>
  <c r="CX204"/>
  <c r="CW204"/>
  <c r="CV204"/>
  <c r="CU204"/>
  <c r="CT204"/>
  <c r="CS204"/>
  <c r="CR204"/>
  <c r="CQ204"/>
  <c r="CP204"/>
  <c r="CO204"/>
  <c r="CN204"/>
  <c r="CM204"/>
  <c r="CL204"/>
  <c r="CK204"/>
  <c r="CJ204"/>
  <c r="CI204"/>
  <c r="CH204"/>
  <c r="CG204"/>
  <c r="CF204"/>
  <c r="CE204"/>
  <c r="CD204"/>
  <c r="CC204"/>
  <c r="CB204"/>
  <c r="CA204"/>
  <c r="BZ204"/>
  <c r="BY204"/>
  <c r="BX204"/>
  <c r="BW204"/>
  <c r="BV204"/>
  <c r="BU204"/>
  <c r="BT204"/>
  <c r="BS204"/>
  <c r="BR204"/>
  <c r="BQ204"/>
  <c r="BP204"/>
  <c r="BO204"/>
  <c r="BN204"/>
  <c r="E204"/>
  <c r="D204"/>
  <c r="D405" s="1"/>
  <c r="C204"/>
  <c r="C405" s="1"/>
  <c r="B204"/>
  <c r="B204" i="2" s="1"/>
  <c r="A204" i="3"/>
  <c r="A405" s="1"/>
  <c r="DU203"/>
  <c r="DT203"/>
  <c r="DS203"/>
  <c r="DR203"/>
  <c r="DQ203"/>
  <c r="DP203"/>
  <c r="DO203"/>
  <c r="DN203"/>
  <c r="DM203"/>
  <c r="DL203"/>
  <c r="DK203"/>
  <c r="DJ203"/>
  <c r="DI203"/>
  <c r="DH203"/>
  <c r="DG203"/>
  <c r="DF203"/>
  <c r="DE203"/>
  <c r="DD203"/>
  <c r="DC203"/>
  <c r="DB203"/>
  <c r="DA203"/>
  <c r="CZ203"/>
  <c r="CY203"/>
  <c r="CX203"/>
  <c r="CW203"/>
  <c r="CV203"/>
  <c r="CU203"/>
  <c r="CT203"/>
  <c r="CS203"/>
  <c r="CR203"/>
  <c r="CQ203"/>
  <c r="CP203"/>
  <c r="CO203"/>
  <c r="CN203"/>
  <c r="CM203"/>
  <c r="CL203"/>
  <c r="CK203"/>
  <c r="CJ203"/>
  <c r="CI203"/>
  <c r="CH203"/>
  <c r="CG203"/>
  <c r="CF203"/>
  <c r="CE203"/>
  <c r="CD203"/>
  <c r="CC203"/>
  <c r="CB203"/>
  <c r="CA203"/>
  <c r="BZ203"/>
  <c r="BY203"/>
  <c r="BX203"/>
  <c r="BW203"/>
  <c r="BV203"/>
  <c r="BU203"/>
  <c r="BT203"/>
  <c r="BS203"/>
  <c r="BR203"/>
  <c r="BQ203"/>
  <c r="BP203"/>
  <c r="BO203"/>
  <c r="BN203"/>
  <c r="E203"/>
  <c r="E404" s="1"/>
  <c r="D203"/>
  <c r="D404" s="1"/>
  <c r="C203"/>
  <c r="C404" s="1"/>
  <c r="B203"/>
  <c r="B404" s="1"/>
  <c r="A203"/>
  <c r="A203" i="2" s="1"/>
  <c r="DU202" i="3"/>
  <c r="DT202"/>
  <c r="DS202"/>
  <c r="DR202"/>
  <c r="DQ202"/>
  <c r="DP202"/>
  <c r="DO202"/>
  <c r="DN202"/>
  <c r="DM202"/>
  <c r="DL202"/>
  <c r="DK202"/>
  <c r="DJ202"/>
  <c r="DI202"/>
  <c r="DH202"/>
  <c r="DG202"/>
  <c r="DF202"/>
  <c r="DE202"/>
  <c r="DD202"/>
  <c r="DC202"/>
  <c r="DB202"/>
  <c r="DA202"/>
  <c r="CZ202"/>
  <c r="CY202"/>
  <c r="CX202"/>
  <c r="CW202"/>
  <c r="CV202"/>
  <c r="CU202"/>
  <c r="CT202"/>
  <c r="CS202"/>
  <c r="CR202"/>
  <c r="CQ202"/>
  <c r="CP202"/>
  <c r="CO202"/>
  <c r="CN202"/>
  <c r="CM202"/>
  <c r="CL202"/>
  <c r="CK202"/>
  <c r="CJ202"/>
  <c r="CI202"/>
  <c r="CH202"/>
  <c r="CG202"/>
  <c r="CF202"/>
  <c r="CE202"/>
  <c r="CD202"/>
  <c r="CC202"/>
  <c r="CB202"/>
  <c r="CA202"/>
  <c r="BZ202"/>
  <c r="BY202"/>
  <c r="BX202"/>
  <c r="BW202"/>
  <c r="BV202"/>
  <c r="BU202"/>
  <c r="BT202"/>
  <c r="BS202"/>
  <c r="BR202"/>
  <c r="BQ202"/>
  <c r="BP202"/>
  <c r="BO202"/>
  <c r="BN202"/>
  <c r="E202"/>
  <c r="B202"/>
  <c r="B202" i="2" s="1"/>
  <c r="A202" i="3"/>
  <c r="DU201"/>
  <c r="DT201"/>
  <c r="DS201"/>
  <c r="DR201"/>
  <c r="DQ201"/>
  <c r="DP201"/>
  <c r="DO201"/>
  <c r="DN201"/>
  <c r="DM201"/>
  <c r="DL201"/>
  <c r="DK201"/>
  <c r="DJ201"/>
  <c r="DI201"/>
  <c r="DH201"/>
  <c r="DG201"/>
  <c r="DF201"/>
  <c r="DE201"/>
  <c r="DD201"/>
  <c r="DC201"/>
  <c r="DB201"/>
  <c r="DA201"/>
  <c r="CZ201"/>
  <c r="CY201"/>
  <c r="CX201"/>
  <c r="CW201"/>
  <c r="CV201"/>
  <c r="CU201"/>
  <c r="CT201"/>
  <c r="CS201"/>
  <c r="CR201"/>
  <c r="CQ201"/>
  <c r="CP201"/>
  <c r="CO201"/>
  <c r="CN201"/>
  <c r="CM201"/>
  <c r="CL201"/>
  <c r="CK201"/>
  <c r="CJ201"/>
  <c r="CI201"/>
  <c r="CH201"/>
  <c r="CG201"/>
  <c r="CF201"/>
  <c r="CE201"/>
  <c r="CD201"/>
  <c r="CC201"/>
  <c r="CB201"/>
  <c r="CA201"/>
  <c r="BZ201"/>
  <c r="BY201"/>
  <c r="BX201"/>
  <c r="BW201"/>
  <c r="BV201"/>
  <c r="BU201"/>
  <c r="BT201"/>
  <c r="BS201"/>
  <c r="BR201"/>
  <c r="BQ201"/>
  <c r="BP201"/>
  <c r="BO201"/>
  <c r="BN201"/>
  <c r="E201"/>
  <c r="E403" s="1"/>
  <c r="D201"/>
  <c r="C201"/>
  <c r="C403" s="1"/>
  <c r="B201"/>
  <c r="B403" s="1"/>
  <c r="A201"/>
  <c r="A403" s="1"/>
  <c r="DU200"/>
  <c r="DT200"/>
  <c r="DS200"/>
  <c r="DR200"/>
  <c r="DQ200"/>
  <c r="DP200"/>
  <c r="DO200"/>
  <c r="DN200"/>
  <c r="DM200"/>
  <c r="DL200"/>
  <c r="DK200"/>
  <c r="DJ200"/>
  <c r="DI200"/>
  <c r="DH200"/>
  <c r="DG200"/>
  <c r="DF200"/>
  <c r="DE200"/>
  <c r="DD200"/>
  <c r="DC200"/>
  <c r="DB200"/>
  <c r="DA200"/>
  <c r="CZ200"/>
  <c r="CY200"/>
  <c r="CX200"/>
  <c r="CW200"/>
  <c r="CV200"/>
  <c r="CU200"/>
  <c r="CT200"/>
  <c r="CS200"/>
  <c r="CR200"/>
  <c r="CQ200"/>
  <c r="CP200"/>
  <c r="CO200"/>
  <c r="CN200"/>
  <c r="CM200"/>
  <c r="CL200"/>
  <c r="CK200"/>
  <c r="CJ200"/>
  <c r="CI200"/>
  <c r="CH200"/>
  <c r="CG200"/>
  <c r="CF200"/>
  <c r="CE200"/>
  <c r="CD200"/>
  <c r="CC200"/>
  <c r="CB200"/>
  <c r="CA200"/>
  <c r="BZ200"/>
  <c r="BY200"/>
  <c r="BX200"/>
  <c r="BW200"/>
  <c r="BV200"/>
  <c r="BU200"/>
  <c r="BT200"/>
  <c r="BS200"/>
  <c r="BR200"/>
  <c r="BQ200"/>
  <c r="BP200"/>
  <c r="BO200"/>
  <c r="BN200"/>
  <c r="E200"/>
  <c r="E402" s="1"/>
  <c r="D200"/>
  <c r="D402" s="1"/>
  <c r="C200"/>
  <c r="C402" s="1"/>
  <c r="B200"/>
  <c r="B402" s="1"/>
  <c r="A200"/>
  <c r="A402" s="1"/>
  <c r="DU199"/>
  <c r="DT199"/>
  <c r="DS199"/>
  <c r="DR199"/>
  <c r="DQ199"/>
  <c r="DP199"/>
  <c r="DO199"/>
  <c r="DN199"/>
  <c r="DM199"/>
  <c r="DL199"/>
  <c r="DK199"/>
  <c r="DJ199"/>
  <c r="DI199"/>
  <c r="DH199"/>
  <c r="DG199"/>
  <c r="DF199"/>
  <c r="DE199"/>
  <c r="DD199"/>
  <c r="DC199"/>
  <c r="DB199"/>
  <c r="DA199"/>
  <c r="CZ199"/>
  <c r="CY199"/>
  <c r="CX199"/>
  <c r="CW199"/>
  <c r="CV199"/>
  <c r="CU199"/>
  <c r="CT199"/>
  <c r="CS199"/>
  <c r="CR199"/>
  <c r="CQ199"/>
  <c r="CP199"/>
  <c r="CO199"/>
  <c r="CN199"/>
  <c r="CM199"/>
  <c r="CL199"/>
  <c r="CK199"/>
  <c r="CJ199"/>
  <c r="CI199"/>
  <c r="CH199"/>
  <c r="CG199"/>
  <c r="CF199"/>
  <c r="CE199"/>
  <c r="CD199"/>
  <c r="CC199"/>
  <c r="CB199"/>
  <c r="CA199"/>
  <c r="BZ199"/>
  <c r="BY199"/>
  <c r="BX199"/>
  <c r="BW199"/>
  <c r="BV199"/>
  <c r="BU199"/>
  <c r="BT199"/>
  <c r="BS199"/>
  <c r="BR199"/>
  <c r="BQ199"/>
  <c r="BP199"/>
  <c r="BO199"/>
  <c r="BN199"/>
  <c r="E199"/>
  <c r="E401" s="1"/>
  <c r="D199"/>
  <c r="D401" s="1"/>
  <c r="C199"/>
  <c r="C199" i="2" s="1"/>
  <c r="B199" i="3"/>
  <c r="B401" s="1"/>
  <c r="A199"/>
  <c r="A401" s="1"/>
  <c r="DU198"/>
  <c r="DT198"/>
  <c r="DS198"/>
  <c r="DR198"/>
  <c r="DQ198"/>
  <c r="DP198"/>
  <c r="DO198"/>
  <c r="DN198"/>
  <c r="DM198"/>
  <c r="DL198"/>
  <c r="DK198"/>
  <c r="DJ198"/>
  <c r="DI198"/>
  <c r="DH198"/>
  <c r="DG198"/>
  <c r="DF198"/>
  <c r="DE198"/>
  <c r="DD198"/>
  <c r="DC198"/>
  <c r="DB198"/>
  <c r="DA198"/>
  <c r="CZ198"/>
  <c r="CY198"/>
  <c r="CX198"/>
  <c r="CW198"/>
  <c r="CV198"/>
  <c r="CU198"/>
  <c r="CT198"/>
  <c r="CS198"/>
  <c r="CR198"/>
  <c r="CQ198"/>
  <c r="CP198"/>
  <c r="CO198"/>
  <c r="CN198"/>
  <c r="CM198"/>
  <c r="CL198"/>
  <c r="CK198"/>
  <c r="CJ198"/>
  <c r="CI198"/>
  <c r="CH198"/>
  <c r="CG198"/>
  <c r="CF198"/>
  <c r="CE198"/>
  <c r="CD198"/>
  <c r="CC198"/>
  <c r="CB198"/>
  <c r="CA198"/>
  <c r="BZ198"/>
  <c r="BY198"/>
  <c r="BX198"/>
  <c r="BW198"/>
  <c r="BV198"/>
  <c r="BU198"/>
  <c r="BT198"/>
  <c r="BS198"/>
  <c r="BR198"/>
  <c r="BQ198"/>
  <c r="BP198"/>
  <c r="BO198"/>
  <c r="BN198"/>
  <c r="E198"/>
  <c r="E400" s="1"/>
  <c r="D198"/>
  <c r="D400" s="1"/>
  <c r="C198"/>
  <c r="C400" s="1"/>
  <c r="B198"/>
  <c r="B400" s="1"/>
  <c r="A198"/>
  <c r="A400" s="1"/>
  <c r="DU197"/>
  <c r="DT197"/>
  <c r="DS197"/>
  <c r="DR197"/>
  <c r="DQ197"/>
  <c r="DP197"/>
  <c r="DO197"/>
  <c r="DN197"/>
  <c r="DM197"/>
  <c r="DL197"/>
  <c r="DK197"/>
  <c r="DJ197"/>
  <c r="DI197"/>
  <c r="DH197"/>
  <c r="DG197"/>
  <c r="DF197"/>
  <c r="DE197"/>
  <c r="DD197"/>
  <c r="DC197"/>
  <c r="DB197"/>
  <c r="DA197"/>
  <c r="CZ197"/>
  <c r="CY197"/>
  <c r="CX197"/>
  <c r="CW197"/>
  <c r="CV197"/>
  <c r="CU197"/>
  <c r="CT197"/>
  <c r="CS197"/>
  <c r="CR197"/>
  <c r="CQ197"/>
  <c r="CP197"/>
  <c r="CO197"/>
  <c r="CN197"/>
  <c r="CM197"/>
  <c r="CL197"/>
  <c r="CK197"/>
  <c r="CJ197"/>
  <c r="CI197"/>
  <c r="CH197"/>
  <c r="CG197"/>
  <c r="CF197"/>
  <c r="CE197"/>
  <c r="CD197"/>
  <c r="CC197"/>
  <c r="CB197"/>
  <c r="CA197"/>
  <c r="BZ197"/>
  <c r="BY197"/>
  <c r="BX197"/>
  <c r="BW197"/>
  <c r="BV197"/>
  <c r="BU197"/>
  <c r="BT197"/>
  <c r="BS197"/>
  <c r="BR197"/>
  <c r="BQ197"/>
  <c r="BP197"/>
  <c r="BO197"/>
  <c r="BN197"/>
  <c r="E197"/>
  <c r="E399" s="1"/>
  <c r="D197"/>
  <c r="D399" s="1"/>
  <c r="C197"/>
  <c r="C399" s="1"/>
  <c r="B197"/>
  <c r="B399" s="1"/>
  <c r="A197"/>
  <c r="A399" s="1"/>
  <c r="DU196"/>
  <c r="DT196"/>
  <c r="DS196"/>
  <c r="DR196"/>
  <c r="DQ196"/>
  <c r="DP196"/>
  <c r="DO196"/>
  <c r="DN196"/>
  <c r="DM196"/>
  <c r="DL196"/>
  <c r="DK196"/>
  <c r="DJ196"/>
  <c r="DI196"/>
  <c r="DH196"/>
  <c r="DG196"/>
  <c r="DF196"/>
  <c r="DE196"/>
  <c r="DD196"/>
  <c r="DC196"/>
  <c r="DB196"/>
  <c r="DA196"/>
  <c r="CZ196"/>
  <c r="CY196"/>
  <c r="CX196"/>
  <c r="CW196"/>
  <c r="CV196"/>
  <c r="CU196"/>
  <c r="CT196"/>
  <c r="CS196"/>
  <c r="CR196"/>
  <c r="CQ196"/>
  <c r="CP196"/>
  <c r="CO196"/>
  <c r="CN196"/>
  <c r="CM196"/>
  <c r="CL196"/>
  <c r="CK196"/>
  <c r="CJ196"/>
  <c r="CI196"/>
  <c r="CH196"/>
  <c r="CG196"/>
  <c r="CF196"/>
  <c r="CE196"/>
  <c r="CD196"/>
  <c r="CC196"/>
  <c r="CB196"/>
  <c r="CA196"/>
  <c r="BZ196"/>
  <c r="BY196"/>
  <c r="BX196"/>
  <c r="BW196"/>
  <c r="BV196"/>
  <c r="BU196"/>
  <c r="BT196"/>
  <c r="BS196"/>
  <c r="BR196"/>
  <c r="BQ196"/>
  <c r="BP196"/>
  <c r="BO196"/>
  <c r="BN196"/>
  <c r="E196"/>
  <c r="D196"/>
  <c r="D398" s="1"/>
  <c r="C196"/>
  <c r="C398" s="1"/>
  <c r="B196"/>
  <c r="B398" s="1"/>
  <c r="A196"/>
  <c r="A398" s="1"/>
  <c r="DU195"/>
  <c r="DT195"/>
  <c r="DS195"/>
  <c r="DR195"/>
  <c r="DQ195"/>
  <c r="DP195"/>
  <c r="DO195"/>
  <c r="DN195"/>
  <c r="DM195"/>
  <c r="DL195"/>
  <c r="DK195"/>
  <c r="DJ195"/>
  <c r="DI195"/>
  <c r="DH195"/>
  <c r="DG195"/>
  <c r="DF195"/>
  <c r="DE195"/>
  <c r="DD195"/>
  <c r="DC195"/>
  <c r="DB195"/>
  <c r="DA195"/>
  <c r="CZ195"/>
  <c r="CY195"/>
  <c r="CX195"/>
  <c r="CW195"/>
  <c r="CV195"/>
  <c r="CU195"/>
  <c r="CT195"/>
  <c r="CS195"/>
  <c r="CR195"/>
  <c r="CQ195"/>
  <c r="CP195"/>
  <c r="CO195"/>
  <c r="CN195"/>
  <c r="CM195"/>
  <c r="CL195"/>
  <c r="CK195"/>
  <c r="CJ195"/>
  <c r="CI195"/>
  <c r="CH195"/>
  <c r="CG195"/>
  <c r="CF195"/>
  <c r="CE195"/>
  <c r="CD195"/>
  <c r="CC195"/>
  <c r="CB195"/>
  <c r="CA195"/>
  <c r="BZ195"/>
  <c r="BY195"/>
  <c r="BX195"/>
  <c r="BW195"/>
  <c r="BV195"/>
  <c r="BU195"/>
  <c r="BT195"/>
  <c r="BS195"/>
  <c r="BR195"/>
  <c r="BQ195"/>
  <c r="BP195"/>
  <c r="BO195"/>
  <c r="BN195"/>
  <c r="E195"/>
  <c r="E397" s="1"/>
  <c r="D195"/>
  <c r="D397" s="1"/>
  <c r="C195"/>
  <c r="C397" s="1"/>
  <c r="B195"/>
  <c r="A195"/>
  <c r="A397" s="1"/>
  <c r="DU194"/>
  <c r="DT194"/>
  <c r="DS194"/>
  <c r="DR194"/>
  <c r="DQ194"/>
  <c r="DP194"/>
  <c r="DO194"/>
  <c r="DN194"/>
  <c r="DM194"/>
  <c r="DL194"/>
  <c r="DK194"/>
  <c r="DJ194"/>
  <c r="DI194"/>
  <c r="DH194"/>
  <c r="DG194"/>
  <c r="DF194"/>
  <c r="DE194"/>
  <c r="DD194"/>
  <c r="DC194"/>
  <c r="DB194"/>
  <c r="DA194"/>
  <c r="CZ194"/>
  <c r="CY194"/>
  <c r="CX194"/>
  <c r="CW194"/>
  <c r="CV194"/>
  <c r="CU194"/>
  <c r="CT194"/>
  <c r="CS194"/>
  <c r="CR194"/>
  <c r="CQ194"/>
  <c r="CP194"/>
  <c r="CO194"/>
  <c r="CN194"/>
  <c r="CM194"/>
  <c r="CL194"/>
  <c r="CK194"/>
  <c r="CJ194"/>
  <c r="CI194"/>
  <c r="CH194"/>
  <c r="CG194"/>
  <c r="CF194"/>
  <c r="CE194"/>
  <c r="CD194"/>
  <c r="CC194"/>
  <c r="CB194"/>
  <c r="CA194"/>
  <c r="BZ194"/>
  <c r="BY194"/>
  <c r="BX194"/>
  <c r="BW194"/>
  <c r="BV194"/>
  <c r="BU194"/>
  <c r="BT194"/>
  <c r="BS194"/>
  <c r="BR194"/>
  <c r="BQ194"/>
  <c r="BP194"/>
  <c r="BO194"/>
  <c r="BN194"/>
  <c r="E194"/>
  <c r="E396" s="1"/>
  <c r="D194"/>
  <c r="D396" s="1"/>
  <c r="C194"/>
  <c r="C396" s="1"/>
  <c r="B194"/>
  <c r="B396" s="1"/>
  <c r="A194"/>
  <c r="A396" s="1"/>
  <c r="DU193"/>
  <c r="DT193"/>
  <c r="DS193"/>
  <c r="DR193"/>
  <c r="DQ193"/>
  <c r="DP193"/>
  <c r="DO193"/>
  <c r="DN193"/>
  <c r="DM193"/>
  <c r="DL193"/>
  <c r="DK193"/>
  <c r="DJ193"/>
  <c r="DI193"/>
  <c r="DH193"/>
  <c r="DG193"/>
  <c r="DF193"/>
  <c r="DE193"/>
  <c r="DD193"/>
  <c r="DC193"/>
  <c r="DB193"/>
  <c r="DA193"/>
  <c r="CZ193"/>
  <c r="CY193"/>
  <c r="CX193"/>
  <c r="CW193"/>
  <c r="CV193"/>
  <c r="CU193"/>
  <c r="CT193"/>
  <c r="CS193"/>
  <c r="CR193"/>
  <c r="CQ193"/>
  <c r="CP193"/>
  <c r="CO193"/>
  <c r="CN193"/>
  <c r="CM193"/>
  <c r="CL193"/>
  <c r="CK193"/>
  <c r="CJ193"/>
  <c r="CI193"/>
  <c r="CH193"/>
  <c r="CG193"/>
  <c r="CF193"/>
  <c r="CE193"/>
  <c r="CD193"/>
  <c r="CC193"/>
  <c r="CB193"/>
  <c r="CA193"/>
  <c r="BZ193"/>
  <c r="BY193"/>
  <c r="BX193"/>
  <c r="BW193"/>
  <c r="BV193"/>
  <c r="BU193"/>
  <c r="BT193"/>
  <c r="BS193"/>
  <c r="BR193"/>
  <c r="BQ193"/>
  <c r="BP193"/>
  <c r="BO193"/>
  <c r="BN193"/>
  <c r="E193"/>
  <c r="B193"/>
  <c r="A193"/>
  <c r="DU192"/>
  <c r="DT192"/>
  <c r="DS192"/>
  <c r="DR192"/>
  <c r="DQ192"/>
  <c r="DP192"/>
  <c r="DO192"/>
  <c r="DN192"/>
  <c r="DM192"/>
  <c r="DL192"/>
  <c r="DK192"/>
  <c r="DJ192"/>
  <c r="DI192"/>
  <c r="DH192"/>
  <c r="DG192"/>
  <c r="DF192"/>
  <c r="DE192"/>
  <c r="DD192"/>
  <c r="DC192"/>
  <c r="DB192"/>
  <c r="DA192"/>
  <c r="CZ192"/>
  <c r="CY192"/>
  <c r="CX192"/>
  <c r="CW192"/>
  <c r="CV192"/>
  <c r="CU192"/>
  <c r="CT192"/>
  <c r="CS192"/>
  <c r="CR192"/>
  <c r="CQ192"/>
  <c r="CP192"/>
  <c r="CO192"/>
  <c r="CN192"/>
  <c r="CM192"/>
  <c r="CL192"/>
  <c r="CK192"/>
  <c r="CJ192"/>
  <c r="CI192"/>
  <c r="CH192"/>
  <c r="CG192"/>
  <c r="CF192"/>
  <c r="CE192"/>
  <c r="CD192"/>
  <c r="CC192"/>
  <c r="CB192"/>
  <c r="CA192"/>
  <c r="BZ192"/>
  <c r="BY192"/>
  <c r="BX192"/>
  <c r="BW192"/>
  <c r="BV192"/>
  <c r="BU192"/>
  <c r="BT192"/>
  <c r="BS192"/>
  <c r="BR192"/>
  <c r="BQ192"/>
  <c r="BP192"/>
  <c r="BO192"/>
  <c r="BN192"/>
  <c r="E192"/>
  <c r="E395" s="1"/>
  <c r="D192"/>
  <c r="D395" s="1"/>
  <c r="C192"/>
  <c r="B192"/>
  <c r="B395" s="1"/>
  <c r="A192"/>
  <c r="A395" s="1"/>
  <c r="DU191"/>
  <c r="DT191"/>
  <c r="DS191"/>
  <c r="DR191"/>
  <c r="DQ191"/>
  <c r="DP191"/>
  <c r="DO191"/>
  <c r="DN191"/>
  <c r="DM191"/>
  <c r="DL191"/>
  <c r="DK191"/>
  <c r="DJ191"/>
  <c r="DI191"/>
  <c r="DH191"/>
  <c r="DG191"/>
  <c r="DF191"/>
  <c r="DE191"/>
  <c r="DD191"/>
  <c r="DC191"/>
  <c r="DB191"/>
  <c r="DA191"/>
  <c r="CZ191"/>
  <c r="CY191"/>
  <c r="CX191"/>
  <c r="CW191"/>
  <c r="CV191"/>
  <c r="CU191"/>
  <c r="CT191"/>
  <c r="CS191"/>
  <c r="CR191"/>
  <c r="CQ191"/>
  <c r="CP191"/>
  <c r="CO191"/>
  <c r="CN191"/>
  <c r="CM191"/>
  <c r="CL191"/>
  <c r="CK191"/>
  <c r="CJ191"/>
  <c r="CI191"/>
  <c r="CH191"/>
  <c r="CG191"/>
  <c r="CF191"/>
  <c r="CE191"/>
  <c r="CD191"/>
  <c r="CC191"/>
  <c r="CB191"/>
  <c r="CA191"/>
  <c r="BZ191"/>
  <c r="BY191"/>
  <c r="BX191"/>
  <c r="BW191"/>
  <c r="BV191"/>
  <c r="BU191"/>
  <c r="BT191"/>
  <c r="BS191"/>
  <c r="BR191"/>
  <c r="BQ191"/>
  <c r="BP191"/>
  <c r="BO191"/>
  <c r="BN191"/>
  <c r="E191"/>
  <c r="E394" s="1"/>
  <c r="D191"/>
  <c r="D394" s="1"/>
  <c r="C191"/>
  <c r="C394" s="1"/>
  <c r="B191"/>
  <c r="A191"/>
  <c r="A394" s="1"/>
  <c r="DU190"/>
  <c r="DT190"/>
  <c r="DS190"/>
  <c r="DR190"/>
  <c r="DQ190"/>
  <c r="DP190"/>
  <c r="DO190"/>
  <c r="DN190"/>
  <c r="DM190"/>
  <c r="DL190"/>
  <c r="DK190"/>
  <c r="DJ190"/>
  <c r="DI190"/>
  <c r="DH190"/>
  <c r="DG190"/>
  <c r="DF190"/>
  <c r="DE190"/>
  <c r="DD190"/>
  <c r="DC190"/>
  <c r="DB190"/>
  <c r="DA190"/>
  <c r="CZ190"/>
  <c r="CY190"/>
  <c r="CX190"/>
  <c r="CW190"/>
  <c r="CV190"/>
  <c r="CU190"/>
  <c r="CT190"/>
  <c r="CS190"/>
  <c r="CR190"/>
  <c r="CQ190"/>
  <c r="CP190"/>
  <c r="CO190"/>
  <c r="CN190"/>
  <c r="CM190"/>
  <c r="CL190"/>
  <c r="CK190"/>
  <c r="CJ190"/>
  <c r="CI190"/>
  <c r="CH190"/>
  <c r="CG190"/>
  <c r="CF190"/>
  <c r="CE190"/>
  <c r="CD190"/>
  <c r="CC190"/>
  <c r="CB190"/>
  <c r="CA190"/>
  <c r="BZ190"/>
  <c r="BY190"/>
  <c r="BX190"/>
  <c r="BW190"/>
  <c r="BV190"/>
  <c r="BU190"/>
  <c r="BT190"/>
  <c r="BS190"/>
  <c r="BR190"/>
  <c r="BQ190"/>
  <c r="BP190"/>
  <c r="BO190"/>
  <c r="BN190"/>
  <c r="E190"/>
  <c r="E393" s="1"/>
  <c r="D190"/>
  <c r="D393" s="1"/>
  <c r="C190"/>
  <c r="C393" s="1"/>
  <c r="B190"/>
  <c r="B393" s="1"/>
  <c r="A190"/>
  <c r="A393" s="1"/>
  <c r="DU189"/>
  <c r="DT189"/>
  <c r="DS189"/>
  <c r="DR189"/>
  <c r="DQ189"/>
  <c r="DP189"/>
  <c r="DO189"/>
  <c r="DN189"/>
  <c r="DM189"/>
  <c r="DL189"/>
  <c r="DK189"/>
  <c r="DJ189"/>
  <c r="DI189"/>
  <c r="DH189"/>
  <c r="DG189"/>
  <c r="DF189"/>
  <c r="DE189"/>
  <c r="DD189"/>
  <c r="DC189"/>
  <c r="DB189"/>
  <c r="DA189"/>
  <c r="CZ189"/>
  <c r="CY189"/>
  <c r="CX189"/>
  <c r="CW189"/>
  <c r="CV189"/>
  <c r="CU189"/>
  <c r="CT189"/>
  <c r="CS189"/>
  <c r="CR189"/>
  <c r="CQ189"/>
  <c r="CP189"/>
  <c r="CO189"/>
  <c r="CN189"/>
  <c r="CM189"/>
  <c r="CL189"/>
  <c r="CK189"/>
  <c r="CJ189"/>
  <c r="CI189"/>
  <c r="CH189"/>
  <c r="CG189"/>
  <c r="CF189"/>
  <c r="CE189"/>
  <c r="CD189"/>
  <c r="CC189"/>
  <c r="CB189"/>
  <c r="CA189"/>
  <c r="BZ189"/>
  <c r="BY189"/>
  <c r="BX189"/>
  <c r="BW189"/>
  <c r="BV189"/>
  <c r="BU189"/>
  <c r="BT189"/>
  <c r="BS189"/>
  <c r="BR189"/>
  <c r="BQ189"/>
  <c r="BP189"/>
  <c r="BO189"/>
  <c r="BN189"/>
  <c r="E189"/>
  <c r="E392" s="1"/>
  <c r="D189"/>
  <c r="D392" s="1"/>
  <c r="C189"/>
  <c r="C392" s="1"/>
  <c r="B189"/>
  <c r="A189"/>
  <c r="A392" s="1"/>
  <c r="DU188"/>
  <c r="DT188"/>
  <c r="DS188"/>
  <c r="DR188"/>
  <c r="DQ188"/>
  <c r="DP188"/>
  <c r="DO188"/>
  <c r="DN188"/>
  <c r="DM188"/>
  <c r="DL188"/>
  <c r="DK188"/>
  <c r="DJ188"/>
  <c r="DI188"/>
  <c r="DH188"/>
  <c r="DG188"/>
  <c r="DF188"/>
  <c r="DE188"/>
  <c r="DD188"/>
  <c r="DC188"/>
  <c r="DB188"/>
  <c r="DA188"/>
  <c r="CZ188"/>
  <c r="CY188"/>
  <c r="CX188"/>
  <c r="CW188"/>
  <c r="CV188"/>
  <c r="CU188"/>
  <c r="CT188"/>
  <c r="CS188"/>
  <c r="CR188"/>
  <c r="CQ188"/>
  <c r="CP188"/>
  <c r="CO188"/>
  <c r="CN188"/>
  <c r="CM188"/>
  <c r="CL188"/>
  <c r="CK188"/>
  <c r="CJ188"/>
  <c r="CI188"/>
  <c r="CH188"/>
  <c r="CG188"/>
  <c r="CF188"/>
  <c r="CE188"/>
  <c r="CD188"/>
  <c r="CC188"/>
  <c r="CB188"/>
  <c r="CA188"/>
  <c r="BZ188"/>
  <c r="BY188"/>
  <c r="BX188"/>
  <c r="BW188"/>
  <c r="BV188"/>
  <c r="BU188"/>
  <c r="BT188"/>
  <c r="BS188"/>
  <c r="BR188"/>
  <c r="BQ188"/>
  <c r="BP188"/>
  <c r="BO188"/>
  <c r="BN188"/>
  <c r="E188"/>
  <c r="E391" s="1"/>
  <c r="D188"/>
  <c r="D391" s="1"/>
  <c r="C188"/>
  <c r="B188"/>
  <c r="B391" s="1"/>
  <c r="A188"/>
  <c r="A391" s="1"/>
  <c r="DU187"/>
  <c r="DT187"/>
  <c r="DS187"/>
  <c r="DR187"/>
  <c r="DQ187"/>
  <c r="DP187"/>
  <c r="DO187"/>
  <c r="DN187"/>
  <c r="DM187"/>
  <c r="DL187"/>
  <c r="DK187"/>
  <c r="DJ187"/>
  <c r="DI187"/>
  <c r="DH187"/>
  <c r="DG187"/>
  <c r="DF187"/>
  <c r="DE187"/>
  <c r="DD187"/>
  <c r="DC187"/>
  <c r="DB187"/>
  <c r="DA187"/>
  <c r="CZ187"/>
  <c r="CY187"/>
  <c r="CX187"/>
  <c r="CW187"/>
  <c r="CV187"/>
  <c r="CU187"/>
  <c r="CT187"/>
  <c r="CS187"/>
  <c r="CR187"/>
  <c r="CQ187"/>
  <c r="CP187"/>
  <c r="CO187"/>
  <c r="CN187"/>
  <c r="CM187"/>
  <c r="CL187"/>
  <c r="CK187"/>
  <c r="CJ187"/>
  <c r="CI187"/>
  <c r="CH187"/>
  <c r="CG187"/>
  <c r="CF187"/>
  <c r="CE187"/>
  <c r="CD187"/>
  <c r="CC187"/>
  <c r="CB187"/>
  <c r="CA187"/>
  <c r="BZ187"/>
  <c r="BY187"/>
  <c r="BX187"/>
  <c r="BW187"/>
  <c r="BV187"/>
  <c r="BU187"/>
  <c r="BT187"/>
  <c r="BS187"/>
  <c r="BR187"/>
  <c r="BQ187"/>
  <c r="BP187"/>
  <c r="BO187"/>
  <c r="BN187"/>
  <c r="E187"/>
  <c r="E390" s="1"/>
  <c r="D187"/>
  <c r="D390" s="1"/>
  <c r="C187"/>
  <c r="B187"/>
  <c r="B390" s="1"/>
  <c r="A187"/>
  <c r="A390" s="1"/>
  <c r="DU186"/>
  <c r="DT186"/>
  <c r="DS186"/>
  <c r="DR186"/>
  <c r="DQ186"/>
  <c r="DP186"/>
  <c r="DO186"/>
  <c r="DN186"/>
  <c r="DM186"/>
  <c r="DL186"/>
  <c r="DK186"/>
  <c r="DJ186"/>
  <c r="DI186"/>
  <c r="DH186"/>
  <c r="DG186"/>
  <c r="DF186"/>
  <c r="DE186"/>
  <c r="DD186"/>
  <c r="DC186"/>
  <c r="DB186"/>
  <c r="DA186"/>
  <c r="CZ186"/>
  <c r="CY186"/>
  <c r="CX186"/>
  <c r="CW186"/>
  <c r="CV186"/>
  <c r="CU186"/>
  <c r="CT186"/>
  <c r="CS186"/>
  <c r="CR186"/>
  <c r="CQ186"/>
  <c r="CP186"/>
  <c r="CO186"/>
  <c r="CN186"/>
  <c r="CM186"/>
  <c r="CL186"/>
  <c r="CK186"/>
  <c r="CJ186"/>
  <c r="CI186"/>
  <c r="CH186"/>
  <c r="CG186"/>
  <c r="CF186"/>
  <c r="CE186"/>
  <c r="CD186"/>
  <c r="CC186"/>
  <c r="CB186"/>
  <c r="CA186"/>
  <c r="BZ186"/>
  <c r="BY186"/>
  <c r="BX186"/>
  <c r="BW186"/>
  <c r="BV186"/>
  <c r="BU186"/>
  <c r="BT186"/>
  <c r="BS186"/>
  <c r="BR186"/>
  <c r="BQ186"/>
  <c r="BP186"/>
  <c r="BO186"/>
  <c r="BN186"/>
  <c r="E186"/>
  <c r="E389" s="1"/>
  <c r="D186"/>
  <c r="D389" s="1"/>
  <c r="C186"/>
  <c r="C389" s="1"/>
  <c r="B186"/>
  <c r="B389" s="1"/>
  <c r="A186"/>
  <c r="A389" s="1"/>
  <c r="DU185"/>
  <c r="DT185"/>
  <c r="DS185"/>
  <c r="DR185"/>
  <c r="DQ185"/>
  <c r="DP185"/>
  <c r="DO185"/>
  <c r="DN185"/>
  <c r="DM185"/>
  <c r="DL185"/>
  <c r="DK185"/>
  <c r="DJ185"/>
  <c r="DI185"/>
  <c r="DH185"/>
  <c r="DG185"/>
  <c r="DF185"/>
  <c r="DE185"/>
  <c r="DD185"/>
  <c r="DC185"/>
  <c r="DB185"/>
  <c r="DA185"/>
  <c r="CZ185"/>
  <c r="CY185"/>
  <c r="CX185"/>
  <c r="CW185"/>
  <c r="CV185"/>
  <c r="CU185"/>
  <c r="CT185"/>
  <c r="CS185"/>
  <c r="CR185"/>
  <c r="CQ185"/>
  <c r="CP185"/>
  <c r="CO185"/>
  <c r="CN185"/>
  <c r="CM185"/>
  <c r="CL185"/>
  <c r="CK185"/>
  <c r="CJ185"/>
  <c r="CI185"/>
  <c r="CH185"/>
  <c r="CG185"/>
  <c r="CF185"/>
  <c r="CE185"/>
  <c r="CD185"/>
  <c r="CC185"/>
  <c r="CB185"/>
  <c r="CA185"/>
  <c r="BZ185"/>
  <c r="BY185"/>
  <c r="BX185"/>
  <c r="BW185"/>
  <c r="BV185"/>
  <c r="BU185"/>
  <c r="BT185"/>
  <c r="BS185"/>
  <c r="BR185"/>
  <c r="BQ185"/>
  <c r="BP185"/>
  <c r="BO185"/>
  <c r="BN185"/>
  <c r="E185"/>
  <c r="D185"/>
  <c r="D388" s="1"/>
  <c r="C185"/>
  <c r="C388" s="1"/>
  <c r="B185"/>
  <c r="B388" s="1"/>
  <c r="A185"/>
  <c r="A388" s="1"/>
  <c r="DU184"/>
  <c r="DT184"/>
  <c r="DS184"/>
  <c r="DR184"/>
  <c r="DQ184"/>
  <c r="DP184"/>
  <c r="DO184"/>
  <c r="DN184"/>
  <c r="DM184"/>
  <c r="DL184"/>
  <c r="DK184"/>
  <c r="DJ184"/>
  <c r="DI184"/>
  <c r="DH184"/>
  <c r="DG184"/>
  <c r="DF184"/>
  <c r="DE184"/>
  <c r="DD184"/>
  <c r="DC184"/>
  <c r="DB184"/>
  <c r="DA184"/>
  <c r="CZ184"/>
  <c r="CY184"/>
  <c r="CX184"/>
  <c r="CW184"/>
  <c r="CV184"/>
  <c r="CU184"/>
  <c r="CT184"/>
  <c r="CS184"/>
  <c r="CR184"/>
  <c r="CQ184"/>
  <c r="CP184"/>
  <c r="CO184"/>
  <c r="CN184"/>
  <c r="CM184"/>
  <c r="CL184"/>
  <c r="CK184"/>
  <c r="CJ184"/>
  <c r="CI184"/>
  <c r="CH184"/>
  <c r="CG184"/>
  <c r="CF184"/>
  <c r="CE184"/>
  <c r="CD184"/>
  <c r="CC184"/>
  <c r="CB184"/>
  <c r="CA184"/>
  <c r="BZ184"/>
  <c r="BY184"/>
  <c r="BX184"/>
  <c r="BW184"/>
  <c r="BV184"/>
  <c r="BU184"/>
  <c r="BT184"/>
  <c r="BS184"/>
  <c r="BR184"/>
  <c r="BQ184"/>
  <c r="BP184"/>
  <c r="BO184"/>
  <c r="BN184"/>
  <c r="E184"/>
  <c r="B184"/>
  <c r="A184"/>
  <c r="DU183"/>
  <c r="DT183"/>
  <c r="DS183"/>
  <c r="DR183"/>
  <c r="DQ183"/>
  <c r="DP183"/>
  <c r="DO183"/>
  <c r="DN183"/>
  <c r="DM183"/>
  <c r="DL183"/>
  <c r="DK183"/>
  <c r="DJ183"/>
  <c r="DI183"/>
  <c r="DH183"/>
  <c r="DG183"/>
  <c r="DF183"/>
  <c r="DE183"/>
  <c r="DD183"/>
  <c r="DC183"/>
  <c r="DB183"/>
  <c r="DA183"/>
  <c r="CZ183"/>
  <c r="CY183"/>
  <c r="CX183"/>
  <c r="CW183"/>
  <c r="CV183"/>
  <c r="CU183"/>
  <c r="CT183"/>
  <c r="CS183"/>
  <c r="CR183"/>
  <c r="CQ183"/>
  <c r="CP183"/>
  <c r="CO183"/>
  <c r="CN183"/>
  <c r="CM183"/>
  <c r="CL183"/>
  <c r="CK183"/>
  <c r="CJ183"/>
  <c r="CI183"/>
  <c r="CH183"/>
  <c r="CG183"/>
  <c r="CF183"/>
  <c r="CE183"/>
  <c r="CD183"/>
  <c r="CC183"/>
  <c r="CB183"/>
  <c r="CA183"/>
  <c r="BZ183"/>
  <c r="BY183"/>
  <c r="BX183"/>
  <c r="BW183"/>
  <c r="BV183"/>
  <c r="BU183"/>
  <c r="BT183"/>
  <c r="BS183"/>
  <c r="BR183"/>
  <c r="BQ183"/>
  <c r="BP183"/>
  <c r="BO183"/>
  <c r="BN183"/>
  <c r="E183"/>
  <c r="E387" s="1"/>
  <c r="D183"/>
  <c r="D387" s="1"/>
  <c r="C183"/>
  <c r="C387" s="1"/>
  <c r="B183"/>
  <c r="B387" s="1"/>
  <c r="A183"/>
  <c r="A387" s="1"/>
  <c r="DU182"/>
  <c r="DT182"/>
  <c r="DS182"/>
  <c r="DR182"/>
  <c r="DQ182"/>
  <c r="DP182"/>
  <c r="DO182"/>
  <c r="DN182"/>
  <c r="DM182"/>
  <c r="DL182"/>
  <c r="DK182"/>
  <c r="DJ182"/>
  <c r="DI182"/>
  <c r="DH182"/>
  <c r="DG182"/>
  <c r="DF182"/>
  <c r="DE182"/>
  <c r="DD182"/>
  <c r="DC182"/>
  <c r="DB182"/>
  <c r="DA182"/>
  <c r="CZ182"/>
  <c r="CY182"/>
  <c r="CX182"/>
  <c r="CW182"/>
  <c r="CV182"/>
  <c r="CU182"/>
  <c r="CT182"/>
  <c r="CS182"/>
  <c r="CR182"/>
  <c r="CQ182"/>
  <c r="CP182"/>
  <c r="CO182"/>
  <c r="CN182"/>
  <c r="CM182"/>
  <c r="CL182"/>
  <c r="CK182"/>
  <c r="CJ182"/>
  <c r="CI182"/>
  <c r="CH182"/>
  <c r="CG182"/>
  <c r="CF182"/>
  <c r="CE182"/>
  <c r="CD182"/>
  <c r="CC182"/>
  <c r="CB182"/>
  <c r="CA182"/>
  <c r="BZ182"/>
  <c r="BY182"/>
  <c r="BX182"/>
  <c r="BW182"/>
  <c r="BV182"/>
  <c r="BU182"/>
  <c r="BT182"/>
  <c r="BS182"/>
  <c r="BR182"/>
  <c r="BQ182"/>
  <c r="BP182"/>
  <c r="BO182"/>
  <c r="BN182"/>
  <c r="E182"/>
  <c r="E386" s="1"/>
  <c r="D182"/>
  <c r="D386" s="1"/>
  <c r="C182"/>
  <c r="C386" s="1"/>
  <c r="B182"/>
  <c r="B386" s="1"/>
  <c r="A182"/>
  <c r="A386" s="1"/>
  <c r="DU181"/>
  <c r="DT181"/>
  <c r="DS181"/>
  <c r="DR181"/>
  <c r="DQ181"/>
  <c r="DP181"/>
  <c r="DO181"/>
  <c r="DN181"/>
  <c r="DM181"/>
  <c r="DL181"/>
  <c r="DK181"/>
  <c r="DJ181"/>
  <c r="DI181"/>
  <c r="DH181"/>
  <c r="DG181"/>
  <c r="DF181"/>
  <c r="DE181"/>
  <c r="DD181"/>
  <c r="DC181"/>
  <c r="DB181"/>
  <c r="DA181"/>
  <c r="CZ181"/>
  <c r="CY181"/>
  <c r="CX181"/>
  <c r="CW181"/>
  <c r="CV181"/>
  <c r="CU181"/>
  <c r="CT181"/>
  <c r="CS181"/>
  <c r="CR181"/>
  <c r="CQ181"/>
  <c r="CP181"/>
  <c r="CO181"/>
  <c r="CN181"/>
  <c r="CM181"/>
  <c r="CL181"/>
  <c r="CK181"/>
  <c r="CJ181"/>
  <c r="CI181"/>
  <c r="CH181"/>
  <c r="CG181"/>
  <c r="CF181"/>
  <c r="CE181"/>
  <c r="CD181"/>
  <c r="CC181"/>
  <c r="CB181"/>
  <c r="CA181"/>
  <c r="BZ181"/>
  <c r="BY181"/>
  <c r="BX181"/>
  <c r="BW181"/>
  <c r="BV181"/>
  <c r="BU181"/>
  <c r="BT181"/>
  <c r="BS181"/>
  <c r="BR181"/>
  <c r="BQ181"/>
  <c r="BP181"/>
  <c r="BO181"/>
  <c r="BN181"/>
  <c r="E181"/>
  <c r="E385" s="1"/>
  <c r="D181"/>
  <c r="D385" s="1"/>
  <c r="C181"/>
  <c r="C385" s="1"/>
  <c r="B181"/>
  <c r="B385" s="1"/>
  <c r="A181"/>
  <c r="A385" s="1"/>
  <c r="DU180"/>
  <c r="DT180"/>
  <c r="DS180"/>
  <c r="DR180"/>
  <c r="DQ180"/>
  <c r="DP180"/>
  <c r="DO180"/>
  <c r="DN180"/>
  <c r="DM180"/>
  <c r="DL180"/>
  <c r="DK180"/>
  <c r="DJ180"/>
  <c r="DI180"/>
  <c r="DH180"/>
  <c r="DG180"/>
  <c r="DF180"/>
  <c r="DE180"/>
  <c r="DD180"/>
  <c r="DC180"/>
  <c r="DB180"/>
  <c r="DA180"/>
  <c r="CZ180"/>
  <c r="CY180"/>
  <c r="CX180"/>
  <c r="CW180"/>
  <c r="CV180"/>
  <c r="CU180"/>
  <c r="CT180"/>
  <c r="CS180"/>
  <c r="CR180"/>
  <c r="CQ180"/>
  <c r="CP180"/>
  <c r="CO180"/>
  <c r="CN180"/>
  <c r="CM180"/>
  <c r="CL180"/>
  <c r="CK180"/>
  <c r="CJ180"/>
  <c r="CI180"/>
  <c r="CH180"/>
  <c r="CG180"/>
  <c r="CF180"/>
  <c r="CE180"/>
  <c r="CD180"/>
  <c r="CC180"/>
  <c r="CB180"/>
  <c r="CA180"/>
  <c r="BZ180"/>
  <c r="BY180"/>
  <c r="BX180"/>
  <c r="BW180"/>
  <c r="BV180"/>
  <c r="BU180"/>
  <c r="BT180"/>
  <c r="BS180"/>
  <c r="BR180"/>
  <c r="BQ180"/>
  <c r="BP180"/>
  <c r="BO180"/>
  <c r="BN180"/>
  <c r="E180"/>
  <c r="E384" s="1"/>
  <c r="D180"/>
  <c r="D384" s="1"/>
  <c r="C180"/>
  <c r="C384" s="1"/>
  <c r="B180"/>
  <c r="B384" s="1"/>
  <c r="A180"/>
  <c r="A384" s="1"/>
  <c r="DU179"/>
  <c r="DT179"/>
  <c r="DS179"/>
  <c r="DR179"/>
  <c r="DQ179"/>
  <c r="DP179"/>
  <c r="DO179"/>
  <c r="DN179"/>
  <c r="DM179"/>
  <c r="DL179"/>
  <c r="DK179"/>
  <c r="DJ179"/>
  <c r="DI179"/>
  <c r="DH179"/>
  <c r="DG179"/>
  <c r="DF179"/>
  <c r="DE179"/>
  <c r="DD179"/>
  <c r="DC179"/>
  <c r="DB179"/>
  <c r="DA179"/>
  <c r="CZ179"/>
  <c r="CY179"/>
  <c r="CX179"/>
  <c r="CW179"/>
  <c r="CV179"/>
  <c r="CU179"/>
  <c r="CT179"/>
  <c r="CS179"/>
  <c r="CR179"/>
  <c r="CQ179"/>
  <c r="CP179"/>
  <c r="CO179"/>
  <c r="CN179"/>
  <c r="CM179"/>
  <c r="CL179"/>
  <c r="CK179"/>
  <c r="CJ179"/>
  <c r="CI179"/>
  <c r="CH179"/>
  <c r="CG179"/>
  <c r="CF179"/>
  <c r="CE179"/>
  <c r="CD179"/>
  <c r="CC179"/>
  <c r="CB179"/>
  <c r="CA179"/>
  <c r="BZ179"/>
  <c r="BY179"/>
  <c r="BX179"/>
  <c r="BW179"/>
  <c r="BV179"/>
  <c r="BU179"/>
  <c r="BT179"/>
  <c r="BS179"/>
  <c r="BR179"/>
  <c r="BQ179"/>
  <c r="BP179"/>
  <c r="BO179"/>
  <c r="BN179"/>
  <c r="E179"/>
  <c r="E383" s="1"/>
  <c r="D179"/>
  <c r="C179"/>
  <c r="C383" s="1"/>
  <c r="B179"/>
  <c r="B383" s="1"/>
  <c r="A179"/>
  <c r="A383" s="1"/>
  <c r="DU178"/>
  <c r="DT178"/>
  <c r="DS178"/>
  <c r="DR178"/>
  <c r="DQ178"/>
  <c r="DP178"/>
  <c r="DO178"/>
  <c r="DN178"/>
  <c r="DM178"/>
  <c r="DL178"/>
  <c r="DK178"/>
  <c r="DJ178"/>
  <c r="DI178"/>
  <c r="DH178"/>
  <c r="DG178"/>
  <c r="DF178"/>
  <c r="DE178"/>
  <c r="DD178"/>
  <c r="DC178"/>
  <c r="DB178"/>
  <c r="DA178"/>
  <c r="CZ178"/>
  <c r="CY178"/>
  <c r="CX178"/>
  <c r="CW178"/>
  <c r="CV178"/>
  <c r="CU178"/>
  <c r="CT178"/>
  <c r="CS178"/>
  <c r="CR178"/>
  <c r="CQ178"/>
  <c r="CP178"/>
  <c r="CO178"/>
  <c r="CN178"/>
  <c r="CM178"/>
  <c r="CL178"/>
  <c r="CK178"/>
  <c r="CJ178"/>
  <c r="CI178"/>
  <c r="CH178"/>
  <c r="CG178"/>
  <c r="CF178"/>
  <c r="CE178"/>
  <c r="CD178"/>
  <c r="CC178"/>
  <c r="CB178"/>
  <c r="CA178"/>
  <c r="BZ178"/>
  <c r="BY178"/>
  <c r="BX178"/>
  <c r="BW178"/>
  <c r="BV178"/>
  <c r="BU178"/>
  <c r="BT178"/>
  <c r="BS178"/>
  <c r="BR178"/>
  <c r="BQ178"/>
  <c r="BP178"/>
  <c r="BO178"/>
  <c r="BN178"/>
  <c r="E178"/>
  <c r="D178"/>
  <c r="D382" s="1"/>
  <c r="C178"/>
  <c r="C382" s="1"/>
  <c r="B178"/>
  <c r="B382" s="1"/>
  <c r="A178"/>
  <c r="A382" s="1"/>
  <c r="DU177"/>
  <c r="DT177"/>
  <c r="DS177"/>
  <c r="DR177"/>
  <c r="DQ177"/>
  <c r="DP177"/>
  <c r="DO177"/>
  <c r="DN177"/>
  <c r="DM177"/>
  <c r="DL177"/>
  <c r="DK177"/>
  <c r="DJ177"/>
  <c r="DI177"/>
  <c r="DH177"/>
  <c r="DG177"/>
  <c r="DF177"/>
  <c r="DE177"/>
  <c r="DD177"/>
  <c r="DC177"/>
  <c r="DB177"/>
  <c r="DA177"/>
  <c r="CZ177"/>
  <c r="CY177"/>
  <c r="CX177"/>
  <c r="CW177"/>
  <c r="CV177"/>
  <c r="CU177"/>
  <c r="CT177"/>
  <c r="CS177"/>
  <c r="CR177"/>
  <c r="CQ177"/>
  <c r="CP177"/>
  <c r="CO177"/>
  <c r="CN177"/>
  <c r="CM177"/>
  <c r="CL177"/>
  <c r="CK177"/>
  <c r="CJ177"/>
  <c r="CI177"/>
  <c r="CH177"/>
  <c r="CG177"/>
  <c r="CF177"/>
  <c r="CE177"/>
  <c r="CD177"/>
  <c r="CC177"/>
  <c r="CB177"/>
  <c r="CA177"/>
  <c r="BZ177"/>
  <c r="BY177"/>
  <c r="BX177"/>
  <c r="BW177"/>
  <c r="BV177"/>
  <c r="BU177"/>
  <c r="BT177"/>
  <c r="BS177"/>
  <c r="BR177"/>
  <c r="BQ177"/>
  <c r="BP177"/>
  <c r="BO177"/>
  <c r="BN177"/>
  <c r="E177"/>
  <c r="E381" s="1"/>
  <c r="D177"/>
  <c r="D381" s="1"/>
  <c r="C177"/>
  <c r="B177"/>
  <c r="B381" s="1"/>
  <c r="A177"/>
  <c r="A381" s="1"/>
  <c r="DU176"/>
  <c r="DT176"/>
  <c r="DS176"/>
  <c r="DR176"/>
  <c r="DQ176"/>
  <c r="DP176"/>
  <c r="DO176"/>
  <c r="DN176"/>
  <c r="DM176"/>
  <c r="DL176"/>
  <c r="DK176"/>
  <c r="DJ176"/>
  <c r="DI176"/>
  <c r="DH176"/>
  <c r="DG176"/>
  <c r="DF176"/>
  <c r="DE176"/>
  <c r="DD176"/>
  <c r="DC176"/>
  <c r="DB176"/>
  <c r="DA176"/>
  <c r="CZ176"/>
  <c r="CY176"/>
  <c r="CX176"/>
  <c r="CW176"/>
  <c r="CV176"/>
  <c r="CU176"/>
  <c r="CT176"/>
  <c r="CS176"/>
  <c r="CR176"/>
  <c r="CQ176"/>
  <c r="CP176"/>
  <c r="CO176"/>
  <c r="CN176"/>
  <c r="CM176"/>
  <c r="CL176"/>
  <c r="CK176"/>
  <c r="CJ176"/>
  <c r="CI176"/>
  <c r="CH176"/>
  <c r="CG176"/>
  <c r="CF176"/>
  <c r="CE176"/>
  <c r="CD176"/>
  <c r="CC176"/>
  <c r="CB176"/>
  <c r="CA176"/>
  <c r="BZ176"/>
  <c r="BY176"/>
  <c r="BX176"/>
  <c r="BW176"/>
  <c r="BV176"/>
  <c r="BU176"/>
  <c r="BT176"/>
  <c r="BS176"/>
  <c r="BR176"/>
  <c r="BQ176"/>
  <c r="BP176"/>
  <c r="BO176"/>
  <c r="BN176"/>
  <c r="E176"/>
  <c r="E380" s="1"/>
  <c r="D176"/>
  <c r="D380" s="1"/>
  <c r="C176"/>
  <c r="C380" s="1"/>
  <c r="B176"/>
  <c r="B380" s="1"/>
  <c r="A176"/>
  <c r="A380" s="1"/>
  <c r="DU175"/>
  <c r="DT175"/>
  <c r="DS175"/>
  <c r="DR175"/>
  <c r="DQ175"/>
  <c r="DP175"/>
  <c r="DO175"/>
  <c r="DN175"/>
  <c r="DM175"/>
  <c r="DL175"/>
  <c r="DK175"/>
  <c r="DJ175"/>
  <c r="DI175"/>
  <c r="DH175"/>
  <c r="DG175"/>
  <c r="DF175"/>
  <c r="DE175"/>
  <c r="DD175"/>
  <c r="DC175"/>
  <c r="DB175"/>
  <c r="DA175"/>
  <c r="CZ175"/>
  <c r="CY175"/>
  <c r="CX175"/>
  <c r="CW175"/>
  <c r="CV175"/>
  <c r="CU175"/>
  <c r="CT175"/>
  <c r="CS175"/>
  <c r="CR175"/>
  <c r="CQ175"/>
  <c r="CP175"/>
  <c r="CO175"/>
  <c r="CN175"/>
  <c r="CM175"/>
  <c r="CL175"/>
  <c r="CK175"/>
  <c r="CJ175"/>
  <c r="CI175"/>
  <c r="CH175"/>
  <c r="CG175"/>
  <c r="CF175"/>
  <c r="CE175"/>
  <c r="CD175"/>
  <c r="CC175"/>
  <c r="CB175"/>
  <c r="CA175"/>
  <c r="BZ175"/>
  <c r="BY175"/>
  <c r="BX175"/>
  <c r="BW175"/>
  <c r="BV175"/>
  <c r="BU175"/>
  <c r="BT175"/>
  <c r="BS175"/>
  <c r="BR175"/>
  <c r="BQ175"/>
  <c r="BP175"/>
  <c r="BO175"/>
  <c r="BN175"/>
  <c r="E175"/>
  <c r="B175"/>
  <c r="A175"/>
  <c r="DU174"/>
  <c r="DT174"/>
  <c r="DS174"/>
  <c r="DR174"/>
  <c r="DQ174"/>
  <c r="DP174"/>
  <c r="DO174"/>
  <c r="DN174"/>
  <c r="DM174"/>
  <c r="DL174"/>
  <c r="DK174"/>
  <c r="DJ174"/>
  <c r="DI174"/>
  <c r="DH174"/>
  <c r="DG174"/>
  <c r="DF174"/>
  <c r="DE174"/>
  <c r="DD174"/>
  <c r="DC174"/>
  <c r="DB174"/>
  <c r="DA174"/>
  <c r="CZ174"/>
  <c r="CY174"/>
  <c r="CX174"/>
  <c r="CW174"/>
  <c r="CV174"/>
  <c r="CU174"/>
  <c r="CT174"/>
  <c r="CS174"/>
  <c r="CR174"/>
  <c r="CQ174"/>
  <c r="CP174"/>
  <c r="CO174"/>
  <c r="CN174"/>
  <c r="CM174"/>
  <c r="CL174"/>
  <c r="CK174"/>
  <c r="CJ174"/>
  <c r="CI174"/>
  <c r="CH174"/>
  <c r="CG174"/>
  <c r="CF174"/>
  <c r="CE174"/>
  <c r="CD174"/>
  <c r="CC174"/>
  <c r="CB174"/>
  <c r="CA174"/>
  <c r="BZ174"/>
  <c r="BY174"/>
  <c r="BX174"/>
  <c r="BW174"/>
  <c r="BV174"/>
  <c r="BU174"/>
  <c r="BT174"/>
  <c r="BS174"/>
  <c r="BR174"/>
  <c r="BQ174"/>
  <c r="BP174"/>
  <c r="BO174"/>
  <c r="BN174"/>
  <c r="E174"/>
  <c r="E379" s="1"/>
  <c r="D174"/>
  <c r="D379" s="1"/>
  <c r="C174"/>
  <c r="C379" s="1"/>
  <c r="B174"/>
  <c r="B379" s="1"/>
  <c r="A174"/>
  <c r="DU173"/>
  <c r="DT173"/>
  <c r="DS173"/>
  <c r="DR173"/>
  <c r="DQ173"/>
  <c r="DP173"/>
  <c r="DO173"/>
  <c r="DN173"/>
  <c r="DM173"/>
  <c r="DL173"/>
  <c r="DK173"/>
  <c r="DJ173"/>
  <c r="DI173"/>
  <c r="DH173"/>
  <c r="DG173"/>
  <c r="DF173"/>
  <c r="DE173"/>
  <c r="DD173"/>
  <c r="DC173"/>
  <c r="DB173"/>
  <c r="DA173"/>
  <c r="CZ173"/>
  <c r="CY173"/>
  <c r="CX173"/>
  <c r="CW173"/>
  <c r="CV173"/>
  <c r="CU173"/>
  <c r="CT173"/>
  <c r="CS173"/>
  <c r="CR173"/>
  <c r="CQ173"/>
  <c r="CP173"/>
  <c r="CO173"/>
  <c r="CN173"/>
  <c r="CM173"/>
  <c r="CL173"/>
  <c r="CK173"/>
  <c r="CJ173"/>
  <c r="CI173"/>
  <c r="CH173"/>
  <c r="CG173"/>
  <c r="CF173"/>
  <c r="CE173"/>
  <c r="CD173"/>
  <c r="CC173"/>
  <c r="CB173"/>
  <c r="CA173"/>
  <c r="BZ173"/>
  <c r="BY173"/>
  <c r="BX173"/>
  <c r="BW173"/>
  <c r="BV173"/>
  <c r="BU173"/>
  <c r="BT173"/>
  <c r="BS173"/>
  <c r="BR173"/>
  <c r="BQ173"/>
  <c r="BP173"/>
  <c r="BO173"/>
  <c r="BN173"/>
  <c r="E173"/>
  <c r="E378" s="1"/>
  <c r="D173"/>
  <c r="D378" s="1"/>
  <c r="C173"/>
  <c r="C378" s="1"/>
  <c r="B173"/>
  <c r="B378" s="1"/>
  <c r="A173"/>
  <c r="A378" s="1"/>
  <c r="DU172"/>
  <c r="DT172"/>
  <c r="DS172"/>
  <c r="DR172"/>
  <c r="DQ172"/>
  <c r="DP172"/>
  <c r="DO172"/>
  <c r="DN172"/>
  <c r="DM172"/>
  <c r="DL172"/>
  <c r="DK172"/>
  <c r="DJ172"/>
  <c r="DI172"/>
  <c r="DH172"/>
  <c r="DG172"/>
  <c r="DF172"/>
  <c r="DE172"/>
  <c r="DD172"/>
  <c r="DC172"/>
  <c r="DB172"/>
  <c r="DA172"/>
  <c r="CZ172"/>
  <c r="CY172"/>
  <c r="CX172"/>
  <c r="CW172"/>
  <c r="CV172"/>
  <c r="CU172"/>
  <c r="CT172"/>
  <c r="CS172"/>
  <c r="CR172"/>
  <c r="CQ172"/>
  <c r="CP172"/>
  <c r="CO172"/>
  <c r="CN172"/>
  <c r="CM172"/>
  <c r="CL172"/>
  <c r="CK172"/>
  <c r="CJ172"/>
  <c r="CI172"/>
  <c r="CH172"/>
  <c r="CG172"/>
  <c r="CF172"/>
  <c r="CE172"/>
  <c r="CD172"/>
  <c r="CC172"/>
  <c r="CB172"/>
  <c r="CA172"/>
  <c r="BZ172"/>
  <c r="BY172"/>
  <c r="BX172"/>
  <c r="BW172"/>
  <c r="BV172"/>
  <c r="BU172"/>
  <c r="BT172"/>
  <c r="BS172"/>
  <c r="BR172"/>
  <c r="BQ172"/>
  <c r="BP172"/>
  <c r="BO172"/>
  <c r="BN172"/>
  <c r="E172"/>
  <c r="E377" s="1"/>
  <c r="D172"/>
  <c r="D377" s="1"/>
  <c r="C172"/>
  <c r="B172"/>
  <c r="B377" s="1"/>
  <c r="A172"/>
  <c r="A377" s="1"/>
  <c r="DU171"/>
  <c r="DT171"/>
  <c r="DS171"/>
  <c r="DR171"/>
  <c r="DQ171"/>
  <c r="DP171"/>
  <c r="DO171"/>
  <c r="DN171"/>
  <c r="DM171"/>
  <c r="DL171"/>
  <c r="DK171"/>
  <c r="DJ171"/>
  <c r="DI171"/>
  <c r="DH171"/>
  <c r="DG171"/>
  <c r="DF171"/>
  <c r="DE171"/>
  <c r="DD171"/>
  <c r="DC171"/>
  <c r="DB171"/>
  <c r="DA171"/>
  <c r="CZ171"/>
  <c r="CY171"/>
  <c r="CX171"/>
  <c r="CW171"/>
  <c r="CV171"/>
  <c r="CU171"/>
  <c r="CT171"/>
  <c r="CS171"/>
  <c r="CR171"/>
  <c r="CQ171"/>
  <c r="CP171"/>
  <c r="CO171"/>
  <c r="CN171"/>
  <c r="CM171"/>
  <c r="CL171"/>
  <c r="CK171"/>
  <c r="CJ171"/>
  <c r="CI171"/>
  <c r="CH171"/>
  <c r="CG171"/>
  <c r="CF171"/>
  <c r="CE171"/>
  <c r="CD171"/>
  <c r="CC171"/>
  <c r="CB171"/>
  <c r="CA171"/>
  <c r="BZ171"/>
  <c r="BY171"/>
  <c r="BX171"/>
  <c r="BW171"/>
  <c r="BV171"/>
  <c r="BU171"/>
  <c r="BT171"/>
  <c r="BS171"/>
  <c r="BR171"/>
  <c r="BQ171"/>
  <c r="BP171"/>
  <c r="BO171"/>
  <c r="BN171"/>
  <c r="E171"/>
  <c r="E376" s="1"/>
  <c r="D171"/>
  <c r="D376" s="1"/>
  <c r="C171"/>
  <c r="C376" s="1"/>
  <c r="B171"/>
  <c r="B376" s="1"/>
  <c r="A171"/>
  <c r="A376" s="1"/>
  <c r="DU170"/>
  <c r="DT170"/>
  <c r="DS170"/>
  <c r="DR170"/>
  <c r="DQ170"/>
  <c r="DP170"/>
  <c r="DO170"/>
  <c r="DN170"/>
  <c r="DM170"/>
  <c r="DL170"/>
  <c r="DK170"/>
  <c r="DJ170"/>
  <c r="DI170"/>
  <c r="DH170"/>
  <c r="DG170"/>
  <c r="DF170"/>
  <c r="DE170"/>
  <c r="DD170"/>
  <c r="DC170"/>
  <c r="DB170"/>
  <c r="DA170"/>
  <c r="CZ170"/>
  <c r="CY170"/>
  <c r="CX170"/>
  <c r="CW170"/>
  <c r="CV170"/>
  <c r="CU170"/>
  <c r="CT170"/>
  <c r="CS170"/>
  <c r="CR170"/>
  <c r="CQ170"/>
  <c r="CP170"/>
  <c r="CO170"/>
  <c r="CN170"/>
  <c r="CM170"/>
  <c r="CL170"/>
  <c r="CK170"/>
  <c r="CJ170"/>
  <c r="CI170"/>
  <c r="CH170"/>
  <c r="CG170"/>
  <c r="CF170"/>
  <c r="CE170"/>
  <c r="CD170"/>
  <c r="CC170"/>
  <c r="CB170"/>
  <c r="CA170"/>
  <c r="BZ170"/>
  <c r="BY170"/>
  <c r="BX170"/>
  <c r="BW170"/>
  <c r="BV170"/>
  <c r="BU170"/>
  <c r="BT170"/>
  <c r="BS170"/>
  <c r="BR170"/>
  <c r="BQ170"/>
  <c r="BP170"/>
  <c r="BO170"/>
  <c r="BN170"/>
  <c r="E170"/>
  <c r="E375" s="1"/>
  <c r="D170"/>
  <c r="D375" s="1"/>
  <c r="C170"/>
  <c r="C375" s="1"/>
  <c r="B170"/>
  <c r="B375" s="1"/>
  <c r="A170"/>
  <c r="A375" s="1"/>
  <c r="DU169"/>
  <c r="DT169"/>
  <c r="DS169"/>
  <c r="DR169"/>
  <c r="DQ169"/>
  <c r="DP169"/>
  <c r="DO169"/>
  <c r="DN169"/>
  <c r="DM169"/>
  <c r="DL169"/>
  <c r="DK169"/>
  <c r="DJ169"/>
  <c r="DI169"/>
  <c r="DH169"/>
  <c r="DG169"/>
  <c r="DF169"/>
  <c r="DE169"/>
  <c r="DD169"/>
  <c r="DC169"/>
  <c r="DB169"/>
  <c r="DA169"/>
  <c r="CZ169"/>
  <c r="CY169"/>
  <c r="CX169"/>
  <c r="CW169"/>
  <c r="CV169"/>
  <c r="CU169"/>
  <c r="CT169"/>
  <c r="CS169"/>
  <c r="CR169"/>
  <c r="CQ169"/>
  <c r="CP169"/>
  <c r="CO169"/>
  <c r="CN169"/>
  <c r="CM169"/>
  <c r="CL169"/>
  <c r="CK169"/>
  <c r="CJ169"/>
  <c r="CI169"/>
  <c r="CH169"/>
  <c r="CG169"/>
  <c r="CF169"/>
  <c r="CE169"/>
  <c r="CD169"/>
  <c r="CC169"/>
  <c r="CB169"/>
  <c r="CA169"/>
  <c r="BZ169"/>
  <c r="BY169"/>
  <c r="BX169"/>
  <c r="BW169"/>
  <c r="BV169"/>
  <c r="BU169"/>
  <c r="BT169"/>
  <c r="BS169"/>
  <c r="BR169"/>
  <c r="BQ169"/>
  <c r="BP169"/>
  <c r="BO169"/>
  <c r="BN169"/>
  <c r="E169"/>
  <c r="E374" s="1"/>
  <c r="D169"/>
  <c r="D374" s="1"/>
  <c r="C169"/>
  <c r="C374" s="1"/>
  <c r="B169"/>
  <c r="B374" s="1"/>
  <c r="A169"/>
  <c r="A374" s="1"/>
  <c r="DU168"/>
  <c r="DT168"/>
  <c r="DS168"/>
  <c r="DR168"/>
  <c r="DQ168"/>
  <c r="DP168"/>
  <c r="DO168"/>
  <c r="DN168"/>
  <c r="DM168"/>
  <c r="DL168"/>
  <c r="DK168"/>
  <c r="DJ168"/>
  <c r="DI168"/>
  <c r="DH168"/>
  <c r="DG168"/>
  <c r="DF168"/>
  <c r="DE168"/>
  <c r="DD168"/>
  <c r="DC168"/>
  <c r="DB168"/>
  <c r="DA168"/>
  <c r="CZ168"/>
  <c r="CY168"/>
  <c r="CX168"/>
  <c r="CW168"/>
  <c r="CV168"/>
  <c r="CU168"/>
  <c r="CT168"/>
  <c r="CS168"/>
  <c r="CR168"/>
  <c r="CQ168"/>
  <c r="CP168"/>
  <c r="CO168"/>
  <c r="CN168"/>
  <c r="CM168"/>
  <c r="CL168"/>
  <c r="CK168"/>
  <c r="CJ168"/>
  <c r="CI168"/>
  <c r="CH168"/>
  <c r="CG168"/>
  <c r="CF168"/>
  <c r="CE168"/>
  <c r="CD168"/>
  <c r="CC168"/>
  <c r="CB168"/>
  <c r="CA168"/>
  <c r="BZ168"/>
  <c r="BY168"/>
  <c r="BX168"/>
  <c r="BW168"/>
  <c r="BV168"/>
  <c r="BU168"/>
  <c r="BT168"/>
  <c r="BS168"/>
  <c r="BR168"/>
  <c r="BQ168"/>
  <c r="BP168"/>
  <c r="BO168"/>
  <c r="BN168"/>
  <c r="E168"/>
  <c r="D168"/>
  <c r="D373" s="1"/>
  <c r="C168"/>
  <c r="C373" s="1"/>
  <c r="B168"/>
  <c r="B373" s="1"/>
  <c r="A168"/>
  <c r="A373" s="1"/>
  <c r="DU167"/>
  <c r="DT167"/>
  <c r="DS167"/>
  <c r="DR167"/>
  <c r="DQ167"/>
  <c r="DP167"/>
  <c r="DO167"/>
  <c r="DN167"/>
  <c r="DM167"/>
  <c r="DL167"/>
  <c r="DK167"/>
  <c r="DJ167"/>
  <c r="DI167"/>
  <c r="DH167"/>
  <c r="DG167"/>
  <c r="DF167"/>
  <c r="DE167"/>
  <c r="DD167"/>
  <c r="DC167"/>
  <c r="DB167"/>
  <c r="DA167"/>
  <c r="CZ167"/>
  <c r="CY167"/>
  <c r="CX167"/>
  <c r="CW167"/>
  <c r="CV167"/>
  <c r="CU167"/>
  <c r="CT167"/>
  <c r="CS167"/>
  <c r="CR167"/>
  <c r="CQ167"/>
  <c r="CP167"/>
  <c r="CO167"/>
  <c r="CN167"/>
  <c r="CM167"/>
  <c r="CL167"/>
  <c r="CK167"/>
  <c r="CJ167"/>
  <c r="CI167"/>
  <c r="CH167"/>
  <c r="CG167"/>
  <c r="CF167"/>
  <c r="CE167"/>
  <c r="CD167"/>
  <c r="CC167"/>
  <c r="CB167"/>
  <c r="CA167"/>
  <c r="BZ167"/>
  <c r="BY167"/>
  <c r="BX167"/>
  <c r="BW167"/>
  <c r="BV167"/>
  <c r="BU167"/>
  <c r="BT167"/>
  <c r="BS167"/>
  <c r="BR167"/>
  <c r="BQ167"/>
  <c r="BP167"/>
  <c r="BO167"/>
  <c r="BN167"/>
  <c r="E167"/>
  <c r="E372" s="1"/>
  <c r="D167"/>
  <c r="D372" s="1"/>
  <c r="C167"/>
  <c r="C372" s="1"/>
  <c r="B167"/>
  <c r="B372" s="1"/>
  <c r="A167"/>
  <c r="A372" s="1"/>
  <c r="DU166"/>
  <c r="DT166"/>
  <c r="DS166"/>
  <c r="DR166"/>
  <c r="DQ166"/>
  <c r="DP166"/>
  <c r="DO166"/>
  <c r="DN166"/>
  <c r="DM166"/>
  <c r="DL166"/>
  <c r="DK166"/>
  <c r="DJ166"/>
  <c r="DI166"/>
  <c r="DH166"/>
  <c r="DG166"/>
  <c r="DF166"/>
  <c r="DE166"/>
  <c r="DD166"/>
  <c r="DC166"/>
  <c r="DB166"/>
  <c r="DA166"/>
  <c r="CZ166"/>
  <c r="CY166"/>
  <c r="CX166"/>
  <c r="CW166"/>
  <c r="CV166"/>
  <c r="CU166"/>
  <c r="CT166"/>
  <c r="CS166"/>
  <c r="CR166"/>
  <c r="CQ166"/>
  <c r="CP166"/>
  <c r="CO166"/>
  <c r="CN166"/>
  <c r="CM166"/>
  <c r="CL166"/>
  <c r="CK166"/>
  <c r="CJ166"/>
  <c r="CI166"/>
  <c r="CH166"/>
  <c r="CG166"/>
  <c r="CF166"/>
  <c r="CE166"/>
  <c r="CD166"/>
  <c r="CC166"/>
  <c r="CB166"/>
  <c r="CA166"/>
  <c r="BZ166"/>
  <c r="BY166"/>
  <c r="BX166"/>
  <c r="BW166"/>
  <c r="BV166"/>
  <c r="BU166"/>
  <c r="BT166"/>
  <c r="BS166"/>
  <c r="BR166"/>
  <c r="BQ166"/>
  <c r="BP166"/>
  <c r="BO166"/>
  <c r="BN166"/>
  <c r="E166"/>
  <c r="B166"/>
  <c r="A166"/>
  <c r="DU165"/>
  <c r="DT165"/>
  <c r="DS165"/>
  <c r="DR165"/>
  <c r="DQ165"/>
  <c r="DP165"/>
  <c r="DO165"/>
  <c r="DN165"/>
  <c r="DM165"/>
  <c r="DL165"/>
  <c r="DK165"/>
  <c r="DJ165"/>
  <c r="DI165"/>
  <c r="DH165"/>
  <c r="DG165"/>
  <c r="DF165"/>
  <c r="DE165"/>
  <c r="DD165"/>
  <c r="DC165"/>
  <c r="DB165"/>
  <c r="DA165"/>
  <c r="CZ165"/>
  <c r="CY165"/>
  <c r="CX165"/>
  <c r="CW165"/>
  <c r="CV165"/>
  <c r="CU165"/>
  <c r="CT165"/>
  <c r="CS165"/>
  <c r="CR165"/>
  <c r="CQ165"/>
  <c r="CP165"/>
  <c r="CO165"/>
  <c r="CN165"/>
  <c r="CM165"/>
  <c r="CL165"/>
  <c r="CK165"/>
  <c r="CJ165"/>
  <c r="CI165"/>
  <c r="CH165"/>
  <c r="CG165"/>
  <c r="CF165"/>
  <c r="CE165"/>
  <c r="CD165"/>
  <c r="CC165"/>
  <c r="CB165"/>
  <c r="CA165"/>
  <c r="BZ165"/>
  <c r="BY165"/>
  <c r="BX165"/>
  <c r="BW165"/>
  <c r="BV165"/>
  <c r="BU165"/>
  <c r="BT165"/>
  <c r="BS165"/>
  <c r="BR165"/>
  <c r="BQ165"/>
  <c r="BP165"/>
  <c r="BO165"/>
  <c r="BN165"/>
  <c r="E165"/>
  <c r="E371" s="1"/>
  <c r="D165"/>
  <c r="D371" s="1"/>
  <c r="C165"/>
  <c r="C371" s="1"/>
  <c r="B165"/>
  <c r="B371" s="1"/>
  <c r="A165"/>
  <c r="A371" s="1"/>
  <c r="DU164"/>
  <c r="DT164"/>
  <c r="DS164"/>
  <c r="DR164"/>
  <c r="DQ164"/>
  <c r="DP164"/>
  <c r="DO164"/>
  <c r="DN164"/>
  <c r="DM164"/>
  <c r="DL164"/>
  <c r="DK164"/>
  <c r="DJ164"/>
  <c r="DI164"/>
  <c r="DH164"/>
  <c r="DG164"/>
  <c r="DF164"/>
  <c r="DE164"/>
  <c r="DD164"/>
  <c r="DC164"/>
  <c r="DB164"/>
  <c r="DA164"/>
  <c r="CZ164"/>
  <c r="CY164"/>
  <c r="CX164"/>
  <c r="CW164"/>
  <c r="CV164"/>
  <c r="CU164"/>
  <c r="CT164"/>
  <c r="CS164"/>
  <c r="CR164"/>
  <c r="CQ164"/>
  <c r="CP164"/>
  <c r="CO164"/>
  <c r="CN164"/>
  <c r="CM164"/>
  <c r="CL164"/>
  <c r="CK164"/>
  <c r="CJ164"/>
  <c r="CI164"/>
  <c r="CH164"/>
  <c r="CG164"/>
  <c r="CF164"/>
  <c r="CE164"/>
  <c r="CD164"/>
  <c r="CC164"/>
  <c r="CB164"/>
  <c r="CA164"/>
  <c r="BZ164"/>
  <c r="BY164"/>
  <c r="BX164"/>
  <c r="BW164"/>
  <c r="BV164"/>
  <c r="BU164"/>
  <c r="BT164"/>
  <c r="BS164"/>
  <c r="BR164"/>
  <c r="BQ164"/>
  <c r="BP164"/>
  <c r="BO164"/>
  <c r="BN164"/>
  <c r="E164"/>
  <c r="E370" s="1"/>
  <c r="D164"/>
  <c r="D370" s="1"/>
  <c r="C164"/>
  <c r="C370" s="1"/>
  <c r="B164"/>
  <c r="B370" s="1"/>
  <c r="A164"/>
  <c r="A370" s="1"/>
  <c r="DU163"/>
  <c r="DT163"/>
  <c r="DS163"/>
  <c r="DR163"/>
  <c r="DQ163"/>
  <c r="DP163"/>
  <c r="DO163"/>
  <c r="DN163"/>
  <c r="DM163"/>
  <c r="DL163"/>
  <c r="DK163"/>
  <c r="DJ163"/>
  <c r="DI163"/>
  <c r="DH163"/>
  <c r="DG163"/>
  <c r="DF163"/>
  <c r="DE163"/>
  <c r="DD163"/>
  <c r="DC163"/>
  <c r="DB163"/>
  <c r="DA163"/>
  <c r="CZ163"/>
  <c r="CY163"/>
  <c r="CX163"/>
  <c r="CW163"/>
  <c r="CV163"/>
  <c r="CU163"/>
  <c r="CT163"/>
  <c r="CS163"/>
  <c r="CR163"/>
  <c r="CQ163"/>
  <c r="CP163"/>
  <c r="CO163"/>
  <c r="CN163"/>
  <c r="CM163"/>
  <c r="CL163"/>
  <c r="CK163"/>
  <c r="CJ163"/>
  <c r="CI163"/>
  <c r="CH163"/>
  <c r="CG163"/>
  <c r="CF163"/>
  <c r="CE163"/>
  <c r="CD163"/>
  <c r="CC163"/>
  <c r="CB163"/>
  <c r="CA163"/>
  <c r="BZ163"/>
  <c r="BY163"/>
  <c r="BX163"/>
  <c r="BW163"/>
  <c r="BV163"/>
  <c r="BU163"/>
  <c r="BT163"/>
  <c r="BS163"/>
  <c r="BR163"/>
  <c r="BQ163"/>
  <c r="BP163"/>
  <c r="BO163"/>
  <c r="BN163"/>
  <c r="E163"/>
  <c r="E369" s="1"/>
  <c r="D163"/>
  <c r="D369" s="1"/>
  <c r="C163"/>
  <c r="C369" s="1"/>
  <c r="B163"/>
  <c r="B369" s="1"/>
  <c r="A163"/>
  <c r="A369" s="1"/>
  <c r="DU162"/>
  <c r="DT162"/>
  <c r="DS162"/>
  <c r="DR162"/>
  <c r="DQ162"/>
  <c r="DP162"/>
  <c r="DO162"/>
  <c r="DN162"/>
  <c r="DM162"/>
  <c r="DL162"/>
  <c r="DK162"/>
  <c r="DJ162"/>
  <c r="DI162"/>
  <c r="DH162"/>
  <c r="DG162"/>
  <c r="DF162"/>
  <c r="DE162"/>
  <c r="DD162"/>
  <c r="DC162"/>
  <c r="DB162"/>
  <c r="DA162"/>
  <c r="CZ162"/>
  <c r="CY162"/>
  <c r="CX162"/>
  <c r="CW162"/>
  <c r="CV162"/>
  <c r="CU162"/>
  <c r="CT162"/>
  <c r="CS162"/>
  <c r="CR162"/>
  <c r="CQ162"/>
  <c r="CP162"/>
  <c r="CO162"/>
  <c r="CN162"/>
  <c r="CM162"/>
  <c r="CL162"/>
  <c r="CK162"/>
  <c r="CJ162"/>
  <c r="CI162"/>
  <c r="CH162"/>
  <c r="CG162"/>
  <c r="CF162"/>
  <c r="CE162"/>
  <c r="CD162"/>
  <c r="CC162"/>
  <c r="CB162"/>
  <c r="CA162"/>
  <c r="BZ162"/>
  <c r="BY162"/>
  <c r="BX162"/>
  <c r="BW162"/>
  <c r="BV162"/>
  <c r="BU162"/>
  <c r="BT162"/>
  <c r="BS162"/>
  <c r="BR162"/>
  <c r="BQ162"/>
  <c r="BP162"/>
  <c r="BO162"/>
  <c r="BN162"/>
  <c r="E162"/>
  <c r="E368" s="1"/>
  <c r="D162"/>
  <c r="D368" s="1"/>
  <c r="C162"/>
  <c r="C368" s="1"/>
  <c r="B162"/>
  <c r="B368" s="1"/>
  <c r="A162"/>
  <c r="A368" s="1"/>
  <c r="DU161"/>
  <c r="DT161"/>
  <c r="DS161"/>
  <c r="DR161"/>
  <c r="DQ161"/>
  <c r="DP161"/>
  <c r="DO161"/>
  <c r="DN161"/>
  <c r="DM161"/>
  <c r="DL161"/>
  <c r="DK161"/>
  <c r="DJ161"/>
  <c r="DI161"/>
  <c r="DH161"/>
  <c r="DG161"/>
  <c r="DF161"/>
  <c r="DE161"/>
  <c r="DD161"/>
  <c r="DC161"/>
  <c r="DB161"/>
  <c r="DA161"/>
  <c r="CZ161"/>
  <c r="CY161"/>
  <c r="CX161"/>
  <c r="CW161"/>
  <c r="CV161"/>
  <c r="CU161"/>
  <c r="CT161"/>
  <c r="CS161"/>
  <c r="CR161"/>
  <c r="CQ161"/>
  <c r="CP161"/>
  <c r="CO161"/>
  <c r="CN161"/>
  <c r="CM161"/>
  <c r="CL161"/>
  <c r="CK161"/>
  <c r="CJ161"/>
  <c r="CI161"/>
  <c r="CH161"/>
  <c r="CG161"/>
  <c r="CF161"/>
  <c r="CE161"/>
  <c r="CD161"/>
  <c r="CC161"/>
  <c r="CB161"/>
  <c r="CA161"/>
  <c r="BZ161"/>
  <c r="BY161"/>
  <c r="BX161"/>
  <c r="BW161"/>
  <c r="BV161"/>
  <c r="BU161"/>
  <c r="BT161"/>
  <c r="BS161"/>
  <c r="BR161"/>
  <c r="BQ161"/>
  <c r="BP161"/>
  <c r="BO161"/>
  <c r="BN161"/>
  <c r="E161"/>
  <c r="E367" s="1"/>
  <c r="D161"/>
  <c r="D367" s="1"/>
  <c r="C161"/>
  <c r="C367" s="1"/>
  <c r="B161"/>
  <c r="B367" s="1"/>
  <c r="A161"/>
  <c r="A367" s="1"/>
  <c r="DU160"/>
  <c r="DT160"/>
  <c r="DS160"/>
  <c r="DR160"/>
  <c r="DQ160"/>
  <c r="DP160"/>
  <c r="DO160"/>
  <c r="DN160"/>
  <c r="DM160"/>
  <c r="DL160"/>
  <c r="DK160"/>
  <c r="DJ160"/>
  <c r="DI160"/>
  <c r="DH160"/>
  <c r="DG160"/>
  <c r="DF160"/>
  <c r="DE160"/>
  <c r="DD160"/>
  <c r="DC160"/>
  <c r="DB160"/>
  <c r="DA160"/>
  <c r="CZ160"/>
  <c r="CY160"/>
  <c r="CX160"/>
  <c r="CW160"/>
  <c r="CV160"/>
  <c r="CU160"/>
  <c r="CT160"/>
  <c r="CS160"/>
  <c r="CR160"/>
  <c r="CQ160"/>
  <c r="CP160"/>
  <c r="CO160"/>
  <c r="CN160"/>
  <c r="CM160"/>
  <c r="CL160"/>
  <c r="CK160"/>
  <c r="CJ160"/>
  <c r="CI160"/>
  <c r="CH160"/>
  <c r="CG160"/>
  <c r="CF160"/>
  <c r="CE160"/>
  <c r="CD160"/>
  <c r="CC160"/>
  <c r="CB160"/>
  <c r="CA160"/>
  <c r="BZ160"/>
  <c r="BY160"/>
  <c r="BX160"/>
  <c r="BW160"/>
  <c r="BV160"/>
  <c r="BU160"/>
  <c r="BT160"/>
  <c r="BS160"/>
  <c r="BR160"/>
  <c r="BQ160"/>
  <c r="BP160"/>
  <c r="BO160"/>
  <c r="BN160"/>
  <c r="E160"/>
  <c r="E366" s="1"/>
  <c r="D160"/>
  <c r="D366" s="1"/>
  <c r="C160"/>
  <c r="C366" s="1"/>
  <c r="B160"/>
  <c r="B366" s="1"/>
  <c r="A160"/>
  <c r="A366" s="1"/>
  <c r="DU159"/>
  <c r="DT159"/>
  <c r="DS159"/>
  <c r="DR159"/>
  <c r="DQ159"/>
  <c r="DP159"/>
  <c r="DO159"/>
  <c r="DN159"/>
  <c r="DM159"/>
  <c r="DL159"/>
  <c r="DK159"/>
  <c r="DJ159"/>
  <c r="DI159"/>
  <c r="DH159"/>
  <c r="DG159"/>
  <c r="DF159"/>
  <c r="DE159"/>
  <c r="DD159"/>
  <c r="DC159"/>
  <c r="DB159"/>
  <c r="DA159"/>
  <c r="CZ159"/>
  <c r="CY159"/>
  <c r="CX159"/>
  <c r="CW159"/>
  <c r="CV159"/>
  <c r="CU159"/>
  <c r="CT159"/>
  <c r="CS159"/>
  <c r="CR159"/>
  <c r="CQ159"/>
  <c r="CP159"/>
  <c r="CO159"/>
  <c r="CN159"/>
  <c r="CM159"/>
  <c r="CL159"/>
  <c r="CK159"/>
  <c r="CJ159"/>
  <c r="CI159"/>
  <c r="CH159"/>
  <c r="CG159"/>
  <c r="CF159"/>
  <c r="CE159"/>
  <c r="CD159"/>
  <c r="CC159"/>
  <c r="CB159"/>
  <c r="CA159"/>
  <c r="BZ159"/>
  <c r="BY159"/>
  <c r="BX159"/>
  <c r="BW159"/>
  <c r="BV159"/>
  <c r="BU159"/>
  <c r="BT159"/>
  <c r="BS159"/>
  <c r="BR159"/>
  <c r="BQ159"/>
  <c r="BP159"/>
  <c r="BO159"/>
  <c r="BN159"/>
  <c r="E159"/>
  <c r="E365" s="1"/>
  <c r="D159"/>
  <c r="D365" s="1"/>
  <c r="C159"/>
  <c r="C365" s="1"/>
  <c r="B159"/>
  <c r="A159"/>
  <c r="A365" s="1"/>
  <c r="DU158"/>
  <c r="DT158"/>
  <c r="DS158"/>
  <c r="DR158"/>
  <c r="DQ158"/>
  <c r="DP158"/>
  <c r="DO158"/>
  <c r="DN158"/>
  <c r="DM158"/>
  <c r="DL158"/>
  <c r="DK158"/>
  <c r="DJ158"/>
  <c r="DI158"/>
  <c r="DH158"/>
  <c r="DG158"/>
  <c r="DF158"/>
  <c r="DE158"/>
  <c r="DD158"/>
  <c r="DC158"/>
  <c r="DB158"/>
  <c r="DA158"/>
  <c r="CZ158"/>
  <c r="CY158"/>
  <c r="CX158"/>
  <c r="CW158"/>
  <c r="CV158"/>
  <c r="CU158"/>
  <c r="CT158"/>
  <c r="CS158"/>
  <c r="CR158"/>
  <c r="CQ158"/>
  <c r="CP158"/>
  <c r="CO158"/>
  <c r="CN158"/>
  <c r="CM158"/>
  <c r="CL158"/>
  <c r="CK158"/>
  <c r="CJ158"/>
  <c r="CI158"/>
  <c r="CH158"/>
  <c r="CG158"/>
  <c r="CF158"/>
  <c r="CE158"/>
  <c r="CD158"/>
  <c r="CC158"/>
  <c r="CB158"/>
  <c r="CA158"/>
  <c r="BZ158"/>
  <c r="BY158"/>
  <c r="BX158"/>
  <c r="BW158"/>
  <c r="BV158"/>
  <c r="BU158"/>
  <c r="BT158"/>
  <c r="BS158"/>
  <c r="BR158"/>
  <c r="BQ158"/>
  <c r="BP158"/>
  <c r="BO158"/>
  <c r="BN158"/>
  <c r="E158"/>
  <c r="E364" s="1"/>
  <c r="D158"/>
  <c r="D364" s="1"/>
  <c r="C158"/>
  <c r="C364" s="1"/>
  <c r="B158"/>
  <c r="B364" s="1"/>
  <c r="A158"/>
  <c r="A364" s="1"/>
  <c r="DU157"/>
  <c r="DT157"/>
  <c r="DS157"/>
  <c r="DR157"/>
  <c r="DQ157"/>
  <c r="DP157"/>
  <c r="DO157"/>
  <c r="DN157"/>
  <c r="DM157"/>
  <c r="DL157"/>
  <c r="DK157"/>
  <c r="DJ157"/>
  <c r="DI157"/>
  <c r="DH157"/>
  <c r="DG157"/>
  <c r="DF157"/>
  <c r="DE157"/>
  <c r="DD157"/>
  <c r="DC157"/>
  <c r="DB157"/>
  <c r="DA157"/>
  <c r="CZ157"/>
  <c r="CY157"/>
  <c r="CX157"/>
  <c r="CW157"/>
  <c r="CV157"/>
  <c r="CU157"/>
  <c r="CT157"/>
  <c r="CS157"/>
  <c r="CR157"/>
  <c r="CQ157"/>
  <c r="CP157"/>
  <c r="CO157"/>
  <c r="CN157"/>
  <c r="CM157"/>
  <c r="CL157"/>
  <c r="CK157"/>
  <c r="CJ157"/>
  <c r="CI157"/>
  <c r="CH157"/>
  <c r="CG157"/>
  <c r="CF157"/>
  <c r="CE157"/>
  <c r="CD157"/>
  <c r="CC157"/>
  <c r="CB157"/>
  <c r="CA157"/>
  <c r="BZ157"/>
  <c r="BY157"/>
  <c r="BX157"/>
  <c r="BW157"/>
  <c r="BV157"/>
  <c r="BU157"/>
  <c r="BT157"/>
  <c r="BS157"/>
  <c r="BR157"/>
  <c r="BQ157"/>
  <c r="BP157"/>
  <c r="BO157"/>
  <c r="BN157"/>
  <c r="E157"/>
  <c r="B157"/>
  <c r="A157"/>
  <c r="DU156"/>
  <c r="DT156"/>
  <c r="DS156"/>
  <c r="DR156"/>
  <c r="DQ156"/>
  <c r="DP156"/>
  <c r="DO156"/>
  <c r="DN156"/>
  <c r="DM156"/>
  <c r="DL156"/>
  <c r="DK156"/>
  <c r="DJ156"/>
  <c r="DI156"/>
  <c r="DH156"/>
  <c r="DG156"/>
  <c r="DF156"/>
  <c r="DE156"/>
  <c r="DD156"/>
  <c r="DC156"/>
  <c r="DB156"/>
  <c r="DA156"/>
  <c r="CZ156"/>
  <c r="CY156"/>
  <c r="CX156"/>
  <c r="CW156"/>
  <c r="CV156"/>
  <c r="CU156"/>
  <c r="CT156"/>
  <c r="CS156"/>
  <c r="CR156"/>
  <c r="CQ156"/>
  <c r="CP156"/>
  <c r="CO156"/>
  <c r="CN156"/>
  <c r="CM156"/>
  <c r="CL156"/>
  <c r="CK156"/>
  <c r="CJ156"/>
  <c r="CI156"/>
  <c r="CH156"/>
  <c r="CG156"/>
  <c r="CF156"/>
  <c r="CE156"/>
  <c r="CD156"/>
  <c r="CC156"/>
  <c r="CB156"/>
  <c r="CA156"/>
  <c r="BZ156"/>
  <c r="BY156"/>
  <c r="BX156"/>
  <c r="BW156"/>
  <c r="BV156"/>
  <c r="BU156"/>
  <c r="BT156"/>
  <c r="BS156"/>
  <c r="BR156"/>
  <c r="BQ156"/>
  <c r="BP156"/>
  <c r="BO156"/>
  <c r="BN156"/>
  <c r="E156"/>
  <c r="E363" s="1"/>
  <c r="D156"/>
  <c r="D363" s="1"/>
  <c r="C156"/>
  <c r="C363" s="1"/>
  <c r="B156"/>
  <c r="B363" s="1"/>
  <c r="A156"/>
  <c r="A363" s="1"/>
  <c r="DU155"/>
  <c r="DT155"/>
  <c r="DS155"/>
  <c r="DR155"/>
  <c r="DQ155"/>
  <c r="DP155"/>
  <c r="DO155"/>
  <c r="DN155"/>
  <c r="DM155"/>
  <c r="DL155"/>
  <c r="DK155"/>
  <c r="DJ155"/>
  <c r="DI155"/>
  <c r="DH155"/>
  <c r="DG155"/>
  <c r="DF155"/>
  <c r="DE155"/>
  <c r="DD155"/>
  <c r="DC155"/>
  <c r="DB155"/>
  <c r="DA155"/>
  <c r="CZ155"/>
  <c r="CY155"/>
  <c r="CX155"/>
  <c r="CW155"/>
  <c r="CV155"/>
  <c r="CU155"/>
  <c r="CT155"/>
  <c r="CS155"/>
  <c r="CR155"/>
  <c r="CQ155"/>
  <c r="CP155"/>
  <c r="CO155"/>
  <c r="CN155"/>
  <c r="CM155"/>
  <c r="CL155"/>
  <c r="CK155"/>
  <c r="CJ155"/>
  <c r="CI155"/>
  <c r="CH155"/>
  <c r="CG155"/>
  <c r="CF155"/>
  <c r="CE155"/>
  <c r="CD155"/>
  <c r="CC155"/>
  <c r="CB155"/>
  <c r="CA155"/>
  <c r="BZ155"/>
  <c r="BY155"/>
  <c r="BX155"/>
  <c r="BW155"/>
  <c r="BV155"/>
  <c r="BU155"/>
  <c r="BT155"/>
  <c r="BS155"/>
  <c r="BR155"/>
  <c r="BQ155"/>
  <c r="BP155"/>
  <c r="BO155"/>
  <c r="BN155"/>
  <c r="E155"/>
  <c r="E362" s="1"/>
  <c r="D155"/>
  <c r="D362" s="1"/>
  <c r="C155"/>
  <c r="C362" s="1"/>
  <c r="B155"/>
  <c r="B362" s="1"/>
  <c r="A155"/>
  <c r="A362" s="1"/>
  <c r="DU154"/>
  <c r="DT154"/>
  <c r="DS154"/>
  <c r="DR154"/>
  <c r="DQ154"/>
  <c r="DP154"/>
  <c r="DO154"/>
  <c r="DN154"/>
  <c r="DM154"/>
  <c r="DL154"/>
  <c r="DK154"/>
  <c r="DJ154"/>
  <c r="DI154"/>
  <c r="DH154"/>
  <c r="DG154"/>
  <c r="DF154"/>
  <c r="DE154"/>
  <c r="DD154"/>
  <c r="DC154"/>
  <c r="DB154"/>
  <c r="DA154"/>
  <c r="CZ154"/>
  <c r="CY154"/>
  <c r="CX154"/>
  <c r="CW154"/>
  <c r="CV154"/>
  <c r="CU154"/>
  <c r="CT154"/>
  <c r="CS154"/>
  <c r="CR154"/>
  <c r="CQ154"/>
  <c r="CP154"/>
  <c r="CO154"/>
  <c r="CN154"/>
  <c r="CM154"/>
  <c r="CL154"/>
  <c r="CK154"/>
  <c r="CJ154"/>
  <c r="CI154"/>
  <c r="CH154"/>
  <c r="CG154"/>
  <c r="CF154"/>
  <c r="CE154"/>
  <c r="CD154"/>
  <c r="CC154"/>
  <c r="CB154"/>
  <c r="CA154"/>
  <c r="BZ154"/>
  <c r="BY154"/>
  <c r="BX154"/>
  <c r="BW154"/>
  <c r="BV154"/>
  <c r="BU154"/>
  <c r="BT154"/>
  <c r="BS154"/>
  <c r="BR154"/>
  <c r="BQ154"/>
  <c r="BP154"/>
  <c r="BO154"/>
  <c r="BN154"/>
  <c r="E154"/>
  <c r="E361" s="1"/>
  <c r="D154"/>
  <c r="D361" s="1"/>
  <c r="C154"/>
  <c r="C361" s="1"/>
  <c r="B154"/>
  <c r="B361" s="1"/>
  <c r="A154"/>
  <c r="A361" s="1"/>
  <c r="DU153"/>
  <c r="DT153"/>
  <c r="DS153"/>
  <c r="DR153"/>
  <c r="DQ153"/>
  <c r="DP153"/>
  <c r="DO153"/>
  <c r="DN153"/>
  <c r="DM153"/>
  <c r="DL153"/>
  <c r="DK153"/>
  <c r="DJ153"/>
  <c r="DI153"/>
  <c r="DH153"/>
  <c r="DG153"/>
  <c r="DF153"/>
  <c r="DE153"/>
  <c r="DD153"/>
  <c r="DC153"/>
  <c r="DB153"/>
  <c r="DA153"/>
  <c r="CZ153"/>
  <c r="CY153"/>
  <c r="CX153"/>
  <c r="CW153"/>
  <c r="CV153"/>
  <c r="CU153"/>
  <c r="CT153"/>
  <c r="CS153"/>
  <c r="CR153"/>
  <c r="CQ153"/>
  <c r="CP153"/>
  <c r="CO153"/>
  <c r="CN153"/>
  <c r="CM153"/>
  <c r="CL153"/>
  <c r="CK153"/>
  <c r="CJ153"/>
  <c r="CI153"/>
  <c r="CH153"/>
  <c r="CG153"/>
  <c r="CF153"/>
  <c r="CE153"/>
  <c r="CD153"/>
  <c r="CC153"/>
  <c r="CB153"/>
  <c r="CA153"/>
  <c r="BZ153"/>
  <c r="BY153"/>
  <c r="BX153"/>
  <c r="BW153"/>
  <c r="BV153"/>
  <c r="BU153"/>
  <c r="BT153"/>
  <c r="BS153"/>
  <c r="BR153"/>
  <c r="BQ153"/>
  <c r="BP153"/>
  <c r="BO153"/>
  <c r="BN153"/>
  <c r="E153"/>
  <c r="E360" s="1"/>
  <c r="D153"/>
  <c r="D360" s="1"/>
  <c r="C153"/>
  <c r="C360" s="1"/>
  <c r="B153"/>
  <c r="B360" s="1"/>
  <c r="A153"/>
  <c r="A360" s="1"/>
  <c r="DU152"/>
  <c r="DT152"/>
  <c r="DS152"/>
  <c r="DR152"/>
  <c r="DQ152"/>
  <c r="DP152"/>
  <c r="DO152"/>
  <c r="DN152"/>
  <c r="DM152"/>
  <c r="DL152"/>
  <c r="DK152"/>
  <c r="DJ152"/>
  <c r="DI152"/>
  <c r="DH152"/>
  <c r="DG152"/>
  <c r="DF152"/>
  <c r="DE152"/>
  <c r="DD152"/>
  <c r="DC152"/>
  <c r="DB152"/>
  <c r="DA152"/>
  <c r="CZ152"/>
  <c r="CY152"/>
  <c r="CX152"/>
  <c r="CW152"/>
  <c r="CV152"/>
  <c r="CU152"/>
  <c r="CT152"/>
  <c r="CS152"/>
  <c r="CR152"/>
  <c r="CQ152"/>
  <c r="CP152"/>
  <c r="CO152"/>
  <c r="CN152"/>
  <c r="CM152"/>
  <c r="CL152"/>
  <c r="CK152"/>
  <c r="CJ152"/>
  <c r="CI152"/>
  <c r="CH152"/>
  <c r="CG152"/>
  <c r="CF152"/>
  <c r="CE152"/>
  <c r="CD152"/>
  <c r="CC152"/>
  <c r="CB152"/>
  <c r="CA152"/>
  <c r="BZ152"/>
  <c r="BY152"/>
  <c r="BX152"/>
  <c r="BW152"/>
  <c r="BV152"/>
  <c r="BU152"/>
  <c r="BT152"/>
  <c r="BS152"/>
  <c r="BR152"/>
  <c r="BQ152"/>
  <c r="BP152"/>
  <c r="BO152"/>
  <c r="BN152"/>
  <c r="E152"/>
  <c r="E359" s="1"/>
  <c r="D152"/>
  <c r="D359" s="1"/>
  <c r="C152"/>
  <c r="C359" s="1"/>
  <c r="B152"/>
  <c r="B359" s="1"/>
  <c r="A152"/>
  <c r="A359" s="1"/>
  <c r="DU151"/>
  <c r="DT151"/>
  <c r="DS151"/>
  <c r="DR151"/>
  <c r="DQ151"/>
  <c r="DP151"/>
  <c r="DO151"/>
  <c r="DN151"/>
  <c r="DM151"/>
  <c r="DL151"/>
  <c r="DK151"/>
  <c r="DJ151"/>
  <c r="DI151"/>
  <c r="DH151"/>
  <c r="DG151"/>
  <c r="DF151"/>
  <c r="DE151"/>
  <c r="DD151"/>
  <c r="DC151"/>
  <c r="DB151"/>
  <c r="DA151"/>
  <c r="CZ151"/>
  <c r="CY151"/>
  <c r="CX151"/>
  <c r="CW151"/>
  <c r="CV151"/>
  <c r="CU151"/>
  <c r="CT151"/>
  <c r="CS151"/>
  <c r="CR151"/>
  <c r="CQ151"/>
  <c r="CP151"/>
  <c r="CO151"/>
  <c r="CN151"/>
  <c r="CM151"/>
  <c r="CL151"/>
  <c r="CK151"/>
  <c r="CJ151"/>
  <c r="CI151"/>
  <c r="CH151"/>
  <c r="CG151"/>
  <c r="CF151"/>
  <c r="CE151"/>
  <c r="CD151"/>
  <c r="CC151"/>
  <c r="CB151"/>
  <c r="CA151"/>
  <c r="BZ151"/>
  <c r="BY151"/>
  <c r="BX151"/>
  <c r="BW151"/>
  <c r="BV151"/>
  <c r="BU151"/>
  <c r="BT151"/>
  <c r="BS151"/>
  <c r="BR151"/>
  <c r="BQ151"/>
  <c r="BP151"/>
  <c r="BO151"/>
  <c r="BN151"/>
  <c r="E151"/>
  <c r="E358" s="1"/>
  <c r="D151"/>
  <c r="D358" s="1"/>
  <c r="C151"/>
  <c r="C358" s="1"/>
  <c r="B151"/>
  <c r="B358" s="1"/>
  <c r="A151"/>
  <c r="A358" s="1"/>
  <c r="DU150"/>
  <c r="DT150"/>
  <c r="DS150"/>
  <c r="DR150"/>
  <c r="DQ150"/>
  <c r="DP150"/>
  <c r="DO150"/>
  <c r="DN150"/>
  <c r="DM150"/>
  <c r="DL150"/>
  <c r="DK150"/>
  <c r="DJ150"/>
  <c r="DI150"/>
  <c r="DH150"/>
  <c r="DG150"/>
  <c r="DF150"/>
  <c r="DE150"/>
  <c r="DD150"/>
  <c r="DC150"/>
  <c r="DB150"/>
  <c r="DA150"/>
  <c r="CZ150"/>
  <c r="CY150"/>
  <c r="CX150"/>
  <c r="CW150"/>
  <c r="CV150"/>
  <c r="CU150"/>
  <c r="CT150"/>
  <c r="CS150"/>
  <c r="CR150"/>
  <c r="CQ150"/>
  <c r="CP150"/>
  <c r="CO150"/>
  <c r="CN150"/>
  <c r="CM150"/>
  <c r="CL150"/>
  <c r="CK150"/>
  <c r="CJ150"/>
  <c r="CI150"/>
  <c r="CH150"/>
  <c r="CG150"/>
  <c r="CF150"/>
  <c r="CE150"/>
  <c r="CD150"/>
  <c r="CC150"/>
  <c r="CB150"/>
  <c r="CA150"/>
  <c r="BZ150"/>
  <c r="BY150"/>
  <c r="BX150"/>
  <c r="BW150"/>
  <c r="BV150"/>
  <c r="BU150"/>
  <c r="BT150"/>
  <c r="BS150"/>
  <c r="BR150"/>
  <c r="BQ150"/>
  <c r="BP150"/>
  <c r="BO150"/>
  <c r="BN150"/>
  <c r="E150"/>
  <c r="E357" s="1"/>
  <c r="D150"/>
  <c r="D357" s="1"/>
  <c r="C150"/>
  <c r="C357" s="1"/>
  <c r="B150"/>
  <c r="B357" s="1"/>
  <c r="A150"/>
  <c r="A357" s="1"/>
  <c r="DU149"/>
  <c r="DT149"/>
  <c r="DS149"/>
  <c r="DR149"/>
  <c r="DQ149"/>
  <c r="DP149"/>
  <c r="DO149"/>
  <c r="DN149"/>
  <c r="DM149"/>
  <c r="DL149"/>
  <c r="DK149"/>
  <c r="DJ149"/>
  <c r="DI149"/>
  <c r="DH149"/>
  <c r="DG149"/>
  <c r="DF149"/>
  <c r="DE149"/>
  <c r="DD149"/>
  <c r="DC149"/>
  <c r="DB149"/>
  <c r="DA149"/>
  <c r="CZ149"/>
  <c r="CY149"/>
  <c r="CX149"/>
  <c r="CW149"/>
  <c r="CV149"/>
  <c r="CU149"/>
  <c r="CT149"/>
  <c r="CS149"/>
  <c r="CR149"/>
  <c r="CQ149"/>
  <c r="CP149"/>
  <c r="CO149"/>
  <c r="CN149"/>
  <c r="CM149"/>
  <c r="CL149"/>
  <c r="CK149"/>
  <c r="CJ149"/>
  <c r="CI149"/>
  <c r="CH149"/>
  <c r="CG149"/>
  <c r="CF149"/>
  <c r="CE149"/>
  <c r="CD149"/>
  <c r="CC149"/>
  <c r="CB149"/>
  <c r="CA149"/>
  <c r="BZ149"/>
  <c r="BY149"/>
  <c r="BX149"/>
  <c r="BW149"/>
  <c r="BV149"/>
  <c r="BU149"/>
  <c r="BT149"/>
  <c r="BS149"/>
  <c r="BR149"/>
  <c r="BQ149"/>
  <c r="BP149"/>
  <c r="BO149"/>
  <c r="BN149"/>
  <c r="E149"/>
  <c r="E356" s="1"/>
  <c r="D149"/>
  <c r="D356" s="1"/>
  <c r="C149"/>
  <c r="C356" s="1"/>
  <c r="B149"/>
  <c r="B356" s="1"/>
  <c r="A149"/>
  <c r="A356" s="1"/>
  <c r="DU148"/>
  <c r="DT148"/>
  <c r="DS148"/>
  <c r="DR148"/>
  <c r="DQ148"/>
  <c r="DP148"/>
  <c r="DO148"/>
  <c r="DN148"/>
  <c r="DM148"/>
  <c r="DL148"/>
  <c r="DK148"/>
  <c r="DJ148"/>
  <c r="DI148"/>
  <c r="DH148"/>
  <c r="DG148"/>
  <c r="DF148"/>
  <c r="DE148"/>
  <c r="DD148"/>
  <c r="DC148"/>
  <c r="DB148"/>
  <c r="DA148"/>
  <c r="CZ148"/>
  <c r="CY148"/>
  <c r="CX148"/>
  <c r="CW148"/>
  <c r="CV148"/>
  <c r="CU148"/>
  <c r="CT148"/>
  <c r="CS148"/>
  <c r="CR148"/>
  <c r="CQ148"/>
  <c r="CP148"/>
  <c r="CO148"/>
  <c r="CN148"/>
  <c r="CM148"/>
  <c r="CL148"/>
  <c r="CK148"/>
  <c r="CJ148"/>
  <c r="CI148"/>
  <c r="CH148"/>
  <c r="CG148"/>
  <c r="CF148"/>
  <c r="CE148"/>
  <c r="CD148"/>
  <c r="CC148"/>
  <c r="CB148"/>
  <c r="CA148"/>
  <c r="BZ148"/>
  <c r="BY148"/>
  <c r="BX148"/>
  <c r="BW148"/>
  <c r="BV148"/>
  <c r="BU148"/>
  <c r="BT148"/>
  <c r="BS148"/>
  <c r="BR148"/>
  <c r="BQ148"/>
  <c r="BP148"/>
  <c r="BO148"/>
  <c r="BN148"/>
  <c r="E148"/>
  <c r="B148"/>
  <c r="A148"/>
  <c r="DU147"/>
  <c r="DT147"/>
  <c r="DS147"/>
  <c r="DR147"/>
  <c r="DQ147"/>
  <c r="DP147"/>
  <c r="DO147"/>
  <c r="DN147"/>
  <c r="DM147"/>
  <c r="DL147"/>
  <c r="DK147"/>
  <c r="DJ147"/>
  <c r="DI147"/>
  <c r="DH147"/>
  <c r="DG147"/>
  <c r="DF147"/>
  <c r="DE147"/>
  <c r="DD147"/>
  <c r="DC147"/>
  <c r="DB147"/>
  <c r="DA147"/>
  <c r="CZ147"/>
  <c r="CY147"/>
  <c r="CX147"/>
  <c r="CW147"/>
  <c r="CV147"/>
  <c r="CU147"/>
  <c r="CT147"/>
  <c r="CS147"/>
  <c r="CR147"/>
  <c r="CQ147"/>
  <c r="CP147"/>
  <c r="CO147"/>
  <c r="CN147"/>
  <c r="CM147"/>
  <c r="CL147"/>
  <c r="CK147"/>
  <c r="CJ147"/>
  <c r="CI147"/>
  <c r="CH147"/>
  <c r="CG147"/>
  <c r="CF147"/>
  <c r="CE147"/>
  <c r="CD147"/>
  <c r="CC147"/>
  <c r="CB147"/>
  <c r="CA147"/>
  <c r="BZ147"/>
  <c r="BY147"/>
  <c r="BX147"/>
  <c r="BW147"/>
  <c r="BV147"/>
  <c r="BU147"/>
  <c r="BT147"/>
  <c r="BS147"/>
  <c r="BR147"/>
  <c r="BQ147"/>
  <c r="BP147"/>
  <c r="BO147"/>
  <c r="BN147"/>
  <c r="E147"/>
  <c r="E355" s="1"/>
  <c r="D147"/>
  <c r="D355" s="1"/>
  <c r="C147"/>
  <c r="C355" s="1"/>
  <c r="B147"/>
  <c r="B355" s="1"/>
  <c r="A147"/>
  <c r="A355" s="1"/>
  <c r="DU146"/>
  <c r="DT146"/>
  <c r="DS146"/>
  <c r="DR146"/>
  <c r="DQ146"/>
  <c r="DP146"/>
  <c r="DO146"/>
  <c r="DN146"/>
  <c r="DM146"/>
  <c r="DL146"/>
  <c r="DK146"/>
  <c r="DJ146"/>
  <c r="DI146"/>
  <c r="DH146"/>
  <c r="DG146"/>
  <c r="DF146"/>
  <c r="DE146"/>
  <c r="DD146"/>
  <c r="DC146"/>
  <c r="DB146"/>
  <c r="DA146"/>
  <c r="CZ146"/>
  <c r="CY146"/>
  <c r="CX146"/>
  <c r="CW146"/>
  <c r="CV146"/>
  <c r="CU146"/>
  <c r="CT146"/>
  <c r="CS146"/>
  <c r="CR146"/>
  <c r="CQ146"/>
  <c r="CP146"/>
  <c r="CO146"/>
  <c r="CN146"/>
  <c r="CM146"/>
  <c r="CL146"/>
  <c r="CK146"/>
  <c r="CJ146"/>
  <c r="CI146"/>
  <c r="CH146"/>
  <c r="CG146"/>
  <c r="CF146"/>
  <c r="CE146"/>
  <c r="CD146"/>
  <c r="CC146"/>
  <c r="CB146"/>
  <c r="CA146"/>
  <c r="BZ146"/>
  <c r="BY146"/>
  <c r="BX146"/>
  <c r="BW146"/>
  <c r="BV146"/>
  <c r="BU146"/>
  <c r="BT146"/>
  <c r="BS146"/>
  <c r="BR146"/>
  <c r="BQ146"/>
  <c r="BP146"/>
  <c r="BO146"/>
  <c r="BN146"/>
  <c r="E146"/>
  <c r="E354" s="1"/>
  <c r="D146"/>
  <c r="D354" s="1"/>
  <c r="C146"/>
  <c r="C354" s="1"/>
  <c r="B146"/>
  <c r="B354" s="1"/>
  <c r="A146"/>
  <c r="A354" s="1"/>
  <c r="DU145"/>
  <c r="DT145"/>
  <c r="DS145"/>
  <c r="DR145"/>
  <c r="DQ145"/>
  <c r="DP145"/>
  <c r="DO145"/>
  <c r="DN145"/>
  <c r="DM145"/>
  <c r="DL145"/>
  <c r="DK145"/>
  <c r="DJ145"/>
  <c r="DI145"/>
  <c r="DH145"/>
  <c r="DG145"/>
  <c r="DF145"/>
  <c r="DE145"/>
  <c r="DD145"/>
  <c r="DC145"/>
  <c r="DB145"/>
  <c r="DA145"/>
  <c r="CZ145"/>
  <c r="CY145"/>
  <c r="CX145"/>
  <c r="CW145"/>
  <c r="CV145"/>
  <c r="CU145"/>
  <c r="CT145"/>
  <c r="CS145"/>
  <c r="CR145"/>
  <c r="CQ145"/>
  <c r="CP145"/>
  <c r="CO145"/>
  <c r="CN145"/>
  <c r="CM145"/>
  <c r="CL145"/>
  <c r="CK145"/>
  <c r="CJ145"/>
  <c r="CI145"/>
  <c r="CH145"/>
  <c r="CG145"/>
  <c r="CF145"/>
  <c r="CE145"/>
  <c r="CD145"/>
  <c r="CC145"/>
  <c r="CB145"/>
  <c r="CA145"/>
  <c r="BZ145"/>
  <c r="BY145"/>
  <c r="BX145"/>
  <c r="BW145"/>
  <c r="BV145"/>
  <c r="BU145"/>
  <c r="BT145"/>
  <c r="BS145"/>
  <c r="BR145"/>
  <c r="BQ145"/>
  <c r="BP145"/>
  <c r="BO145"/>
  <c r="BN145"/>
  <c r="E145"/>
  <c r="E353" s="1"/>
  <c r="D145"/>
  <c r="D353" s="1"/>
  <c r="C145"/>
  <c r="C353" s="1"/>
  <c r="B145"/>
  <c r="B353" s="1"/>
  <c r="A145"/>
  <c r="A353" s="1"/>
  <c r="DU144"/>
  <c r="DT144"/>
  <c r="DS144"/>
  <c r="DR144"/>
  <c r="DQ144"/>
  <c r="DP144"/>
  <c r="DO144"/>
  <c r="DN144"/>
  <c r="DM144"/>
  <c r="DL144"/>
  <c r="DK144"/>
  <c r="DJ144"/>
  <c r="DI144"/>
  <c r="DH144"/>
  <c r="DG144"/>
  <c r="DF144"/>
  <c r="DE144"/>
  <c r="DD144"/>
  <c r="DC144"/>
  <c r="DB144"/>
  <c r="DA144"/>
  <c r="CZ144"/>
  <c r="CY144"/>
  <c r="CX144"/>
  <c r="CW144"/>
  <c r="CV144"/>
  <c r="CU144"/>
  <c r="CT144"/>
  <c r="CS144"/>
  <c r="CR144"/>
  <c r="CQ144"/>
  <c r="CP144"/>
  <c r="CO144"/>
  <c r="CN144"/>
  <c r="CM144"/>
  <c r="CL144"/>
  <c r="CK144"/>
  <c r="CJ144"/>
  <c r="CI144"/>
  <c r="CH144"/>
  <c r="CG144"/>
  <c r="CF144"/>
  <c r="CE144"/>
  <c r="CD144"/>
  <c r="CC144"/>
  <c r="CB144"/>
  <c r="CA144"/>
  <c r="BZ144"/>
  <c r="BY144"/>
  <c r="BX144"/>
  <c r="BW144"/>
  <c r="BV144"/>
  <c r="BU144"/>
  <c r="BT144"/>
  <c r="BS144"/>
  <c r="BR144"/>
  <c r="BQ144"/>
  <c r="BP144"/>
  <c r="BO144"/>
  <c r="BN144"/>
  <c r="E144"/>
  <c r="E352" s="1"/>
  <c r="D144"/>
  <c r="D352" s="1"/>
  <c r="C144"/>
  <c r="C352" s="1"/>
  <c r="B144"/>
  <c r="B352" s="1"/>
  <c r="A144"/>
  <c r="A352" s="1"/>
  <c r="DU143"/>
  <c r="DT143"/>
  <c r="DS143"/>
  <c r="DR143"/>
  <c r="DQ143"/>
  <c r="DP143"/>
  <c r="DO143"/>
  <c r="DN143"/>
  <c r="DM143"/>
  <c r="DL143"/>
  <c r="DK143"/>
  <c r="DJ143"/>
  <c r="DI143"/>
  <c r="DH143"/>
  <c r="DG143"/>
  <c r="DF143"/>
  <c r="DE143"/>
  <c r="DD143"/>
  <c r="DC143"/>
  <c r="DB143"/>
  <c r="DA143"/>
  <c r="CZ143"/>
  <c r="CY143"/>
  <c r="CX143"/>
  <c r="CW143"/>
  <c r="CV143"/>
  <c r="CU143"/>
  <c r="CT143"/>
  <c r="CS143"/>
  <c r="CR143"/>
  <c r="CQ143"/>
  <c r="CP143"/>
  <c r="CO143"/>
  <c r="CN143"/>
  <c r="CM143"/>
  <c r="CL143"/>
  <c r="CK143"/>
  <c r="CJ143"/>
  <c r="CI143"/>
  <c r="CH143"/>
  <c r="CG143"/>
  <c r="CF143"/>
  <c r="CE143"/>
  <c r="CD143"/>
  <c r="CC143"/>
  <c r="CB143"/>
  <c r="CA143"/>
  <c r="BZ143"/>
  <c r="BY143"/>
  <c r="BX143"/>
  <c r="BW143"/>
  <c r="BV143"/>
  <c r="BU143"/>
  <c r="BT143"/>
  <c r="BS143"/>
  <c r="BR143"/>
  <c r="BQ143"/>
  <c r="BP143"/>
  <c r="BO143"/>
  <c r="BN143"/>
  <c r="E143"/>
  <c r="E351" s="1"/>
  <c r="D143"/>
  <c r="D351" s="1"/>
  <c r="C143"/>
  <c r="C351" s="1"/>
  <c r="B143"/>
  <c r="B351" s="1"/>
  <c r="A143"/>
  <c r="A351" s="1"/>
  <c r="DU142"/>
  <c r="DT142"/>
  <c r="DS142"/>
  <c r="DR142"/>
  <c r="DQ142"/>
  <c r="DP142"/>
  <c r="DO142"/>
  <c r="DN142"/>
  <c r="DM142"/>
  <c r="DL142"/>
  <c r="DK142"/>
  <c r="DJ142"/>
  <c r="DI142"/>
  <c r="DH142"/>
  <c r="DG142"/>
  <c r="DF142"/>
  <c r="DE142"/>
  <c r="DD142"/>
  <c r="DC142"/>
  <c r="DB142"/>
  <c r="DA142"/>
  <c r="CZ142"/>
  <c r="CY142"/>
  <c r="CX142"/>
  <c r="CW142"/>
  <c r="CV142"/>
  <c r="CU142"/>
  <c r="CT142"/>
  <c r="CS142"/>
  <c r="CR142"/>
  <c r="CQ142"/>
  <c r="CP142"/>
  <c r="CO142"/>
  <c r="CN142"/>
  <c r="CM142"/>
  <c r="CL142"/>
  <c r="CK142"/>
  <c r="CJ142"/>
  <c r="CI142"/>
  <c r="CH142"/>
  <c r="CG142"/>
  <c r="CF142"/>
  <c r="CE142"/>
  <c r="CD142"/>
  <c r="CC142"/>
  <c r="CB142"/>
  <c r="CA142"/>
  <c r="BZ142"/>
  <c r="BY142"/>
  <c r="BX142"/>
  <c r="BW142"/>
  <c r="BV142"/>
  <c r="BU142"/>
  <c r="BT142"/>
  <c r="BS142"/>
  <c r="BR142"/>
  <c r="BQ142"/>
  <c r="BP142"/>
  <c r="BO142"/>
  <c r="BN142"/>
  <c r="E142"/>
  <c r="E350" s="1"/>
  <c r="D142"/>
  <c r="D350" s="1"/>
  <c r="C142"/>
  <c r="C350" s="1"/>
  <c r="B142"/>
  <c r="B350" s="1"/>
  <c r="A142"/>
  <c r="DU141"/>
  <c r="DT141"/>
  <c r="DS141"/>
  <c r="DR141"/>
  <c r="DQ141"/>
  <c r="DP141"/>
  <c r="DO141"/>
  <c r="DN141"/>
  <c r="DM141"/>
  <c r="DL141"/>
  <c r="DK141"/>
  <c r="DJ141"/>
  <c r="DI141"/>
  <c r="DH141"/>
  <c r="DG141"/>
  <c r="DF141"/>
  <c r="DE141"/>
  <c r="DD141"/>
  <c r="DC141"/>
  <c r="DB141"/>
  <c r="DA141"/>
  <c r="CZ141"/>
  <c r="CY141"/>
  <c r="CX141"/>
  <c r="CW141"/>
  <c r="CV141"/>
  <c r="CU141"/>
  <c r="CT141"/>
  <c r="CS141"/>
  <c r="CR141"/>
  <c r="CQ141"/>
  <c r="CP141"/>
  <c r="CO141"/>
  <c r="CN141"/>
  <c r="CM141"/>
  <c r="CL141"/>
  <c r="CK141"/>
  <c r="CJ141"/>
  <c r="CI141"/>
  <c r="CH141"/>
  <c r="CG141"/>
  <c r="CF141"/>
  <c r="CE141"/>
  <c r="CD141"/>
  <c r="CC141"/>
  <c r="CB141"/>
  <c r="CA141"/>
  <c r="BZ141"/>
  <c r="BY141"/>
  <c r="BX141"/>
  <c r="BW141"/>
  <c r="BV141"/>
  <c r="BU141"/>
  <c r="BT141"/>
  <c r="BS141"/>
  <c r="BR141"/>
  <c r="BQ141"/>
  <c r="BP141"/>
  <c r="BO141"/>
  <c r="BN141"/>
  <c r="E141"/>
  <c r="E349" s="1"/>
  <c r="D141"/>
  <c r="D349" s="1"/>
  <c r="C141"/>
  <c r="C349" s="1"/>
  <c r="B141"/>
  <c r="B349" s="1"/>
  <c r="A141"/>
  <c r="A349" s="1"/>
  <c r="DU140"/>
  <c r="DT140"/>
  <c r="DS140"/>
  <c r="DR140"/>
  <c r="DQ140"/>
  <c r="DP140"/>
  <c r="DO140"/>
  <c r="DN140"/>
  <c r="DM140"/>
  <c r="DL140"/>
  <c r="DK140"/>
  <c r="DJ140"/>
  <c r="DI140"/>
  <c r="DH140"/>
  <c r="DG140"/>
  <c r="DF140"/>
  <c r="DE140"/>
  <c r="DD140"/>
  <c r="DC140"/>
  <c r="DB140"/>
  <c r="DA140"/>
  <c r="CZ140"/>
  <c r="CY140"/>
  <c r="CX140"/>
  <c r="CW140"/>
  <c r="CV140"/>
  <c r="CU140"/>
  <c r="CT140"/>
  <c r="CS140"/>
  <c r="CR140"/>
  <c r="CQ140"/>
  <c r="CP140"/>
  <c r="CO140"/>
  <c r="CN140"/>
  <c r="CM140"/>
  <c r="CL140"/>
  <c r="CK140"/>
  <c r="CJ140"/>
  <c r="CI140"/>
  <c r="CH140"/>
  <c r="CG140"/>
  <c r="CF140"/>
  <c r="CE140"/>
  <c r="CD140"/>
  <c r="CC140"/>
  <c r="CB140"/>
  <c r="CA140"/>
  <c r="BZ140"/>
  <c r="BY140"/>
  <c r="BX140"/>
  <c r="BW140"/>
  <c r="BV140"/>
  <c r="BU140"/>
  <c r="BT140"/>
  <c r="BS140"/>
  <c r="BR140"/>
  <c r="BQ140"/>
  <c r="BP140"/>
  <c r="BO140"/>
  <c r="BN140"/>
  <c r="E140"/>
  <c r="E348" s="1"/>
  <c r="D140"/>
  <c r="D348" s="1"/>
  <c r="C140"/>
  <c r="C348" s="1"/>
  <c r="B140"/>
  <c r="B348" s="1"/>
  <c r="A140"/>
  <c r="A348" s="1"/>
  <c r="DU139"/>
  <c r="DT139"/>
  <c r="DS139"/>
  <c r="DR139"/>
  <c r="DQ139"/>
  <c r="DP139"/>
  <c r="DO139"/>
  <c r="DN139"/>
  <c r="DM139"/>
  <c r="DL139"/>
  <c r="DK139"/>
  <c r="DJ139"/>
  <c r="DI139"/>
  <c r="DH139"/>
  <c r="DG139"/>
  <c r="DF139"/>
  <c r="DE139"/>
  <c r="DD139"/>
  <c r="DC139"/>
  <c r="DB139"/>
  <c r="DA139"/>
  <c r="CZ139"/>
  <c r="CY139"/>
  <c r="CX139"/>
  <c r="CW139"/>
  <c r="CV139"/>
  <c r="CU139"/>
  <c r="CT139"/>
  <c r="CS139"/>
  <c r="CR139"/>
  <c r="CQ139"/>
  <c r="CP139"/>
  <c r="CO139"/>
  <c r="CN139"/>
  <c r="CM139"/>
  <c r="CL139"/>
  <c r="CK139"/>
  <c r="CJ139"/>
  <c r="CI139"/>
  <c r="CH139"/>
  <c r="CG139"/>
  <c r="CF139"/>
  <c r="CE139"/>
  <c r="CD139"/>
  <c r="CC139"/>
  <c r="CB139"/>
  <c r="CA139"/>
  <c r="BZ139"/>
  <c r="BY139"/>
  <c r="BX139"/>
  <c r="BW139"/>
  <c r="BV139"/>
  <c r="BU139"/>
  <c r="BT139"/>
  <c r="BS139"/>
  <c r="BR139"/>
  <c r="BQ139"/>
  <c r="BP139"/>
  <c r="BO139"/>
  <c r="BN139"/>
  <c r="E139"/>
  <c r="B139"/>
  <c r="A139"/>
  <c r="DU138"/>
  <c r="DT138"/>
  <c r="DS138"/>
  <c r="DR138"/>
  <c r="DQ138"/>
  <c r="DP138"/>
  <c r="DO138"/>
  <c r="DN138"/>
  <c r="DM138"/>
  <c r="DL138"/>
  <c r="DK138"/>
  <c r="DJ138"/>
  <c r="DI138"/>
  <c r="DH138"/>
  <c r="DG138"/>
  <c r="DF138"/>
  <c r="DE138"/>
  <c r="DD138"/>
  <c r="DC138"/>
  <c r="DB138"/>
  <c r="DA138"/>
  <c r="CZ138"/>
  <c r="CY138"/>
  <c r="CX138"/>
  <c r="CW138"/>
  <c r="CV138"/>
  <c r="CU138"/>
  <c r="CT138"/>
  <c r="CS138"/>
  <c r="CR138"/>
  <c r="CQ138"/>
  <c r="CP138"/>
  <c r="CO138"/>
  <c r="CN138"/>
  <c r="CM138"/>
  <c r="CL138"/>
  <c r="CK138"/>
  <c r="CJ138"/>
  <c r="CI138"/>
  <c r="CH138"/>
  <c r="CG138"/>
  <c r="CF138"/>
  <c r="CE138"/>
  <c r="CD138"/>
  <c r="CC138"/>
  <c r="CB138"/>
  <c r="CA138"/>
  <c r="BZ138"/>
  <c r="BY138"/>
  <c r="BX138"/>
  <c r="BW138"/>
  <c r="BV138"/>
  <c r="BU138"/>
  <c r="BT138"/>
  <c r="BS138"/>
  <c r="BR138"/>
  <c r="BQ138"/>
  <c r="BP138"/>
  <c r="BO138"/>
  <c r="BN138"/>
  <c r="E138"/>
  <c r="E347" s="1"/>
  <c r="D138"/>
  <c r="D347" s="1"/>
  <c r="C138"/>
  <c r="C347" s="1"/>
  <c r="B138"/>
  <c r="B347" s="1"/>
  <c r="A138"/>
  <c r="A347" s="1"/>
  <c r="DU137"/>
  <c r="DT137"/>
  <c r="DS137"/>
  <c r="DR137"/>
  <c r="DQ137"/>
  <c r="DP137"/>
  <c r="DO137"/>
  <c r="DN137"/>
  <c r="DM137"/>
  <c r="DL137"/>
  <c r="DK137"/>
  <c r="DJ137"/>
  <c r="DI137"/>
  <c r="DH137"/>
  <c r="DG137"/>
  <c r="DF137"/>
  <c r="DE137"/>
  <c r="DD137"/>
  <c r="DC137"/>
  <c r="DB137"/>
  <c r="DA137"/>
  <c r="CZ137"/>
  <c r="CY137"/>
  <c r="CX137"/>
  <c r="CW137"/>
  <c r="CV137"/>
  <c r="CU137"/>
  <c r="CT137"/>
  <c r="CS137"/>
  <c r="CR137"/>
  <c r="CQ137"/>
  <c r="CP137"/>
  <c r="CO137"/>
  <c r="CN137"/>
  <c r="CM137"/>
  <c r="CL137"/>
  <c r="CK137"/>
  <c r="CJ137"/>
  <c r="CI137"/>
  <c r="CH137"/>
  <c r="CG137"/>
  <c r="CF137"/>
  <c r="CE137"/>
  <c r="CD137"/>
  <c r="CC137"/>
  <c r="CB137"/>
  <c r="CA137"/>
  <c r="BZ137"/>
  <c r="BY137"/>
  <c r="BX137"/>
  <c r="BW137"/>
  <c r="BV137"/>
  <c r="BU137"/>
  <c r="BT137"/>
  <c r="BS137"/>
  <c r="BR137"/>
  <c r="BQ137"/>
  <c r="BP137"/>
  <c r="BO137"/>
  <c r="BN137"/>
  <c r="E137"/>
  <c r="E346" s="1"/>
  <c r="D137"/>
  <c r="D346" s="1"/>
  <c r="C137"/>
  <c r="C346" s="1"/>
  <c r="B137"/>
  <c r="A137"/>
  <c r="A346" s="1"/>
  <c r="DU136"/>
  <c r="DT136"/>
  <c r="DS136"/>
  <c r="DR136"/>
  <c r="DQ136"/>
  <c r="DP136"/>
  <c r="DO136"/>
  <c r="DN136"/>
  <c r="DM136"/>
  <c r="DL136"/>
  <c r="DK136"/>
  <c r="DJ136"/>
  <c r="DI136"/>
  <c r="DH136"/>
  <c r="DG136"/>
  <c r="DF136"/>
  <c r="DE136"/>
  <c r="DD136"/>
  <c r="DC136"/>
  <c r="DB136"/>
  <c r="DA136"/>
  <c r="CZ136"/>
  <c r="CY136"/>
  <c r="CX136"/>
  <c r="CW136"/>
  <c r="CV136"/>
  <c r="CU136"/>
  <c r="CT136"/>
  <c r="CS136"/>
  <c r="CR136"/>
  <c r="CQ136"/>
  <c r="CP136"/>
  <c r="CO136"/>
  <c r="CN136"/>
  <c r="CM136"/>
  <c r="CL136"/>
  <c r="CK136"/>
  <c r="CJ136"/>
  <c r="CI136"/>
  <c r="CH136"/>
  <c r="CG136"/>
  <c r="CF136"/>
  <c r="CE136"/>
  <c r="CD136"/>
  <c r="CC136"/>
  <c r="CB136"/>
  <c r="CA136"/>
  <c r="BZ136"/>
  <c r="BY136"/>
  <c r="BX136"/>
  <c r="BW136"/>
  <c r="BV136"/>
  <c r="BU136"/>
  <c r="BT136"/>
  <c r="BS136"/>
  <c r="BR136"/>
  <c r="BQ136"/>
  <c r="BP136"/>
  <c r="BO136"/>
  <c r="BN136"/>
  <c r="E136"/>
  <c r="E345" s="1"/>
  <c r="D136"/>
  <c r="D345" s="1"/>
  <c r="C136"/>
  <c r="C345" s="1"/>
  <c r="B136"/>
  <c r="B345" s="1"/>
  <c r="A136"/>
  <c r="A345" s="1"/>
  <c r="DU135"/>
  <c r="DT135"/>
  <c r="DS135"/>
  <c r="DR135"/>
  <c r="DQ135"/>
  <c r="DP135"/>
  <c r="DO135"/>
  <c r="DN135"/>
  <c r="DM135"/>
  <c r="DL135"/>
  <c r="DK135"/>
  <c r="DJ135"/>
  <c r="DI135"/>
  <c r="DH135"/>
  <c r="DG135"/>
  <c r="DF135"/>
  <c r="DE135"/>
  <c r="DD135"/>
  <c r="DC135"/>
  <c r="DB135"/>
  <c r="DA135"/>
  <c r="CZ135"/>
  <c r="CY135"/>
  <c r="CX135"/>
  <c r="CW135"/>
  <c r="CV135"/>
  <c r="CU135"/>
  <c r="CT135"/>
  <c r="CS135"/>
  <c r="CR135"/>
  <c r="CQ135"/>
  <c r="CP135"/>
  <c r="CO135"/>
  <c r="CN135"/>
  <c r="CM135"/>
  <c r="CL135"/>
  <c r="CK135"/>
  <c r="CJ135"/>
  <c r="CI135"/>
  <c r="CH135"/>
  <c r="CG135"/>
  <c r="CF135"/>
  <c r="CE135"/>
  <c r="CD135"/>
  <c r="CC135"/>
  <c r="CB135"/>
  <c r="CA135"/>
  <c r="BZ135"/>
  <c r="BY135"/>
  <c r="BX135"/>
  <c r="BW135"/>
  <c r="BV135"/>
  <c r="BU135"/>
  <c r="BT135"/>
  <c r="BS135"/>
  <c r="BR135"/>
  <c r="BQ135"/>
  <c r="BP135"/>
  <c r="BO135"/>
  <c r="BN135"/>
  <c r="E135"/>
  <c r="E344" s="1"/>
  <c r="D135"/>
  <c r="D344" s="1"/>
  <c r="C135"/>
  <c r="C344" s="1"/>
  <c r="B135"/>
  <c r="B344" s="1"/>
  <c r="A135"/>
  <c r="A344" s="1"/>
  <c r="DU134"/>
  <c r="DT134"/>
  <c r="DS134"/>
  <c r="DR134"/>
  <c r="DQ134"/>
  <c r="DP134"/>
  <c r="DO134"/>
  <c r="DN134"/>
  <c r="DM134"/>
  <c r="DL134"/>
  <c r="DK134"/>
  <c r="DJ134"/>
  <c r="DI134"/>
  <c r="DH134"/>
  <c r="DG134"/>
  <c r="DF134"/>
  <c r="DE134"/>
  <c r="DD134"/>
  <c r="DC134"/>
  <c r="DB134"/>
  <c r="DA134"/>
  <c r="CZ134"/>
  <c r="CY134"/>
  <c r="CX134"/>
  <c r="CW134"/>
  <c r="CV134"/>
  <c r="CU134"/>
  <c r="CT134"/>
  <c r="CS134"/>
  <c r="CR134"/>
  <c r="CQ134"/>
  <c r="CP134"/>
  <c r="CO134"/>
  <c r="CN134"/>
  <c r="CM134"/>
  <c r="CL134"/>
  <c r="CK134"/>
  <c r="CJ134"/>
  <c r="CI134"/>
  <c r="CH134"/>
  <c r="CG134"/>
  <c r="CF134"/>
  <c r="CE134"/>
  <c r="CD134"/>
  <c r="CC134"/>
  <c r="CB134"/>
  <c r="CA134"/>
  <c r="BZ134"/>
  <c r="BY134"/>
  <c r="BX134"/>
  <c r="BW134"/>
  <c r="BV134"/>
  <c r="BU134"/>
  <c r="BT134"/>
  <c r="BS134"/>
  <c r="BR134"/>
  <c r="BQ134"/>
  <c r="BP134"/>
  <c r="BO134"/>
  <c r="BN134"/>
  <c r="E134"/>
  <c r="E343" s="1"/>
  <c r="D134"/>
  <c r="D343" s="1"/>
  <c r="C134"/>
  <c r="C343" s="1"/>
  <c r="B134"/>
  <c r="B343" s="1"/>
  <c r="A134"/>
  <c r="A343" s="1"/>
  <c r="DU133"/>
  <c r="DT133"/>
  <c r="DS133"/>
  <c r="DR133"/>
  <c r="DQ133"/>
  <c r="DP133"/>
  <c r="DO133"/>
  <c r="DN133"/>
  <c r="DM133"/>
  <c r="DL133"/>
  <c r="DK133"/>
  <c r="DJ133"/>
  <c r="DI133"/>
  <c r="DH133"/>
  <c r="DG133"/>
  <c r="DF133"/>
  <c r="DE133"/>
  <c r="DD133"/>
  <c r="DC133"/>
  <c r="DB133"/>
  <c r="DA133"/>
  <c r="CZ133"/>
  <c r="CY133"/>
  <c r="CX133"/>
  <c r="CW133"/>
  <c r="CV133"/>
  <c r="CU133"/>
  <c r="CT133"/>
  <c r="CS133"/>
  <c r="CR133"/>
  <c r="CQ133"/>
  <c r="CP133"/>
  <c r="CO133"/>
  <c r="CN133"/>
  <c r="CM133"/>
  <c r="CL133"/>
  <c r="CK133"/>
  <c r="CJ133"/>
  <c r="CI133"/>
  <c r="CH133"/>
  <c r="CG133"/>
  <c r="CF133"/>
  <c r="CE133"/>
  <c r="CD133"/>
  <c r="CC133"/>
  <c r="CB133"/>
  <c r="CA133"/>
  <c r="BZ133"/>
  <c r="BY133"/>
  <c r="BX133"/>
  <c r="BW133"/>
  <c r="BV133"/>
  <c r="BU133"/>
  <c r="BT133"/>
  <c r="BS133"/>
  <c r="BR133"/>
  <c r="BQ133"/>
  <c r="BP133"/>
  <c r="BO133"/>
  <c r="BN133"/>
  <c r="E133"/>
  <c r="E342" s="1"/>
  <c r="D133"/>
  <c r="D342" s="1"/>
  <c r="C133"/>
  <c r="C342" s="1"/>
  <c r="B133"/>
  <c r="B342" s="1"/>
  <c r="A133"/>
  <c r="A342" s="1"/>
  <c r="DU132"/>
  <c r="DT132"/>
  <c r="DS132"/>
  <c r="DR132"/>
  <c r="DQ132"/>
  <c r="DP132"/>
  <c r="DO132"/>
  <c r="DN132"/>
  <c r="DM132"/>
  <c r="DL132"/>
  <c r="DK132"/>
  <c r="DJ132"/>
  <c r="DI132"/>
  <c r="DH132"/>
  <c r="DG132"/>
  <c r="DF132"/>
  <c r="DE132"/>
  <c r="DD132"/>
  <c r="DC132"/>
  <c r="DB132"/>
  <c r="DA132"/>
  <c r="CZ132"/>
  <c r="CY132"/>
  <c r="CX132"/>
  <c r="CW132"/>
  <c r="CV132"/>
  <c r="CU132"/>
  <c r="CT132"/>
  <c r="CS132"/>
  <c r="CR132"/>
  <c r="CQ132"/>
  <c r="CP132"/>
  <c r="CO132"/>
  <c r="CN132"/>
  <c r="CM132"/>
  <c r="CL132"/>
  <c r="CK132"/>
  <c r="CJ132"/>
  <c r="CI132"/>
  <c r="CH132"/>
  <c r="CG132"/>
  <c r="CF132"/>
  <c r="CE132"/>
  <c r="CD132"/>
  <c r="CC132"/>
  <c r="CB132"/>
  <c r="CA132"/>
  <c r="BZ132"/>
  <c r="BY132"/>
  <c r="BX132"/>
  <c r="BW132"/>
  <c r="BV132"/>
  <c r="BU132"/>
  <c r="BT132"/>
  <c r="BS132"/>
  <c r="BR132"/>
  <c r="BQ132"/>
  <c r="BP132"/>
  <c r="BO132"/>
  <c r="BN132"/>
  <c r="E132"/>
  <c r="E341" s="1"/>
  <c r="D132"/>
  <c r="D341" s="1"/>
  <c r="C132"/>
  <c r="C341" s="1"/>
  <c r="B132"/>
  <c r="B341" s="1"/>
  <c r="A132"/>
  <c r="A341" s="1"/>
  <c r="DU131"/>
  <c r="DT131"/>
  <c r="DS131"/>
  <c r="DR131"/>
  <c r="DQ131"/>
  <c r="DP131"/>
  <c r="DO131"/>
  <c r="DN131"/>
  <c r="DM131"/>
  <c r="DL131"/>
  <c r="DK131"/>
  <c r="DJ131"/>
  <c r="DI131"/>
  <c r="DH131"/>
  <c r="DG131"/>
  <c r="DF131"/>
  <c r="DE131"/>
  <c r="DD131"/>
  <c r="DC131"/>
  <c r="DB131"/>
  <c r="DA131"/>
  <c r="CZ131"/>
  <c r="CY131"/>
  <c r="CX131"/>
  <c r="CW131"/>
  <c r="CV131"/>
  <c r="CU131"/>
  <c r="CT131"/>
  <c r="CS131"/>
  <c r="CR131"/>
  <c r="CQ131"/>
  <c r="CP131"/>
  <c r="CO131"/>
  <c r="CN131"/>
  <c r="CM131"/>
  <c r="CL131"/>
  <c r="CK131"/>
  <c r="CJ131"/>
  <c r="CI131"/>
  <c r="CH131"/>
  <c r="CG131"/>
  <c r="CF131"/>
  <c r="CE131"/>
  <c r="CD131"/>
  <c r="CC131"/>
  <c r="CB131"/>
  <c r="CA131"/>
  <c r="BZ131"/>
  <c r="BY131"/>
  <c r="BX131"/>
  <c r="BW131"/>
  <c r="BV131"/>
  <c r="BU131"/>
  <c r="BT131"/>
  <c r="BS131"/>
  <c r="BR131"/>
  <c r="BQ131"/>
  <c r="BP131"/>
  <c r="BO131"/>
  <c r="BN131"/>
  <c r="E131"/>
  <c r="E340" s="1"/>
  <c r="D131"/>
  <c r="C131"/>
  <c r="C340" s="1"/>
  <c r="B131"/>
  <c r="B340" s="1"/>
  <c r="A131"/>
  <c r="A340" s="1"/>
  <c r="DU130"/>
  <c r="DT130"/>
  <c r="DS130"/>
  <c r="DR130"/>
  <c r="DQ130"/>
  <c r="DP130"/>
  <c r="DO130"/>
  <c r="DN130"/>
  <c r="DM130"/>
  <c r="DL130"/>
  <c r="DK130"/>
  <c r="DJ130"/>
  <c r="DI130"/>
  <c r="DH130"/>
  <c r="DG130"/>
  <c r="DF130"/>
  <c r="DE130"/>
  <c r="DD130"/>
  <c r="DC130"/>
  <c r="DB130"/>
  <c r="DA130"/>
  <c r="CZ130"/>
  <c r="CY130"/>
  <c r="CX130"/>
  <c r="CW130"/>
  <c r="CV130"/>
  <c r="CU130"/>
  <c r="CT130"/>
  <c r="CS130"/>
  <c r="CR130"/>
  <c r="CQ130"/>
  <c r="CP130"/>
  <c r="CO130"/>
  <c r="CN130"/>
  <c r="CM130"/>
  <c r="CL130"/>
  <c r="CK130"/>
  <c r="CJ130"/>
  <c r="CI130"/>
  <c r="CH130"/>
  <c r="CG130"/>
  <c r="CF130"/>
  <c r="CE130"/>
  <c r="CD130"/>
  <c r="CC130"/>
  <c r="CB130"/>
  <c r="CA130"/>
  <c r="BZ130"/>
  <c r="BY130"/>
  <c r="BX130"/>
  <c r="BW130"/>
  <c r="BV130"/>
  <c r="BU130"/>
  <c r="BT130"/>
  <c r="BS130"/>
  <c r="BR130"/>
  <c r="BQ130"/>
  <c r="BP130"/>
  <c r="BO130"/>
  <c r="BN130"/>
  <c r="E130"/>
  <c r="B130"/>
  <c r="A130"/>
  <c r="DU129"/>
  <c r="DT129"/>
  <c r="DS129"/>
  <c r="DR129"/>
  <c r="DQ129"/>
  <c r="DP129"/>
  <c r="DO129"/>
  <c r="DN129"/>
  <c r="DM129"/>
  <c r="DL129"/>
  <c r="DK129"/>
  <c r="DJ129"/>
  <c r="DI129"/>
  <c r="DH129"/>
  <c r="DG129"/>
  <c r="DF129"/>
  <c r="DE129"/>
  <c r="DD129"/>
  <c r="DC129"/>
  <c r="DB129"/>
  <c r="DA129"/>
  <c r="CZ129"/>
  <c r="CY129"/>
  <c r="CX129"/>
  <c r="CW129"/>
  <c r="CV129"/>
  <c r="CU129"/>
  <c r="CT129"/>
  <c r="CS129"/>
  <c r="CR129"/>
  <c r="CQ129"/>
  <c r="CP129"/>
  <c r="CO129"/>
  <c r="CN129"/>
  <c r="CM129"/>
  <c r="CL129"/>
  <c r="CK129"/>
  <c r="CJ129"/>
  <c r="CI129"/>
  <c r="CH129"/>
  <c r="CG129"/>
  <c r="CF129"/>
  <c r="CE129"/>
  <c r="CD129"/>
  <c r="CC129"/>
  <c r="CB129"/>
  <c r="CA129"/>
  <c r="BZ129"/>
  <c r="BY129"/>
  <c r="BX129"/>
  <c r="BW129"/>
  <c r="BV129"/>
  <c r="BU129"/>
  <c r="BT129"/>
  <c r="BS129"/>
  <c r="BR129"/>
  <c r="BQ129"/>
  <c r="BP129"/>
  <c r="BO129"/>
  <c r="BN129"/>
  <c r="E129"/>
  <c r="E339" s="1"/>
  <c r="D129"/>
  <c r="D339" s="1"/>
  <c r="C129"/>
  <c r="C339" s="1"/>
  <c r="B129"/>
  <c r="B339" s="1"/>
  <c r="A129"/>
  <c r="A339" s="1"/>
  <c r="DU128"/>
  <c r="DT128"/>
  <c r="DS128"/>
  <c r="DR128"/>
  <c r="DQ128"/>
  <c r="DP128"/>
  <c r="DO128"/>
  <c r="DN128"/>
  <c r="DM128"/>
  <c r="DL128"/>
  <c r="DK128"/>
  <c r="DJ128"/>
  <c r="DI128"/>
  <c r="DH128"/>
  <c r="DG128"/>
  <c r="DF128"/>
  <c r="DE128"/>
  <c r="DD128"/>
  <c r="DC128"/>
  <c r="DB128"/>
  <c r="DA128"/>
  <c r="CZ128"/>
  <c r="CY128"/>
  <c r="CX128"/>
  <c r="CW128"/>
  <c r="CV128"/>
  <c r="CU128"/>
  <c r="CT128"/>
  <c r="CS128"/>
  <c r="CR128"/>
  <c r="CQ128"/>
  <c r="CP128"/>
  <c r="CO128"/>
  <c r="CN128"/>
  <c r="CM128"/>
  <c r="CL128"/>
  <c r="CK128"/>
  <c r="CJ128"/>
  <c r="CI128"/>
  <c r="CH128"/>
  <c r="CG128"/>
  <c r="CF128"/>
  <c r="CE128"/>
  <c r="CD128"/>
  <c r="CC128"/>
  <c r="CB128"/>
  <c r="CA128"/>
  <c r="BZ128"/>
  <c r="BY128"/>
  <c r="BX128"/>
  <c r="BW128"/>
  <c r="BV128"/>
  <c r="BU128"/>
  <c r="BT128"/>
  <c r="BS128"/>
  <c r="BR128"/>
  <c r="BQ128"/>
  <c r="BP128"/>
  <c r="BO128"/>
  <c r="BN128"/>
  <c r="E128"/>
  <c r="E338" s="1"/>
  <c r="D128"/>
  <c r="D338" s="1"/>
  <c r="C128"/>
  <c r="C338" s="1"/>
  <c r="B128"/>
  <c r="B338" s="1"/>
  <c r="A128"/>
  <c r="A338" s="1"/>
  <c r="DU127"/>
  <c r="DT127"/>
  <c r="DS127"/>
  <c r="DR127"/>
  <c r="DQ127"/>
  <c r="DP127"/>
  <c r="DO127"/>
  <c r="DN127"/>
  <c r="DM127"/>
  <c r="DL127"/>
  <c r="DK127"/>
  <c r="DJ127"/>
  <c r="DI127"/>
  <c r="DH127"/>
  <c r="DG127"/>
  <c r="DF127"/>
  <c r="DE127"/>
  <c r="DD127"/>
  <c r="DC127"/>
  <c r="DB127"/>
  <c r="DA127"/>
  <c r="CZ127"/>
  <c r="CY127"/>
  <c r="CX127"/>
  <c r="CW127"/>
  <c r="CV127"/>
  <c r="CU127"/>
  <c r="CT127"/>
  <c r="CS127"/>
  <c r="CR127"/>
  <c r="CQ127"/>
  <c r="CP127"/>
  <c r="CO127"/>
  <c r="CN127"/>
  <c r="CM127"/>
  <c r="CL127"/>
  <c r="CK127"/>
  <c r="CJ127"/>
  <c r="CI127"/>
  <c r="CH127"/>
  <c r="CG127"/>
  <c r="CF127"/>
  <c r="CE127"/>
  <c r="CD127"/>
  <c r="CC127"/>
  <c r="CB127"/>
  <c r="CA127"/>
  <c r="BZ127"/>
  <c r="BY127"/>
  <c r="BX127"/>
  <c r="BW127"/>
  <c r="BV127"/>
  <c r="BU127"/>
  <c r="BT127"/>
  <c r="BS127"/>
  <c r="BR127"/>
  <c r="BQ127"/>
  <c r="BP127"/>
  <c r="BO127"/>
  <c r="BN127"/>
  <c r="E127"/>
  <c r="E337" s="1"/>
  <c r="D127"/>
  <c r="D337" s="1"/>
  <c r="C127"/>
  <c r="B127"/>
  <c r="B337" s="1"/>
  <c r="A127"/>
  <c r="A337" s="1"/>
  <c r="DU126"/>
  <c r="DT126"/>
  <c r="DS126"/>
  <c r="DR126"/>
  <c r="DQ126"/>
  <c r="DP126"/>
  <c r="DO126"/>
  <c r="DN126"/>
  <c r="DM126"/>
  <c r="DL126"/>
  <c r="DK126"/>
  <c r="DJ126"/>
  <c r="DI126"/>
  <c r="DH126"/>
  <c r="DG126"/>
  <c r="DF126"/>
  <c r="DE126"/>
  <c r="DD126"/>
  <c r="DC126"/>
  <c r="DB126"/>
  <c r="DA126"/>
  <c r="CZ126"/>
  <c r="CY126"/>
  <c r="CX126"/>
  <c r="CW126"/>
  <c r="CV126"/>
  <c r="CU126"/>
  <c r="CT126"/>
  <c r="CS126"/>
  <c r="CR126"/>
  <c r="CQ126"/>
  <c r="CP126"/>
  <c r="CO126"/>
  <c r="CN126"/>
  <c r="CM126"/>
  <c r="CL126"/>
  <c r="CK126"/>
  <c r="CJ126"/>
  <c r="CI126"/>
  <c r="CH126"/>
  <c r="CG126"/>
  <c r="CF126"/>
  <c r="CE126"/>
  <c r="CD126"/>
  <c r="CC126"/>
  <c r="CB126"/>
  <c r="CA126"/>
  <c r="BZ126"/>
  <c r="BY126"/>
  <c r="BX126"/>
  <c r="BW126"/>
  <c r="BV126"/>
  <c r="BU126"/>
  <c r="BT126"/>
  <c r="BS126"/>
  <c r="BR126"/>
  <c r="BQ126"/>
  <c r="BP126"/>
  <c r="BO126"/>
  <c r="BN126"/>
  <c r="E126"/>
  <c r="E336" s="1"/>
  <c r="D126"/>
  <c r="D336" s="1"/>
  <c r="C126"/>
  <c r="C336" s="1"/>
  <c r="B126"/>
  <c r="B336" s="1"/>
  <c r="A126"/>
  <c r="A336" s="1"/>
  <c r="DU125"/>
  <c r="DT125"/>
  <c r="DS125"/>
  <c r="DR125"/>
  <c r="DQ125"/>
  <c r="DP125"/>
  <c r="DO125"/>
  <c r="DN125"/>
  <c r="DM125"/>
  <c r="DL125"/>
  <c r="DK125"/>
  <c r="DJ125"/>
  <c r="DI125"/>
  <c r="DH125"/>
  <c r="DG125"/>
  <c r="DF125"/>
  <c r="DE125"/>
  <c r="DD125"/>
  <c r="DC125"/>
  <c r="DB125"/>
  <c r="DA125"/>
  <c r="CZ125"/>
  <c r="CY125"/>
  <c r="CX125"/>
  <c r="CW125"/>
  <c r="CV125"/>
  <c r="CU125"/>
  <c r="CT125"/>
  <c r="CS125"/>
  <c r="CR125"/>
  <c r="CQ125"/>
  <c r="CP125"/>
  <c r="CO125"/>
  <c r="CN125"/>
  <c r="CM125"/>
  <c r="CL125"/>
  <c r="CK125"/>
  <c r="CJ125"/>
  <c r="CI125"/>
  <c r="CH125"/>
  <c r="CG125"/>
  <c r="CF125"/>
  <c r="CE125"/>
  <c r="CD125"/>
  <c r="CC125"/>
  <c r="CB125"/>
  <c r="CA125"/>
  <c r="BZ125"/>
  <c r="BY125"/>
  <c r="BX125"/>
  <c r="BW125"/>
  <c r="BV125"/>
  <c r="BU125"/>
  <c r="BT125"/>
  <c r="BS125"/>
  <c r="BR125"/>
  <c r="BQ125"/>
  <c r="BP125"/>
  <c r="BO125"/>
  <c r="BN125"/>
  <c r="E125"/>
  <c r="E335" s="1"/>
  <c r="D125"/>
  <c r="D335" s="1"/>
  <c r="C125"/>
  <c r="C335" s="1"/>
  <c r="B125"/>
  <c r="B335" s="1"/>
  <c r="A125"/>
  <c r="A335" s="1"/>
  <c r="DU124"/>
  <c r="DT124"/>
  <c r="DS124"/>
  <c r="DR124"/>
  <c r="DQ124"/>
  <c r="DP124"/>
  <c r="DO124"/>
  <c r="DN124"/>
  <c r="DM124"/>
  <c r="DL124"/>
  <c r="DK124"/>
  <c r="DJ124"/>
  <c r="DI124"/>
  <c r="DH124"/>
  <c r="DG124"/>
  <c r="DF124"/>
  <c r="DE124"/>
  <c r="DD124"/>
  <c r="DC124"/>
  <c r="DB124"/>
  <c r="DA124"/>
  <c r="CZ124"/>
  <c r="CY124"/>
  <c r="CX124"/>
  <c r="CW124"/>
  <c r="CV124"/>
  <c r="CU124"/>
  <c r="CT124"/>
  <c r="CS124"/>
  <c r="CR124"/>
  <c r="CQ124"/>
  <c r="CP124"/>
  <c r="CO124"/>
  <c r="CN124"/>
  <c r="CM124"/>
  <c r="CL124"/>
  <c r="CK124"/>
  <c r="CJ124"/>
  <c r="CI124"/>
  <c r="CH124"/>
  <c r="CG124"/>
  <c r="CF124"/>
  <c r="CE124"/>
  <c r="CD124"/>
  <c r="CC124"/>
  <c r="CB124"/>
  <c r="CA124"/>
  <c r="BZ124"/>
  <c r="BY124"/>
  <c r="BX124"/>
  <c r="BW124"/>
  <c r="BV124"/>
  <c r="BU124"/>
  <c r="BT124"/>
  <c r="BS124"/>
  <c r="BR124"/>
  <c r="BQ124"/>
  <c r="BP124"/>
  <c r="BO124"/>
  <c r="BN124"/>
  <c r="E124"/>
  <c r="E334" s="1"/>
  <c r="D124"/>
  <c r="D334" s="1"/>
  <c r="C124"/>
  <c r="C334" s="1"/>
  <c r="B124"/>
  <c r="B334" s="1"/>
  <c r="A124"/>
  <c r="A334" s="1"/>
  <c r="DU123"/>
  <c r="DT123"/>
  <c r="DS123"/>
  <c r="DR123"/>
  <c r="DQ123"/>
  <c r="DP123"/>
  <c r="DO123"/>
  <c r="DN123"/>
  <c r="DM123"/>
  <c r="DL123"/>
  <c r="DK123"/>
  <c r="DJ123"/>
  <c r="DI123"/>
  <c r="DH123"/>
  <c r="DG123"/>
  <c r="DF123"/>
  <c r="DE123"/>
  <c r="DD123"/>
  <c r="DC123"/>
  <c r="DB123"/>
  <c r="DA123"/>
  <c r="CZ123"/>
  <c r="CY123"/>
  <c r="CX123"/>
  <c r="CW123"/>
  <c r="CV123"/>
  <c r="CU123"/>
  <c r="CT123"/>
  <c r="CS123"/>
  <c r="CR123"/>
  <c r="CQ123"/>
  <c r="CP123"/>
  <c r="CO123"/>
  <c r="CN123"/>
  <c r="CM123"/>
  <c r="CL123"/>
  <c r="CK123"/>
  <c r="CJ123"/>
  <c r="CI123"/>
  <c r="CH123"/>
  <c r="CG123"/>
  <c r="CF123"/>
  <c r="CE123"/>
  <c r="CD123"/>
  <c r="CC123"/>
  <c r="CB123"/>
  <c r="CA123"/>
  <c r="BZ123"/>
  <c r="BY123"/>
  <c r="BX123"/>
  <c r="BW123"/>
  <c r="BV123"/>
  <c r="BU123"/>
  <c r="BT123"/>
  <c r="BS123"/>
  <c r="BR123"/>
  <c r="BQ123"/>
  <c r="BP123"/>
  <c r="BO123"/>
  <c r="BN123"/>
  <c r="E123"/>
  <c r="E333" s="1"/>
  <c r="D123"/>
  <c r="D333" s="1"/>
  <c r="C123"/>
  <c r="C333" s="1"/>
  <c r="B123"/>
  <c r="B333" s="1"/>
  <c r="A123"/>
  <c r="A333" s="1"/>
  <c r="DU122"/>
  <c r="DT122"/>
  <c r="DS122"/>
  <c r="DR122"/>
  <c r="DQ122"/>
  <c r="DP122"/>
  <c r="DO122"/>
  <c r="DN122"/>
  <c r="DM122"/>
  <c r="DL122"/>
  <c r="DK122"/>
  <c r="DJ122"/>
  <c r="DI122"/>
  <c r="DH122"/>
  <c r="DG122"/>
  <c r="DF122"/>
  <c r="DE122"/>
  <c r="DD122"/>
  <c r="DC122"/>
  <c r="DB122"/>
  <c r="DA122"/>
  <c r="CZ122"/>
  <c r="CY122"/>
  <c r="CX122"/>
  <c r="CW122"/>
  <c r="CV122"/>
  <c r="CU122"/>
  <c r="CT122"/>
  <c r="CS122"/>
  <c r="CR122"/>
  <c r="CQ122"/>
  <c r="CP122"/>
  <c r="CO122"/>
  <c r="CN122"/>
  <c r="CM122"/>
  <c r="CL122"/>
  <c r="CK122"/>
  <c r="CJ122"/>
  <c r="CI122"/>
  <c r="CH122"/>
  <c r="CG122"/>
  <c r="CF122"/>
  <c r="CE122"/>
  <c r="CD122"/>
  <c r="CC122"/>
  <c r="CB122"/>
  <c r="CA122"/>
  <c r="BZ122"/>
  <c r="BY122"/>
  <c r="BX122"/>
  <c r="BW122"/>
  <c r="BV122"/>
  <c r="BU122"/>
  <c r="BT122"/>
  <c r="BS122"/>
  <c r="BR122"/>
  <c r="BQ122"/>
  <c r="BP122"/>
  <c r="BO122"/>
  <c r="BN122"/>
  <c r="E122"/>
  <c r="E332" s="1"/>
  <c r="D122"/>
  <c r="D332" s="1"/>
  <c r="C122"/>
  <c r="C332" s="1"/>
  <c r="B122"/>
  <c r="B332" s="1"/>
  <c r="A122"/>
  <c r="A332" s="1"/>
  <c r="DU121"/>
  <c r="DT121"/>
  <c r="DS121"/>
  <c r="DR121"/>
  <c r="DQ121"/>
  <c r="DP121"/>
  <c r="DO121"/>
  <c r="DN121"/>
  <c r="DM121"/>
  <c r="DL121"/>
  <c r="DK121"/>
  <c r="DJ121"/>
  <c r="DI121"/>
  <c r="DH121"/>
  <c r="DG121"/>
  <c r="DF121"/>
  <c r="DE121"/>
  <c r="DD121"/>
  <c r="DC121"/>
  <c r="DB121"/>
  <c r="DA121"/>
  <c r="CZ121"/>
  <c r="CY121"/>
  <c r="CX121"/>
  <c r="CW121"/>
  <c r="CV121"/>
  <c r="CU121"/>
  <c r="CT121"/>
  <c r="CS121"/>
  <c r="CR121"/>
  <c r="CQ121"/>
  <c r="CP121"/>
  <c r="CO121"/>
  <c r="CN121"/>
  <c r="CM121"/>
  <c r="CL121"/>
  <c r="CK121"/>
  <c r="CJ121"/>
  <c r="CI121"/>
  <c r="CH121"/>
  <c r="CG121"/>
  <c r="CF121"/>
  <c r="CE121"/>
  <c r="CD121"/>
  <c r="CC121"/>
  <c r="CB121"/>
  <c r="CA121"/>
  <c r="BZ121"/>
  <c r="BY121"/>
  <c r="BX121"/>
  <c r="BW121"/>
  <c r="BV121"/>
  <c r="BU121"/>
  <c r="BT121"/>
  <c r="BS121"/>
  <c r="BR121"/>
  <c r="BQ121"/>
  <c r="BP121"/>
  <c r="BO121"/>
  <c r="BN121"/>
  <c r="E121"/>
  <c r="B121"/>
  <c r="A121"/>
  <c r="DU120"/>
  <c r="DT120"/>
  <c r="DS120"/>
  <c r="DR120"/>
  <c r="DQ120"/>
  <c r="DP120"/>
  <c r="DO120"/>
  <c r="DN120"/>
  <c r="DM120"/>
  <c r="DL120"/>
  <c r="DK120"/>
  <c r="DJ120"/>
  <c r="DI120"/>
  <c r="DH120"/>
  <c r="DG120"/>
  <c r="DF120"/>
  <c r="DE120"/>
  <c r="DD120"/>
  <c r="DC120"/>
  <c r="DB120"/>
  <c r="DA120"/>
  <c r="CZ120"/>
  <c r="CY120"/>
  <c r="CX120"/>
  <c r="CW120"/>
  <c r="CV120"/>
  <c r="CU120"/>
  <c r="CT120"/>
  <c r="CS120"/>
  <c r="CR120"/>
  <c r="CQ120"/>
  <c r="CP120"/>
  <c r="CO120"/>
  <c r="CN120"/>
  <c r="CM120"/>
  <c r="CL120"/>
  <c r="CK120"/>
  <c r="CJ120"/>
  <c r="CI120"/>
  <c r="CH120"/>
  <c r="CG120"/>
  <c r="CF120"/>
  <c r="CE120"/>
  <c r="CD120"/>
  <c r="CC120"/>
  <c r="CB120"/>
  <c r="CA120"/>
  <c r="BZ120"/>
  <c r="BY120"/>
  <c r="BX120"/>
  <c r="BW120"/>
  <c r="BV120"/>
  <c r="BU120"/>
  <c r="BT120"/>
  <c r="BS120"/>
  <c r="BR120"/>
  <c r="BQ120"/>
  <c r="BP120"/>
  <c r="BO120"/>
  <c r="BN120"/>
  <c r="E120"/>
  <c r="E331" s="1"/>
  <c r="D120"/>
  <c r="D331" s="1"/>
  <c r="C120"/>
  <c r="C331" s="1"/>
  <c r="B120"/>
  <c r="B331" s="1"/>
  <c r="A120"/>
  <c r="A331" s="1"/>
  <c r="DU119"/>
  <c r="DT119"/>
  <c r="DS119"/>
  <c r="DR119"/>
  <c r="DQ119"/>
  <c r="DP119"/>
  <c r="DO119"/>
  <c r="DN119"/>
  <c r="DM119"/>
  <c r="DL119"/>
  <c r="DK119"/>
  <c r="DJ119"/>
  <c r="DI119"/>
  <c r="DH119"/>
  <c r="DG119"/>
  <c r="DF119"/>
  <c r="DE119"/>
  <c r="DD119"/>
  <c r="DC119"/>
  <c r="DB119"/>
  <c r="DA119"/>
  <c r="CZ119"/>
  <c r="CY119"/>
  <c r="CX119"/>
  <c r="CW119"/>
  <c r="CV119"/>
  <c r="CU119"/>
  <c r="CT119"/>
  <c r="CS119"/>
  <c r="CR119"/>
  <c r="CQ119"/>
  <c r="CP119"/>
  <c r="CO119"/>
  <c r="CN119"/>
  <c r="CM119"/>
  <c r="CL119"/>
  <c r="CK119"/>
  <c r="CJ119"/>
  <c r="CI119"/>
  <c r="CH119"/>
  <c r="CG119"/>
  <c r="CF119"/>
  <c r="CE119"/>
  <c r="CD119"/>
  <c r="CC119"/>
  <c r="CB119"/>
  <c r="CA119"/>
  <c r="BZ119"/>
  <c r="BY119"/>
  <c r="BX119"/>
  <c r="BW119"/>
  <c r="BV119"/>
  <c r="BU119"/>
  <c r="BT119"/>
  <c r="BS119"/>
  <c r="BR119"/>
  <c r="BQ119"/>
  <c r="BP119"/>
  <c r="BO119"/>
  <c r="BN119"/>
  <c r="E119"/>
  <c r="E330" s="1"/>
  <c r="D119"/>
  <c r="C119"/>
  <c r="C330" s="1"/>
  <c r="B119"/>
  <c r="B330" s="1"/>
  <c r="A119"/>
  <c r="A330" s="1"/>
  <c r="DU118"/>
  <c r="DT118"/>
  <c r="DS118"/>
  <c r="DR118"/>
  <c r="DQ118"/>
  <c r="DP118"/>
  <c r="DO118"/>
  <c r="DN118"/>
  <c r="DM118"/>
  <c r="DL118"/>
  <c r="DK118"/>
  <c r="DJ118"/>
  <c r="DI118"/>
  <c r="DH118"/>
  <c r="DG118"/>
  <c r="DF118"/>
  <c r="DE118"/>
  <c r="DD118"/>
  <c r="DC118"/>
  <c r="DB118"/>
  <c r="DA118"/>
  <c r="CZ118"/>
  <c r="CY118"/>
  <c r="CX118"/>
  <c r="CW118"/>
  <c r="CV118"/>
  <c r="CU118"/>
  <c r="CT118"/>
  <c r="CS118"/>
  <c r="CR118"/>
  <c r="CQ118"/>
  <c r="CP118"/>
  <c r="CO118"/>
  <c r="CN118"/>
  <c r="CM118"/>
  <c r="CL118"/>
  <c r="CK118"/>
  <c r="CJ118"/>
  <c r="CI118"/>
  <c r="CH118"/>
  <c r="CG118"/>
  <c r="CF118"/>
  <c r="CE118"/>
  <c r="CD118"/>
  <c r="CC118"/>
  <c r="CB118"/>
  <c r="CA118"/>
  <c r="BZ118"/>
  <c r="BY118"/>
  <c r="BX118"/>
  <c r="BW118"/>
  <c r="BV118"/>
  <c r="BU118"/>
  <c r="BT118"/>
  <c r="BS118"/>
  <c r="BR118"/>
  <c r="BQ118"/>
  <c r="BP118"/>
  <c r="BO118"/>
  <c r="BN118"/>
  <c r="E118"/>
  <c r="E329" s="1"/>
  <c r="D118"/>
  <c r="D329" s="1"/>
  <c r="C118"/>
  <c r="C329" s="1"/>
  <c r="B118"/>
  <c r="B329" s="1"/>
  <c r="A118"/>
  <c r="A329" s="1"/>
  <c r="DU117"/>
  <c r="DT117"/>
  <c r="DS117"/>
  <c r="DR117"/>
  <c r="DQ117"/>
  <c r="DP117"/>
  <c r="DO117"/>
  <c r="DN117"/>
  <c r="DM117"/>
  <c r="DL117"/>
  <c r="DK117"/>
  <c r="DJ117"/>
  <c r="DI117"/>
  <c r="DH117"/>
  <c r="DG117"/>
  <c r="DF117"/>
  <c r="DE117"/>
  <c r="DD117"/>
  <c r="DC117"/>
  <c r="DB117"/>
  <c r="DA117"/>
  <c r="CZ117"/>
  <c r="CY117"/>
  <c r="CX117"/>
  <c r="CW117"/>
  <c r="CV117"/>
  <c r="CU117"/>
  <c r="CT117"/>
  <c r="CS117"/>
  <c r="CR117"/>
  <c r="CQ117"/>
  <c r="CP117"/>
  <c r="CO117"/>
  <c r="CN117"/>
  <c r="CM117"/>
  <c r="CL117"/>
  <c r="CK117"/>
  <c r="CJ117"/>
  <c r="CI117"/>
  <c r="CH117"/>
  <c r="CG117"/>
  <c r="CF117"/>
  <c r="CE117"/>
  <c r="CD117"/>
  <c r="CC117"/>
  <c r="CB117"/>
  <c r="CA117"/>
  <c r="BZ117"/>
  <c r="BY117"/>
  <c r="BX117"/>
  <c r="BW117"/>
  <c r="BV117"/>
  <c r="BU117"/>
  <c r="BT117"/>
  <c r="BS117"/>
  <c r="BR117"/>
  <c r="BQ117"/>
  <c r="BP117"/>
  <c r="BO117"/>
  <c r="BN117"/>
  <c r="E117"/>
  <c r="E328" s="1"/>
  <c r="D117"/>
  <c r="D328" s="1"/>
  <c r="C117"/>
  <c r="C328" s="1"/>
  <c r="B117"/>
  <c r="B328" s="1"/>
  <c r="A117"/>
  <c r="A328" s="1"/>
  <c r="DU116"/>
  <c r="DT116"/>
  <c r="DS116"/>
  <c r="DR116"/>
  <c r="DQ116"/>
  <c r="DP116"/>
  <c r="DO116"/>
  <c r="DN116"/>
  <c r="DM116"/>
  <c r="DL116"/>
  <c r="DK116"/>
  <c r="DJ116"/>
  <c r="DI116"/>
  <c r="DH116"/>
  <c r="DG116"/>
  <c r="DF116"/>
  <c r="DE116"/>
  <c r="DD116"/>
  <c r="DC116"/>
  <c r="DB116"/>
  <c r="DA116"/>
  <c r="CZ116"/>
  <c r="CY116"/>
  <c r="CX116"/>
  <c r="CW116"/>
  <c r="CV116"/>
  <c r="CU116"/>
  <c r="CT116"/>
  <c r="CS116"/>
  <c r="CR116"/>
  <c r="CQ116"/>
  <c r="CP116"/>
  <c r="CO116"/>
  <c r="CN116"/>
  <c r="CM116"/>
  <c r="CL116"/>
  <c r="CK116"/>
  <c r="CJ116"/>
  <c r="CI116"/>
  <c r="CH116"/>
  <c r="CG116"/>
  <c r="CF116"/>
  <c r="CE116"/>
  <c r="CD116"/>
  <c r="CC116"/>
  <c r="CB116"/>
  <c r="CA116"/>
  <c r="BZ116"/>
  <c r="BY116"/>
  <c r="BX116"/>
  <c r="BW116"/>
  <c r="BV116"/>
  <c r="BU116"/>
  <c r="BT116"/>
  <c r="BS116"/>
  <c r="BR116"/>
  <c r="BQ116"/>
  <c r="BP116"/>
  <c r="BO116"/>
  <c r="BN116"/>
  <c r="E116"/>
  <c r="E327" s="1"/>
  <c r="D116"/>
  <c r="D327" s="1"/>
  <c r="C116"/>
  <c r="C327" s="1"/>
  <c r="B116"/>
  <c r="B327" s="1"/>
  <c r="A116"/>
  <c r="A327" s="1"/>
  <c r="DU115"/>
  <c r="DT115"/>
  <c r="DS115"/>
  <c r="DR115"/>
  <c r="DQ115"/>
  <c r="DP115"/>
  <c r="DO115"/>
  <c r="DN115"/>
  <c r="DM115"/>
  <c r="DL115"/>
  <c r="DK115"/>
  <c r="DJ115"/>
  <c r="DI115"/>
  <c r="DH115"/>
  <c r="DG115"/>
  <c r="DF115"/>
  <c r="DE115"/>
  <c r="DD115"/>
  <c r="DC115"/>
  <c r="DB115"/>
  <c r="DA115"/>
  <c r="CZ115"/>
  <c r="CY115"/>
  <c r="CX115"/>
  <c r="CW115"/>
  <c r="CV115"/>
  <c r="CU115"/>
  <c r="CT115"/>
  <c r="CS115"/>
  <c r="CR115"/>
  <c r="CQ115"/>
  <c r="CP115"/>
  <c r="CO115"/>
  <c r="CN115"/>
  <c r="CM115"/>
  <c r="CL115"/>
  <c r="CK115"/>
  <c r="CJ115"/>
  <c r="CI115"/>
  <c r="CH115"/>
  <c r="CG115"/>
  <c r="CF115"/>
  <c r="CE115"/>
  <c r="CD115"/>
  <c r="CC115"/>
  <c r="CB115"/>
  <c r="CA115"/>
  <c r="BZ115"/>
  <c r="BY115"/>
  <c r="BX115"/>
  <c r="BW115"/>
  <c r="BV115"/>
  <c r="BU115"/>
  <c r="BT115"/>
  <c r="BS115"/>
  <c r="BR115"/>
  <c r="BQ115"/>
  <c r="BP115"/>
  <c r="BO115"/>
  <c r="BN115"/>
  <c r="E115"/>
  <c r="E326" s="1"/>
  <c r="D115"/>
  <c r="D326" s="1"/>
  <c r="C115"/>
  <c r="C326" s="1"/>
  <c r="B115"/>
  <c r="B326" s="1"/>
  <c r="A115"/>
  <c r="A326" s="1"/>
  <c r="DU114"/>
  <c r="DT114"/>
  <c r="DS114"/>
  <c r="DR114"/>
  <c r="DQ114"/>
  <c r="DP114"/>
  <c r="DO114"/>
  <c r="DN114"/>
  <c r="DM114"/>
  <c r="DL114"/>
  <c r="DK114"/>
  <c r="DJ114"/>
  <c r="DI114"/>
  <c r="DH114"/>
  <c r="DG114"/>
  <c r="DF114"/>
  <c r="DE114"/>
  <c r="DD114"/>
  <c r="DC114"/>
  <c r="DB114"/>
  <c r="DA114"/>
  <c r="CZ114"/>
  <c r="CY114"/>
  <c r="CX114"/>
  <c r="CW114"/>
  <c r="CV114"/>
  <c r="CU114"/>
  <c r="CT114"/>
  <c r="CS114"/>
  <c r="CR114"/>
  <c r="CQ114"/>
  <c r="CP114"/>
  <c r="CO114"/>
  <c r="CN114"/>
  <c r="CM114"/>
  <c r="CL114"/>
  <c r="CK114"/>
  <c r="CJ114"/>
  <c r="CI114"/>
  <c r="CH114"/>
  <c r="CG114"/>
  <c r="CF114"/>
  <c r="CE114"/>
  <c r="CD114"/>
  <c r="CC114"/>
  <c r="CB114"/>
  <c r="CA114"/>
  <c r="BZ114"/>
  <c r="BY114"/>
  <c r="BX114"/>
  <c r="BW114"/>
  <c r="BV114"/>
  <c r="BU114"/>
  <c r="BT114"/>
  <c r="BS114"/>
  <c r="BR114"/>
  <c r="BQ114"/>
  <c r="BP114"/>
  <c r="BO114"/>
  <c r="BN114"/>
  <c r="E114"/>
  <c r="E325" s="1"/>
  <c r="D114"/>
  <c r="D325" s="1"/>
  <c r="C114"/>
  <c r="C325" s="1"/>
  <c r="B114"/>
  <c r="B325" s="1"/>
  <c r="A114"/>
  <c r="A325" s="1"/>
  <c r="DU113"/>
  <c r="DT113"/>
  <c r="DS113"/>
  <c r="DR113"/>
  <c r="DQ113"/>
  <c r="DP113"/>
  <c r="DO113"/>
  <c r="DN113"/>
  <c r="DM113"/>
  <c r="DL113"/>
  <c r="DK113"/>
  <c r="DJ113"/>
  <c r="DI113"/>
  <c r="DH113"/>
  <c r="DG113"/>
  <c r="DF113"/>
  <c r="DE113"/>
  <c r="DD113"/>
  <c r="DC113"/>
  <c r="DB113"/>
  <c r="DA113"/>
  <c r="CZ113"/>
  <c r="CY113"/>
  <c r="CX113"/>
  <c r="CW113"/>
  <c r="CV113"/>
  <c r="CU113"/>
  <c r="CT113"/>
  <c r="CS113"/>
  <c r="CR113"/>
  <c r="CQ113"/>
  <c r="CP113"/>
  <c r="CO113"/>
  <c r="CN113"/>
  <c r="CM113"/>
  <c r="CL113"/>
  <c r="CK113"/>
  <c r="CJ113"/>
  <c r="CI113"/>
  <c r="CH113"/>
  <c r="CG113"/>
  <c r="CF113"/>
  <c r="CE113"/>
  <c r="CD113"/>
  <c r="CC113"/>
  <c r="CB113"/>
  <c r="CA113"/>
  <c r="BZ113"/>
  <c r="BY113"/>
  <c r="BX113"/>
  <c r="BW113"/>
  <c r="BV113"/>
  <c r="BU113"/>
  <c r="BT113"/>
  <c r="BS113"/>
  <c r="BR113"/>
  <c r="BQ113"/>
  <c r="BP113"/>
  <c r="BO113"/>
  <c r="BN113"/>
  <c r="E113"/>
  <c r="E324" s="1"/>
  <c r="D113"/>
  <c r="D324" s="1"/>
  <c r="C113"/>
  <c r="C324" s="1"/>
  <c r="B113"/>
  <c r="B324" s="1"/>
  <c r="A113"/>
  <c r="A324" s="1"/>
  <c r="DU112"/>
  <c r="DT112"/>
  <c r="DS112"/>
  <c r="DR112"/>
  <c r="DQ112"/>
  <c r="DP112"/>
  <c r="DO112"/>
  <c r="DN112"/>
  <c r="DM112"/>
  <c r="DL112"/>
  <c r="DK112"/>
  <c r="DJ112"/>
  <c r="DI112"/>
  <c r="DH112"/>
  <c r="DG112"/>
  <c r="DF112"/>
  <c r="DE112"/>
  <c r="DD112"/>
  <c r="DC112"/>
  <c r="DB112"/>
  <c r="DA112"/>
  <c r="CZ112"/>
  <c r="CY112"/>
  <c r="CX112"/>
  <c r="CW112"/>
  <c r="CV112"/>
  <c r="CU112"/>
  <c r="CT112"/>
  <c r="CS112"/>
  <c r="CR112"/>
  <c r="CQ112"/>
  <c r="CP112"/>
  <c r="CO112"/>
  <c r="CN112"/>
  <c r="CM112"/>
  <c r="CL112"/>
  <c r="CK112"/>
  <c r="CJ112"/>
  <c r="CI112"/>
  <c r="CH112"/>
  <c r="CG112"/>
  <c r="CF112"/>
  <c r="CE112"/>
  <c r="CD112"/>
  <c r="CC112"/>
  <c r="CB112"/>
  <c r="CA112"/>
  <c r="BZ112"/>
  <c r="BY112"/>
  <c r="BX112"/>
  <c r="BW112"/>
  <c r="BV112"/>
  <c r="BU112"/>
  <c r="BT112"/>
  <c r="BS112"/>
  <c r="BR112"/>
  <c r="BQ112"/>
  <c r="BP112"/>
  <c r="BO112"/>
  <c r="BN112"/>
  <c r="E112"/>
  <c r="B112"/>
  <c r="A112"/>
  <c r="DU111"/>
  <c r="DT111"/>
  <c r="DS111"/>
  <c r="DR111"/>
  <c r="DQ111"/>
  <c r="DP111"/>
  <c r="DO111"/>
  <c r="DN111"/>
  <c r="DM111"/>
  <c r="DL111"/>
  <c r="DK111"/>
  <c r="DJ111"/>
  <c r="DI111"/>
  <c r="DH111"/>
  <c r="DG111"/>
  <c r="DF111"/>
  <c r="DE111"/>
  <c r="DD111"/>
  <c r="DC111"/>
  <c r="DB111"/>
  <c r="DA111"/>
  <c r="CZ111"/>
  <c r="CY111"/>
  <c r="CX111"/>
  <c r="CW111"/>
  <c r="CV111"/>
  <c r="CU111"/>
  <c r="CT111"/>
  <c r="CS111"/>
  <c r="CR111"/>
  <c r="CQ111"/>
  <c r="CP111"/>
  <c r="CO111"/>
  <c r="CN111"/>
  <c r="CM111"/>
  <c r="CL111"/>
  <c r="CK111"/>
  <c r="CJ111"/>
  <c r="CI111"/>
  <c r="CH111"/>
  <c r="CG111"/>
  <c r="CF111"/>
  <c r="CE111"/>
  <c r="CD111"/>
  <c r="CC111"/>
  <c r="CB111"/>
  <c r="CA111"/>
  <c r="BZ111"/>
  <c r="BY111"/>
  <c r="BX111"/>
  <c r="BW111"/>
  <c r="BV111"/>
  <c r="BU111"/>
  <c r="BT111"/>
  <c r="BS111"/>
  <c r="BR111"/>
  <c r="BQ111"/>
  <c r="BP111"/>
  <c r="BO111"/>
  <c r="BN111"/>
  <c r="E111"/>
  <c r="E323" s="1"/>
  <c r="D111"/>
  <c r="D323" s="1"/>
  <c r="C111"/>
  <c r="C323" s="1"/>
  <c r="B111"/>
  <c r="B323" s="1"/>
  <c r="A111"/>
  <c r="A323" s="1"/>
  <c r="DU110"/>
  <c r="DT110"/>
  <c r="DS110"/>
  <c r="DR110"/>
  <c r="DQ110"/>
  <c r="DP110"/>
  <c r="DO110"/>
  <c r="DN110"/>
  <c r="DM110"/>
  <c r="DL110"/>
  <c r="DK110"/>
  <c r="DJ110"/>
  <c r="DI110"/>
  <c r="DH110"/>
  <c r="DG110"/>
  <c r="DF110"/>
  <c r="DE110"/>
  <c r="DD110"/>
  <c r="DC110"/>
  <c r="DB110"/>
  <c r="DA110"/>
  <c r="CZ110"/>
  <c r="CY110"/>
  <c r="CX110"/>
  <c r="CW110"/>
  <c r="CV110"/>
  <c r="CU110"/>
  <c r="CT110"/>
  <c r="CS110"/>
  <c r="CR110"/>
  <c r="CQ110"/>
  <c r="CP110"/>
  <c r="CO110"/>
  <c r="CN110"/>
  <c r="CM110"/>
  <c r="CL110"/>
  <c r="CK110"/>
  <c r="CJ110"/>
  <c r="CI110"/>
  <c r="CH110"/>
  <c r="CG110"/>
  <c r="CF110"/>
  <c r="CE110"/>
  <c r="CD110"/>
  <c r="CC110"/>
  <c r="CB110"/>
  <c r="CA110"/>
  <c r="BZ110"/>
  <c r="BY110"/>
  <c r="BX110"/>
  <c r="BW110"/>
  <c r="BV110"/>
  <c r="BU110"/>
  <c r="BT110"/>
  <c r="BS110"/>
  <c r="BR110"/>
  <c r="BQ110"/>
  <c r="BP110"/>
  <c r="BO110"/>
  <c r="BN110"/>
  <c r="E110"/>
  <c r="E322" s="1"/>
  <c r="D110"/>
  <c r="D322" s="1"/>
  <c r="C110"/>
  <c r="C322" s="1"/>
  <c r="B110"/>
  <c r="B322" s="1"/>
  <c r="A110"/>
  <c r="A322" s="1"/>
  <c r="DU109"/>
  <c r="DT109"/>
  <c r="DS109"/>
  <c r="DR109"/>
  <c r="DQ109"/>
  <c r="DP109"/>
  <c r="DO109"/>
  <c r="DN109"/>
  <c r="DM109"/>
  <c r="DL109"/>
  <c r="DK109"/>
  <c r="DJ109"/>
  <c r="DI109"/>
  <c r="DH109"/>
  <c r="DG109"/>
  <c r="DF109"/>
  <c r="DE109"/>
  <c r="DD109"/>
  <c r="DC109"/>
  <c r="DB109"/>
  <c r="DA109"/>
  <c r="CZ109"/>
  <c r="CY109"/>
  <c r="CX109"/>
  <c r="CW109"/>
  <c r="CV109"/>
  <c r="CU109"/>
  <c r="CT109"/>
  <c r="CS109"/>
  <c r="CR109"/>
  <c r="CQ109"/>
  <c r="CP109"/>
  <c r="CO109"/>
  <c r="CN109"/>
  <c r="CM109"/>
  <c r="CL109"/>
  <c r="CK109"/>
  <c r="CJ109"/>
  <c r="CI109"/>
  <c r="CH109"/>
  <c r="CG109"/>
  <c r="CF109"/>
  <c r="CE109"/>
  <c r="CD109"/>
  <c r="CC109"/>
  <c r="CB109"/>
  <c r="CA109"/>
  <c r="BZ109"/>
  <c r="BY109"/>
  <c r="BX109"/>
  <c r="BW109"/>
  <c r="BV109"/>
  <c r="BU109"/>
  <c r="BT109"/>
  <c r="BS109"/>
  <c r="BR109"/>
  <c r="BQ109"/>
  <c r="BP109"/>
  <c r="BO109"/>
  <c r="BN109"/>
  <c r="E109"/>
  <c r="E321" s="1"/>
  <c r="D109"/>
  <c r="D321" s="1"/>
  <c r="C109"/>
  <c r="C321" s="1"/>
  <c r="B109"/>
  <c r="B321" s="1"/>
  <c r="A109"/>
  <c r="A321" s="1"/>
  <c r="DU108"/>
  <c r="DT108"/>
  <c r="DS108"/>
  <c r="DR108"/>
  <c r="DQ108"/>
  <c r="DP108"/>
  <c r="DO108"/>
  <c r="DN108"/>
  <c r="DM108"/>
  <c r="DL108"/>
  <c r="DK108"/>
  <c r="DJ108"/>
  <c r="DI108"/>
  <c r="DH108"/>
  <c r="DG108"/>
  <c r="DF108"/>
  <c r="DE108"/>
  <c r="DD108"/>
  <c r="DC108"/>
  <c r="DB108"/>
  <c r="DA108"/>
  <c r="CZ108"/>
  <c r="CY108"/>
  <c r="CX108"/>
  <c r="CW108"/>
  <c r="CV108"/>
  <c r="CU108"/>
  <c r="CT108"/>
  <c r="CS108"/>
  <c r="CR108"/>
  <c r="CQ108"/>
  <c r="CP108"/>
  <c r="CO108"/>
  <c r="CN108"/>
  <c r="CM108"/>
  <c r="CL108"/>
  <c r="CK108"/>
  <c r="CJ108"/>
  <c r="CI108"/>
  <c r="CH108"/>
  <c r="CG108"/>
  <c r="CF108"/>
  <c r="CE108"/>
  <c r="CD108"/>
  <c r="CC108"/>
  <c r="CB108"/>
  <c r="CA108"/>
  <c r="BZ108"/>
  <c r="BY108"/>
  <c r="BX108"/>
  <c r="BW108"/>
  <c r="BV108"/>
  <c r="BU108"/>
  <c r="BT108"/>
  <c r="BS108"/>
  <c r="BR108"/>
  <c r="BQ108"/>
  <c r="BP108"/>
  <c r="BO108"/>
  <c r="BN108"/>
  <c r="E108"/>
  <c r="E320" s="1"/>
  <c r="D108"/>
  <c r="D320" s="1"/>
  <c r="C108"/>
  <c r="C320" s="1"/>
  <c r="B108"/>
  <c r="B320" s="1"/>
  <c r="A108"/>
  <c r="A320" s="1"/>
  <c r="DU107"/>
  <c r="DT107"/>
  <c r="DS107"/>
  <c r="DR107"/>
  <c r="DQ107"/>
  <c r="DP107"/>
  <c r="DO107"/>
  <c r="DN107"/>
  <c r="DM107"/>
  <c r="DL107"/>
  <c r="DK107"/>
  <c r="DJ107"/>
  <c r="DI107"/>
  <c r="DH107"/>
  <c r="DG107"/>
  <c r="DF107"/>
  <c r="DE107"/>
  <c r="DD107"/>
  <c r="DC107"/>
  <c r="DB107"/>
  <c r="DA107"/>
  <c r="CZ107"/>
  <c r="CY107"/>
  <c r="CX107"/>
  <c r="CW107"/>
  <c r="CV107"/>
  <c r="CU107"/>
  <c r="CT107"/>
  <c r="CS107"/>
  <c r="CR107"/>
  <c r="CQ107"/>
  <c r="CP107"/>
  <c r="CO107"/>
  <c r="CN107"/>
  <c r="CM107"/>
  <c r="CL107"/>
  <c r="CK107"/>
  <c r="CJ107"/>
  <c r="CI107"/>
  <c r="CH107"/>
  <c r="CG107"/>
  <c r="CF107"/>
  <c r="CE107"/>
  <c r="CD107"/>
  <c r="CC107"/>
  <c r="CB107"/>
  <c r="CA107"/>
  <c r="BZ107"/>
  <c r="BY107"/>
  <c r="BX107"/>
  <c r="BW107"/>
  <c r="BV107"/>
  <c r="BU107"/>
  <c r="BT107"/>
  <c r="BS107"/>
  <c r="BR107"/>
  <c r="BQ107"/>
  <c r="BP107"/>
  <c r="BO107"/>
  <c r="BN107"/>
  <c r="E107"/>
  <c r="E319" s="1"/>
  <c r="D107"/>
  <c r="D319" s="1"/>
  <c r="C107"/>
  <c r="C319" s="1"/>
  <c r="B107"/>
  <c r="B319" s="1"/>
  <c r="A107"/>
  <c r="A319" s="1"/>
  <c r="DU106"/>
  <c r="DT106"/>
  <c r="DS106"/>
  <c r="DR106"/>
  <c r="DQ106"/>
  <c r="DP106"/>
  <c r="DO106"/>
  <c r="DN106"/>
  <c r="DM106"/>
  <c r="DL106"/>
  <c r="DK106"/>
  <c r="DJ106"/>
  <c r="DI106"/>
  <c r="DH106"/>
  <c r="DG106"/>
  <c r="DF106"/>
  <c r="DE106"/>
  <c r="DD106"/>
  <c r="DC106"/>
  <c r="DB106"/>
  <c r="DA106"/>
  <c r="CZ106"/>
  <c r="CY106"/>
  <c r="CX106"/>
  <c r="CW106"/>
  <c r="CV106"/>
  <c r="CU106"/>
  <c r="CT106"/>
  <c r="CS106"/>
  <c r="CR106"/>
  <c r="CQ106"/>
  <c r="CP106"/>
  <c r="CO106"/>
  <c r="CN106"/>
  <c r="CM106"/>
  <c r="CL106"/>
  <c r="CK106"/>
  <c r="CJ106"/>
  <c r="CI106"/>
  <c r="CH106"/>
  <c r="CG106"/>
  <c r="CF106"/>
  <c r="CE106"/>
  <c r="CD106"/>
  <c r="CC106"/>
  <c r="CB106"/>
  <c r="CA106"/>
  <c r="BZ106"/>
  <c r="BY106"/>
  <c r="BX106"/>
  <c r="BW106"/>
  <c r="BV106"/>
  <c r="BU106"/>
  <c r="BT106"/>
  <c r="BS106"/>
  <c r="BR106"/>
  <c r="BQ106"/>
  <c r="BP106"/>
  <c r="BO106"/>
  <c r="BN106"/>
  <c r="E106"/>
  <c r="E318" s="1"/>
  <c r="D106"/>
  <c r="D318" s="1"/>
  <c r="C106"/>
  <c r="C318" s="1"/>
  <c r="B106"/>
  <c r="B318" s="1"/>
  <c r="A106"/>
  <c r="DU105"/>
  <c r="DT105"/>
  <c r="DS105"/>
  <c r="DR105"/>
  <c r="DQ105"/>
  <c r="DP105"/>
  <c r="DO105"/>
  <c r="DN105"/>
  <c r="DM105"/>
  <c r="DL105"/>
  <c r="DK105"/>
  <c r="DJ105"/>
  <c r="DI105"/>
  <c r="DH105"/>
  <c r="DG105"/>
  <c r="DF105"/>
  <c r="DE105"/>
  <c r="DD105"/>
  <c r="DC105"/>
  <c r="DB105"/>
  <c r="DA105"/>
  <c r="CZ105"/>
  <c r="CY105"/>
  <c r="CX105"/>
  <c r="CW105"/>
  <c r="CV105"/>
  <c r="CU105"/>
  <c r="CT105"/>
  <c r="CS105"/>
  <c r="CR105"/>
  <c r="CQ105"/>
  <c r="CP105"/>
  <c r="CO105"/>
  <c r="CN105"/>
  <c r="CM105"/>
  <c r="CL105"/>
  <c r="CK105"/>
  <c r="CJ105"/>
  <c r="CI105"/>
  <c r="CH105"/>
  <c r="CG105"/>
  <c r="CF105"/>
  <c r="CE105"/>
  <c r="CD105"/>
  <c r="CC105"/>
  <c r="CB105"/>
  <c r="CA105"/>
  <c r="BZ105"/>
  <c r="BY105"/>
  <c r="BX105"/>
  <c r="BW105"/>
  <c r="BV105"/>
  <c r="BU105"/>
  <c r="BT105"/>
  <c r="BS105"/>
  <c r="BR105"/>
  <c r="BQ105"/>
  <c r="BP105"/>
  <c r="BO105"/>
  <c r="BN105"/>
  <c r="E105"/>
  <c r="E317" s="1"/>
  <c r="D105"/>
  <c r="D317" s="1"/>
  <c r="C105"/>
  <c r="C317" s="1"/>
  <c r="B105"/>
  <c r="B317" s="1"/>
  <c r="A105"/>
  <c r="A317" s="1"/>
  <c r="DU104"/>
  <c r="DT104"/>
  <c r="DS104"/>
  <c r="DR104"/>
  <c r="DQ104"/>
  <c r="DP104"/>
  <c r="DO104"/>
  <c r="DN104"/>
  <c r="DM104"/>
  <c r="DL104"/>
  <c r="DK104"/>
  <c r="DJ104"/>
  <c r="DI104"/>
  <c r="DH104"/>
  <c r="DG104"/>
  <c r="DF104"/>
  <c r="DE104"/>
  <c r="DD104"/>
  <c r="DC104"/>
  <c r="DB104"/>
  <c r="DA104"/>
  <c r="CZ104"/>
  <c r="CY104"/>
  <c r="CX104"/>
  <c r="CW104"/>
  <c r="CV104"/>
  <c r="CU104"/>
  <c r="CT104"/>
  <c r="CS104"/>
  <c r="CR104"/>
  <c r="CQ104"/>
  <c r="CP104"/>
  <c r="CO104"/>
  <c r="CN104"/>
  <c r="CM104"/>
  <c r="CL104"/>
  <c r="CK104"/>
  <c r="CJ104"/>
  <c r="CI104"/>
  <c r="CH104"/>
  <c r="CG104"/>
  <c r="CF104"/>
  <c r="CE104"/>
  <c r="CD104"/>
  <c r="CC104"/>
  <c r="CB104"/>
  <c r="CA104"/>
  <c r="BZ104"/>
  <c r="BY104"/>
  <c r="BX104"/>
  <c r="BW104"/>
  <c r="BV104"/>
  <c r="BU104"/>
  <c r="BT104"/>
  <c r="BS104"/>
  <c r="BR104"/>
  <c r="BQ104"/>
  <c r="BP104"/>
  <c r="BO104"/>
  <c r="BN104"/>
  <c r="E104"/>
  <c r="E316" s="1"/>
  <c r="D104"/>
  <c r="D316" s="1"/>
  <c r="C104"/>
  <c r="C316" s="1"/>
  <c r="B104"/>
  <c r="B316" s="1"/>
  <c r="A104"/>
  <c r="A316" s="1"/>
  <c r="DU103"/>
  <c r="DT103"/>
  <c r="DS103"/>
  <c r="DR103"/>
  <c r="DQ103"/>
  <c r="DP103"/>
  <c r="DO103"/>
  <c r="DN103"/>
  <c r="DM103"/>
  <c r="DL103"/>
  <c r="DK103"/>
  <c r="DJ103"/>
  <c r="DI103"/>
  <c r="DH103"/>
  <c r="DG103"/>
  <c r="DF103"/>
  <c r="DE103"/>
  <c r="DD103"/>
  <c r="DC103"/>
  <c r="DB103"/>
  <c r="DA103"/>
  <c r="CZ103"/>
  <c r="CY103"/>
  <c r="CX103"/>
  <c r="CW103"/>
  <c r="CV103"/>
  <c r="CU103"/>
  <c r="CT103"/>
  <c r="CS103"/>
  <c r="CR103"/>
  <c r="CQ103"/>
  <c r="CP103"/>
  <c r="CO103"/>
  <c r="CN103"/>
  <c r="CM103"/>
  <c r="CL103"/>
  <c r="CK103"/>
  <c r="CJ103"/>
  <c r="CI103"/>
  <c r="CH103"/>
  <c r="CG103"/>
  <c r="CF103"/>
  <c r="CE103"/>
  <c r="CD103"/>
  <c r="CC103"/>
  <c r="CB103"/>
  <c r="CA103"/>
  <c r="BZ103"/>
  <c r="BY103"/>
  <c r="BX103"/>
  <c r="BW103"/>
  <c r="BV103"/>
  <c r="BU103"/>
  <c r="BT103"/>
  <c r="BS103"/>
  <c r="BR103"/>
  <c r="BQ103"/>
  <c r="BP103"/>
  <c r="BO103"/>
  <c r="BN103"/>
  <c r="E103"/>
  <c r="B103"/>
  <c r="A103"/>
  <c r="DU102"/>
  <c r="DT102"/>
  <c r="DS102"/>
  <c r="DR102"/>
  <c r="DQ102"/>
  <c r="DP102"/>
  <c r="DO102"/>
  <c r="DN102"/>
  <c r="DM102"/>
  <c r="DL102"/>
  <c r="DK102"/>
  <c r="DJ102"/>
  <c r="DI102"/>
  <c r="DH102"/>
  <c r="DG102"/>
  <c r="DF102"/>
  <c r="DE102"/>
  <c r="DD102"/>
  <c r="DC102"/>
  <c r="DB102"/>
  <c r="DA102"/>
  <c r="CZ102"/>
  <c r="CY102"/>
  <c r="CX102"/>
  <c r="CW102"/>
  <c r="CV102"/>
  <c r="CU102"/>
  <c r="CT102"/>
  <c r="CS102"/>
  <c r="CR102"/>
  <c r="CQ102"/>
  <c r="CP102"/>
  <c r="CO102"/>
  <c r="CN102"/>
  <c r="CM102"/>
  <c r="CL102"/>
  <c r="CK102"/>
  <c r="CJ102"/>
  <c r="CI102"/>
  <c r="CH102"/>
  <c r="CG102"/>
  <c r="CF102"/>
  <c r="CE102"/>
  <c r="CD102"/>
  <c r="CC102"/>
  <c r="CB102"/>
  <c r="CA102"/>
  <c r="BZ102"/>
  <c r="BY102"/>
  <c r="BX102"/>
  <c r="BW102"/>
  <c r="BV102"/>
  <c r="BU102"/>
  <c r="BT102"/>
  <c r="BS102"/>
  <c r="BR102"/>
  <c r="BQ102"/>
  <c r="BP102"/>
  <c r="BO102"/>
  <c r="BN102"/>
  <c r="E102"/>
  <c r="E315" s="1"/>
  <c r="D102"/>
  <c r="D315" s="1"/>
  <c r="C102"/>
  <c r="C315" s="1"/>
  <c r="B102"/>
  <c r="B315" s="1"/>
  <c r="A102"/>
  <c r="A315" s="1"/>
  <c r="DU101"/>
  <c r="DT101"/>
  <c r="DS101"/>
  <c r="DR101"/>
  <c r="DQ101"/>
  <c r="DP101"/>
  <c r="DO101"/>
  <c r="DN101"/>
  <c r="DM101"/>
  <c r="DL101"/>
  <c r="DK101"/>
  <c r="DJ101"/>
  <c r="DI101"/>
  <c r="DH101"/>
  <c r="DG101"/>
  <c r="DF101"/>
  <c r="DE101"/>
  <c r="DD101"/>
  <c r="DC101"/>
  <c r="DB101"/>
  <c r="DA101"/>
  <c r="CZ101"/>
  <c r="CY101"/>
  <c r="CX101"/>
  <c r="CW101"/>
  <c r="CV101"/>
  <c r="CU101"/>
  <c r="CT101"/>
  <c r="CS101"/>
  <c r="CR101"/>
  <c r="CQ101"/>
  <c r="CP101"/>
  <c r="CO101"/>
  <c r="CN101"/>
  <c r="CM101"/>
  <c r="CL101"/>
  <c r="CK101"/>
  <c r="CJ101"/>
  <c r="CI101"/>
  <c r="CH101"/>
  <c r="CG101"/>
  <c r="CF101"/>
  <c r="CE101"/>
  <c r="CD101"/>
  <c r="CC101"/>
  <c r="CB101"/>
  <c r="CA101"/>
  <c r="BZ101"/>
  <c r="BY101"/>
  <c r="BX101"/>
  <c r="BW101"/>
  <c r="BV101"/>
  <c r="BU101"/>
  <c r="BT101"/>
  <c r="BS101"/>
  <c r="BR101"/>
  <c r="BQ101"/>
  <c r="BP101"/>
  <c r="BO101"/>
  <c r="BN101"/>
  <c r="E101"/>
  <c r="E314" s="1"/>
  <c r="D101"/>
  <c r="D314" s="1"/>
  <c r="C101"/>
  <c r="C314" s="1"/>
  <c r="B101"/>
  <c r="B314" s="1"/>
  <c r="A101"/>
  <c r="A314" s="1"/>
  <c r="DU100"/>
  <c r="DT100"/>
  <c r="DS100"/>
  <c r="DR100"/>
  <c r="DQ100"/>
  <c r="DP100"/>
  <c r="DO100"/>
  <c r="DN100"/>
  <c r="DM100"/>
  <c r="DL100"/>
  <c r="DK100"/>
  <c r="DJ100"/>
  <c r="DI100"/>
  <c r="DH100"/>
  <c r="DG100"/>
  <c r="DF100"/>
  <c r="DE100"/>
  <c r="DD100"/>
  <c r="DC100"/>
  <c r="DB100"/>
  <c r="DA100"/>
  <c r="CZ100"/>
  <c r="CY100"/>
  <c r="CX100"/>
  <c r="CW100"/>
  <c r="CV100"/>
  <c r="CU100"/>
  <c r="CT100"/>
  <c r="CS100"/>
  <c r="CR100"/>
  <c r="CQ100"/>
  <c r="CP100"/>
  <c r="CO100"/>
  <c r="CN100"/>
  <c r="CM100"/>
  <c r="CL100"/>
  <c r="CK100"/>
  <c r="CJ100"/>
  <c r="CI100"/>
  <c r="CH100"/>
  <c r="CG100"/>
  <c r="CF100"/>
  <c r="CE100"/>
  <c r="CD100"/>
  <c r="CC100"/>
  <c r="CB100"/>
  <c r="CA100"/>
  <c r="BZ100"/>
  <c r="BY100"/>
  <c r="BX100"/>
  <c r="BW100"/>
  <c r="BV100"/>
  <c r="BU100"/>
  <c r="BT100"/>
  <c r="BS100"/>
  <c r="BR100"/>
  <c r="BQ100"/>
  <c r="BP100"/>
  <c r="BO100"/>
  <c r="BN100"/>
  <c r="E100"/>
  <c r="E313" s="1"/>
  <c r="D100"/>
  <c r="D313" s="1"/>
  <c r="C100"/>
  <c r="C313" s="1"/>
  <c r="B100"/>
  <c r="B313" s="1"/>
  <c r="A100"/>
  <c r="A313" s="1"/>
  <c r="DU99"/>
  <c r="DT99"/>
  <c r="DS99"/>
  <c r="DR99"/>
  <c r="DQ99"/>
  <c r="DP99"/>
  <c r="DO99"/>
  <c r="DN99"/>
  <c r="DM99"/>
  <c r="DL99"/>
  <c r="DK99"/>
  <c r="DJ99"/>
  <c r="DI99"/>
  <c r="DH99"/>
  <c r="DG99"/>
  <c r="DF99"/>
  <c r="DE99"/>
  <c r="DD99"/>
  <c r="DC99"/>
  <c r="DB99"/>
  <c r="DA99"/>
  <c r="CZ99"/>
  <c r="CY99"/>
  <c r="CX99"/>
  <c r="CW99"/>
  <c r="CV99"/>
  <c r="CU99"/>
  <c r="CT99"/>
  <c r="CS99"/>
  <c r="CR99"/>
  <c r="CQ99"/>
  <c r="CP99"/>
  <c r="CO99"/>
  <c r="CN99"/>
  <c r="CM99"/>
  <c r="CL99"/>
  <c r="CK99"/>
  <c r="CJ99"/>
  <c r="CI99"/>
  <c r="CH99"/>
  <c r="CG99"/>
  <c r="CF99"/>
  <c r="CE99"/>
  <c r="CD99"/>
  <c r="CC99"/>
  <c r="CB99"/>
  <c r="CA99"/>
  <c r="BZ99"/>
  <c r="BY99"/>
  <c r="BX99"/>
  <c r="BW99"/>
  <c r="BV99"/>
  <c r="BU99"/>
  <c r="BT99"/>
  <c r="BS99"/>
  <c r="BR99"/>
  <c r="BQ99"/>
  <c r="BP99"/>
  <c r="BO99"/>
  <c r="BN99"/>
  <c r="E99"/>
  <c r="E312" s="1"/>
  <c r="D99"/>
  <c r="D312" s="1"/>
  <c r="C99"/>
  <c r="C312" s="1"/>
  <c r="B99"/>
  <c r="B312" s="1"/>
  <c r="A99"/>
  <c r="A312" s="1"/>
  <c r="DU98"/>
  <c r="DT98"/>
  <c r="DS98"/>
  <c r="DR98"/>
  <c r="DQ98"/>
  <c r="DP98"/>
  <c r="DO98"/>
  <c r="DN98"/>
  <c r="DM98"/>
  <c r="DL98"/>
  <c r="DK98"/>
  <c r="DJ98"/>
  <c r="DI98"/>
  <c r="DH98"/>
  <c r="DG98"/>
  <c r="DF98"/>
  <c r="DE98"/>
  <c r="DD98"/>
  <c r="DC98"/>
  <c r="DB98"/>
  <c r="DA98"/>
  <c r="CZ98"/>
  <c r="CY98"/>
  <c r="CX98"/>
  <c r="CW98"/>
  <c r="CV98"/>
  <c r="CU98"/>
  <c r="CT98"/>
  <c r="CS98"/>
  <c r="CR98"/>
  <c r="CQ98"/>
  <c r="CP98"/>
  <c r="CO98"/>
  <c r="CN98"/>
  <c r="CM98"/>
  <c r="CL98"/>
  <c r="CK98"/>
  <c r="CJ98"/>
  <c r="CI98"/>
  <c r="CH98"/>
  <c r="CG98"/>
  <c r="CF98"/>
  <c r="CE98"/>
  <c r="CD98"/>
  <c r="CC98"/>
  <c r="CB98"/>
  <c r="CA98"/>
  <c r="BZ98"/>
  <c r="BY98"/>
  <c r="BX98"/>
  <c r="BW98"/>
  <c r="BV98"/>
  <c r="BU98"/>
  <c r="BT98"/>
  <c r="BS98"/>
  <c r="BR98"/>
  <c r="BQ98"/>
  <c r="BP98"/>
  <c r="BO98"/>
  <c r="BN98"/>
  <c r="E98"/>
  <c r="E311" s="1"/>
  <c r="D98"/>
  <c r="D311" s="1"/>
  <c r="C98"/>
  <c r="C311" s="1"/>
  <c r="B98"/>
  <c r="B311" s="1"/>
  <c r="A98"/>
  <c r="A311" s="1"/>
  <c r="DU97"/>
  <c r="DT97"/>
  <c r="DS97"/>
  <c r="DR97"/>
  <c r="DQ97"/>
  <c r="DP97"/>
  <c r="DO97"/>
  <c r="DN97"/>
  <c r="DM97"/>
  <c r="DL97"/>
  <c r="DK97"/>
  <c r="DJ97"/>
  <c r="DI97"/>
  <c r="DH97"/>
  <c r="DG97"/>
  <c r="DF97"/>
  <c r="DE97"/>
  <c r="DD97"/>
  <c r="DC97"/>
  <c r="DB97"/>
  <c r="DA97"/>
  <c r="CZ97"/>
  <c r="CY97"/>
  <c r="CX97"/>
  <c r="CW97"/>
  <c r="CV97"/>
  <c r="CU97"/>
  <c r="CT97"/>
  <c r="CS97"/>
  <c r="CR97"/>
  <c r="CQ97"/>
  <c r="CP97"/>
  <c r="CO97"/>
  <c r="CN97"/>
  <c r="CM97"/>
  <c r="CL97"/>
  <c r="CK97"/>
  <c r="CJ97"/>
  <c r="CI97"/>
  <c r="CH97"/>
  <c r="CG97"/>
  <c r="CF97"/>
  <c r="CE97"/>
  <c r="CD97"/>
  <c r="CC97"/>
  <c r="CB97"/>
  <c r="CA97"/>
  <c r="BZ97"/>
  <c r="BY97"/>
  <c r="BX97"/>
  <c r="BW97"/>
  <c r="BV97"/>
  <c r="BU97"/>
  <c r="BT97"/>
  <c r="BS97"/>
  <c r="BR97"/>
  <c r="BQ97"/>
  <c r="BP97"/>
  <c r="BO97"/>
  <c r="BN97"/>
  <c r="E97"/>
  <c r="E310" s="1"/>
  <c r="D97"/>
  <c r="D310" s="1"/>
  <c r="C97"/>
  <c r="C310" s="1"/>
  <c r="B97"/>
  <c r="B310" s="1"/>
  <c r="A97"/>
  <c r="A310" s="1"/>
  <c r="DU96"/>
  <c r="DT96"/>
  <c r="DS96"/>
  <c r="DR96"/>
  <c r="DQ96"/>
  <c r="DP96"/>
  <c r="DO96"/>
  <c r="DN96"/>
  <c r="DM96"/>
  <c r="DL96"/>
  <c r="DK96"/>
  <c r="DJ96"/>
  <c r="DI96"/>
  <c r="DH96"/>
  <c r="DG96"/>
  <c r="DF96"/>
  <c r="DE96"/>
  <c r="DD96"/>
  <c r="DC96"/>
  <c r="DB96"/>
  <c r="DA96"/>
  <c r="CZ96"/>
  <c r="CY96"/>
  <c r="CX96"/>
  <c r="CW96"/>
  <c r="CV96"/>
  <c r="CU96"/>
  <c r="CT96"/>
  <c r="CS96"/>
  <c r="CR96"/>
  <c r="CQ96"/>
  <c r="CP96"/>
  <c r="CO96"/>
  <c r="CN96"/>
  <c r="CM96"/>
  <c r="CL96"/>
  <c r="CK96"/>
  <c r="CJ96"/>
  <c r="CI96"/>
  <c r="CH96"/>
  <c r="CG96"/>
  <c r="CF96"/>
  <c r="CE96"/>
  <c r="CD96"/>
  <c r="CC96"/>
  <c r="CB96"/>
  <c r="CA96"/>
  <c r="BZ96"/>
  <c r="BY96"/>
  <c r="BX96"/>
  <c r="BW96"/>
  <c r="BV96"/>
  <c r="BU96"/>
  <c r="BT96"/>
  <c r="BS96"/>
  <c r="BR96"/>
  <c r="BQ96"/>
  <c r="BP96"/>
  <c r="BO96"/>
  <c r="BN96"/>
  <c r="E96"/>
  <c r="E309" s="1"/>
  <c r="D96"/>
  <c r="D309" s="1"/>
  <c r="C96"/>
  <c r="C309" s="1"/>
  <c r="B96"/>
  <c r="B309" s="1"/>
  <c r="A96"/>
  <c r="A309" s="1"/>
  <c r="DU95"/>
  <c r="DT95"/>
  <c r="DS95"/>
  <c r="DR95"/>
  <c r="DQ95"/>
  <c r="DP95"/>
  <c r="DO95"/>
  <c r="DN95"/>
  <c r="DM95"/>
  <c r="DL95"/>
  <c r="DK95"/>
  <c r="DJ95"/>
  <c r="DI95"/>
  <c r="DH95"/>
  <c r="DG95"/>
  <c r="DF95"/>
  <c r="DE95"/>
  <c r="DD95"/>
  <c r="DC95"/>
  <c r="DB95"/>
  <c r="DA95"/>
  <c r="CZ95"/>
  <c r="CY95"/>
  <c r="CX95"/>
  <c r="CW95"/>
  <c r="CV95"/>
  <c r="CU95"/>
  <c r="CT95"/>
  <c r="CS95"/>
  <c r="CR95"/>
  <c r="CQ95"/>
  <c r="CP95"/>
  <c r="CO95"/>
  <c r="CN95"/>
  <c r="CM95"/>
  <c r="CL95"/>
  <c r="CK95"/>
  <c r="CJ95"/>
  <c r="CI95"/>
  <c r="CH95"/>
  <c r="CG95"/>
  <c r="CF95"/>
  <c r="CE95"/>
  <c r="CD95"/>
  <c r="CC95"/>
  <c r="CB95"/>
  <c r="CA95"/>
  <c r="BZ95"/>
  <c r="BY95"/>
  <c r="BX95"/>
  <c r="BW95"/>
  <c r="BV95"/>
  <c r="BU95"/>
  <c r="BT95"/>
  <c r="BS95"/>
  <c r="BR95"/>
  <c r="BQ95"/>
  <c r="BP95"/>
  <c r="BO95"/>
  <c r="BN95"/>
  <c r="E95"/>
  <c r="E308" s="1"/>
  <c r="D95"/>
  <c r="D308" s="1"/>
  <c r="C95"/>
  <c r="C308" s="1"/>
  <c r="B95"/>
  <c r="B308" s="1"/>
  <c r="A95"/>
  <c r="A308" s="1"/>
  <c r="DU94"/>
  <c r="DT94"/>
  <c r="DS94"/>
  <c r="DR94"/>
  <c r="DQ94"/>
  <c r="DP94"/>
  <c r="DO94"/>
  <c r="DN94"/>
  <c r="DM94"/>
  <c r="DL94"/>
  <c r="DK94"/>
  <c r="DJ94"/>
  <c r="DI94"/>
  <c r="DH94"/>
  <c r="DG94"/>
  <c r="DF94"/>
  <c r="DE94"/>
  <c r="DD94"/>
  <c r="DC94"/>
  <c r="DB94"/>
  <c r="DA94"/>
  <c r="CZ94"/>
  <c r="CY94"/>
  <c r="CX94"/>
  <c r="CW94"/>
  <c r="CV94"/>
  <c r="CU94"/>
  <c r="CT94"/>
  <c r="CS94"/>
  <c r="CR94"/>
  <c r="CQ94"/>
  <c r="CP94"/>
  <c r="CO94"/>
  <c r="CN94"/>
  <c r="CM94"/>
  <c r="CL94"/>
  <c r="CK94"/>
  <c r="CJ94"/>
  <c r="CI94"/>
  <c r="CH94"/>
  <c r="CG94"/>
  <c r="CF94"/>
  <c r="CE94"/>
  <c r="CD94"/>
  <c r="CC94"/>
  <c r="CB94"/>
  <c r="CA94"/>
  <c r="BZ94"/>
  <c r="BY94"/>
  <c r="BX94"/>
  <c r="BW94"/>
  <c r="BV94"/>
  <c r="BU94"/>
  <c r="BT94"/>
  <c r="BS94"/>
  <c r="BR94"/>
  <c r="BQ94"/>
  <c r="BP94"/>
  <c r="BO94"/>
  <c r="BN94"/>
  <c r="E94"/>
  <c r="B94"/>
  <c r="A94"/>
  <c r="DU93"/>
  <c r="DT93"/>
  <c r="DS93"/>
  <c r="DR93"/>
  <c r="DQ93"/>
  <c r="DP93"/>
  <c r="DO93"/>
  <c r="DN93"/>
  <c r="DM93"/>
  <c r="DL93"/>
  <c r="DK93"/>
  <c r="DJ93"/>
  <c r="DI93"/>
  <c r="DH93"/>
  <c r="DG93"/>
  <c r="DF93"/>
  <c r="DE93"/>
  <c r="DD93"/>
  <c r="DC93"/>
  <c r="DB93"/>
  <c r="DA93"/>
  <c r="CZ93"/>
  <c r="CY93"/>
  <c r="CX93"/>
  <c r="CW93"/>
  <c r="CV93"/>
  <c r="CU93"/>
  <c r="CT93"/>
  <c r="CS93"/>
  <c r="CR93"/>
  <c r="CQ93"/>
  <c r="CP93"/>
  <c r="CO93"/>
  <c r="CN93"/>
  <c r="CM93"/>
  <c r="CL93"/>
  <c r="CK93"/>
  <c r="CJ93"/>
  <c r="CI93"/>
  <c r="CH93"/>
  <c r="CG93"/>
  <c r="CF93"/>
  <c r="CE93"/>
  <c r="CD93"/>
  <c r="CC93"/>
  <c r="CB93"/>
  <c r="CA93"/>
  <c r="BZ93"/>
  <c r="BY93"/>
  <c r="BX93"/>
  <c r="BW93"/>
  <c r="BV93"/>
  <c r="BU93"/>
  <c r="BT93"/>
  <c r="BS93"/>
  <c r="BR93"/>
  <c r="BQ93"/>
  <c r="BP93"/>
  <c r="BO93"/>
  <c r="BN93"/>
  <c r="E93"/>
  <c r="E307" s="1"/>
  <c r="D93"/>
  <c r="D307" s="1"/>
  <c r="C93"/>
  <c r="C307" s="1"/>
  <c r="B93"/>
  <c r="B307" s="1"/>
  <c r="A93"/>
  <c r="A307" s="1"/>
  <c r="DU92"/>
  <c r="DT92"/>
  <c r="DS92"/>
  <c r="DR92"/>
  <c r="DQ92"/>
  <c r="DP92"/>
  <c r="DO92"/>
  <c r="DN92"/>
  <c r="DM92"/>
  <c r="DL92"/>
  <c r="DK92"/>
  <c r="DJ92"/>
  <c r="DI92"/>
  <c r="DH92"/>
  <c r="DG92"/>
  <c r="DF92"/>
  <c r="DE92"/>
  <c r="DD92"/>
  <c r="DC92"/>
  <c r="DB92"/>
  <c r="DA92"/>
  <c r="CZ92"/>
  <c r="CY92"/>
  <c r="CX92"/>
  <c r="CW92"/>
  <c r="CV92"/>
  <c r="CU92"/>
  <c r="CT92"/>
  <c r="CS92"/>
  <c r="CR92"/>
  <c r="CQ92"/>
  <c r="CP92"/>
  <c r="CO92"/>
  <c r="CN92"/>
  <c r="CM92"/>
  <c r="CL92"/>
  <c r="CK92"/>
  <c r="CJ92"/>
  <c r="CI92"/>
  <c r="CH92"/>
  <c r="CG92"/>
  <c r="CF92"/>
  <c r="CE92"/>
  <c r="CD92"/>
  <c r="CC92"/>
  <c r="CB92"/>
  <c r="CA92"/>
  <c r="BZ92"/>
  <c r="BY92"/>
  <c r="BX92"/>
  <c r="BW92"/>
  <c r="BV92"/>
  <c r="BU92"/>
  <c r="BT92"/>
  <c r="BS92"/>
  <c r="BR92"/>
  <c r="BQ92"/>
  <c r="BP92"/>
  <c r="BO92"/>
  <c r="BN92"/>
  <c r="E92"/>
  <c r="E306" s="1"/>
  <c r="D92"/>
  <c r="D306" s="1"/>
  <c r="C92"/>
  <c r="C306" s="1"/>
  <c r="B92"/>
  <c r="B306" s="1"/>
  <c r="A92"/>
  <c r="A306" s="1"/>
  <c r="DU91"/>
  <c r="DT91"/>
  <c r="DS91"/>
  <c r="DR91"/>
  <c r="DQ91"/>
  <c r="DP91"/>
  <c r="DO91"/>
  <c r="DN91"/>
  <c r="DM91"/>
  <c r="DL91"/>
  <c r="DK91"/>
  <c r="DJ91"/>
  <c r="DI91"/>
  <c r="DH91"/>
  <c r="DG91"/>
  <c r="DF91"/>
  <c r="DE91"/>
  <c r="DD91"/>
  <c r="DC91"/>
  <c r="DB91"/>
  <c r="DA91"/>
  <c r="CZ91"/>
  <c r="CY91"/>
  <c r="CX91"/>
  <c r="CW91"/>
  <c r="CV91"/>
  <c r="CU91"/>
  <c r="CT91"/>
  <c r="CS91"/>
  <c r="CR91"/>
  <c r="CQ91"/>
  <c r="CP91"/>
  <c r="CO91"/>
  <c r="CN91"/>
  <c r="CM91"/>
  <c r="CL91"/>
  <c r="CK91"/>
  <c r="CJ91"/>
  <c r="CI91"/>
  <c r="CH91"/>
  <c r="CG91"/>
  <c r="CF91"/>
  <c r="CE91"/>
  <c r="CD91"/>
  <c r="CC91"/>
  <c r="CB91"/>
  <c r="CA91"/>
  <c r="BZ91"/>
  <c r="BY91"/>
  <c r="BX91"/>
  <c r="BW91"/>
  <c r="BV91"/>
  <c r="BU91"/>
  <c r="BT91"/>
  <c r="BS91"/>
  <c r="BR91"/>
  <c r="BQ91"/>
  <c r="BP91"/>
  <c r="BO91"/>
  <c r="BN91"/>
  <c r="E91"/>
  <c r="D91"/>
  <c r="D305" s="1"/>
  <c r="C91"/>
  <c r="C305" s="1"/>
  <c r="B91"/>
  <c r="B305" s="1"/>
  <c r="A91"/>
  <c r="A305" s="1"/>
  <c r="DU90"/>
  <c r="DT90"/>
  <c r="DS90"/>
  <c r="DR90"/>
  <c r="DQ90"/>
  <c r="DP90"/>
  <c r="DO90"/>
  <c r="DN90"/>
  <c r="DM90"/>
  <c r="DL90"/>
  <c r="DK90"/>
  <c r="DJ90"/>
  <c r="DI90"/>
  <c r="DH90"/>
  <c r="DG90"/>
  <c r="DF90"/>
  <c r="DE90"/>
  <c r="DD90"/>
  <c r="DC90"/>
  <c r="DB90"/>
  <c r="DA90"/>
  <c r="CZ90"/>
  <c r="CY90"/>
  <c r="CX90"/>
  <c r="CW90"/>
  <c r="CV90"/>
  <c r="CU90"/>
  <c r="CT90"/>
  <c r="CS90"/>
  <c r="CR90"/>
  <c r="CQ90"/>
  <c r="CP90"/>
  <c r="CO90"/>
  <c r="CN90"/>
  <c r="CM90"/>
  <c r="CL90"/>
  <c r="CK90"/>
  <c r="CJ90"/>
  <c r="CI90"/>
  <c r="CH90"/>
  <c r="CG90"/>
  <c r="CF90"/>
  <c r="CE90"/>
  <c r="CD90"/>
  <c r="CC90"/>
  <c r="CB90"/>
  <c r="CA90"/>
  <c r="BZ90"/>
  <c r="BY90"/>
  <c r="BX90"/>
  <c r="BW90"/>
  <c r="BV90"/>
  <c r="BU90"/>
  <c r="BT90"/>
  <c r="BS90"/>
  <c r="BR90"/>
  <c r="BQ90"/>
  <c r="BP90"/>
  <c r="BO90"/>
  <c r="BN90"/>
  <c r="E90"/>
  <c r="E304" s="1"/>
  <c r="D90"/>
  <c r="D304" s="1"/>
  <c r="C90"/>
  <c r="C304" s="1"/>
  <c r="B90"/>
  <c r="B304" s="1"/>
  <c r="A90"/>
  <c r="A304" s="1"/>
  <c r="DU89"/>
  <c r="DT89"/>
  <c r="DS89"/>
  <c r="DR89"/>
  <c r="DQ89"/>
  <c r="DP89"/>
  <c r="DO89"/>
  <c r="DN89"/>
  <c r="DM89"/>
  <c r="DL89"/>
  <c r="DK89"/>
  <c r="DJ89"/>
  <c r="DI89"/>
  <c r="DH89"/>
  <c r="DG89"/>
  <c r="DF89"/>
  <c r="DE89"/>
  <c r="DD89"/>
  <c r="DC89"/>
  <c r="DB89"/>
  <c r="DA89"/>
  <c r="CZ89"/>
  <c r="CY89"/>
  <c r="CX89"/>
  <c r="CW89"/>
  <c r="CV89"/>
  <c r="CU89"/>
  <c r="CT89"/>
  <c r="CS89"/>
  <c r="CR89"/>
  <c r="CQ89"/>
  <c r="CP89"/>
  <c r="CO89"/>
  <c r="CN89"/>
  <c r="CM89"/>
  <c r="CL89"/>
  <c r="CK89"/>
  <c r="CJ89"/>
  <c r="CI89"/>
  <c r="CH89"/>
  <c r="CG89"/>
  <c r="CF89"/>
  <c r="CE89"/>
  <c r="CD89"/>
  <c r="CC89"/>
  <c r="CB89"/>
  <c r="CA89"/>
  <c r="BZ89"/>
  <c r="BY89"/>
  <c r="BX89"/>
  <c r="BW89"/>
  <c r="BV89"/>
  <c r="BU89"/>
  <c r="BT89"/>
  <c r="BS89"/>
  <c r="BR89"/>
  <c r="BQ89"/>
  <c r="BP89"/>
  <c r="BO89"/>
  <c r="BN89"/>
  <c r="E89"/>
  <c r="E303" s="1"/>
  <c r="D89"/>
  <c r="D303" s="1"/>
  <c r="C89"/>
  <c r="C303" s="1"/>
  <c r="B89"/>
  <c r="B303" s="1"/>
  <c r="A89"/>
  <c r="A303" s="1"/>
  <c r="DU88"/>
  <c r="DT88"/>
  <c r="DS88"/>
  <c r="DR88"/>
  <c r="DQ88"/>
  <c r="DP88"/>
  <c r="DO88"/>
  <c r="DN88"/>
  <c r="DM88"/>
  <c r="DL88"/>
  <c r="DK88"/>
  <c r="DJ88"/>
  <c r="DI88"/>
  <c r="DH88"/>
  <c r="DG88"/>
  <c r="DF88"/>
  <c r="DE88"/>
  <c r="DD88"/>
  <c r="DC88"/>
  <c r="DB88"/>
  <c r="DA88"/>
  <c r="CZ88"/>
  <c r="CY88"/>
  <c r="CX88"/>
  <c r="CW88"/>
  <c r="CV88"/>
  <c r="CU88"/>
  <c r="CT88"/>
  <c r="CS88"/>
  <c r="CR88"/>
  <c r="CQ88"/>
  <c r="CP88"/>
  <c r="CO88"/>
  <c r="CN88"/>
  <c r="CM88"/>
  <c r="CL88"/>
  <c r="CK88"/>
  <c r="CJ88"/>
  <c r="CI88"/>
  <c r="CH88"/>
  <c r="CG88"/>
  <c r="CF88"/>
  <c r="CE88"/>
  <c r="CD88"/>
  <c r="CC88"/>
  <c r="CB88"/>
  <c r="CA88"/>
  <c r="BZ88"/>
  <c r="BY88"/>
  <c r="BX88"/>
  <c r="BW88"/>
  <c r="BV88"/>
  <c r="BU88"/>
  <c r="BT88"/>
  <c r="BS88"/>
  <c r="BR88"/>
  <c r="BQ88"/>
  <c r="BP88"/>
  <c r="BO88"/>
  <c r="BN88"/>
  <c r="E88"/>
  <c r="E302" s="1"/>
  <c r="D88"/>
  <c r="D302" s="1"/>
  <c r="C88"/>
  <c r="C302" s="1"/>
  <c r="B88"/>
  <c r="B302" s="1"/>
  <c r="A88"/>
  <c r="A302" s="1"/>
  <c r="DU87"/>
  <c r="DT87"/>
  <c r="DS87"/>
  <c r="DR87"/>
  <c r="DQ87"/>
  <c r="DP87"/>
  <c r="DO87"/>
  <c r="DN87"/>
  <c r="DM87"/>
  <c r="DL87"/>
  <c r="DK87"/>
  <c r="DJ87"/>
  <c r="DI87"/>
  <c r="DH87"/>
  <c r="DG87"/>
  <c r="DF87"/>
  <c r="DE87"/>
  <c r="DD87"/>
  <c r="DC87"/>
  <c r="DB87"/>
  <c r="DA87"/>
  <c r="CZ87"/>
  <c r="CY87"/>
  <c r="CX87"/>
  <c r="CW87"/>
  <c r="CV87"/>
  <c r="CU87"/>
  <c r="CT87"/>
  <c r="CS87"/>
  <c r="CR87"/>
  <c r="CQ87"/>
  <c r="CP87"/>
  <c r="CO87"/>
  <c r="CN87"/>
  <c r="CM87"/>
  <c r="CL87"/>
  <c r="CK87"/>
  <c r="CJ87"/>
  <c r="CI87"/>
  <c r="CH87"/>
  <c r="CG87"/>
  <c r="CF87"/>
  <c r="CE87"/>
  <c r="CD87"/>
  <c r="CC87"/>
  <c r="CB87"/>
  <c r="CA87"/>
  <c r="BZ87"/>
  <c r="BY87"/>
  <c r="BX87"/>
  <c r="BW87"/>
  <c r="BV87"/>
  <c r="BU87"/>
  <c r="BT87"/>
  <c r="BS87"/>
  <c r="BR87"/>
  <c r="BQ87"/>
  <c r="BP87"/>
  <c r="BO87"/>
  <c r="BN87"/>
  <c r="E87"/>
  <c r="E301" s="1"/>
  <c r="D87"/>
  <c r="D301" s="1"/>
  <c r="C87"/>
  <c r="C301" s="1"/>
  <c r="B87"/>
  <c r="A87"/>
  <c r="A301" s="1"/>
  <c r="DU86"/>
  <c r="DT86"/>
  <c r="DS86"/>
  <c r="DR86"/>
  <c r="DQ86"/>
  <c r="DP86"/>
  <c r="DO86"/>
  <c r="DN86"/>
  <c r="DM86"/>
  <c r="DL86"/>
  <c r="DK86"/>
  <c r="DJ86"/>
  <c r="DI86"/>
  <c r="DH86"/>
  <c r="DG86"/>
  <c r="DF86"/>
  <c r="DE86"/>
  <c r="DD86"/>
  <c r="DC86"/>
  <c r="DB86"/>
  <c r="DA86"/>
  <c r="CZ86"/>
  <c r="CY86"/>
  <c r="CX86"/>
  <c r="CW86"/>
  <c r="CV86"/>
  <c r="CU86"/>
  <c r="CT86"/>
  <c r="CS86"/>
  <c r="CR86"/>
  <c r="CQ86"/>
  <c r="CP86"/>
  <c r="CO86"/>
  <c r="CN86"/>
  <c r="CM86"/>
  <c r="CL86"/>
  <c r="CK86"/>
  <c r="CJ86"/>
  <c r="CI86"/>
  <c r="CH86"/>
  <c r="CG86"/>
  <c r="CF86"/>
  <c r="CE86"/>
  <c r="CD86"/>
  <c r="CC86"/>
  <c r="CB86"/>
  <c r="CA86"/>
  <c r="BZ86"/>
  <c r="BY86"/>
  <c r="BX86"/>
  <c r="BW86"/>
  <c r="BV86"/>
  <c r="BU86"/>
  <c r="BT86"/>
  <c r="BS86"/>
  <c r="BR86"/>
  <c r="BQ86"/>
  <c r="BP86"/>
  <c r="BO86"/>
  <c r="BN86"/>
  <c r="E86"/>
  <c r="E300" s="1"/>
  <c r="D86"/>
  <c r="D300" s="1"/>
  <c r="C86"/>
  <c r="C300" s="1"/>
  <c r="B86"/>
  <c r="B300" s="1"/>
  <c r="A86"/>
  <c r="A300" s="1"/>
  <c r="DU85"/>
  <c r="DT85"/>
  <c r="DS85"/>
  <c r="DR85"/>
  <c r="DQ85"/>
  <c r="DP85"/>
  <c r="DO85"/>
  <c r="DN85"/>
  <c r="DM85"/>
  <c r="DL85"/>
  <c r="DK85"/>
  <c r="DJ85"/>
  <c r="DI85"/>
  <c r="DH85"/>
  <c r="DG85"/>
  <c r="DF85"/>
  <c r="DE85"/>
  <c r="DD85"/>
  <c r="DC85"/>
  <c r="DB85"/>
  <c r="DA85"/>
  <c r="CZ85"/>
  <c r="CY85"/>
  <c r="CX85"/>
  <c r="CW85"/>
  <c r="CV85"/>
  <c r="CU85"/>
  <c r="CT85"/>
  <c r="CS85"/>
  <c r="CR85"/>
  <c r="CQ85"/>
  <c r="CP85"/>
  <c r="CO85"/>
  <c r="CN85"/>
  <c r="CM85"/>
  <c r="CL85"/>
  <c r="CK85"/>
  <c r="CJ85"/>
  <c r="CI85"/>
  <c r="CH85"/>
  <c r="CG85"/>
  <c r="CF85"/>
  <c r="CE85"/>
  <c r="CD85"/>
  <c r="CC85"/>
  <c r="CB85"/>
  <c r="CA85"/>
  <c r="BZ85"/>
  <c r="BY85"/>
  <c r="BX85"/>
  <c r="BW85"/>
  <c r="BV85"/>
  <c r="BU85"/>
  <c r="BT85"/>
  <c r="BS85"/>
  <c r="BR85"/>
  <c r="BQ85"/>
  <c r="BP85"/>
  <c r="BO85"/>
  <c r="BN85"/>
  <c r="E85"/>
  <c r="B85"/>
  <c r="A85"/>
  <c r="DU84"/>
  <c r="DT84"/>
  <c r="DS84"/>
  <c r="DR84"/>
  <c r="DQ84"/>
  <c r="DP84"/>
  <c r="DO84"/>
  <c r="DN84"/>
  <c r="DM84"/>
  <c r="DL84"/>
  <c r="DK84"/>
  <c r="DJ84"/>
  <c r="DI84"/>
  <c r="DH84"/>
  <c r="DG84"/>
  <c r="DF84"/>
  <c r="DE84"/>
  <c r="DD84"/>
  <c r="DC84"/>
  <c r="DB84"/>
  <c r="DA84"/>
  <c r="CZ84"/>
  <c r="CY84"/>
  <c r="CX84"/>
  <c r="CW84"/>
  <c r="CV84"/>
  <c r="CU84"/>
  <c r="CT84"/>
  <c r="CS84"/>
  <c r="CR84"/>
  <c r="CQ84"/>
  <c r="CP84"/>
  <c r="CO84"/>
  <c r="CN84"/>
  <c r="CM84"/>
  <c r="CL84"/>
  <c r="CK84"/>
  <c r="CJ84"/>
  <c r="CI84"/>
  <c r="CH84"/>
  <c r="CG84"/>
  <c r="CF84"/>
  <c r="CE84"/>
  <c r="CD84"/>
  <c r="CC84"/>
  <c r="CB84"/>
  <c r="CA84"/>
  <c r="BZ84"/>
  <c r="BY84"/>
  <c r="BX84"/>
  <c r="BW84"/>
  <c r="BV84"/>
  <c r="BU84"/>
  <c r="BT84"/>
  <c r="BS84"/>
  <c r="BR84"/>
  <c r="BQ84"/>
  <c r="BP84"/>
  <c r="BO84"/>
  <c r="BN84"/>
  <c r="E84"/>
  <c r="E299" s="1"/>
  <c r="D84"/>
  <c r="D299" s="1"/>
  <c r="C84"/>
  <c r="C299" s="1"/>
  <c r="B84"/>
  <c r="B299" s="1"/>
  <c r="A84"/>
  <c r="A299" s="1"/>
  <c r="DU83"/>
  <c r="DT83"/>
  <c r="DS83"/>
  <c r="DR83"/>
  <c r="DQ83"/>
  <c r="DP83"/>
  <c r="DO83"/>
  <c r="DN83"/>
  <c r="DM83"/>
  <c r="DL83"/>
  <c r="DK83"/>
  <c r="DJ83"/>
  <c r="DI83"/>
  <c r="DH83"/>
  <c r="DG83"/>
  <c r="DF83"/>
  <c r="DE83"/>
  <c r="DD83"/>
  <c r="DC83"/>
  <c r="DB83"/>
  <c r="DA83"/>
  <c r="CZ83"/>
  <c r="CY83"/>
  <c r="CX83"/>
  <c r="CW83"/>
  <c r="CV83"/>
  <c r="CU83"/>
  <c r="CT83"/>
  <c r="CS83"/>
  <c r="CR83"/>
  <c r="CQ83"/>
  <c r="CP83"/>
  <c r="CO83"/>
  <c r="CN83"/>
  <c r="CM83"/>
  <c r="CL83"/>
  <c r="CK83"/>
  <c r="CJ83"/>
  <c r="CI83"/>
  <c r="CH83"/>
  <c r="CG83"/>
  <c r="CF83"/>
  <c r="CE83"/>
  <c r="CD83"/>
  <c r="CC83"/>
  <c r="CB83"/>
  <c r="CA83"/>
  <c r="BZ83"/>
  <c r="BY83"/>
  <c r="BX83"/>
  <c r="BW83"/>
  <c r="BV83"/>
  <c r="BU83"/>
  <c r="BT83"/>
  <c r="BS83"/>
  <c r="BR83"/>
  <c r="BQ83"/>
  <c r="BP83"/>
  <c r="BO83"/>
  <c r="BN83"/>
  <c r="E83"/>
  <c r="E298" s="1"/>
  <c r="D83"/>
  <c r="D298" s="1"/>
  <c r="C83"/>
  <c r="C298" s="1"/>
  <c r="B83"/>
  <c r="B298" s="1"/>
  <c r="A83"/>
  <c r="A298" s="1"/>
  <c r="DU82"/>
  <c r="DT82"/>
  <c r="DS82"/>
  <c r="DR82"/>
  <c r="DQ82"/>
  <c r="DP82"/>
  <c r="DO82"/>
  <c r="DN82"/>
  <c r="DM82"/>
  <c r="DL82"/>
  <c r="DK82"/>
  <c r="DJ82"/>
  <c r="DI82"/>
  <c r="DH82"/>
  <c r="DG82"/>
  <c r="DF82"/>
  <c r="DE82"/>
  <c r="DD82"/>
  <c r="DC82"/>
  <c r="DB82"/>
  <c r="DA82"/>
  <c r="CZ82"/>
  <c r="CY82"/>
  <c r="CX82"/>
  <c r="CW82"/>
  <c r="CV82"/>
  <c r="CU82"/>
  <c r="CT82"/>
  <c r="CS82"/>
  <c r="CR82"/>
  <c r="CQ82"/>
  <c r="CP82"/>
  <c r="CO82"/>
  <c r="CN82"/>
  <c r="CM82"/>
  <c r="CL82"/>
  <c r="CK82"/>
  <c r="CJ82"/>
  <c r="CI82"/>
  <c r="CH82"/>
  <c r="CG82"/>
  <c r="CF82"/>
  <c r="CE82"/>
  <c r="CD82"/>
  <c r="CC82"/>
  <c r="CB82"/>
  <c r="CA82"/>
  <c r="BZ82"/>
  <c r="BY82"/>
  <c r="BX82"/>
  <c r="BW82"/>
  <c r="BV82"/>
  <c r="BU82"/>
  <c r="BT82"/>
  <c r="BS82"/>
  <c r="BR82"/>
  <c r="BQ82"/>
  <c r="BP82"/>
  <c r="BO82"/>
  <c r="BN82"/>
  <c r="E82"/>
  <c r="E297" s="1"/>
  <c r="D82"/>
  <c r="D297" s="1"/>
  <c r="C82"/>
  <c r="C297" s="1"/>
  <c r="B82"/>
  <c r="B297" s="1"/>
  <c r="A82"/>
  <c r="A297" s="1"/>
  <c r="DU81"/>
  <c r="DT81"/>
  <c r="DS81"/>
  <c r="DR81"/>
  <c r="DQ81"/>
  <c r="DP81"/>
  <c r="DO81"/>
  <c r="DN81"/>
  <c r="DM81"/>
  <c r="DL81"/>
  <c r="DK81"/>
  <c r="DJ81"/>
  <c r="DI81"/>
  <c r="DH81"/>
  <c r="DG81"/>
  <c r="DF81"/>
  <c r="DE81"/>
  <c r="DD81"/>
  <c r="DC81"/>
  <c r="DB81"/>
  <c r="DA81"/>
  <c r="CZ81"/>
  <c r="CY81"/>
  <c r="CX81"/>
  <c r="CW81"/>
  <c r="CV81"/>
  <c r="CU81"/>
  <c r="CT81"/>
  <c r="CS81"/>
  <c r="CR81"/>
  <c r="CQ81"/>
  <c r="CP81"/>
  <c r="CO81"/>
  <c r="CN81"/>
  <c r="CM81"/>
  <c r="CL81"/>
  <c r="CK81"/>
  <c r="CJ81"/>
  <c r="CI81"/>
  <c r="CH81"/>
  <c r="CG81"/>
  <c r="CF81"/>
  <c r="CE81"/>
  <c r="CD81"/>
  <c r="CC81"/>
  <c r="CB81"/>
  <c r="CA81"/>
  <c r="BZ81"/>
  <c r="BY81"/>
  <c r="BX81"/>
  <c r="BW81"/>
  <c r="BV81"/>
  <c r="BU81"/>
  <c r="BT81"/>
  <c r="BS81"/>
  <c r="BR81"/>
  <c r="BQ81"/>
  <c r="BP81"/>
  <c r="BO81"/>
  <c r="BN81"/>
  <c r="E81"/>
  <c r="D81"/>
  <c r="D296" s="1"/>
  <c r="C81"/>
  <c r="C296" s="1"/>
  <c r="B81"/>
  <c r="B296" s="1"/>
  <c r="A81"/>
  <c r="A296" s="1"/>
  <c r="DU80"/>
  <c r="DT80"/>
  <c r="DS80"/>
  <c r="DR80"/>
  <c r="DQ80"/>
  <c r="DP80"/>
  <c r="DO80"/>
  <c r="DN80"/>
  <c r="DM80"/>
  <c r="DL80"/>
  <c r="DK80"/>
  <c r="DJ80"/>
  <c r="DI80"/>
  <c r="DH80"/>
  <c r="DG80"/>
  <c r="DF80"/>
  <c r="DE80"/>
  <c r="DD80"/>
  <c r="DC80"/>
  <c r="DB80"/>
  <c r="DA80"/>
  <c r="CZ80"/>
  <c r="CY80"/>
  <c r="CX80"/>
  <c r="CW80"/>
  <c r="CV80"/>
  <c r="CU80"/>
  <c r="CT80"/>
  <c r="CS80"/>
  <c r="CR80"/>
  <c r="CQ80"/>
  <c r="CP80"/>
  <c r="CO80"/>
  <c r="CN80"/>
  <c r="CM80"/>
  <c r="CL80"/>
  <c r="CK80"/>
  <c r="CJ80"/>
  <c r="CI80"/>
  <c r="CH80"/>
  <c r="CG80"/>
  <c r="CF80"/>
  <c r="CE80"/>
  <c r="CD80"/>
  <c r="CC80"/>
  <c r="CB80"/>
  <c r="CA80"/>
  <c r="BZ80"/>
  <c r="BY80"/>
  <c r="BX80"/>
  <c r="BW80"/>
  <c r="BV80"/>
  <c r="BU80"/>
  <c r="BT80"/>
  <c r="BS80"/>
  <c r="BR80"/>
  <c r="BQ80"/>
  <c r="BP80"/>
  <c r="BO80"/>
  <c r="BN80"/>
  <c r="E80"/>
  <c r="E295" s="1"/>
  <c r="D80"/>
  <c r="D295" s="1"/>
  <c r="C80"/>
  <c r="C295" s="1"/>
  <c r="B80"/>
  <c r="B295" s="1"/>
  <c r="A80"/>
  <c r="A295" s="1"/>
  <c r="DU79"/>
  <c r="DT79"/>
  <c r="DS79"/>
  <c r="DR79"/>
  <c r="DQ79"/>
  <c r="DP79"/>
  <c r="DO79"/>
  <c r="DN79"/>
  <c r="DM79"/>
  <c r="DL79"/>
  <c r="DK79"/>
  <c r="DJ79"/>
  <c r="DI79"/>
  <c r="DH79"/>
  <c r="DG79"/>
  <c r="DF79"/>
  <c r="DE79"/>
  <c r="DD79"/>
  <c r="DC79"/>
  <c r="DB79"/>
  <c r="DA79"/>
  <c r="CZ79"/>
  <c r="CY79"/>
  <c r="CX79"/>
  <c r="CW79"/>
  <c r="CV79"/>
  <c r="CU79"/>
  <c r="CT79"/>
  <c r="CS79"/>
  <c r="CR79"/>
  <c r="CQ79"/>
  <c r="CP79"/>
  <c r="CO79"/>
  <c r="CN79"/>
  <c r="CM79"/>
  <c r="CL79"/>
  <c r="CK79"/>
  <c r="CJ79"/>
  <c r="CI79"/>
  <c r="CH79"/>
  <c r="CG79"/>
  <c r="CF79"/>
  <c r="CE79"/>
  <c r="CD79"/>
  <c r="CC79"/>
  <c r="CB79"/>
  <c r="CA79"/>
  <c r="BZ79"/>
  <c r="BY79"/>
  <c r="BX79"/>
  <c r="BW79"/>
  <c r="BV79"/>
  <c r="BU79"/>
  <c r="BT79"/>
  <c r="BS79"/>
  <c r="BR79"/>
  <c r="BQ79"/>
  <c r="BP79"/>
  <c r="BO79"/>
  <c r="BN79"/>
  <c r="E79"/>
  <c r="E294" s="1"/>
  <c r="D79"/>
  <c r="D294" s="1"/>
  <c r="C79"/>
  <c r="C294" s="1"/>
  <c r="B79"/>
  <c r="B294" s="1"/>
  <c r="A79"/>
  <c r="A294" s="1"/>
  <c r="DU78"/>
  <c r="DT78"/>
  <c r="DS78"/>
  <c r="DR78"/>
  <c r="DQ78"/>
  <c r="DP78"/>
  <c r="DO78"/>
  <c r="DN78"/>
  <c r="DM78"/>
  <c r="DL78"/>
  <c r="DK78"/>
  <c r="DJ78"/>
  <c r="DI78"/>
  <c r="DH78"/>
  <c r="DG78"/>
  <c r="DF78"/>
  <c r="DE78"/>
  <c r="DD78"/>
  <c r="DC78"/>
  <c r="DB78"/>
  <c r="DA78"/>
  <c r="CZ78"/>
  <c r="CY78"/>
  <c r="CX78"/>
  <c r="CW78"/>
  <c r="CV78"/>
  <c r="CU78"/>
  <c r="CT78"/>
  <c r="CS78"/>
  <c r="CR78"/>
  <c r="CQ78"/>
  <c r="CP78"/>
  <c r="CO78"/>
  <c r="CN78"/>
  <c r="CM78"/>
  <c r="CL78"/>
  <c r="CK78"/>
  <c r="CJ78"/>
  <c r="CI78"/>
  <c r="CH78"/>
  <c r="CG78"/>
  <c r="CF78"/>
  <c r="CE78"/>
  <c r="CD78"/>
  <c r="CC78"/>
  <c r="CB78"/>
  <c r="CA78"/>
  <c r="BZ78"/>
  <c r="BY78"/>
  <c r="BX78"/>
  <c r="BW78"/>
  <c r="BV78"/>
  <c r="BU78"/>
  <c r="BT78"/>
  <c r="BS78"/>
  <c r="BR78"/>
  <c r="BQ78"/>
  <c r="BP78"/>
  <c r="BO78"/>
  <c r="BN78"/>
  <c r="E78"/>
  <c r="E293" s="1"/>
  <c r="D78"/>
  <c r="D293" s="1"/>
  <c r="C78"/>
  <c r="C293" s="1"/>
  <c r="B78"/>
  <c r="B293" s="1"/>
  <c r="A78"/>
  <c r="A293" s="1"/>
  <c r="DU77"/>
  <c r="DT77"/>
  <c r="DS77"/>
  <c r="DR77"/>
  <c r="DQ77"/>
  <c r="DP77"/>
  <c r="DO77"/>
  <c r="DN77"/>
  <c r="DM77"/>
  <c r="DL77"/>
  <c r="DK77"/>
  <c r="DJ77"/>
  <c r="DI77"/>
  <c r="DH77"/>
  <c r="DG77"/>
  <c r="DF77"/>
  <c r="DE77"/>
  <c r="DD77"/>
  <c r="DC77"/>
  <c r="DB77"/>
  <c r="DA77"/>
  <c r="CZ77"/>
  <c r="CY77"/>
  <c r="CX77"/>
  <c r="CW77"/>
  <c r="CV77"/>
  <c r="CU77"/>
  <c r="CT77"/>
  <c r="CS77"/>
  <c r="CR77"/>
  <c r="CQ77"/>
  <c r="CP77"/>
  <c r="CO77"/>
  <c r="CN77"/>
  <c r="CM77"/>
  <c r="CL77"/>
  <c r="CK77"/>
  <c r="CJ77"/>
  <c r="CI77"/>
  <c r="CH77"/>
  <c r="CG77"/>
  <c r="CF77"/>
  <c r="CE77"/>
  <c r="CD77"/>
  <c r="CC77"/>
  <c r="CB77"/>
  <c r="CA77"/>
  <c r="BZ77"/>
  <c r="BY77"/>
  <c r="BX77"/>
  <c r="BW77"/>
  <c r="BV77"/>
  <c r="BU77"/>
  <c r="BT77"/>
  <c r="BS77"/>
  <c r="BR77"/>
  <c r="BQ77"/>
  <c r="BP77"/>
  <c r="BO77"/>
  <c r="BN77"/>
  <c r="E77"/>
  <c r="E292" s="1"/>
  <c r="D77"/>
  <c r="D292" s="1"/>
  <c r="C77"/>
  <c r="C292" s="1"/>
  <c r="B77"/>
  <c r="B292" s="1"/>
  <c r="A77"/>
  <c r="A292" s="1"/>
  <c r="DU76"/>
  <c r="DT76"/>
  <c r="DS76"/>
  <c r="DR76"/>
  <c r="DQ76"/>
  <c r="DP76"/>
  <c r="DO76"/>
  <c r="DN76"/>
  <c r="DM76"/>
  <c r="DL76"/>
  <c r="DK76"/>
  <c r="DJ76"/>
  <c r="DI76"/>
  <c r="DH76"/>
  <c r="DG76"/>
  <c r="DF76"/>
  <c r="DE76"/>
  <c r="DD76"/>
  <c r="DC76"/>
  <c r="DB76"/>
  <c r="DA76"/>
  <c r="CZ76"/>
  <c r="CY76"/>
  <c r="CX76"/>
  <c r="CW76"/>
  <c r="CV76"/>
  <c r="CU76"/>
  <c r="CT76"/>
  <c r="CS76"/>
  <c r="CR76"/>
  <c r="CQ76"/>
  <c r="CP76"/>
  <c r="CO76"/>
  <c r="CN76"/>
  <c r="CM76"/>
  <c r="CL76"/>
  <c r="CK76"/>
  <c r="CJ76"/>
  <c r="CI76"/>
  <c r="CH76"/>
  <c r="CG76"/>
  <c r="CF76"/>
  <c r="CE76"/>
  <c r="CD76"/>
  <c r="CC76"/>
  <c r="CB76"/>
  <c r="CA76"/>
  <c r="BZ76"/>
  <c r="BY76"/>
  <c r="BX76"/>
  <c r="BW76"/>
  <c r="BV76"/>
  <c r="BU76"/>
  <c r="BT76"/>
  <c r="BS76"/>
  <c r="BR76"/>
  <c r="BQ76"/>
  <c r="BP76"/>
  <c r="BO76"/>
  <c r="BN76"/>
  <c r="E76"/>
  <c r="B76"/>
  <c r="A76"/>
  <c r="DU75"/>
  <c r="DT75"/>
  <c r="DS75"/>
  <c r="DR75"/>
  <c r="DQ75"/>
  <c r="DP75"/>
  <c r="DO75"/>
  <c r="DN75"/>
  <c r="DM75"/>
  <c r="DL75"/>
  <c r="DK75"/>
  <c r="DJ75"/>
  <c r="DI75"/>
  <c r="DH75"/>
  <c r="DG75"/>
  <c r="DF75"/>
  <c r="DE75"/>
  <c r="DD75"/>
  <c r="DC75"/>
  <c r="DB75"/>
  <c r="DA75"/>
  <c r="CZ75"/>
  <c r="CY75"/>
  <c r="CX75"/>
  <c r="CW75"/>
  <c r="CV75"/>
  <c r="CU75"/>
  <c r="CT75"/>
  <c r="CS75"/>
  <c r="CR75"/>
  <c r="CQ75"/>
  <c r="CP75"/>
  <c r="CO75"/>
  <c r="CN75"/>
  <c r="CM75"/>
  <c r="CL75"/>
  <c r="CK75"/>
  <c r="CJ75"/>
  <c r="CI75"/>
  <c r="CH75"/>
  <c r="CG75"/>
  <c r="CF75"/>
  <c r="CE75"/>
  <c r="CD75"/>
  <c r="CC75"/>
  <c r="CB75"/>
  <c r="CA75"/>
  <c r="BZ75"/>
  <c r="BY75"/>
  <c r="BX75"/>
  <c r="BW75"/>
  <c r="BV75"/>
  <c r="BU75"/>
  <c r="BT75"/>
  <c r="BS75"/>
  <c r="BR75"/>
  <c r="BQ75"/>
  <c r="BP75"/>
  <c r="BO75"/>
  <c r="BN75"/>
  <c r="E75"/>
  <c r="E291" s="1"/>
  <c r="D75"/>
  <c r="D291" s="1"/>
  <c r="C75"/>
  <c r="C291" s="1"/>
  <c r="B75"/>
  <c r="B291" s="1"/>
  <c r="A75"/>
  <c r="A291" s="1"/>
  <c r="DU74"/>
  <c r="DT74"/>
  <c r="DS74"/>
  <c r="DR74"/>
  <c r="DQ74"/>
  <c r="DP74"/>
  <c r="DO74"/>
  <c r="DN74"/>
  <c r="DM74"/>
  <c r="DL74"/>
  <c r="DK74"/>
  <c r="DJ74"/>
  <c r="DI74"/>
  <c r="DH74"/>
  <c r="DG74"/>
  <c r="DF74"/>
  <c r="DE74"/>
  <c r="DD74"/>
  <c r="DC74"/>
  <c r="DB74"/>
  <c r="DA74"/>
  <c r="CZ74"/>
  <c r="CY74"/>
  <c r="CX74"/>
  <c r="CW74"/>
  <c r="CV74"/>
  <c r="CU74"/>
  <c r="CT74"/>
  <c r="CS74"/>
  <c r="CR74"/>
  <c r="CQ74"/>
  <c r="CP74"/>
  <c r="CO74"/>
  <c r="CN74"/>
  <c r="CM74"/>
  <c r="CL74"/>
  <c r="CK74"/>
  <c r="CJ74"/>
  <c r="CI74"/>
  <c r="CH74"/>
  <c r="CG74"/>
  <c r="CF74"/>
  <c r="CE74"/>
  <c r="CD74"/>
  <c r="CC74"/>
  <c r="CB74"/>
  <c r="CA74"/>
  <c r="BZ74"/>
  <c r="BY74"/>
  <c r="BX74"/>
  <c r="BW74"/>
  <c r="BV74"/>
  <c r="BU74"/>
  <c r="BT74"/>
  <c r="BS74"/>
  <c r="BR74"/>
  <c r="BQ74"/>
  <c r="BP74"/>
  <c r="BO74"/>
  <c r="BN74"/>
  <c r="E74"/>
  <c r="E290" s="1"/>
  <c r="D74"/>
  <c r="D290" s="1"/>
  <c r="C74"/>
  <c r="C290" s="1"/>
  <c r="B74"/>
  <c r="B290" s="1"/>
  <c r="A74"/>
  <c r="A290" s="1"/>
  <c r="DU73"/>
  <c r="DT73"/>
  <c r="DS73"/>
  <c r="DR73"/>
  <c r="DQ73"/>
  <c r="DP73"/>
  <c r="DO73"/>
  <c r="DN73"/>
  <c r="DM73"/>
  <c r="DL73"/>
  <c r="DK73"/>
  <c r="DJ73"/>
  <c r="DI73"/>
  <c r="DH73"/>
  <c r="DG73"/>
  <c r="DF73"/>
  <c r="DE73"/>
  <c r="DD73"/>
  <c r="DC73"/>
  <c r="DB73"/>
  <c r="DA73"/>
  <c r="CZ73"/>
  <c r="CY73"/>
  <c r="CX73"/>
  <c r="CW73"/>
  <c r="CV73"/>
  <c r="CU73"/>
  <c r="CT73"/>
  <c r="CS73"/>
  <c r="CR73"/>
  <c r="CQ73"/>
  <c r="CP73"/>
  <c r="CO73"/>
  <c r="CN73"/>
  <c r="CM73"/>
  <c r="CL73"/>
  <c r="CK73"/>
  <c r="CJ73"/>
  <c r="CI73"/>
  <c r="CH73"/>
  <c r="CG73"/>
  <c r="CF73"/>
  <c r="CE73"/>
  <c r="CD73"/>
  <c r="CC73"/>
  <c r="CB73"/>
  <c r="CA73"/>
  <c r="BZ73"/>
  <c r="BY73"/>
  <c r="BX73"/>
  <c r="BW73"/>
  <c r="BV73"/>
  <c r="BU73"/>
  <c r="BT73"/>
  <c r="BS73"/>
  <c r="BR73"/>
  <c r="BQ73"/>
  <c r="BP73"/>
  <c r="BO73"/>
  <c r="BN73"/>
  <c r="E73"/>
  <c r="E289" s="1"/>
  <c r="D73"/>
  <c r="D289" s="1"/>
  <c r="C73"/>
  <c r="C289" s="1"/>
  <c r="B73"/>
  <c r="A73"/>
  <c r="A289" s="1"/>
  <c r="DU72"/>
  <c r="DT72"/>
  <c r="DS72"/>
  <c r="DR72"/>
  <c r="DQ72"/>
  <c r="DP72"/>
  <c r="DO72"/>
  <c r="DN72"/>
  <c r="DM72"/>
  <c r="DL72"/>
  <c r="DK72"/>
  <c r="DJ72"/>
  <c r="DI72"/>
  <c r="DH72"/>
  <c r="DG72"/>
  <c r="DF72"/>
  <c r="DE72"/>
  <c r="DD72"/>
  <c r="DC72"/>
  <c r="DB72"/>
  <c r="DA72"/>
  <c r="CZ72"/>
  <c r="CY72"/>
  <c r="CX72"/>
  <c r="CW72"/>
  <c r="CV72"/>
  <c r="CU72"/>
  <c r="CT72"/>
  <c r="CS72"/>
  <c r="CR72"/>
  <c r="CQ72"/>
  <c r="CP72"/>
  <c r="CO72"/>
  <c r="CN72"/>
  <c r="CM72"/>
  <c r="CL72"/>
  <c r="CK72"/>
  <c r="CJ72"/>
  <c r="CI72"/>
  <c r="CH72"/>
  <c r="CG72"/>
  <c r="CF72"/>
  <c r="CE72"/>
  <c r="CD72"/>
  <c r="CC72"/>
  <c r="CB72"/>
  <c r="CA72"/>
  <c r="BZ72"/>
  <c r="BY72"/>
  <c r="BX72"/>
  <c r="BW72"/>
  <c r="BV72"/>
  <c r="BU72"/>
  <c r="BT72"/>
  <c r="BS72"/>
  <c r="BR72"/>
  <c r="BQ72"/>
  <c r="BP72"/>
  <c r="BO72"/>
  <c r="BN72"/>
  <c r="E72"/>
  <c r="E288" s="1"/>
  <c r="D72"/>
  <c r="D288" s="1"/>
  <c r="C72"/>
  <c r="C288" s="1"/>
  <c r="B72"/>
  <c r="B288" s="1"/>
  <c r="A72"/>
  <c r="A288" s="1"/>
  <c r="DU71"/>
  <c r="DT71"/>
  <c r="DS71"/>
  <c r="DR71"/>
  <c r="DQ71"/>
  <c r="DP71"/>
  <c r="DO71"/>
  <c r="DN71"/>
  <c r="DM71"/>
  <c r="DL71"/>
  <c r="DK71"/>
  <c r="DJ71"/>
  <c r="DI71"/>
  <c r="DH71"/>
  <c r="DG71"/>
  <c r="DF71"/>
  <c r="DE71"/>
  <c r="DD71"/>
  <c r="DC71"/>
  <c r="DB71"/>
  <c r="DA71"/>
  <c r="CZ71"/>
  <c r="CY71"/>
  <c r="CX71"/>
  <c r="CW71"/>
  <c r="CV71"/>
  <c r="CU71"/>
  <c r="CT71"/>
  <c r="CS71"/>
  <c r="CR71"/>
  <c r="CQ71"/>
  <c r="CP71"/>
  <c r="CO71"/>
  <c r="CN71"/>
  <c r="CM71"/>
  <c r="CL71"/>
  <c r="CK71"/>
  <c r="CJ71"/>
  <c r="CI71"/>
  <c r="CH71"/>
  <c r="CG71"/>
  <c r="CF71"/>
  <c r="CE71"/>
  <c r="CD71"/>
  <c r="CC71"/>
  <c r="CB71"/>
  <c r="CA71"/>
  <c r="BZ71"/>
  <c r="BY71"/>
  <c r="BX71"/>
  <c r="BW71"/>
  <c r="BV71"/>
  <c r="BU71"/>
  <c r="BT71"/>
  <c r="BS71"/>
  <c r="BR71"/>
  <c r="BQ71"/>
  <c r="BP71"/>
  <c r="BO71"/>
  <c r="BN71"/>
  <c r="E71"/>
  <c r="E287" s="1"/>
  <c r="D71"/>
  <c r="D287" s="1"/>
  <c r="C71"/>
  <c r="C287" s="1"/>
  <c r="B71"/>
  <c r="B287" s="1"/>
  <c r="A71"/>
  <c r="A287" s="1"/>
  <c r="DU70"/>
  <c r="DT70"/>
  <c r="DS70"/>
  <c r="DR70"/>
  <c r="DQ70"/>
  <c r="DP70"/>
  <c r="DO70"/>
  <c r="DN70"/>
  <c r="DM70"/>
  <c r="DL70"/>
  <c r="DK70"/>
  <c r="DJ70"/>
  <c r="DI70"/>
  <c r="DH70"/>
  <c r="DG70"/>
  <c r="DF70"/>
  <c r="DE70"/>
  <c r="DD70"/>
  <c r="DC70"/>
  <c r="DB70"/>
  <c r="DA70"/>
  <c r="CZ70"/>
  <c r="CY70"/>
  <c r="CX70"/>
  <c r="CW70"/>
  <c r="CV70"/>
  <c r="CU70"/>
  <c r="CT70"/>
  <c r="CS70"/>
  <c r="CR70"/>
  <c r="CQ70"/>
  <c r="CP70"/>
  <c r="CO70"/>
  <c r="CN70"/>
  <c r="CM70"/>
  <c r="CL70"/>
  <c r="CK70"/>
  <c r="CJ70"/>
  <c r="CI70"/>
  <c r="CH70"/>
  <c r="CG70"/>
  <c r="CF70"/>
  <c r="CE70"/>
  <c r="CD70"/>
  <c r="CC70"/>
  <c r="CB70"/>
  <c r="CA70"/>
  <c r="BZ70"/>
  <c r="BY70"/>
  <c r="BX70"/>
  <c r="BW70"/>
  <c r="BV70"/>
  <c r="BU70"/>
  <c r="BT70"/>
  <c r="BS70"/>
  <c r="BR70"/>
  <c r="BQ70"/>
  <c r="BP70"/>
  <c r="BO70"/>
  <c r="BN70"/>
  <c r="E70"/>
  <c r="E286" s="1"/>
  <c r="D70"/>
  <c r="D286" s="1"/>
  <c r="C70"/>
  <c r="C286" s="1"/>
  <c r="B70"/>
  <c r="B286" s="1"/>
  <c r="A70"/>
  <c r="A286" s="1"/>
  <c r="DU69"/>
  <c r="DT69"/>
  <c r="DS69"/>
  <c r="DR69"/>
  <c r="DQ69"/>
  <c r="DP69"/>
  <c r="DO69"/>
  <c r="DN69"/>
  <c r="DM69"/>
  <c r="DL69"/>
  <c r="DK69"/>
  <c r="DJ69"/>
  <c r="DI69"/>
  <c r="DH69"/>
  <c r="DG69"/>
  <c r="DF69"/>
  <c r="DE69"/>
  <c r="DD69"/>
  <c r="DC69"/>
  <c r="DB69"/>
  <c r="DA69"/>
  <c r="CZ69"/>
  <c r="CY69"/>
  <c r="CX69"/>
  <c r="CW69"/>
  <c r="CV69"/>
  <c r="CU69"/>
  <c r="CT69"/>
  <c r="CS69"/>
  <c r="CR69"/>
  <c r="CQ69"/>
  <c r="CP69"/>
  <c r="CO69"/>
  <c r="CN69"/>
  <c r="CM69"/>
  <c r="CL69"/>
  <c r="CK69"/>
  <c r="CJ69"/>
  <c r="CI69"/>
  <c r="CH69"/>
  <c r="CG69"/>
  <c r="CF69"/>
  <c r="CE69"/>
  <c r="CD69"/>
  <c r="CC69"/>
  <c r="CB69"/>
  <c r="CA69"/>
  <c r="BZ69"/>
  <c r="BY69"/>
  <c r="BX69"/>
  <c r="BW69"/>
  <c r="BV69"/>
  <c r="BU69"/>
  <c r="BT69"/>
  <c r="BS69"/>
  <c r="BR69"/>
  <c r="BQ69"/>
  <c r="BP69"/>
  <c r="BO69"/>
  <c r="BN69"/>
  <c r="E69"/>
  <c r="E285" s="1"/>
  <c r="D69"/>
  <c r="D285" s="1"/>
  <c r="C69"/>
  <c r="C285" s="1"/>
  <c r="B69"/>
  <c r="B285" s="1"/>
  <c r="A69"/>
  <c r="A285" s="1"/>
  <c r="DU68"/>
  <c r="DT68"/>
  <c r="DS68"/>
  <c r="DR68"/>
  <c r="DQ68"/>
  <c r="DP68"/>
  <c r="DO68"/>
  <c r="DN68"/>
  <c r="DM68"/>
  <c r="DL68"/>
  <c r="DK68"/>
  <c r="DJ68"/>
  <c r="DI68"/>
  <c r="DH68"/>
  <c r="DG68"/>
  <c r="DF68"/>
  <c r="DE68"/>
  <c r="DD68"/>
  <c r="DC68"/>
  <c r="DB68"/>
  <c r="DA68"/>
  <c r="CZ68"/>
  <c r="CY68"/>
  <c r="CX68"/>
  <c r="CW68"/>
  <c r="CV68"/>
  <c r="CU68"/>
  <c r="CT68"/>
  <c r="CS68"/>
  <c r="CR68"/>
  <c r="CQ68"/>
  <c r="CP68"/>
  <c r="CO68"/>
  <c r="CN68"/>
  <c r="CM68"/>
  <c r="CL68"/>
  <c r="CK68"/>
  <c r="CJ68"/>
  <c r="CI68"/>
  <c r="CH68"/>
  <c r="CG68"/>
  <c r="CF68"/>
  <c r="CE68"/>
  <c r="CD68"/>
  <c r="CC68"/>
  <c r="CB68"/>
  <c r="CA68"/>
  <c r="BZ68"/>
  <c r="BY68"/>
  <c r="BX68"/>
  <c r="BW68"/>
  <c r="BV68"/>
  <c r="BU68"/>
  <c r="BT68"/>
  <c r="BS68"/>
  <c r="BR68"/>
  <c r="BQ68"/>
  <c r="BP68"/>
  <c r="BO68"/>
  <c r="BN68"/>
  <c r="E68"/>
  <c r="E284" s="1"/>
  <c r="D68"/>
  <c r="D284" s="1"/>
  <c r="C68"/>
  <c r="C284" s="1"/>
  <c r="B68"/>
  <c r="B284" s="1"/>
  <c r="A68"/>
  <c r="A284" s="1"/>
  <c r="DU67"/>
  <c r="DT67"/>
  <c r="DS67"/>
  <c r="DR67"/>
  <c r="DQ67"/>
  <c r="DP67"/>
  <c r="DO67"/>
  <c r="DN67"/>
  <c r="DM67"/>
  <c r="DL67"/>
  <c r="DK67"/>
  <c r="DJ67"/>
  <c r="DI67"/>
  <c r="DH67"/>
  <c r="DG67"/>
  <c r="DF67"/>
  <c r="DE67"/>
  <c r="DD67"/>
  <c r="DC67"/>
  <c r="DB67"/>
  <c r="DA67"/>
  <c r="CZ67"/>
  <c r="CY67"/>
  <c r="CX67"/>
  <c r="CW67"/>
  <c r="CV67"/>
  <c r="CU67"/>
  <c r="CT67"/>
  <c r="CS67"/>
  <c r="CR67"/>
  <c r="CQ67"/>
  <c r="CP67"/>
  <c r="CO67"/>
  <c r="CN67"/>
  <c r="CM67"/>
  <c r="CL67"/>
  <c r="CK67"/>
  <c r="CJ67"/>
  <c r="CI67"/>
  <c r="CH67"/>
  <c r="CG67"/>
  <c r="CF67"/>
  <c r="CE67"/>
  <c r="CD67"/>
  <c r="CC67"/>
  <c r="CB67"/>
  <c r="CA67"/>
  <c r="BZ67"/>
  <c r="BY67"/>
  <c r="BX67"/>
  <c r="BW67"/>
  <c r="BV67"/>
  <c r="BU67"/>
  <c r="BT67"/>
  <c r="BS67"/>
  <c r="BR67"/>
  <c r="BQ67"/>
  <c r="BP67"/>
  <c r="BO67"/>
  <c r="BN67"/>
  <c r="E67"/>
  <c r="B67"/>
  <c r="A67"/>
  <c r="DU66"/>
  <c r="DT66"/>
  <c r="DS66"/>
  <c r="DR66"/>
  <c r="DQ66"/>
  <c r="DP66"/>
  <c r="DO66"/>
  <c r="DN66"/>
  <c r="DM66"/>
  <c r="DL66"/>
  <c r="DK66"/>
  <c r="DJ66"/>
  <c r="DI66"/>
  <c r="DH66"/>
  <c r="DG66"/>
  <c r="DF66"/>
  <c r="DE66"/>
  <c r="DD66"/>
  <c r="DC66"/>
  <c r="DB66"/>
  <c r="DA66"/>
  <c r="CZ66"/>
  <c r="CY66"/>
  <c r="CX66"/>
  <c r="CW66"/>
  <c r="CV66"/>
  <c r="CU66"/>
  <c r="CT66"/>
  <c r="CS66"/>
  <c r="CR66"/>
  <c r="CQ66"/>
  <c r="CP66"/>
  <c r="CO66"/>
  <c r="CN66"/>
  <c r="CM66"/>
  <c r="CL66"/>
  <c r="CK66"/>
  <c r="CJ66"/>
  <c r="CI66"/>
  <c r="CH66"/>
  <c r="CG66"/>
  <c r="CF66"/>
  <c r="CE66"/>
  <c r="CD66"/>
  <c r="CC66"/>
  <c r="CB66"/>
  <c r="CA66"/>
  <c r="BZ66"/>
  <c r="BY66"/>
  <c r="BX66"/>
  <c r="BW66"/>
  <c r="BV66"/>
  <c r="BU66"/>
  <c r="BT66"/>
  <c r="BS66"/>
  <c r="BR66"/>
  <c r="BQ66"/>
  <c r="BP66"/>
  <c r="BO66"/>
  <c r="BN66"/>
  <c r="E66"/>
  <c r="E283" s="1"/>
  <c r="D66"/>
  <c r="D283" s="1"/>
  <c r="C66"/>
  <c r="C283" s="1"/>
  <c r="B66"/>
  <c r="B283" s="1"/>
  <c r="A66"/>
  <c r="A283" s="1"/>
  <c r="DU65"/>
  <c r="DT65"/>
  <c r="DS65"/>
  <c r="DR65"/>
  <c r="DQ65"/>
  <c r="DP65"/>
  <c r="DO65"/>
  <c r="DN65"/>
  <c r="DM65"/>
  <c r="DL65"/>
  <c r="DK65"/>
  <c r="DJ65"/>
  <c r="DI65"/>
  <c r="DH65"/>
  <c r="DG65"/>
  <c r="DF65"/>
  <c r="DE65"/>
  <c r="DD65"/>
  <c r="DC65"/>
  <c r="DB65"/>
  <c r="DA65"/>
  <c r="CZ65"/>
  <c r="CY65"/>
  <c r="CX65"/>
  <c r="CW65"/>
  <c r="CV65"/>
  <c r="CU65"/>
  <c r="CT65"/>
  <c r="CS65"/>
  <c r="CR65"/>
  <c r="CQ65"/>
  <c r="CP65"/>
  <c r="CO65"/>
  <c r="CN65"/>
  <c r="CM65"/>
  <c r="CL65"/>
  <c r="CK65"/>
  <c r="CJ65"/>
  <c r="CI65"/>
  <c r="CH65"/>
  <c r="CG65"/>
  <c r="CF65"/>
  <c r="CE65"/>
  <c r="CD65"/>
  <c r="CC65"/>
  <c r="CB65"/>
  <c r="CA65"/>
  <c r="BZ65"/>
  <c r="BY65"/>
  <c r="BX65"/>
  <c r="BW65"/>
  <c r="BV65"/>
  <c r="BU65"/>
  <c r="BT65"/>
  <c r="BS65"/>
  <c r="BR65"/>
  <c r="BQ65"/>
  <c r="BP65"/>
  <c r="BO65"/>
  <c r="BN65"/>
  <c r="E65"/>
  <c r="E282" s="1"/>
  <c r="D65"/>
  <c r="D282" s="1"/>
  <c r="C65"/>
  <c r="C282" s="1"/>
  <c r="B65"/>
  <c r="B282" s="1"/>
  <c r="A65"/>
  <c r="A282" s="1"/>
  <c r="DU64"/>
  <c r="DT64"/>
  <c r="DS64"/>
  <c r="DR64"/>
  <c r="DQ64"/>
  <c r="DP64"/>
  <c r="DO64"/>
  <c r="DN64"/>
  <c r="DM64"/>
  <c r="DL64"/>
  <c r="DK64"/>
  <c r="DJ64"/>
  <c r="DI64"/>
  <c r="DH64"/>
  <c r="DG64"/>
  <c r="DF64"/>
  <c r="DE64"/>
  <c r="DD64"/>
  <c r="DC64"/>
  <c r="DB64"/>
  <c r="DA64"/>
  <c r="CZ64"/>
  <c r="CY64"/>
  <c r="CX64"/>
  <c r="CW64"/>
  <c r="CV64"/>
  <c r="CU64"/>
  <c r="CT64"/>
  <c r="CS64"/>
  <c r="CR64"/>
  <c r="CQ64"/>
  <c r="CP64"/>
  <c r="CO64"/>
  <c r="CN64"/>
  <c r="CM64"/>
  <c r="CL64"/>
  <c r="CK64"/>
  <c r="CJ64"/>
  <c r="CI64"/>
  <c r="CH64"/>
  <c r="CG64"/>
  <c r="CF64"/>
  <c r="CE64"/>
  <c r="CD64"/>
  <c r="CC64"/>
  <c r="CB64"/>
  <c r="CA64"/>
  <c r="BZ64"/>
  <c r="BY64"/>
  <c r="BX64"/>
  <c r="BW64"/>
  <c r="BV64"/>
  <c r="BU64"/>
  <c r="BT64"/>
  <c r="BS64"/>
  <c r="BR64"/>
  <c r="BQ64"/>
  <c r="BP64"/>
  <c r="BO64"/>
  <c r="BN64"/>
  <c r="E64"/>
  <c r="E281" s="1"/>
  <c r="D64"/>
  <c r="D281" s="1"/>
  <c r="C64"/>
  <c r="B64"/>
  <c r="B281" s="1"/>
  <c r="A64"/>
  <c r="A281" s="1"/>
  <c r="DU63"/>
  <c r="DT63"/>
  <c r="DS63"/>
  <c r="DR63"/>
  <c r="DQ63"/>
  <c r="DP63"/>
  <c r="DO63"/>
  <c r="DN63"/>
  <c r="DM63"/>
  <c r="DL63"/>
  <c r="DK63"/>
  <c r="DJ63"/>
  <c r="DI63"/>
  <c r="DH63"/>
  <c r="DG63"/>
  <c r="DF63"/>
  <c r="DE63"/>
  <c r="DD63"/>
  <c r="DC63"/>
  <c r="DB63"/>
  <c r="DA63"/>
  <c r="CZ63"/>
  <c r="CY63"/>
  <c r="CX63"/>
  <c r="CW63"/>
  <c r="CV63"/>
  <c r="CU63"/>
  <c r="CT63"/>
  <c r="CS63"/>
  <c r="CR63"/>
  <c r="CQ63"/>
  <c r="CP63"/>
  <c r="CO63"/>
  <c r="CN63"/>
  <c r="CM63"/>
  <c r="CL63"/>
  <c r="CK63"/>
  <c r="CJ63"/>
  <c r="CI63"/>
  <c r="CH63"/>
  <c r="CG63"/>
  <c r="CF63"/>
  <c r="CE63"/>
  <c r="CD63"/>
  <c r="CC63"/>
  <c r="CB63"/>
  <c r="CA63"/>
  <c r="BZ63"/>
  <c r="BY63"/>
  <c r="BX63"/>
  <c r="BW63"/>
  <c r="BV63"/>
  <c r="BU63"/>
  <c r="BT63"/>
  <c r="BS63"/>
  <c r="BR63"/>
  <c r="BQ63"/>
  <c r="BP63"/>
  <c r="BO63"/>
  <c r="BN63"/>
  <c r="E63"/>
  <c r="E280" s="1"/>
  <c r="D63"/>
  <c r="D280" s="1"/>
  <c r="C63"/>
  <c r="C280" s="1"/>
  <c r="B63"/>
  <c r="B280" s="1"/>
  <c r="A63"/>
  <c r="A280" s="1"/>
  <c r="DU62"/>
  <c r="DT62"/>
  <c r="DS62"/>
  <c r="DR62"/>
  <c r="DQ62"/>
  <c r="DP62"/>
  <c r="DO62"/>
  <c r="DN62"/>
  <c r="DM62"/>
  <c r="DL62"/>
  <c r="DK62"/>
  <c r="DJ62"/>
  <c r="DI62"/>
  <c r="DH62"/>
  <c r="DG62"/>
  <c r="DF62"/>
  <c r="DE62"/>
  <c r="DD62"/>
  <c r="DC62"/>
  <c r="DB62"/>
  <c r="DA62"/>
  <c r="CZ62"/>
  <c r="CY62"/>
  <c r="CX62"/>
  <c r="CW62"/>
  <c r="CV62"/>
  <c r="CU62"/>
  <c r="CT62"/>
  <c r="CS62"/>
  <c r="CR62"/>
  <c r="CQ62"/>
  <c r="CP62"/>
  <c r="CO62"/>
  <c r="CN62"/>
  <c r="CM62"/>
  <c r="CL62"/>
  <c r="CK62"/>
  <c r="CJ62"/>
  <c r="CI62"/>
  <c r="CH62"/>
  <c r="CG62"/>
  <c r="CF62"/>
  <c r="CE62"/>
  <c r="CD62"/>
  <c r="CC62"/>
  <c r="CB62"/>
  <c r="CA62"/>
  <c r="BZ62"/>
  <c r="BY62"/>
  <c r="BX62"/>
  <c r="BW62"/>
  <c r="BV62"/>
  <c r="BU62"/>
  <c r="BT62"/>
  <c r="BS62"/>
  <c r="BR62"/>
  <c r="BQ62"/>
  <c r="BP62"/>
  <c r="BO62"/>
  <c r="BN62"/>
  <c r="E62"/>
  <c r="E279" s="1"/>
  <c r="D62"/>
  <c r="D279" s="1"/>
  <c r="C62"/>
  <c r="C279" s="1"/>
  <c r="B62"/>
  <c r="B279" s="1"/>
  <c r="A62"/>
  <c r="A279" s="1"/>
  <c r="DU61"/>
  <c r="DT61"/>
  <c r="DS61"/>
  <c r="DR61"/>
  <c r="DQ61"/>
  <c r="DP61"/>
  <c r="DO61"/>
  <c r="DN61"/>
  <c r="DM61"/>
  <c r="DL61"/>
  <c r="DK61"/>
  <c r="DJ61"/>
  <c r="DI61"/>
  <c r="DH61"/>
  <c r="DG61"/>
  <c r="DF61"/>
  <c r="DE61"/>
  <c r="DD61"/>
  <c r="DC61"/>
  <c r="DB61"/>
  <c r="DA61"/>
  <c r="CZ61"/>
  <c r="CY61"/>
  <c r="CX61"/>
  <c r="CW61"/>
  <c r="CV61"/>
  <c r="CU61"/>
  <c r="CT61"/>
  <c r="CS61"/>
  <c r="CR61"/>
  <c r="CQ61"/>
  <c r="CP61"/>
  <c r="CO61"/>
  <c r="CN61"/>
  <c r="CM61"/>
  <c r="CL61"/>
  <c r="CK61"/>
  <c r="CJ61"/>
  <c r="CI61"/>
  <c r="CH61"/>
  <c r="CG61"/>
  <c r="CF61"/>
  <c r="CE61"/>
  <c r="CD61"/>
  <c r="CC61"/>
  <c r="CB61"/>
  <c r="CA61"/>
  <c r="BZ61"/>
  <c r="BY61"/>
  <c r="BX61"/>
  <c r="BW61"/>
  <c r="BV61"/>
  <c r="BU61"/>
  <c r="BT61"/>
  <c r="BS61"/>
  <c r="BR61"/>
  <c r="BQ61"/>
  <c r="BP61"/>
  <c r="BO61"/>
  <c r="BN61"/>
  <c r="E61"/>
  <c r="E278" s="1"/>
  <c r="D61"/>
  <c r="D278" s="1"/>
  <c r="C61"/>
  <c r="C278" s="1"/>
  <c r="B61"/>
  <c r="B278" s="1"/>
  <c r="A61"/>
  <c r="A278" s="1"/>
  <c r="DU60"/>
  <c r="DT60"/>
  <c r="DS60"/>
  <c r="DR60"/>
  <c r="DQ60"/>
  <c r="DP60"/>
  <c r="DO60"/>
  <c r="DN60"/>
  <c r="DM60"/>
  <c r="DL60"/>
  <c r="DK60"/>
  <c r="DJ60"/>
  <c r="DI60"/>
  <c r="DH60"/>
  <c r="DG60"/>
  <c r="DF60"/>
  <c r="DE60"/>
  <c r="DD60"/>
  <c r="DC60"/>
  <c r="DB60"/>
  <c r="DA60"/>
  <c r="CZ60"/>
  <c r="CY60"/>
  <c r="CX60"/>
  <c r="CW60"/>
  <c r="CV60"/>
  <c r="CU60"/>
  <c r="CT60"/>
  <c r="CS60"/>
  <c r="CR60"/>
  <c r="CQ60"/>
  <c r="CP60"/>
  <c r="CO60"/>
  <c r="CN60"/>
  <c r="CM60"/>
  <c r="CL60"/>
  <c r="CK60"/>
  <c r="CJ60"/>
  <c r="CI60"/>
  <c r="CH60"/>
  <c r="CG60"/>
  <c r="CF60"/>
  <c r="CE60"/>
  <c r="CD60"/>
  <c r="CC60"/>
  <c r="CB60"/>
  <c r="CA60"/>
  <c r="BZ60"/>
  <c r="BY60"/>
  <c r="BX60"/>
  <c r="BW60"/>
  <c r="BV60"/>
  <c r="BU60"/>
  <c r="BT60"/>
  <c r="BS60"/>
  <c r="BR60"/>
  <c r="BQ60"/>
  <c r="BP60"/>
  <c r="BO60"/>
  <c r="BN60"/>
  <c r="E60"/>
  <c r="E277" s="1"/>
  <c r="D60"/>
  <c r="D277" s="1"/>
  <c r="C60"/>
  <c r="C277" s="1"/>
  <c r="B60"/>
  <c r="B277" s="1"/>
  <c r="A60"/>
  <c r="A277" s="1"/>
  <c r="DU59"/>
  <c r="DT59"/>
  <c r="DS59"/>
  <c r="DR59"/>
  <c r="DQ59"/>
  <c r="DP59"/>
  <c r="DO59"/>
  <c r="DN59"/>
  <c r="DM59"/>
  <c r="DL59"/>
  <c r="DK59"/>
  <c r="DJ59"/>
  <c r="DI59"/>
  <c r="DH59"/>
  <c r="DG59"/>
  <c r="DF59"/>
  <c r="DE59"/>
  <c r="DD59"/>
  <c r="DC59"/>
  <c r="DB59"/>
  <c r="DA59"/>
  <c r="CZ59"/>
  <c r="CY59"/>
  <c r="CX59"/>
  <c r="CW59"/>
  <c r="CV59"/>
  <c r="CU59"/>
  <c r="CT59"/>
  <c r="CS59"/>
  <c r="CR59"/>
  <c r="CQ59"/>
  <c r="CP59"/>
  <c r="CO59"/>
  <c r="CN59"/>
  <c r="CM59"/>
  <c r="CL59"/>
  <c r="CK59"/>
  <c r="CJ59"/>
  <c r="CI59"/>
  <c r="CH59"/>
  <c r="CG59"/>
  <c r="CF59"/>
  <c r="CE59"/>
  <c r="CD59"/>
  <c r="CC59"/>
  <c r="CB59"/>
  <c r="CA59"/>
  <c r="BZ59"/>
  <c r="BY59"/>
  <c r="BX59"/>
  <c r="BW59"/>
  <c r="BV59"/>
  <c r="BU59"/>
  <c r="BT59"/>
  <c r="BS59"/>
  <c r="BR59"/>
  <c r="BQ59"/>
  <c r="BP59"/>
  <c r="BO59"/>
  <c r="BN59"/>
  <c r="E59"/>
  <c r="E276" s="1"/>
  <c r="D59"/>
  <c r="D276" s="1"/>
  <c r="C59"/>
  <c r="C276" s="1"/>
  <c r="B59"/>
  <c r="B276" s="1"/>
  <c r="A59"/>
  <c r="A276" s="1"/>
  <c r="DU58"/>
  <c r="DT58"/>
  <c r="DS58"/>
  <c r="DR58"/>
  <c r="DQ58"/>
  <c r="DP58"/>
  <c r="DO58"/>
  <c r="DN58"/>
  <c r="DM58"/>
  <c r="DL58"/>
  <c r="DK58"/>
  <c r="DJ58"/>
  <c r="DI58"/>
  <c r="DH58"/>
  <c r="DG58"/>
  <c r="DF58"/>
  <c r="DE58"/>
  <c r="DD58"/>
  <c r="DC58"/>
  <c r="DB58"/>
  <c r="DA58"/>
  <c r="CZ58"/>
  <c r="CY58"/>
  <c r="CX58"/>
  <c r="CW58"/>
  <c r="CV58"/>
  <c r="CU58"/>
  <c r="CT58"/>
  <c r="CS58"/>
  <c r="CR58"/>
  <c r="CQ58"/>
  <c r="CP58"/>
  <c r="CO58"/>
  <c r="CN58"/>
  <c r="CM58"/>
  <c r="CL58"/>
  <c r="CK58"/>
  <c r="CJ58"/>
  <c r="CI58"/>
  <c r="CH58"/>
  <c r="CG58"/>
  <c r="CF58"/>
  <c r="CE58"/>
  <c r="CD58"/>
  <c r="CC58"/>
  <c r="CB58"/>
  <c r="CA58"/>
  <c r="BZ58"/>
  <c r="BY58"/>
  <c r="BX58"/>
  <c r="BW58"/>
  <c r="BV58"/>
  <c r="BU58"/>
  <c r="BT58"/>
  <c r="BS58"/>
  <c r="BR58"/>
  <c r="BQ58"/>
  <c r="BP58"/>
  <c r="BO58"/>
  <c r="BN58"/>
  <c r="E58"/>
  <c r="B58"/>
  <c r="A58"/>
  <c r="DU57"/>
  <c r="DT57"/>
  <c r="DS57"/>
  <c r="DR57"/>
  <c r="DQ57"/>
  <c r="DP57"/>
  <c r="DO57"/>
  <c r="DN57"/>
  <c r="DM57"/>
  <c r="DL57"/>
  <c r="DK57"/>
  <c r="DJ57"/>
  <c r="DI57"/>
  <c r="DH57"/>
  <c r="DG57"/>
  <c r="DF57"/>
  <c r="DE57"/>
  <c r="DD57"/>
  <c r="DC57"/>
  <c r="DB57"/>
  <c r="DA57"/>
  <c r="CZ57"/>
  <c r="CY57"/>
  <c r="CX57"/>
  <c r="CW57"/>
  <c r="CV57"/>
  <c r="CU57"/>
  <c r="CT57"/>
  <c r="CS57"/>
  <c r="CR57"/>
  <c r="CQ57"/>
  <c r="CP57"/>
  <c r="CO57"/>
  <c r="CN57"/>
  <c r="CM57"/>
  <c r="CL57"/>
  <c r="CK57"/>
  <c r="CJ57"/>
  <c r="CI57"/>
  <c r="CH57"/>
  <c r="CG57"/>
  <c r="CF57"/>
  <c r="CE57"/>
  <c r="CD57"/>
  <c r="CC57"/>
  <c r="CB57"/>
  <c r="CA57"/>
  <c r="BZ57"/>
  <c r="BY57"/>
  <c r="BX57"/>
  <c r="BW57"/>
  <c r="BV57"/>
  <c r="BU57"/>
  <c r="BT57"/>
  <c r="BS57"/>
  <c r="BR57"/>
  <c r="BQ57"/>
  <c r="BP57"/>
  <c r="BO57"/>
  <c r="BN57"/>
  <c r="E57"/>
  <c r="E275" s="1"/>
  <c r="D57"/>
  <c r="D275" s="1"/>
  <c r="C57"/>
  <c r="C275" s="1"/>
  <c r="B57"/>
  <c r="B275" s="1"/>
  <c r="A57"/>
  <c r="A275" s="1"/>
  <c r="DU56"/>
  <c r="DT56"/>
  <c r="DS56"/>
  <c r="DR56"/>
  <c r="DQ56"/>
  <c r="DP56"/>
  <c r="DO56"/>
  <c r="DN56"/>
  <c r="DM56"/>
  <c r="DL56"/>
  <c r="DK56"/>
  <c r="DJ56"/>
  <c r="DI56"/>
  <c r="DH56"/>
  <c r="DG56"/>
  <c r="DF56"/>
  <c r="DE56"/>
  <c r="DD56"/>
  <c r="DC56"/>
  <c r="DB56"/>
  <c r="DA56"/>
  <c r="CZ56"/>
  <c r="CY56"/>
  <c r="CX56"/>
  <c r="CW56"/>
  <c r="CV56"/>
  <c r="CU56"/>
  <c r="CT56"/>
  <c r="CS56"/>
  <c r="CR56"/>
  <c r="CQ56"/>
  <c r="CP56"/>
  <c r="CO56"/>
  <c r="CN56"/>
  <c r="CM56"/>
  <c r="CL56"/>
  <c r="CK56"/>
  <c r="CJ56"/>
  <c r="CI56"/>
  <c r="CH56"/>
  <c r="CG56"/>
  <c r="CF56"/>
  <c r="CE56"/>
  <c r="CD56"/>
  <c r="CC56"/>
  <c r="CB56"/>
  <c r="CA56"/>
  <c r="BZ56"/>
  <c r="BY56"/>
  <c r="BX56"/>
  <c r="BW56"/>
  <c r="BV56"/>
  <c r="BU56"/>
  <c r="BT56"/>
  <c r="BS56"/>
  <c r="BR56"/>
  <c r="BQ56"/>
  <c r="BP56"/>
  <c r="BO56"/>
  <c r="BN56"/>
  <c r="E56"/>
  <c r="E274" s="1"/>
  <c r="D56"/>
  <c r="D274" s="1"/>
  <c r="C56"/>
  <c r="C274" s="1"/>
  <c r="B56"/>
  <c r="B274" s="1"/>
  <c r="A56"/>
  <c r="A274" s="1"/>
  <c r="DU55"/>
  <c r="DT55"/>
  <c r="DS55"/>
  <c r="DR55"/>
  <c r="DQ55"/>
  <c r="DP55"/>
  <c r="DO55"/>
  <c r="DN55"/>
  <c r="DM55"/>
  <c r="DL55"/>
  <c r="DK55"/>
  <c r="DJ55"/>
  <c r="DI55"/>
  <c r="DH55"/>
  <c r="DG55"/>
  <c r="DF55"/>
  <c r="DE55"/>
  <c r="DD55"/>
  <c r="DC55"/>
  <c r="DB55"/>
  <c r="DA55"/>
  <c r="CZ55"/>
  <c r="CY55"/>
  <c r="CX55"/>
  <c r="CW55"/>
  <c r="CV55"/>
  <c r="CU55"/>
  <c r="CT55"/>
  <c r="CS55"/>
  <c r="CR55"/>
  <c r="CQ55"/>
  <c r="CP55"/>
  <c r="CO55"/>
  <c r="CN55"/>
  <c r="CM55"/>
  <c r="CL55"/>
  <c r="CK55"/>
  <c r="CJ55"/>
  <c r="CI55"/>
  <c r="CH55"/>
  <c r="CG55"/>
  <c r="CF55"/>
  <c r="CE55"/>
  <c r="CD55"/>
  <c r="CC55"/>
  <c r="CB55"/>
  <c r="CA55"/>
  <c r="BZ55"/>
  <c r="BY55"/>
  <c r="BX55"/>
  <c r="BW55"/>
  <c r="BV55"/>
  <c r="BU55"/>
  <c r="BT55"/>
  <c r="BS55"/>
  <c r="BR55"/>
  <c r="BQ55"/>
  <c r="BP55"/>
  <c r="BO55"/>
  <c r="BN55"/>
  <c r="E55"/>
  <c r="E273" s="1"/>
  <c r="D55"/>
  <c r="D273" s="1"/>
  <c r="C55"/>
  <c r="C273" s="1"/>
  <c r="B55"/>
  <c r="B273" s="1"/>
  <c r="A55"/>
  <c r="A273" s="1"/>
  <c r="DU54"/>
  <c r="DT54"/>
  <c r="DS54"/>
  <c r="DR54"/>
  <c r="DQ54"/>
  <c r="DP54"/>
  <c r="DO54"/>
  <c r="DN54"/>
  <c r="DM54"/>
  <c r="DL54"/>
  <c r="DK54"/>
  <c r="DJ54"/>
  <c r="DI54"/>
  <c r="DH54"/>
  <c r="DG54"/>
  <c r="DF54"/>
  <c r="DE54"/>
  <c r="DD54"/>
  <c r="DC54"/>
  <c r="DB54"/>
  <c r="DA54"/>
  <c r="CZ54"/>
  <c r="CY54"/>
  <c r="CX54"/>
  <c r="CW54"/>
  <c r="CV54"/>
  <c r="CU54"/>
  <c r="CT54"/>
  <c r="CS54"/>
  <c r="CR54"/>
  <c r="CQ54"/>
  <c r="CP54"/>
  <c r="CO54"/>
  <c r="CN54"/>
  <c r="CM54"/>
  <c r="CL54"/>
  <c r="CK54"/>
  <c r="CJ54"/>
  <c r="CI54"/>
  <c r="CH54"/>
  <c r="CG54"/>
  <c r="CF54"/>
  <c r="CE54"/>
  <c r="CD54"/>
  <c r="CC54"/>
  <c r="CB54"/>
  <c r="CA54"/>
  <c r="BZ54"/>
  <c r="BY54"/>
  <c r="BX54"/>
  <c r="BW54"/>
  <c r="BV54"/>
  <c r="BU54"/>
  <c r="BT54"/>
  <c r="BS54"/>
  <c r="BR54"/>
  <c r="BQ54"/>
  <c r="BP54"/>
  <c r="BO54"/>
  <c r="BN54"/>
  <c r="E54"/>
  <c r="E272" s="1"/>
  <c r="D54"/>
  <c r="D272" s="1"/>
  <c r="C54"/>
  <c r="C272" s="1"/>
  <c r="B54"/>
  <c r="B272" s="1"/>
  <c r="A54"/>
  <c r="A272" s="1"/>
  <c r="DU53"/>
  <c r="DT53"/>
  <c r="DS53"/>
  <c r="DR53"/>
  <c r="DQ53"/>
  <c r="DP53"/>
  <c r="DO53"/>
  <c r="DN53"/>
  <c r="DM53"/>
  <c r="DL53"/>
  <c r="DK53"/>
  <c r="DJ53"/>
  <c r="DI53"/>
  <c r="DH53"/>
  <c r="DG53"/>
  <c r="DF53"/>
  <c r="DE53"/>
  <c r="DD53"/>
  <c r="DC53"/>
  <c r="DB53"/>
  <c r="DA53"/>
  <c r="CZ53"/>
  <c r="CY53"/>
  <c r="CX53"/>
  <c r="CW53"/>
  <c r="CV53"/>
  <c r="CU53"/>
  <c r="CT53"/>
  <c r="CS53"/>
  <c r="CR53"/>
  <c r="CQ53"/>
  <c r="CP53"/>
  <c r="CO53"/>
  <c r="CN53"/>
  <c r="CM53"/>
  <c r="CL53"/>
  <c r="CK53"/>
  <c r="CJ53"/>
  <c r="CI53"/>
  <c r="CH53"/>
  <c r="CG53"/>
  <c r="CF53"/>
  <c r="CE53"/>
  <c r="CD53"/>
  <c r="CC53"/>
  <c r="CB53"/>
  <c r="CA53"/>
  <c r="BZ53"/>
  <c r="BY53"/>
  <c r="BX53"/>
  <c r="BW53"/>
  <c r="BV53"/>
  <c r="BU53"/>
  <c r="BT53"/>
  <c r="BS53"/>
  <c r="BR53"/>
  <c r="BQ53"/>
  <c r="BP53"/>
  <c r="BO53"/>
  <c r="BN53"/>
  <c r="E53"/>
  <c r="E271" s="1"/>
  <c r="D53"/>
  <c r="D271" s="1"/>
  <c r="C53"/>
  <c r="C271" s="1"/>
  <c r="B53"/>
  <c r="B271" s="1"/>
  <c r="A53"/>
  <c r="A271" s="1"/>
  <c r="DU52"/>
  <c r="DT52"/>
  <c r="DS52"/>
  <c r="DR52"/>
  <c r="DQ52"/>
  <c r="DP52"/>
  <c r="DO52"/>
  <c r="DN52"/>
  <c r="DM52"/>
  <c r="DL52"/>
  <c r="DK52"/>
  <c r="DJ52"/>
  <c r="DI52"/>
  <c r="DH52"/>
  <c r="DG52"/>
  <c r="DF52"/>
  <c r="DE52"/>
  <c r="DD52"/>
  <c r="DC52"/>
  <c r="DB52"/>
  <c r="DA52"/>
  <c r="CZ52"/>
  <c r="CY52"/>
  <c r="CX52"/>
  <c r="CW52"/>
  <c r="CV52"/>
  <c r="CU52"/>
  <c r="CT52"/>
  <c r="CS52"/>
  <c r="CR52"/>
  <c r="CQ52"/>
  <c r="CP52"/>
  <c r="CO52"/>
  <c r="CN52"/>
  <c r="CM52"/>
  <c r="CL52"/>
  <c r="CK52"/>
  <c r="CJ52"/>
  <c r="CI52"/>
  <c r="CH52"/>
  <c r="CG52"/>
  <c r="CF52"/>
  <c r="CE52"/>
  <c r="CD52"/>
  <c r="CC52"/>
  <c r="CB52"/>
  <c r="CA52"/>
  <c r="BZ52"/>
  <c r="BY52"/>
  <c r="BX52"/>
  <c r="BW52"/>
  <c r="BV52"/>
  <c r="BU52"/>
  <c r="BT52"/>
  <c r="BS52"/>
  <c r="BR52"/>
  <c r="BQ52"/>
  <c r="BP52"/>
  <c r="BO52"/>
  <c r="BN52"/>
  <c r="E52"/>
  <c r="E270" s="1"/>
  <c r="D52"/>
  <c r="D270" s="1"/>
  <c r="C52"/>
  <c r="C270" s="1"/>
  <c r="B52"/>
  <c r="B270" s="1"/>
  <c r="A52"/>
  <c r="A270" s="1"/>
  <c r="DU51"/>
  <c r="DT51"/>
  <c r="DS51"/>
  <c r="DR51"/>
  <c r="DQ51"/>
  <c r="DP51"/>
  <c r="DO51"/>
  <c r="DN51"/>
  <c r="DM51"/>
  <c r="DL51"/>
  <c r="DK51"/>
  <c r="DJ51"/>
  <c r="DI51"/>
  <c r="DH51"/>
  <c r="DG51"/>
  <c r="DF51"/>
  <c r="DE51"/>
  <c r="DD51"/>
  <c r="DC51"/>
  <c r="DB51"/>
  <c r="DA51"/>
  <c r="CZ51"/>
  <c r="CY51"/>
  <c r="CX51"/>
  <c r="CW51"/>
  <c r="CV51"/>
  <c r="CU51"/>
  <c r="CT51"/>
  <c r="CS51"/>
  <c r="CR51"/>
  <c r="CQ51"/>
  <c r="CP51"/>
  <c r="CO51"/>
  <c r="CN51"/>
  <c r="CM51"/>
  <c r="CL51"/>
  <c r="CK51"/>
  <c r="CJ51"/>
  <c r="CI51"/>
  <c r="CH51"/>
  <c r="CG51"/>
  <c r="CF51"/>
  <c r="CE51"/>
  <c r="CD51"/>
  <c r="CC51"/>
  <c r="CB51"/>
  <c r="CA51"/>
  <c r="BZ51"/>
  <c r="BY51"/>
  <c r="BX51"/>
  <c r="BW51"/>
  <c r="BV51"/>
  <c r="BU51"/>
  <c r="BT51"/>
  <c r="BS51"/>
  <c r="BR51"/>
  <c r="BQ51"/>
  <c r="BP51"/>
  <c r="BO51"/>
  <c r="BN51"/>
  <c r="E51"/>
  <c r="E269" s="1"/>
  <c r="D51"/>
  <c r="D269" s="1"/>
  <c r="C51"/>
  <c r="C269" s="1"/>
  <c r="B51"/>
  <c r="B269" s="1"/>
  <c r="A51"/>
  <c r="A269" s="1"/>
  <c r="DU50"/>
  <c r="DT50"/>
  <c r="DS50"/>
  <c r="DR50"/>
  <c r="DQ50"/>
  <c r="DP50"/>
  <c r="DO50"/>
  <c r="DN50"/>
  <c r="DM50"/>
  <c r="DL50"/>
  <c r="DK50"/>
  <c r="DJ50"/>
  <c r="DI50"/>
  <c r="DH50"/>
  <c r="DG50"/>
  <c r="DF50"/>
  <c r="DE50"/>
  <c r="DD50"/>
  <c r="DC50"/>
  <c r="DB50"/>
  <c r="DA50"/>
  <c r="CZ50"/>
  <c r="CY50"/>
  <c r="CX50"/>
  <c r="CW50"/>
  <c r="CV50"/>
  <c r="CU50"/>
  <c r="CT50"/>
  <c r="CS50"/>
  <c r="CR50"/>
  <c r="CQ50"/>
  <c r="CP50"/>
  <c r="CO50"/>
  <c r="CN50"/>
  <c r="CM50"/>
  <c r="CL50"/>
  <c r="CK50"/>
  <c r="CJ50"/>
  <c r="CI50"/>
  <c r="CH50"/>
  <c r="CG50"/>
  <c r="CF50"/>
  <c r="CE50"/>
  <c r="CD50"/>
  <c r="CC50"/>
  <c r="CB50"/>
  <c r="CA50"/>
  <c r="BZ50"/>
  <c r="BY50"/>
  <c r="BX50"/>
  <c r="BW50"/>
  <c r="BV50"/>
  <c r="BU50"/>
  <c r="BT50"/>
  <c r="BS50"/>
  <c r="BR50"/>
  <c r="BQ50"/>
  <c r="BP50"/>
  <c r="BO50"/>
  <c r="BN50"/>
  <c r="E50"/>
  <c r="E268" s="1"/>
  <c r="D50"/>
  <c r="D268" s="1"/>
  <c r="C50"/>
  <c r="C268" s="1"/>
  <c r="B50"/>
  <c r="B268" s="1"/>
  <c r="A50"/>
  <c r="A268" s="1"/>
  <c r="DU49"/>
  <c r="DT49"/>
  <c r="DS49"/>
  <c r="DR49"/>
  <c r="DQ49"/>
  <c r="DP49"/>
  <c r="DO49"/>
  <c r="DN49"/>
  <c r="DM49"/>
  <c r="DL49"/>
  <c r="DK49"/>
  <c r="DJ49"/>
  <c r="DI49"/>
  <c r="DH49"/>
  <c r="DG49"/>
  <c r="DF49"/>
  <c r="DE49"/>
  <c r="DD49"/>
  <c r="DC49"/>
  <c r="DB49"/>
  <c r="DA49"/>
  <c r="CZ49"/>
  <c r="CY49"/>
  <c r="CX49"/>
  <c r="CW49"/>
  <c r="CV49"/>
  <c r="CU49"/>
  <c r="CT49"/>
  <c r="CS49"/>
  <c r="CR49"/>
  <c r="CQ49"/>
  <c r="CP49"/>
  <c r="CO49"/>
  <c r="CN49"/>
  <c r="CM49"/>
  <c r="CL49"/>
  <c r="CK49"/>
  <c r="CJ49"/>
  <c r="CI49"/>
  <c r="CH49"/>
  <c r="CG49"/>
  <c r="CF49"/>
  <c r="CE49"/>
  <c r="CD49"/>
  <c r="CC49"/>
  <c r="CB49"/>
  <c r="CA49"/>
  <c r="BZ49"/>
  <c r="BY49"/>
  <c r="BX49"/>
  <c r="BW49"/>
  <c r="BV49"/>
  <c r="BU49"/>
  <c r="BT49"/>
  <c r="BS49"/>
  <c r="BR49"/>
  <c r="BQ49"/>
  <c r="BP49"/>
  <c r="BO49"/>
  <c r="BN49"/>
  <c r="E49"/>
  <c r="B49"/>
  <c r="A49"/>
  <c r="DU48"/>
  <c r="DT48"/>
  <c r="DS48"/>
  <c r="DR48"/>
  <c r="DQ48"/>
  <c r="DP48"/>
  <c r="DO48"/>
  <c r="DN48"/>
  <c r="DM48"/>
  <c r="DL48"/>
  <c r="DK48"/>
  <c r="DJ48"/>
  <c r="DI48"/>
  <c r="DH48"/>
  <c r="DG48"/>
  <c r="DF48"/>
  <c r="DE48"/>
  <c r="DD48"/>
  <c r="DC48"/>
  <c r="DB48"/>
  <c r="DA48"/>
  <c r="CZ48"/>
  <c r="CY48"/>
  <c r="CX48"/>
  <c r="CW48"/>
  <c r="CV48"/>
  <c r="CU48"/>
  <c r="CT48"/>
  <c r="CS48"/>
  <c r="CR48"/>
  <c r="CQ48"/>
  <c r="CP48"/>
  <c r="CO48"/>
  <c r="CN48"/>
  <c r="CM48"/>
  <c r="CL48"/>
  <c r="CK48"/>
  <c r="CJ48"/>
  <c r="CI48"/>
  <c r="CH48"/>
  <c r="CG48"/>
  <c r="CF48"/>
  <c r="CE48"/>
  <c r="CD48"/>
  <c r="CC48"/>
  <c r="CB48"/>
  <c r="CA48"/>
  <c r="BZ48"/>
  <c r="BY48"/>
  <c r="BX48"/>
  <c r="BW48"/>
  <c r="BV48"/>
  <c r="BU48"/>
  <c r="BT48"/>
  <c r="BS48"/>
  <c r="BR48"/>
  <c r="BQ48"/>
  <c r="BP48"/>
  <c r="BO48"/>
  <c r="BN48"/>
  <c r="E48"/>
  <c r="E267" s="1"/>
  <c r="D48"/>
  <c r="D267" s="1"/>
  <c r="C48"/>
  <c r="C267" s="1"/>
  <c r="B48"/>
  <c r="B267" s="1"/>
  <c r="A48"/>
  <c r="A267" s="1"/>
  <c r="DU47"/>
  <c r="DT47"/>
  <c r="DS47"/>
  <c r="DR47"/>
  <c r="DQ47"/>
  <c r="DP47"/>
  <c r="DO47"/>
  <c r="DN47"/>
  <c r="DM47"/>
  <c r="DL47"/>
  <c r="DK47"/>
  <c r="DJ47"/>
  <c r="DI47"/>
  <c r="DH47"/>
  <c r="DG47"/>
  <c r="DF47"/>
  <c r="DE47"/>
  <c r="DD47"/>
  <c r="DC47"/>
  <c r="DB47"/>
  <c r="DA47"/>
  <c r="CZ47"/>
  <c r="CY47"/>
  <c r="CX47"/>
  <c r="CW47"/>
  <c r="CV47"/>
  <c r="CU47"/>
  <c r="CT47"/>
  <c r="CS47"/>
  <c r="CR47"/>
  <c r="CQ47"/>
  <c r="CP47"/>
  <c r="CO47"/>
  <c r="CN47"/>
  <c r="CM47"/>
  <c r="CL47"/>
  <c r="CK47"/>
  <c r="CJ47"/>
  <c r="CI47"/>
  <c r="CH47"/>
  <c r="CG47"/>
  <c r="CF47"/>
  <c r="CE47"/>
  <c r="CD47"/>
  <c r="CC47"/>
  <c r="CB47"/>
  <c r="CA47"/>
  <c r="BZ47"/>
  <c r="BY47"/>
  <c r="BX47"/>
  <c r="BW47"/>
  <c r="BV47"/>
  <c r="BU47"/>
  <c r="BT47"/>
  <c r="BS47"/>
  <c r="BR47"/>
  <c r="BQ47"/>
  <c r="BP47"/>
  <c r="BO47"/>
  <c r="BN47"/>
  <c r="E47"/>
  <c r="E266" s="1"/>
  <c r="D47"/>
  <c r="D266" s="1"/>
  <c r="C47"/>
  <c r="C266" s="1"/>
  <c r="B47"/>
  <c r="B266" s="1"/>
  <c r="A47"/>
  <c r="A266" s="1"/>
  <c r="DU46"/>
  <c r="DT46"/>
  <c r="DS46"/>
  <c r="DR46"/>
  <c r="DQ46"/>
  <c r="DP46"/>
  <c r="DO46"/>
  <c r="DN46"/>
  <c r="DM46"/>
  <c r="DL46"/>
  <c r="DK46"/>
  <c r="DJ46"/>
  <c r="DI46"/>
  <c r="DH46"/>
  <c r="DG46"/>
  <c r="DF46"/>
  <c r="DE46"/>
  <c r="DD46"/>
  <c r="DC46"/>
  <c r="DB46"/>
  <c r="DA46"/>
  <c r="CZ46"/>
  <c r="CY46"/>
  <c r="CX46"/>
  <c r="CW46"/>
  <c r="CV46"/>
  <c r="CU46"/>
  <c r="CT46"/>
  <c r="CS46"/>
  <c r="CR46"/>
  <c r="CQ46"/>
  <c r="CP46"/>
  <c r="CO46"/>
  <c r="CN46"/>
  <c r="CM46"/>
  <c r="CL46"/>
  <c r="CK46"/>
  <c r="CJ46"/>
  <c r="CI46"/>
  <c r="CH46"/>
  <c r="CG46"/>
  <c r="CF46"/>
  <c r="CE46"/>
  <c r="CD46"/>
  <c r="CC46"/>
  <c r="CB46"/>
  <c r="CA46"/>
  <c r="BZ46"/>
  <c r="BY46"/>
  <c r="BX46"/>
  <c r="BW46"/>
  <c r="BV46"/>
  <c r="BU46"/>
  <c r="BT46"/>
  <c r="BS46"/>
  <c r="BR46"/>
  <c r="BQ46"/>
  <c r="BP46"/>
  <c r="BO46"/>
  <c r="BN46"/>
  <c r="E46"/>
  <c r="E265" s="1"/>
  <c r="D46"/>
  <c r="D265" s="1"/>
  <c r="C46"/>
  <c r="C265" s="1"/>
  <c r="B46"/>
  <c r="B265" s="1"/>
  <c r="A46"/>
  <c r="A265" s="1"/>
  <c r="DU45"/>
  <c r="DT45"/>
  <c r="DS45"/>
  <c r="DR45"/>
  <c r="DQ45"/>
  <c r="DP45"/>
  <c r="DO45"/>
  <c r="DN45"/>
  <c r="DM45"/>
  <c r="DL45"/>
  <c r="DK45"/>
  <c r="DJ45"/>
  <c r="DI45"/>
  <c r="DH45"/>
  <c r="DG45"/>
  <c r="DF45"/>
  <c r="DE45"/>
  <c r="DD45"/>
  <c r="DC45"/>
  <c r="DB45"/>
  <c r="DA45"/>
  <c r="CZ45"/>
  <c r="CY45"/>
  <c r="CX45"/>
  <c r="CW45"/>
  <c r="CV45"/>
  <c r="CU45"/>
  <c r="CT45"/>
  <c r="CS45"/>
  <c r="CR45"/>
  <c r="CQ45"/>
  <c r="CP45"/>
  <c r="CO45"/>
  <c r="CN45"/>
  <c r="CM45"/>
  <c r="CL45"/>
  <c r="CK45"/>
  <c r="CJ45"/>
  <c r="CI45"/>
  <c r="CH45"/>
  <c r="CG45"/>
  <c r="CF45"/>
  <c r="CE45"/>
  <c r="CD45"/>
  <c r="CC45"/>
  <c r="CB45"/>
  <c r="CA45"/>
  <c r="BZ45"/>
  <c r="BY45"/>
  <c r="BX45"/>
  <c r="BW45"/>
  <c r="BV45"/>
  <c r="BU45"/>
  <c r="BT45"/>
  <c r="BS45"/>
  <c r="BR45"/>
  <c r="BQ45"/>
  <c r="BP45"/>
  <c r="BO45"/>
  <c r="BN45"/>
  <c r="E45"/>
  <c r="E264" s="1"/>
  <c r="D45"/>
  <c r="D264" s="1"/>
  <c r="C45"/>
  <c r="C264" s="1"/>
  <c r="B45"/>
  <c r="B264" s="1"/>
  <c r="A45"/>
  <c r="A264" s="1"/>
  <c r="DU44"/>
  <c r="DT44"/>
  <c r="DS44"/>
  <c r="DR44"/>
  <c r="DQ44"/>
  <c r="DP44"/>
  <c r="DO44"/>
  <c r="DN44"/>
  <c r="DM44"/>
  <c r="DL44"/>
  <c r="DK44"/>
  <c r="DJ44"/>
  <c r="DI44"/>
  <c r="DH44"/>
  <c r="DG44"/>
  <c r="DF44"/>
  <c r="DE44"/>
  <c r="DD44"/>
  <c r="DC44"/>
  <c r="DB44"/>
  <c r="DA44"/>
  <c r="CZ44"/>
  <c r="CY44"/>
  <c r="CX44"/>
  <c r="CW44"/>
  <c r="CV44"/>
  <c r="CU44"/>
  <c r="CT44"/>
  <c r="CS44"/>
  <c r="CR44"/>
  <c r="CQ44"/>
  <c r="CP44"/>
  <c r="CO44"/>
  <c r="CN44"/>
  <c r="CM44"/>
  <c r="CL44"/>
  <c r="CK44"/>
  <c r="CJ44"/>
  <c r="CI44"/>
  <c r="CH44"/>
  <c r="CG44"/>
  <c r="CF44"/>
  <c r="CE44"/>
  <c r="CD44"/>
  <c r="CC44"/>
  <c r="CB44"/>
  <c r="CA44"/>
  <c r="BZ44"/>
  <c r="BY44"/>
  <c r="BX44"/>
  <c r="BW44"/>
  <c r="BV44"/>
  <c r="BU44"/>
  <c r="BT44"/>
  <c r="BS44"/>
  <c r="BR44"/>
  <c r="BQ44"/>
  <c r="BP44"/>
  <c r="BO44"/>
  <c r="BN44"/>
  <c r="E44"/>
  <c r="E263" s="1"/>
  <c r="D44"/>
  <c r="D263" s="1"/>
  <c r="C44"/>
  <c r="C263" s="1"/>
  <c r="B44"/>
  <c r="B263" s="1"/>
  <c r="A44"/>
  <c r="A263" s="1"/>
  <c r="DU43"/>
  <c r="DT43"/>
  <c r="DS43"/>
  <c r="DR43"/>
  <c r="DQ43"/>
  <c r="DP43"/>
  <c r="DO43"/>
  <c r="DN43"/>
  <c r="DM43"/>
  <c r="DL43"/>
  <c r="DK43"/>
  <c r="DJ43"/>
  <c r="DI43"/>
  <c r="DH43"/>
  <c r="DG43"/>
  <c r="DF43"/>
  <c r="DE43"/>
  <c r="DD43"/>
  <c r="DC43"/>
  <c r="DB43"/>
  <c r="DA43"/>
  <c r="CZ43"/>
  <c r="CY43"/>
  <c r="CX43"/>
  <c r="CW43"/>
  <c r="CV43"/>
  <c r="CU43"/>
  <c r="CT43"/>
  <c r="CS43"/>
  <c r="CR43"/>
  <c r="CQ43"/>
  <c r="CP43"/>
  <c r="CO43"/>
  <c r="CN43"/>
  <c r="CM43"/>
  <c r="CL43"/>
  <c r="CK43"/>
  <c r="CJ43"/>
  <c r="CI43"/>
  <c r="CH43"/>
  <c r="CG43"/>
  <c r="CF43"/>
  <c r="CE43"/>
  <c r="CD43"/>
  <c r="CC43"/>
  <c r="CB43"/>
  <c r="CA43"/>
  <c r="BZ43"/>
  <c r="BY43"/>
  <c r="BX43"/>
  <c r="BW43"/>
  <c r="BV43"/>
  <c r="BU43"/>
  <c r="BT43"/>
  <c r="BS43"/>
  <c r="BR43"/>
  <c r="BQ43"/>
  <c r="BP43"/>
  <c r="BO43"/>
  <c r="BN43"/>
  <c r="E43"/>
  <c r="E262" s="1"/>
  <c r="D43"/>
  <c r="D262" s="1"/>
  <c r="C43"/>
  <c r="C262" s="1"/>
  <c r="B43"/>
  <c r="B262" s="1"/>
  <c r="A43"/>
  <c r="A262" s="1"/>
  <c r="DU42"/>
  <c r="DT42"/>
  <c r="DS42"/>
  <c r="DR42"/>
  <c r="DQ42"/>
  <c r="DP42"/>
  <c r="DO42"/>
  <c r="DN42"/>
  <c r="DM42"/>
  <c r="DL42"/>
  <c r="DK42"/>
  <c r="DJ42"/>
  <c r="DI42"/>
  <c r="DH42"/>
  <c r="DG42"/>
  <c r="DF42"/>
  <c r="DE42"/>
  <c r="DD42"/>
  <c r="DC42"/>
  <c r="DB42"/>
  <c r="DA42"/>
  <c r="CZ42"/>
  <c r="CY42"/>
  <c r="CX42"/>
  <c r="CW42"/>
  <c r="CV42"/>
  <c r="CU42"/>
  <c r="CT42"/>
  <c r="CS42"/>
  <c r="CR42"/>
  <c r="CQ42"/>
  <c r="CP42"/>
  <c r="CO42"/>
  <c r="CN42"/>
  <c r="CM42"/>
  <c r="CL42"/>
  <c r="CK42"/>
  <c r="CJ42"/>
  <c r="CI42"/>
  <c r="CH42"/>
  <c r="CG42"/>
  <c r="CF42"/>
  <c r="CE42"/>
  <c r="CD42"/>
  <c r="CC42"/>
  <c r="CB42"/>
  <c r="CA42"/>
  <c r="BZ42"/>
  <c r="BY42"/>
  <c r="BX42"/>
  <c r="BW42"/>
  <c r="BV42"/>
  <c r="BU42"/>
  <c r="BT42"/>
  <c r="BS42"/>
  <c r="BR42"/>
  <c r="BQ42"/>
  <c r="BP42"/>
  <c r="BO42"/>
  <c r="BN42"/>
  <c r="E42"/>
  <c r="E261" s="1"/>
  <c r="D42"/>
  <c r="D261" s="1"/>
  <c r="C42"/>
  <c r="B42"/>
  <c r="B261" s="1"/>
  <c r="A42"/>
  <c r="A261" s="1"/>
  <c r="DU41"/>
  <c r="DT41"/>
  <c r="DS41"/>
  <c r="DR41"/>
  <c r="DQ41"/>
  <c r="DP41"/>
  <c r="DO41"/>
  <c r="DN41"/>
  <c r="DM41"/>
  <c r="DL41"/>
  <c r="DK41"/>
  <c r="DJ41"/>
  <c r="DI41"/>
  <c r="DH41"/>
  <c r="DG41"/>
  <c r="DF41"/>
  <c r="DE41"/>
  <c r="DD41"/>
  <c r="DC41"/>
  <c r="DB41"/>
  <c r="DA41"/>
  <c r="CZ41"/>
  <c r="CY41"/>
  <c r="CX41"/>
  <c r="CW41"/>
  <c r="CV41"/>
  <c r="CU41"/>
  <c r="CT41"/>
  <c r="CS41"/>
  <c r="CR41"/>
  <c r="CQ41"/>
  <c r="CP41"/>
  <c r="CO41"/>
  <c r="CN41"/>
  <c r="CM41"/>
  <c r="CL41"/>
  <c r="CK41"/>
  <c r="CJ41"/>
  <c r="CI41"/>
  <c r="CH41"/>
  <c r="CG41"/>
  <c r="CF41"/>
  <c r="CE41"/>
  <c r="CD41"/>
  <c r="CC41"/>
  <c r="CB41"/>
  <c r="CA41"/>
  <c r="BZ41"/>
  <c r="BY41"/>
  <c r="BX41"/>
  <c r="BW41"/>
  <c r="BV41"/>
  <c r="BU41"/>
  <c r="BT41"/>
  <c r="BS41"/>
  <c r="BR41"/>
  <c r="BQ41"/>
  <c r="BP41"/>
  <c r="BO41"/>
  <c r="BN41"/>
  <c r="E41"/>
  <c r="E260" s="1"/>
  <c r="D41"/>
  <c r="D260" s="1"/>
  <c r="C41"/>
  <c r="C260" s="1"/>
  <c r="B41"/>
  <c r="B260" s="1"/>
  <c r="A41"/>
  <c r="A260" s="1"/>
  <c r="DU40"/>
  <c r="DT40"/>
  <c r="DS40"/>
  <c r="DR40"/>
  <c r="DQ40"/>
  <c r="DP40"/>
  <c r="DO40"/>
  <c r="DN40"/>
  <c r="DM40"/>
  <c r="DL40"/>
  <c r="DK40"/>
  <c r="DJ40"/>
  <c r="DI40"/>
  <c r="DH40"/>
  <c r="DG40"/>
  <c r="DF40"/>
  <c r="DE40"/>
  <c r="DD40"/>
  <c r="DC40"/>
  <c r="DB40"/>
  <c r="DA40"/>
  <c r="CZ40"/>
  <c r="CY40"/>
  <c r="CX40"/>
  <c r="CW40"/>
  <c r="CV40"/>
  <c r="CU40"/>
  <c r="CT40"/>
  <c r="CS40"/>
  <c r="CR40"/>
  <c r="CQ40"/>
  <c r="CP40"/>
  <c r="CO40"/>
  <c r="CN40"/>
  <c r="CM40"/>
  <c r="CL40"/>
  <c r="CK40"/>
  <c r="CJ40"/>
  <c r="CI40"/>
  <c r="CH40"/>
  <c r="CG40"/>
  <c r="CF40"/>
  <c r="CE40"/>
  <c r="CD40"/>
  <c r="CC40"/>
  <c r="CB40"/>
  <c r="CA40"/>
  <c r="BZ40"/>
  <c r="BY40"/>
  <c r="BX40"/>
  <c r="BW40"/>
  <c r="BV40"/>
  <c r="BU40"/>
  <c r="BT40"/>
  <c r="BS40"/>
  <c r="BR40"/>
  <c r="BQ40"/>
  <c r="BP40"/>
  <c r="BO40"/>
  <c r="BN40"/>
  <c r="E40"/>
  <c r="B40"/>
  <c r="A40"/>
  <c r="DU39"/>
  <c r="DT39"/>
  <c r="DS39"/>
  <c r="DR39"/>
  <c r="DQ39"/>
  <c r="DP39"/>
  <c r="DO39"/>
  <c r="DN39"/>
  <c r="DM39"/>
  <c r="DL39"/>
  <c r="DK39"/>
  <c r="DJ39"/>
  <c r="DI39"/>
  <c r="DH39"/>
  <c r="DG39"/>
  <c r="DF39"/>
  <c r="DE39"/>
  <c r="DD39"/>
  <c r="DC39"/>
  <c r="DB39"/>
  <c r="DA39"/>
  <c r="CZ39"/>
  <c r="CY39"/>
  <c r="CX39"/>
  <c r="CW39"/>
  <c r="CV39"/>
  <c r="CU39"/>
  <c r="CT39"/>
  <c r="CS39"/>
  <c r="CR39"/>
  <c r="CQ39"/>
  <c r="CP39"/>
  <c r="CO39"/>
  <c r="CN39"/>
  <c r="CM39"/>
  <c r="CL39"/>
  <c r="CK39"/>
  <c r="CJ39"/>
  <c r="CI39"/>
  <c r="CH39"/>
  <c r="CG39"/>
  <c r="CF39"/>
  <c r="CE39"/>
  <c r="CD39"/>
  <c r="CC39"/>
  <c r="CB39"/>
  <c r="CA39"/>
  <c r="BZ39"/>
  <c r="BY39"/>
  <c r="BX39"/>
  <c r="BW39"/>
  <c r="BV39"/>
  <c r="BU39"/>
  <c r="BT39"/>
  <c r="BS39"/>
  <c r="BR39"/>
  <c r="BQ39"/>
  <c r="BP39"/>
  <c r="BO39"/>
  <c r="BN39"/>
  <c r="E39"/>
  <c r="E259" s="1"/>
  <c r="D39"/>
  <c r="D259" s="1"/>
  <c r="C39"/>
  <c r="C259" s="1"/>
  <c r="B39"/>
  <c r="B259" s="1"/>
  <c r="A39"/>
  <c r="A259" s="1"/>
  <c r="DU38"/>
  <c r="DT38"/>
  <c r="DS38"/>
  <c r="DR38"/>
  <c r="DQ38"/>
  <c r="DP38"/>
  <c r="DO38"/>
  <c r="DN38"/>
  <c r="DM38"/>
  <c r="DL38"/>
  <c r="DK38"/>
  <c r="DJ38"/>
  <c r="DI38"/>
  <c r="DH38"/>
  <c r="DG38"/>
  <c r="DF38"/>
  <c r="DE38"/>
  <c r="DD38"/>
  <c r="DC38"/>
  <c r="DB38"/>
  <c r="DA38"/>
  <c r="CZ38"/>
  <c r="CY38"/>
  <c r="CX38"/>
  <c r="CW38"/>
  <c r="CV38"/>
  <c r="CU38"/>
  <c r="CT38"/>
  <c r="CS38"/>
  <c r="CR38"/>
  <c r="CQ38"/>
  <c r="CP38"/>
  <c r="CO38"/>
  <c r="CN38"/>
  <c r="CM38"/>
  <c r="CL38"/>
  <c r="CK38"/>
  <c r="CJ38"/>
  <c r="CI38"/>
  <c r="CH38"/>
  <c r="CG38"/>
  <c r="CF38"/>
  <c r="CE38"/>
  <c r="CD38"/>
  <c r="CC38"/>
  <c r="CB38"/>
  <c r="CA38"/>
  <c r="BZ38"/>
  <c r="BY38"/>
  <c r="BX38"/>
  <c r="BW38"/>
  <c r="BV38"/>
  <c r="BU38"/>
  <c r="BT38"/>
  <c r="BS38"/>
  <c r="BR38"/>
  <c r="BQ38"/>
  <c r="BP38"/>
  <c r="BO38"/>
  <c r="BN38"/>
  <c r="E38"/>
  <c r="E258" s="1"/>
  <c r="D38"/>
  <c r="D258" s="1"/>
  <c r="C38"/>
  <c r="C258" s="1"/>
  <c r="B38"/>
  <c r="B258" s="1"/>
  <c r="A38"/>
  <c r="A258" s="1"/>
  <c r="DU37"/>
  <c r="DT37"/>
  <c r="DS37"/>
  <c r="DR37"/>
  <c r="DQ37"/>
  <c r="DP37"/>
  <c r="DO37"/>
  <c r="DN37"/>
  <c r="DM37"/>
  <c r="DL37"/>
  <c r="DK37"/>
  <c r="DJ37"/>
  <c r="DI37"/>
  <c r="DH37"/>
  <c r="DG37"/>
  <c r="DF37"/>
  <c r="DE37"/>
  <c r="DD37"/>
  <c r="DC37"/>
  <c r="DB37"/>
  <c r="DA37"/>
  <c r="CZ37"/>
  <c r="CY37"/>
  <c r="CX37"/>
  <c r="CW37"/>
  <c r="CV37"/>
  <c r="CU37"/>
  <c r="CT37"/>
  <c r="CS37"/>
  <c r="CR37"/>
  <c r="CQ37"/>
  <c r="CP37"/>
  <c r="CO37"/>
  <c r="CN37"/>
  <c r="CM37"/>
  <c r="CL37"/>
  <c r="CK37"/>
  <c r="CJ37"/>
  <c r="CI37"/>
  <c r="CH37"/>
  <c r="CG37"/>
  <c r="CF37"/>
  <c r="CE37"/>
  <c r="CD37"/>
  <c r="CC37"/>
  <c r="CB37"/>
  <c r="CA37"/>
  <c r="BZ37"/>
  <c r="BY37"/>
  <c r="BX37"/>
  <c r="BW37"/>
  <c r="BV37"/>
  <c r="BU37"/>
  <c r="BT37"/>
  <c r="BS37"/>
  <c r="BR37"/>
  <c r="BQ37"/>
  <c r="BP37"/>
  <c r="BO37"/>
  <c r="BN37"/>
  <c r="E37"/>
  <c r="E257" s="1"/>
  <c r="D37"/>
  <c r="D257" s="1"/>
  <c r="C37"/>
  <c r="C257" s="1"/>
  <c r="B37"/>
  <c r="B257" s="1"/>
  <c r="A37"/>
  <c r="A257" s="1"/>
  <c r="DU36"/>
  <c r="DT36"/>
  <c r="DS36"/>
  <c r="DR36"/>
  <c r="DQ36"/>
  <c r="DP36"/>
  <c r="DO36"/>
  <c r="DN36"/>
  <c r="DM36"/>
  <c r="DL36"/>
  <c r="DK36"/>
  <c r="DJ36"/>
  <c r="DI36"/>
  <c r="DH36"/>
  <c r="DG36"/>
  <c r="DF36"/>
  <c r="DE36"/>
  <c r="DD36"/>
  <c r="DC36"/>
  <c r="DB36"/>
  <c r="DA36"/>
  <c r="CZ36"/>
  <c r="CY36"/>
  <c r="CX36"/>
  <c r="CW36"/>
  <c r="CV36"/>
  <c r="CU36"/>
  <c r="CT36"/>
  <c r="CS36"/>
  <c r="CR36"/>
  <c r="CQ36"/>
  <c r="CP36"/>
  <c r="CO36"/>
  <c r="CN36"/>
  <c r="CM36"/>
  <c r="CL36"/>
  <c r="CK36"/>
  <c r="CJ36"/>
  <c r="CI36"/>
  <c r="CH36"/>
  <c r="CG36"/>
  <c r="CF36"/>
  <c r="CE36"/>
  <c r="CD36"/>
  <c r="CC36"/>
  <c r="CB36"/>
  <c r="CA36"/>
  <c r="BZ36"/>
  <c r="BY36"/>
  <c r="BX36"/>
  <c r="BW36"/>
  <c r="BV36"/>
  <c r="BU36"/>
  <c r="BT36"/>
  <c r="BS36"/>
  <c r="BR36"/>
  <c r="BQ36"/>
  <c r="BP36"/>
  <c r="BO36"/>
  <c r="BN36"/>
  <c r="E36"/>
  <c r="E256" s="1"/>
  <c r="D36"/>
  <c r="D256" s="1"/>
  <c r="C36"/>
  <c r="C256" s="1"/>
  <c r="B36"/>
  <c r="B256" s="1"/>
  <c r="A36"/>
  <c r="A256" s="1"/>
  <c r="DU35"/>
  <c r="DT35"/>
  <c r="DS35"/>
  <c r="DR35"/>
  <c r="DQ35"/>
  <c r="DP35"/>
  <c r="DO35"/>
  <c r="DN35"/>
  <c r="DM35"/>
  <c r="DL35"/>
  <c r="DK35"/>
  <c r="DJ35"/>
  <c r="DI35"/>
  <c r="DH35"/>
  <c r="DG35"/>
  <c r="DF35"/>
  <c r="DE35"/>
  <c r="DD35"/>
  <c r="DC35"/>
  <c r="DB35"/>
  <c r="DA35"/>
  <c r="CZ35"/>
  <c r="CY35"/>
  <c r="CX35"/>
  <c r="CW35"/>
  <c r="CV35"/>
  <c r="CU35"/>
  <c r="CT35"/>
  <c r="CS35"/>
  <c r="CR35"/>
  <c r="CQ35"/>
  <c r="CP35"/>
  <c r="CO35"/>
  <c r="CN35"/>
  <c r="CM35"/>
  <c r="CL35"/>
  <c r="CK35"/>
  <c r="CJ35"/>
  <c r="CI35"/>
  <c r="CH35"/>
  <c r="CG35"/>
  <c r="CF35"/>
  <c r="CE35"/>
  <c r="CD35"/>
  <c r="CC35"/>
  <c r="CB35"/>
  <c r="CA35"/>
  <c r="BZ35"/>
  <c r="BY35"/>
  <c r="BX35"/>
  <c r="BW35"/>
  <c r="BV35"/>
  <c r="BU35"/>
  <c r="BT35"/>
  <c r="BS35"/>
  <c r="BR35"/>
  <c r="BQ35"/>
  <c r="BP35"/>
  <c r="BO35"/>
  <c r="BN35"/>
  <c r="E35"/>
  <c r="E255" s="1"/>
  <c r="D35"/>
  <c r="D255" s="1"/>
  <c r="C35"/>
  <c r="C255" s="1"/>
  <c r="B35"/>
  <c r="B255" s="1"/>
  <c r="A35"/>
  <c r="A255" s="1"/>
  <c r="DU34"/>
  <c r="DT34"/>
  <c r="DS34"/>
  <c r="DR34"/>
  <c r="DQ34"/>
  <c r="DP34"/>
  <c r="DO34"/>
  <c r="DN34"/>
  <c r="DM34"/>
  <c r="DL34"/>
  <c r="DK34"/>
  <c r="DJ34"/>
  <c r="DI34"/>
  <c r="DH34"/>
  <c r="DG34"/>
  <c r="DF34"/>
  <c r="DE34"/>
  <c r="DD34"/>
  <c r="DC34"/>
  <c r="DB34"/>
  <c r="DA34"/>
  <c r="CZ34"/>
  <c r="CY34"/>
  <c r="CX34"/>
  <c r="CW34"/>
  <c r="CV34"/>
  <c r="CU34"/>
  <c r="CT34"/>
  <c r="CS34"/>
  <c r="CR34"/>
  <c r="CQ34"/>
  <c r="CP34"/>
  <c r="CO34"/>
  <c r="CN34"/>
  <c r="CM34"/>
  <c r="CL34"/>
  <c r="CK34"/>
  <c r="CJ34"/>
  <c r="CI34"/>
  <c r="CH34"/>
  <c r="CG34"/>
  <c r="CF34"/>
  <c r="CE34"/>
  <c r="CD34"/>
  <c r="CC34"/>
  <c r="CB34"/>
  <c r="CA34"/>
  <c r="BZ34"/>
  <c r="BY34"/>
  <c r="BX34"/>
  <c r="BW34"/>
  <c r="BV34"/>
  <c r="BU34"/>
  <c r="BT34"/>
  <c r="BS34"/>
  <c r="BR34"/>
  <c r="BQ34"/>
  <c r="BP34"/>
  <c r="BO34"/>
  <c r="BN34"/>
  <c r="E34"/>
  <c r="E254" s="1"/>
  <c r="D34"/>
  <c r="D254" s="1"/>
  <c r="C34"/>
  <c r="C254" s="1"/>
  <c r="B34"/>
  <c r="B254" s="1"/>
  <c r="A34"/>
  <c r="A254" s="1"/>
  <c r="DU33"/>
  <c r="DT33"/>
  <c r="DS33"/>
  <c r="DR33"/>
  <c r="DQ33"/>
  <c r="DP33"/>
  <c r="DO33"/>
  <c r="DN33"/>
  <c r="DM33"/>
  <c r="DL33"/>
  <c r="DK33"/>
  <c r="DJ33"/>
  <c r="DI33"/>
  <c r="DH33"/>
  <c r="DG33"/>
  <c r="DF33"/>
  <c r="DE33"/>
  <c r="DD33"/>
  <c r="DC33"/>
  <c r="DB33"/>
  <c r="DA33"/>
  <c r="CZ33"/>
  <c r="CY33"/>
  <c r="CX33"/>
  <c r="CW33"/>
  <c r="CV33"/>
  <c r="CU33"/>
  <c r="CT33"/>
  <c r="CS33"/>
  <c r="CR33"/>
  <c r="CQ33"/>
  <c r="CP33"/>
  <c r="CO33"/>
  <c r="CN33"/>
  <c r="CM33"/>
  <c r="CL33"/>
  <c r="CK33"/>
  <c r="CJ33"/>
  <c r="CI33"/>
  <c r="CH33"/>
  <c r="CG33"/>
  <c r="CF33"/>
  <c r="CE33"/>
  <c r="CD33"/>
  <c r="CC33"/>
  <c r="CB33"/>
  <c r="CA33"/>
  <c r="BZ33"/>
  <c r="BY33"/>
  <c r="BX33"/>
  <c r="BW33"/>
  <c r="BV33"/>
  <c r="BU33"/>
  <c r="BT33"/>
  <c r="BS33"/>
  <c r="BR33"/>
  <c r="BQ33"/>
  <c r="BP33"/>
  <c r="BO33"/>
  <c r="BN33"/>
  <c r="E33"/>
  <c r="E253" s="1"/>
  <c r="D33"/>
  <c r="D253" s="1"/>
  <c r="C33"/>
  <c r="C253" s="1"/>
  <c r="B33"/>
  <c r="B253" s="1"/>
  <c r="A33"/>
  <c r="A253" s="1"/>
  <c r="DU32"/>
  <c r="DT32"/>
  <c r="DS32"/>
  <c r="DR32"/>
  <c r="DQ32"/>
  <c r="DP32"/>
  <c r="DO32"/>
  <c r="DN32"/>
  <c r="DM32"/>
  <c r="DL32"/>
  <c r="DK32"/>
  <c r="DJ32"/>
  <c r="DI32"/>
  <c r="DH32"/>
  <c r="DG32"/>
  <c r="DF32"/>
  <c r="DE32"/>
  <c r="DD32"/>
  <c r="DC32"/>
  <c r="DB32"/>
  <c r="DA32"/>
  <c r="CZ32"/>
  <c r="CY32"/>
  <c r="CX32"/>
  <c r="CW32"/>
  <c r="CV32"/>
  <c r="CU32"/>
  <c r="CT32"/>
  <c r="CS32"/>
  <c r="CR32"/>
  <c r="CQ32"/>
  <c r="CP32"/>
  <c r="CO32"/>
  <c r="CN32"/>
  <c r="CM32"/>
  <c r="CL32"/>
  <c r="CK32"/>
  <c r="CJ32"/>
  <c r="CI32"/>
  <c r="CH32"/>
  <c r="CG32"/>
  <c r="CF32"/>
  <c r="CE32"/>
  <c r="CD32"/>
  <c r="CC32"/>
  <c r="CB32"/>
  <c r="CA32"/>
  <c r="BZ32"/>
  <c r="BY32"/>
  <c r="BX32"/>
  <c r="BW32"/>
  <c r="BV32"/>
  <c r="BU32"/>
  <c r="BT32"/>
  <c r="BS32"/>
  <c r="BR32"/>
  <c r="BQ32"/>
  <c r="BP32"/>
  <c r="BO32"/>
  <c r="BN32"/>
  <c r="E32"/>
  <c r="E252" s="1"/>
  <c r="D32"/>
  <c r="D252" s="1"/>
  <c r="C32"/>
  <c r="C252" s="1"/>
  <c r="B32"/>
  <c r="B252" s="1"/>
  <c r="A32"/>
  <c r="A252" s="1"/>
  <c r="DU31"/>
  <c r="DT31"/>
  <c r="DS31"/>
  <c r="DR31"/>
  <c r="DQ31"/>
  <c r="DP31"/>
  <c r="DO31"/>
  <c r="DN31"/>
  <c r="DM31"/>
  <c r="DL31"/>
  <c r="DK31"/>
  <c r="DJ31"/>
  <c r="DI31"/>
  <c r="DH31"/>
  <c r="DG31"/>
  <c r="DF31"/>
  <c r="DE31"/>
  <c r="DD31"/>
  <c r="DC31"/>
  <c r="DB31"/>
  <c r="DA31"/>
  <c r="CZ31"/>
  <c r="CY31"/>
  <c r="CX31"/>
  <c r="CW31"/>
  <c r="CV31"/>
  <c r="CU31"/>
  <c r="CT31"/>
  <c r="CS31"/>
  <c r="CR31"/>
  <c r="CQ31"/>
  <c r="CP31"/>
  <c r="CO31"/>
  <c r="CN31"/>
  <c r="CM31"/>
  <c r="CL31"/>
  <c r="CK31"/>
  <c r="CJ31"/>
  <c r="CI31"/>
  <c r="CH31"/>
  <c r="CG31"/>
  <c r="CF31"/>
  <c r="CE31"/>
  <c r="CD31"/>
  <c r="CC31"/>
  <c r="CB31"/>
  <c r="CA31"/>
  <c r="BZ31"/>
  <c r="BY31"/>
  <c r="BX31"/>
  <c r="BW31"/>
  <c r="BV31"/>
  <c r="BU31"/>
  <c r="BT31"/>
  <c r="BS31"/>
  <c r="BR31"/>
  <c r="BQ31"/>
  <c r="BP31"/>
  <c r="BO31"/>
  <c r="BN31"/>
  <c r="E31"/>
  <c r="B31"/>
  <c r="A31"/>
  <c r="DU30"/>
  <c r="DT30"/>
  <c r="DS30"/>
  <c r="DR30"/>
  <c r="DQ30"/>
  <c r="DP30"/>
  <c r="DO30"/>
  <c r="DN30"/>
  <c r="DM30"/>
  <c r="DL30"/>
  <c r="DK30"/>
  <c r="DJ30"/>
  <c r="DI30"/>
  <c r="DH30"/>
  <c r="DG30"/>
  <c r="DF30"/>
  <c r="DE30"/>
  <c r="DD30"/>
  <c r="DC30"/>
  <c r="DB30"/>
  <c r="DA30"/>
  <c r="CZ30"/>
  <c r="CY30"/>
  <c r="CX30"/>
  <c r="CW30"/>
  <c r="CV30"/>
  <c r="CU30"/>
  <c r="CT30"/>
  <c r="CS30"/>
  <c r="CR30"/>
  <c r="CQ30"/>
  <c r="CP30"/>
  <c r="CO30"/>
  <c r="CN30"/>
  <c r="CM30"/>
  <c r="CL30"/>
  <c r="CK30"/>
  <c r="CJ30"/>
  <c r="CI30"/>
  <c r="CH30"/>
  <c r="CG30"/>
  <c r="CF30"/>
  <c r="CE30"/>
  <c r="CD30"/>
  <c r="CC30"/>
  <c r="CB30"/>
  <c r="CA30"/>
  <c r="BZ30"/>
  <c r="BY30"/>
  <c r="BX30"/>
  <c r="BW30"/>
  <c r="BV30"/>
  <c r="BU30"/>
  <c r="BT30"/>
  <c r="BS30"/>
  <c r="BR30"/>
  <c r="BQ30"/>
  <c r="BP30"/>
  <c r="BO30"/>
  <c r="BN30"/>
  <c r="E30"/>
  <c r="E251" s="1"/>
  <c r="D30"/>
  <c r="D251" s="1"/>
  <c r="C30"/>
  <c r="C251" s="1"/>
  <c r="B30"/>
  <c r="B251" s="1"/>
  <c r="A30"/>
  <c r="A251" s="1"/>
  <c r="DU29"/>
  <c r="DT29"/>
  <c r="DS29"/>
  <c r="DR29"/>
  <c r="DQ29"/>
  <c r="DP29"/>
  <c r="DO29"/>
  <c r="DN29"/>
  <c r="DM29"/>
  <c r="DL29"/>
  <c r="DK29"/>
  <c r="DJ29"/>
  <c r="DI29"/>
  <c r="DH29"/>
  <c r="DG29"/>
  <c r="DF29"/>
  <c r="DE29"/>
  <c r="DD29"/>
  <c r="DC29"/>
  <c r="DB29"/>
  <c r="DA29"/>
  <c r="CZ29"/>
  <c r="CY29"/>
  <c r="CX29"/>
  <c r="CW29"/>
  <c r="CV29"/>
  <c r="CU29"/>
  <c r="CT29"/>
  <c r="CS29"/>
  <c r="CR29"/>
  <c r="CQ29"/>
  <c r="CP29"/>
  <c r="CO29"/>
  <c r="CN29"/>
  <c r="CM29"/>
  <c r="CL29"/>
  <c r="CK29"/>
  <c r="CJ29"/>
  <c r="CI29"/>
  <c r="CH29"/>
  <c r="CG29"/>
  <c r="CF29"/>
  <c r="CE29"/>
  <c r="CD29"/>
  <c r="CC29"/>
  <c r="CB29"/>
  <c r="CA29"/>
  <c r="BZ29"/>
  <c r="BY29"/>
  <c r="BX29"/>
  <c r="BW29"/>
  <c r="BV29"/>
  <c r="BU29"/>
  <c r="BT29"/>
  <c r="BS29"/>
  <c r="BR29"/>
  <c r="BQ29"/>
  <c r="BP29"/>
  <c r="BO29"/>
  <c r="BN29"/>
  <c r="E29"/>
  <c r="E250" s="1"/>
  <c r="D29"/>
  <c r="D250" s="1"/>
  <c r="C29"/>
  <c r="C250" s="1"/>
  <c r="B29"/>
  <c r="B250" s="1"/>
  <c r="A29"/>
  <c r="A250" s="1"/>
  <c r="DU28"/>
  <c r="DT28"/>
  <c r="DS28"/>
  <c r="DR28"/>
  <c r="DQ28"/>
  <c r="DP28"/>
  <c r="DO28"/>
  <c r="DN28"/>
  <c r="DM28"/>
  <c r="DL28"/>
  <c r="DK28"/>
  <c r="DJ28"/>
  <c r="DI28"/>
  <c r="DH28"/>
  <c r="DG28"/>
  <c r="DF28"/>
  <c r="DE28"/>
  <c r="DD28"/>
  <c r="DC28"/>
  <c r="DB28"/>
  <c r="DA28"/>
  <c r="CZ28"/>
  <c r="CY28"/>
  <c r="CX28"/>
  <c r="CW28"/>
  <c r="CV28"/>
  <c r="CU28"/>
  <c r="CT28"/>
  <c r="CS28"/>
  <c r="CR28"/>
  <c r="CQ28"/>
  <c r="CP28"/>
  <c r="CO28"/>
  <c r="CN28"/>
  <c r="CM28"/>
  <c r="CL28"/>
  <c r="CK28"/>
  <c r="CJ28"/>
  <c r="CI28"/>
  <c r="CH28"/>
  <c r="CG28"/>
  <c r="CF28"/>
  <c r="CE28"/>
  <c r="CD28"/>
  <c r="CC28"/>
  <c r="CB28"/>
  <c r="CA28"/>
  <c r="BZ28"/>
  <c r="BY28"/>
  <c r="BX28"/>
  <c r="BW28"/>
  <c r="BV28"/>
  <c r="BU28"/>
  <c r="BT28"/>
  <c r="BS28"/>
  <c r="BR28"/>
  <c r="BQ28"/>
  <c r="BP28"/>
  <c r="BO28"/>
  <c r="BN28"/>
  <c r="E28"/>
  <c r="E249" s="1"/>
  <c r="D28"/>
  <c r="D249" s="1"/>
  <c r="C28"/>
  <c r="C249" s="1"/>
  <c r="B28"/>
  <c r="B249" s="1"/>
  <c r="A28"/>
  <c r="A249" s="1"/>
  <c r="DU27"/>
  <c r="DT27"/>
  <c r="DS27"/>
  <c r="DR27"/>
  <c r="DQ27"/>
  <c r="DP27"/>
  <c r="DO27"/>
  <c r="DN27"/>
  <c r="DM27"/>
  <c r="DL27"/>
  <c r="DK27"/>
  <c r="DJ27"/>
  <c r="DI27"/>
  <c r="DH27"/>
  <c r="DG27"/>
  <c r="DF27"/>
  <c r="DE27"/>
  <c r="DD27"/>
  <c r="DC27"/>
  <c r="DB27"/>
  <c r="DA27"/>
  <c r="CZ27"/>
  <c r="CY27"/>
  <c r="CX27"/>
  <c r="CW27"/>
  <c r="CV27"/>
  <c r="CU27"/>
  <c r="CT27"/>
  <c r="CS27"/>
  <c r="CR27"/>
  <c r="CQ27"/>
  <c r="CP27"/>
  <c r="CO27"/>
  <c r="CN27"/>
  <c r="CM27"/>
  <c r="CL27"/>
  <c r="CK27"/>
  <c r="CJ27"/>
  <c r="CI27"/>
  <c r="CH27"/>
  <c r="CG27"/>
  <c r="CF27"/>
  <c r="CE27"/>
  <c r="CD27"/>
  <c r="CC27"/>
  <c r="CB27"/>
  <c r="CA27"/>
  <c r="BZ27"/>
  <c r="BY27"/>
  <c r="BX27"/>
  <c r="BW27"/>
  <c r="BV27"/>
  <c r="BU27"/>
  <c r="BT27"/>
  <c r="BS27"/>
  <c r="BR27"/>
  <c r="BQ27"/>
  <c r="BP27"/>
  <c r="BO27"/>
  <c r="BN27"/>
  <c r="E27"/>
  <c r="E248" s="1"/>
  <c r="D27"/>
  <c r="D248" s="1"/>
  <c r="C27"/>
  <c r="C248" s="1"/>
  <c r="B27"/>
  <c r="B248" s="1"/>
  <c r="A27"/>
  <c r="A248" s="1"/>
  <c r="DU26"/>
  <c r="DT26"/>
  <c r="DS26"/>
  <c r="DR26"/>
  <c r="DQ26"/>
  <c r="DP26"/>
  <c r="DO26"/>
  <c r="DN26"/>
  <c r="DM26"/>
  <c r="DL26"/>
  <c r="DK26"/>
  <c r="DJ26"/>
  <c r="DI26"/>
  <c r="DH26"/>
  <c r="DG26"/>
  <c r="DF26"/>
  <c r="DE26"/>
  <c r="DD26"/>
  <c r="DC26"/>
  <c r="DB26"/>
  <c r="DA26"/>
  <c r="CZ26"/>
  <c r="CY26"/>
  <c r="CX26"/>
  <c r="CW26"/>
  <c r="CV26"/>
  <c r="CU26"/>
  <c r="CT26"/>
  <c r="CS26"/>
  <c r="CR26"/>
  <c r="CQ26"/>
  <c r="CP26"/>
  <c r="CO26"/>
  <c r="CN26"/>
  <c r="CM26"/>
  <c r="CL26"/>
  <c r="CK26"/>
  <c r="CJ26"/>
  <c r="CI26"/>
  <c r="CH26"/>
  <c r="CG26"/>
  <c r="CF26"/>
  <c r="CE26"/>
  <c r="CD26"/>
  <c r="CC26"/>
  <c r="CB26"/>
  <c r="CA26"/>
  <c r="BZ26"/>
  <c r="BY26"/>
  <c r="BX26"/>
  <c r="BW26"/>
  <c r="BV26"/>
  <c r="BU26"/>
  <c r="BT26"/>
  <c r="BS26"/>
  <c r="BR26"/>
  <c r="BQ26"/>
  <c r="BP26"/>
  <c r="BO26"/>
  <c r="BN26"/>
  <c r="E26"/>
  <c r="E247" s="1"/>
  <c r="D26"/>
  <c r="D247" s="1"/>
  <c r="C26"/>
  <c r="C247" s="1"/>
  <c r="B26"/>
  <c r="B247" s="1"/>
  <c r="A26"/>
  <c r="A247" s="1"/>
  <c r="DU25"/>
  <c r="DT25"/>
  <c r="DS25"/>
  <c r="DR25"/>
  <c r="DQ25"/>
  <c r="DP25"/>
  <c r="DO25"/>
  <c r="DN25"/>
  <c r="DM25"/>
  <c r="DL25"/>
  <c r="DK25"/>
  <c r="DJ25"/>
  <c r="DI25"/>
  <c r="DH25"/>
  <c r="DG25"/>
  <c r="DF25"/>
  <c r="DE25"/>
  <c r="DD25"/>
  <c r="DC25"/>
  <c r="DB25"/>
  <c r="DA25"/>
  <c r="CZ25"/>
  <c r="CY25"/>
  <c r="CX25"/>
  <c r="CW25"/>
  <c r="CV25"/>
  <c r="CU25"/>
  <c r="CT25"/>
  <c r="CS25"/>
  <c r="CR25"/>
  <c r="CQ25"/>
  <c r="CP25"/>
  <c r="CO25"/>
  <c r="CN25"/>
  <c r="CM25"/>
  <c r="CL25"/>
  <c r="CK25"/>
  <c r="CJ25"/>
  <c r="CI25"/>
  <c r="CH25"/>
  <c r="CG25"/>
  <c r="CF25"/>
  <c r="CE25"/>
  <c r="CD25"/>
  <c r="CC25"/>
  <c r="CB25"/>
  <c r="CA25"/>
  <c r="BZ25"/>
  <c r="BY25"/>
  <c r="BX25"/>
  <c r="BW25"/>
  <c r="BV25"/>
  <c r="BU25"/>
  <c r="BT25"/>
  <c r="BS25"/>
  <c r="BR25"/>
  <c r="BQ25"/>
  <c r="BP25"/>
  <c r="BO25"/>
  <c r="BN25"/>
  <c r="E25"/>
  <c r="E246" s="1"/>
  <c r="D25"/>
  <c r="D246" s="1"/>
  <c r="C25"/>
  <c r="C246" s="1"/>
  <c r="B25"/>
  <c r="B246" s="1"/>
  <c r="A25"/>
  <c r="A246" s="1"/>
  <c r="DU24"/>
  <c r="DT24"/>
  <c r="DS24"/>
  <c r="DR24"/>
  <c r="DQ24"/>
  <c r="DP24"/>
  <c r="DO24"/>
  <c r="DN24"/>
  <c r="DM24"/>
  <c r="DL24"/>
  <c r="DK24"/>
  <c r="DJ24"/>
  <c r="DI24"/>
  <c r="DH24"/>
  <c r="DG24"/>
  <c r="DF24"/>
  <c r="DE24"/>
  <c r="DD24"/>
  <c r="DC24"/>
  <c r="DB24"/>
  <c r="DA24"/>
  <c r="CZ24"/>
  <c r="CY24"/>
  <c r="CX24"/>
  <c r="CW24"/>
  <c r="CV24"/>
  <c r="CU24"/>
  <c r="CT24"/>
  <c r="CS24"/>
  <c r="CR24"/>
  <c r="CQ24"/>
  <c r="CP24"/>
  <c r="CO24"/>
  <c r="CN24"/>
  <c r="CM24"/>
  <c r="CL24"/>
  <c r="CK24"/>
  <c r="CJ24"/>
  <c r="CI24"/>
  <c r="CH24"/>
  <c r="CG24"/>
  <c r="CF24"/>
  <c r="CE24"/>
  <c r="CD24"/>
  <c r="CC24"/>
  <c r="CB24"/>
  <c r="CA24"/>
  <c r="BZ24"/>
  <c r="BY24"/>
  <c r="BX24"/>
  <c r="BW24"/>
  <c r="BV24"/>
  <c r="BU24"/>
  <c r="BT24"/>
  <c r="BS24"/>
  <c r="BR24"/>
  <c r="BQ24"/>
  <c r="BP24"/>
  <c r="BO24"/>
  <c r="BN24"/>
  <c r="E24"/>
  <c r="E245" s="1"/>
  <c r="D24"/>
  <c r="D245" s="1"/>
  <c r="C24"/>
  <c r="C245" s="1"/>
  <c r="B24"/>
  <c r="B245" s="1"/>
  <c r="A24"/>
  <c r="A245" s="1"/>
  <c r="DU23"/>
  <c r="DT23"/>
  <c r="DS23"/>
  <c r="DR23"/>
  <c r="DQ23"/>
  <c r="DP23"/>
  <c r="DO23"/>
  <c r="DN23"/>
  <c r="DM23"/>
  <c r="DL23"/>
  <c r="DK23"/>
  <c r="DJ23"/>
  <c r="DI23"/>
  <c r="DH23"/>
  <c r="DG23"/>
  <c r="DF23"/>
  <c r="DE23"/>
  <c r="DD23"/>
  <c r="DC23"/>
  <c r="DB23"/>
  <c r="DA23"/>
  <c r="CZ23"/>
  <c r="CY23"/>
  <c r="CX23"/>
  <c r="CW23"/>
  <c r="CV23"/>
  <c r="CU23"/>
  <c r="CT23"/>
  <c r="CS23"/>
  <c r="CR23"/>
  <c r="CQ23"/>
  <c r="CP23"/>
  <c r="CO23"/>
  <c r="CN23"/>
  <c r="CM23"/>
  <c r="CL23"/>
  <c r="CK23"/>
  <c r="CJ23"/>
  <c r="CI23"/>
  <c r="CH23"/>
  <c r="CG23"/>
  <c r="CF23"/>
  <c r="CE23"/>
  <c r="CD23"/>
  <c r="CC23"/>
  <c r="CB23"/>
  <c r="CA23"/>
  <c r="BZ23"/>
  <c r="BY23"/>
  <c r="BX23"/>
  <c r="BW23"/>
  <c r="BV23"/>
  <c r="BU23"/>
  <c r="BT23"/>
  <c r="BS23"/>
  <c r="BR23"/>
  <c r="BQ23"/>
  <c r="BP23"/>
  <c r="BO23"/>
  <c r="BN23"/>
  <c r="E23"/>
  <c r="E244" s="1"/>
  <c r="D23"/>
  <c r="D244" s="1"/>
  <c r="C23"/>
  <c r="C244" s="1"/>
  <c r="B23"/>
  <c r="B244" s="1"/>
  <c r="A23"/>
  <c r="A244" s="1"/>
  <c r="DU22"/>
  <c r="DT22"/>
  <c r="DS22"/>
  <c r="DR22"/>
  <c r="DQ22"/>
  <c r="DP22"/>
  <c r="DO22"/>
  <c r="DN22"/>
  <c r="DM22"/>
  <c r="DL22"/>
  <c r="DK22"/>
  <c r="DJ22"/>
  <c r="DI22"/>
  <c r="DH22"/>
  <c r="DG22"/>
  <c r="DF22"/>
  <c r="DE22"/>
  <c r="DD22"/>
  <c r="DC22"/>
  <c r="DB22"/>
  <c r="DA22"/>
  <c r="CZ22"/>
  <c r="CY22"/>
  <c r="CX22"/>
  <c r="CW22"/>
  <c r="CV22"/>
  <c r="CU22"/>
  <c r="CT22"/>
  <c r="CS22"/>
  <c r="CR22"/>
  <c r="CQ22"/>
  <c r="CP22"/>
  <c r="CO22"/>
  <c r="CN22"/>
  <c r="CM22"/>
  <c r="CL22"/>
  <c r="CK22"/>
  <c r="CJ22"/>
  <c r="CI22"/>
  <c r="CH22"/>
  <c r="CG22"/>
  <c r="CF22"/>
  <c r="CE22"/>
  <c r="CD22"/>
  <c r="CC22"/>
  <c r="CB22"/>
  <c r="CA22"/>
  <c r="BZ22"/>
  <c r="BY22"/>
  <c r="BX22"/>
  <c r="BW22"/>
  <c r="BV22"/>
  <c r="BU22"/>
  <c r="BT22"/>
  <c r="BS22"/>
  <c r="BR22"/>
  <c r="BQ22"/>
  <c r="BP22"/>
  <c r="BO22"/>
  <c r="BN22"/>
  <c r="E22"/>
  <c r="B22"/>
  <c r="A22"/>
  <c r="DU21"/>
  <c r="DT21"/>
  <c r="DS21"/>
  <c r="DR21"/>
  <c r="DQ21"/>
  <c r="DP21"/>
  <c r="DO21"/>
  <c r="DN21"/>
  <c r="DM21"/>
  <c r="DL21"/>
  <c r="DK21"/>
  <c r="DJ21"/>
  <c r="DI21"/>
  <c r="DH21"/>
  <c r="DG21"/>
  <c r="DF21"/>
  <c r="DE21"/>
  <c r="DD21"/>
  <c r="DC21"/>
  <c r="DB21"/>
  <c r="DA21"/>
  <c r="CZ21"/>
  <c r="CY21"/>
  <c r="CX21"/>
  <c r="CW21"/>
  <c r="CV21"/>
  <c r="CU21"/>
  <c r="CT21"/>
  <c r="CS21"/>
  <c r="CR21"/>
  <c r="CQ21"/>
  <c r="CP21"/>
  <c r="CO21"/>
  <c r="CN21"/>
  <c r="CM21"/>
  <c r="CL21"/>
  <c r="CK21"/>
  <c r="CJ21"/>
  <c r="CI21"/>
  <c r="CH21"/>
  <c r="CG21"/>
  <c r="CF21"/>
  <c r="CE21"/>
  <c r="CD21"/>
  <c r="CC21"/>
  <c r="CB21"/>
  <c r="CA21"/>
  <c r="BZ21"/>
  <c r="BY21"/>
  <c r="BX21"/>
  <c r="BW21"/>
  <c r="BV21"/>
  <c r="BU21"/>
  <c r="BT21"/>
  <c r="BS21"/>
  <c r="BR21"/>
  <c r="BQ21"/>
  <c r="BP21"/>
  <c r="BO21"/>
  <c r="BN21"/>
  <c r="E21"/>
  <c r="E243" s="1"/>
  <c r="D21"/>
  <c r="D243" s="1"/>
  <c r="C21"/>
  <c r="C243" s="1"/>
  <c r="B21"/>
  <c r="B243" s="1"/>
  <c r="A21"/>
  <c r="A243" s="1"/>
  <c r="DU20"/>
  <c r="DT20"/>
  <c r="DS20"/>
  <c r="DR20"/>
  <c r="DQ20"/>
  <c r="DP20"/>
  <c r="DO20"/>
  <c r="DN20"/>
  <c r="DM20"/>
  <c r="DL20"/>
  <c r="DK20"/>
  <c r="DJ20"/>
  <c r="DI20"/>
  <c r="DH20"/>
  <c r="DG20"/>
  <c r="DF20"/>
  <c r="DE20"/>
  <c r="DD20"/>
  <c r="DC20"/>
  <c r="DB20"/>
  <c r="DA20"/>
  <c r="CZ20"/>
  <c r="CY20"/>
  <c r="CX20"/>
  <c r="CW20"/>
  <c r="CV20"/>
  <c r="CU20"/>
  <c r="CT20"/>
  <c r="CS20"/>
  <c r="CR20"/>
  <c r="CQ20"/>
  <c r="CP20"/>
  <c r="CO20"/>
  <c r="CN20"/>
  <c r="CM20"/>
  <c r="CL20"/>
  <c r="CK20"/>
  <c r="CJ20"/>
  <c r="CI20"/>
  <c r="CH20"/>
  <c r="CG20"/>
  <c r="CF20"/>
  <c r="CE20"/>
  <c r="CD20"/>
  <c r="CC20"/>
  <c r="CB20"/>
  <c r="CA20"/>
  <c r="BZ20"/>
  <c r="BY20"/>
  <c r="BX20"/>
  <c r="BW20"/>
  <c r="BV20"/>
  <c r="BU20"/>
  <c r="BT20"/>
  <c r="BS20"/>
  <c r="BR20"/>
  <c r="BQ20"/>
  <c r="BP20"/>
  <c r="BO20"/>
  <c r="BN20"/>
  <c r="E20"/>
  <c r="E242" s="1"/>
  <c r="D20"/>
  <c r="D242" s="1"/>
  <c r="C20"/>
  <c r="C242" s="1"/>
  <c r="B20"/>
  <c r="B242" s="1"/>
  <c r="A20"/>
  <c r="A242" s="1"/>
  <c r="DU19"/>
  <c r="DT19"/>
  <c r="DS19"/>
  <c r="DR19"/>
  <c r="DQ19"/>
  <c r="DP19"/>
  <c r="DO19"/>
  <c r="DN19"/>
  <c r="DM19"/>
  <c r="DL19"/>
  <c r="DK19"/>
  <c r="DJ19"/>
  <c r="DI19"/>
  <c r="DH19"/>
  <c r="DG19"/>
  <c r="DF19"/>
  <c r="DE19"/>
  <c r="DD19"/>
  <c r="DC19"/>
  <c r="DB19"/>
  <c r="DA19"/>
  <c r="CZ19"/>
  <c r="CY19"/>
  <c r="CX19"/>
  <c r="CW19"/>
  <c r="CV19"/>
  <c r="CU19"/>
  <c r="CT19"/>
  <c r="CS19"/>
  <c r="CR19"/>
  <c r="CQ19"/>
  <c r="CP19"/>
  <c r="CO19"/>
  <c r="CN19"/>
  <c r="CM19"/>
  <c r="CL19"/>
  <c r="CK19"/>
  <c r="CJ19"/>
  <c r="CI19"/>
  <c r="CH19"/>
  <c r="CG19"/>
  <c r="CF19"/>
  <c r="CE19"/>
  <c r="CD19"/>
  <c r="CC19"/>
  <c r="CB19"/>
  <c r="CA19"/>
  <c r="BZ19"/>
  <c r="BY19"/>
  <c r="BX19"/>
  <c r="BW19"/>
  <c r="BV19"/>
  <c r="BU19"/>
  <c r="BT19"/>
  <c r="BS19"/>
  <c r="BR19"/>
  <c r="BQ19"/>
  <c r="BP19"/>
  <c r="BO19"/>
  <c r="BN19"/>
  <c r="E19"/>
  <c r="E241" s="1"/>
  <c r="D19"/>
  <c r="D241" s="1"/>
  <c r="C19"/>
  <c r="C241" s="1"/>
  <c r="B19"/>
  <c r="B241" s="1"/>
  <c r="A19"/>
  <c r="A241" s="1"/>
  <c r="DU18"/>
  <c r="DT18"/>
  <c r="DS18"/>
  <c r="DR18"/>
  <c r="DQ18"/>
  <c r="DP18"/>
  <c r="DO18"/>
  <c r="DN18"/>
  <c r="DM18"/>
  <c r="DL18"/>
  <c r="DK18"/>
  <c r="DJ18"/>
  <c r="DI18"/>
  <c r="DH18"/>
  <c r="DG18"/>
  <c r="DF18"/>
  <c r="DE18"/>
  <c r="DD18"/>
  <c r="DC18"/>
  <c r="DB18"/>
  <c r="DA18"/>
  <c r="CZ18"/>
  <c r="CY18"/>
  <c r="CX18"/>
  <c r="CW18"/>
  <c r="CV18"/>
  <c r="CU18"/>
  <c r="CT18"/>
  <c r="CS18"/>
  <c r="CR18"/>
  <c r="CQ18"/>
  <c r="CP18"/>
  <c r="CO18"/>
  <c r="CN18"/>
  <c r="CM18"/>
  <c r="CL18"/>
  <c r="CK18"/>
  <c r="CJ18"/>
  <c r="CI18"/>
  <c r="CH18"/>
  <c r="CG18"/>
  <c r="CF18"/>
  <c r="CE18"/>
  <c r="CD18"/>
  <c r="CC18"/>
  <c r="CB18"/>
  <c r="CA18"/>
  <c r="BZ18"/>
  <c r="BY18"/>
  <c r="BX18"/>
  <c r="BW18"/>
  <c r="BV18"/>
  <c r="BU18"/>
  <c r="BT18"/>
  <c r="BS18"/>
  <c r="BR18"/>
  <c r="BQ18"/>
  <c r="BP18"/>
  <c r="BO18"/>
  <c r="BN18"/>
  <c r="E18"/>
  <c r="E240" s="1"/>
  <c r="D18"/>
  <c r="D240" s="1"/>
  <c r="C18"/>
  <c r="C240" s="1"/>
  <c r="B18"/>
  <c r="B240" s="1"/>
  <c r="A18"/>
  <c r="A240" s="1"/>
  <c r="DU17"/>
  <c r="DT17"/>
  <c r="DS17"/>
  <c r="DR17"/>
  <c r="DQ17"/>
  <c r="DP17"/>
  <c r="DO17"/>
  <c r="DN17"/>
  <c r="DM17"/>
  <c r="DL17"/>
  <c r="DK17"/>
  <c r="DJ17"/>
  <c r="DI17"/>
  <c r="DH17"/>
  <c r="DG17"/>
  <c r="DF17"/>
  <c r="DE17"/>
  <c r="DD17"/>
  <c r="DC17"/>
  <c r="DB17"/>
  <c r="DA17"/>
  <c r="CZ17"/>
  <c r="CY17"/>
  <c r="CX17"/>
  <c r="CW17"/>
  <c r="CV17"/>
  <c r="CU17"/>
  <c r="CT17"/>
  <c r="CS17"/>
  <c r="CR17"/>
  <c r="CQ17"/>
  <c r="CP17"/>
  <c r="CO17"/>
  <c r="CN17"/>
  <c r="CM17"/>
  <c r="CL17"/>
  <c r="CK17"/>
  <c r="CJ17"/>
  <c r="CI17"/>
  <c r="CH17"/>
  <c r="CG17"/>
  <c r="CF17"/>
  <c r="CE17"/>
  <c r="CD17"/>
  <c r="CC17"/>
  <c r="CB17"/>
  <c r="CA17"/>
  <c r="BZ17"/>
  <c r="BY17"/>
  <c r="BX17"/>
  <c r="BW17"/>
  <c r="BV17"/>
  <c r="BU17"/>
  <c r="BT17"/>
  <c r="BS17"/>
  <c r="BR17"/>
  <c r="BQ17"/>
  <c r="BP17"/>
  <c r="BO17"/>
  <c r="BN17"/>
  <c r="E17"/>
  <c r="E239" s="1"/>
  <c r="D17"/>
  <c r="D239" s="1"/>
  <c r="C17"/>
  <c r="C239" s="1"/>
  <c r="B17"/>
  <c r="B239" s="1"/>
  <c r="A17"/>
  <c r="A239" s="1"/>
  <c r="DU16"/>
  <c r="DT16"/>
  <c r="DS16"/>
  <c r="DR16"/>
  <c r="DQ16"/>
  <c r="DP16"/>
  <c r="DO16"/>
  <c r="DN16"/>
  <c r="DM16"/>
  <c r="DL16"/>
  <c r="DK16"/>
  <c r="DJ16"/>
  <c r="DI16"/>
  <c r="DH16"/>
  <c r="DG16"/>
  <c r="DF16"/>
  <c r="DE16"/>
  <c r="DD16"/>
  <c r="DC16"/>
  <c r="DB16"/>
  <c r="DA16"/>
  <c r="CZ16"/>
  <c r="CY16"/>
  <c r="CX16"/>
  <c r="CW16"/>
  <c r="CV16"/>
  <c r="CU16"/>
  <c r="CT16"/>
  <c r="CS16"/>
  <c r="CR16"/>
  <c r="CQ16"/>
  <c r="CP16"/>
  <c r="CO16"/>
  <c r="CN16"/>
  <c r="CM16"/>
  <c r="CL16"/>
  <c r="CK16"/>
  <c r="CJ16"/>
  <c r="CI16"/>
  <c r="CH16"/>
  <c r="CG16"/>
  <c r="CF16"/>
  <c r="CE16"/>
  <c r="CD16"/>
  <c r="CC16"/>
  <c r="CB16"/>
  <c r="CA16"/>
  <c r="BZ16"/>
  <c r="BY16"/>
  <c r="BX16"/>
  <c r="BW16"/>
  <c r="BV16"/>
  <c r="BU16"/>
  <c r="BT16"/>
  <c r="BS16"/>
  <c r="BR16"/>
  <c r="BQ16"/>
  <c r="BP16"/>
  <c r="BO16"/>
  <c r="BN16"/>
  <c r="E16"/>
  <c r="E238" s="1"/>
  <c r="D16"/>
  <c r="D238" s="1"/>
  <c r="C16"/>
  <c r="C238" s="1"/>
  <c r="B16"/>
  <c r="B238" s="1"/>
  <c r="A16"/>
  <c r="A238" s="1"/>
  <c r="DU15"/>
  <c r="DT15"/>
  <c r="DS15"/>
  <c r="DR15"/>
  <c r="DQ15"/>
  <c r="DP15"/>
  <c r="DO15"/>
  <c r="DN15"/>
  <c r="DM15"/>
  <c r="DL15"/>
  <c r="DK15"/>
  <c r="DJ15"/>
  <c r="DI15"/>
  <c r="DH15"/>
  <c r="DG15"/>
  <c r="DF15"/>
  <c r="DE15"/>
  <c r="DD15"/>
  <c r="DC15"/>
  <c r="DB15"/>
  <c r="DA15"/>
  <c r="CZ15"/>
  <c r="CY15"/>
  <c r="CX15"/>
  <c r="CW15"/>
  <c r="CV15"/>
  <c r="CU15"/>
  <c r="CT15"/>
  <c r="CS15"/>
  <c r="CR15"/>
  <c r="CQ15"/>
  <c r="CP15"/>
  <c r="CO15"/>
  <c r="CN15"/>
  <c r="CM15"/>
  <c r="CL15"/>
  <c r="CK15"/>
  <c r="CJ15"/>
  <c r="CI15"/>
  <c r="CH15"/>
  <c r="CG15"/>
  <c r="CF15"/>
  <c r="CE15"/>
  <c r="CD15"/>
  <c r="CC15"/>
  <c r="CB15"/>
  <c r="CA15"/>
  <c r="BZ15"/>
  <c r="BY15"/>
  <c r="BX15"/>
  <c r="BW15"/>
  <c r="BV15"/>
  <c r="BU15"/>
  <c r="BT15"/>
  <c r="BS15"/>
  <c r="BR15"/>
  <c r="BQ15"/>
  <c r="BP15"/>
  <c r="BO15"/>
  <c r="BN15"/>
  <c r="E15"/>
  <c r="E237" s="1"/>
  <c r="D15"/>
  <c r="D237" s="1"/>
  <c r="C15"/>
  <c r="C237" s="1"/>
  <c r="B15"/>
  <c r="B237" s="1"/>
  <c r="A15"/>
  <c r="A237" s="1"/>
  <c r="DU14"/>
  <c r="DT14"/>
  <c r="DS14"/>
  <c r="DR14"/>
  <c r="DQ14"/>
  <c r="DP14"/>
  <c r="DO14"/>
  <c r="DN14"/>
  <c r="DM14"/>
  <c r="DL14"/>
  <c r="DK14"/>
  <c r="DJ14"/>
  <c r="DI14"/>
  <c r="DH14"/>
  <c r="DG14"/>
  <c r="DF14"/>
  <c r="DE14"/>
  <c r="DD14"/>
  <c r="DC14"/>
  <c r="DB14"/>
  <c r="DA14"/>
  <c r="CZ14"/>
  <c r="CY14"/>
  <c r="CX14"/>
  <c r="CW14"/>
  <c r="CV14"/>
  <c r="CU14"/>
  <c r="CT14"/>
  <c r="CS14"/>
  <c r="CR14"/>
  <c r="CQ14"/>
  <c r="CP14"/>
  <c r="CO14"/>
  <c r="CN14"/>
  <c r="CM14"/>
  <c r="CL14"/>
  <c r="CK14"/>
  <c r="CJ14"/>
  <c r="CI14"/>
  <c r="CH14"/>
  <c r="CG14"/>
  <c r="CF14"/>
  <c r="CE14"/>
  <c r="CD14"/>
  <c r="CC14"/>
  <c r="CB14"/>
  <c r="CA14"/>
  <c r="BZ14"/>
  <c r="BY14"/>
  <c r="BX14"/>
  <c r="BW14"/>
  <c r="BV14"/>
  <c r="BU14"/>
  <c r="BT14"/>
  <c r="BS14"/>
  <c r="BR14"/>
  <c r="BQ14"/>
  <c r="BP14"/>
  <c r="BO14"/>
  <c r="BN14"/>
  <c r="E14"/>
  <c r="E236" s="1"/>
  <c r="D14"/>
  <c r="D236" s="1"/>
  <c r="C14"/>
  <c r="C236" s="1"/>
  <c r="B14"/>
  <c r="B236" s="1"/>
  <c r="A14"/>
  <c r="A236" s="1"/>
  <c r="DU13"/>
  <c r="DT13"/>
  <c r="DS13"/>
  <c r="DR13"/>
  <c r="DQ13"/>
  <c r="DP13"/>
  <c r="DO13"/>
  <c r="DN13"/>
  <c r="DM13"/>
  <c r="DL13"/>
  <c r="DK13"/>
  <c r="DJ13"/>
  <c r="DI13"/>
  <c r="DH13"/>
  <c r="DG13"/>
  <c r="DF13"/>
  <c r="DE13"/>
  <c r="DD13"/>
  <c r="DC13"/>
  <c r="DB13"/>
  <c r="DA13"/>
  <c r="CZ13"/>
  <c r="CY13"/>
  <c r="CX13"/>
  <c r="CW13"/>
  <c r="CV13"/>
  <c r="CU13"/>
  <c r="CT13"/>
  <c r="CS13"/>
  <c r="CR13"/>
  <c r="CQ13"/>
  <c r="CP13"/>
  <c r="CO13"/>
  <c r="CN13"/>
  <c r="CM13"/>
  <c r="CL13"/>
  <c r="CK13"/>
  <c r="CJ13"/>
  <c r="CI13"/>
  <c r="CH13"/>
  <c r="CG13"/>
  <c r="CF13"/>
  <c r="CE13"/>
  <c r="CD13"/>
  <c r="CC13"/>
  <c r="CB13"/>
  <c r="CA13"/>
  <c r="BZ13"/>
  <c r="BY13"/>
  <c r="BX13"/>
  <c r="BW13"/>
  <c r="BV13"/>
  <c r="BU13"/>
  <c r="BT13"/>
  <c r="BS13"/>
  <c r="BR13"/>
  <c r="BQ13"/>
  <c r="BP13"/>
  <c r="BO13"/>
  <c r="BN13"/>
  <c r="E13"/>
  <c r="B13"/>
  <c r="A13"/>
  <c r="DU12"/>
  <c r="DT12"/>
  <c r="DS12"/>
  <c r="DR12"/>
  <c r="DQ12"/>
  <c r="DP12"/>
  <c r="DO12"/>
  <c r="DN12"/>
  <c r="DM12"/>
  <c r="DL12"/>
  <c r="DK12"/>
  <c r="DJ12"/>
  <c r="DI12"/>
  <c r="DH12"/>
  <c r="DG12"/>
  <c r="DF12"/>
  <c r="DE12"/>
  <c r="DD12"/>
  <c r="DC12"/>
  <c r="DB12"/>
  <c r="DA12"/>
  <c r="CZ12"/>
  <c r="CY12"/>
  <c r="CX12"/>
  <c r="CW12"/>
  <c r="CV12"/>
  <c r="CU12"/>
  <c r="CT12"/>
  <c r="CS12"/>
  <c r="CR12"/>
  <c r="CQ12"/>
  <c r="CP12"/>
  <c r="CO12"/>
  <c r="CN12"/>
  <c r="CM12"/>
  <c r="CL12"/>
  <c r="CK12"/>
  <c r="CJ12"/>
  <c r="CI12"/>
  <c r="CH12"/>
  <c r="CG12"/>
  <c r="CF12"/>
  <c r="CE12"/>
  <c r="CD12"/>
  <c r="CC12"/>
  <c r="CB12"/>
  <c r="CA12"/>
  <c r="BZ12"/>
  <c r="BY12"/>
  <c r="BX12"/>
  <c r="BW12"/>
  <c r="BV12"/>
  <c r="BU12"/>
  <c r="BT12"/>
  <c r="BS12"/>
  <c r="BR12"/>
  <c r="BQ12"/>
  <c r="BP12"/>
  <c r="BO12"/>
  <c r="BN12"/>
  <c r="E12"/>
  <c r="E235" s="1"/>
  <c r="D12"/>
  <c r="D235" s="1"/>
  <c r="C12"/>
  <c r="C235" s="1"/>
  <c r="B12"/>
  <c r="B235" s="1"/>
  <c r="A12"/>
  <c r="A235" s="1"/>
  <c r="DU11"/>
  <c r="DT11"/>
  <c r="DS11"/>
  <c r="DR11"/>
  <c r="DQ11"/>
  <c r="DP11"/>
  <c r="DO11"/>
  <c r="DN11"/>
  <c r="DM11"/>
  <c r="DL11"/>
  <c r="DK11"/>
  <c r="DJ11"/>
  <c r="DI11"/>
  <c r="DH11"/>
  <c r="DG11"/>
  <c r="DF11"/>
  <c r="DE11"/>
  <c r="DD11"/>
  <c r="DC11"/>
  <c r="DB11"/>
  <c r="DA11"/>
  <c r="CZ11"/>
  <c r="CY11"/>
  <c r="CX11"/>
  <c r="CW11"/>
  <c r="CV11"/>
  <c r="CU11"/>
  <c r="CT11"/>
  <c r="CS11"/>
  <c r="CR11"/>
  <c r="CQ11"/>
  <c r="CP11"/>
  <c r="CO11"/>
  <c r="CN11"/>
  <c r="CM11"/>
  <c r="CL11"/>
  <c r="CK11"/>
  <c r="CJ11"/>
  <c r="CI11"/>
  <c r="CH11"/>
  <c r="CG11"/>
  <c r="CF11"/>
  <c r="CE11"/>
  <c r="CD11"/>
  <c r="CC11"/>
  <c r="CB11"/>
  <c r="CA11"/>
  <c r="BZ11"/>
  <c r="BY11"/>
  <c r="BX11"/>
  <c r="BW11"/>
  <c r="BV11"/>
  <c r="BU11"/>
  <c r="BT11"/>
  <c r="BS11"/>
  <c r="BR11"/>
  <c r="BQ11"/>
  <c r="BP11"/>
  <c r="BO11"/>
  <c r="BN11"/>
  <c r="E11"/>
  <c r="E234" s="1"/>
  <c r="D11"/>
  <c r="D234" s="1"/>
  <c r="C11"/>
  <c r="C234" s="1"/>
  <c r="B11"/>
  <c r="B234" s="1"/>
  <c r="A11"/>
  <c r="A234" s="1"/>
  <c r="DU10"/>
  <c r="DT10"/>
  <c r="DS10"/>
  <c r="DR10"/>
  <c r="DQ10"/>
  <c r="DP10"/>
  <c r="DO10"/>
  <c r="DN10"/>
  <c r="DM10"/>
  <c r="DL10"/>
  <c r="DK10"/>
  <c r="DJ10"/>
  <c r="DI10"/>
  <c r="DH10"/>
  <c r="DG10"/>
  <c r="DF10"/>
  <c r="DE10"/>
  <c r="DD10"/>
  <c r="DC10"/>
  <c r="DB10"/>
  <c r="DA10"/>
  <c r="CZ10"/>
  <c r="CY10"/>
  <c r="CX10"/>
  <c r="CW10"/>
  <c r="CV10"/>
  <c r="CU10"/>
  <c r="CT10"/>
  <c r="CS10"/>
  <c r="CR10"/>
  <c r="CQ10"/>
  <c r="CP10"/>
  <c r="CO10"/>
  <c r="CN10"/>
  <c r="CM10"/>
  <c r="CL10"/>
  <c r="CK10"/>
  <c r="CJ10"/>
  <c r="CI10"/>
  <c r="CH10"/>
  <c r="CG10"/>
  <c r="CF10"/>
  <c r="CE10"/>
  <c r="CD10"/>
  <c r="CC10"/>
  <c r="CB10"/>
  <c r="CA10"/>
  <c r="BZ10"/>
  <c r="BY10"/>
  <c r="BX10"/>
  <c r="BW10"/>
  <c r="BV10"/>
  <c r="BU10"/>
  <c r="BT10"/>
  <c r="BS10"/>
  <c r="BR10"/>
  <c r="BQ10"/>
  <c r="BP10"/>
  <c r="BO10"/>
  <c r="BN10"/>
  <c r="E10"/>
  <c r="E233" s="1"/>
  <c r="D10"/>
  <c r="D233" s="1"/>
  <c r="C10"/>
  <c r="C233" s="1"/>
  <c r="B10"/>
  <c r="B233" s="1"/>
  <c r="A10"/>
  <c r="A233" s="1"/>
  <c r="DU9"/>
  <c r="DT9"/>
  <c r="DS9"/>
  <c r="DR9"/>
  <c r="DQ9"/>
  <c r="DP9"/>
  <c r="DO9"/>
  <c r="DN9"/>
  <c r="DM9"/>
  <c r="DL9"/>
  <c r="DK9"/>
  <c r="DJ9"/>
  <c r="DI9"/>
  <c r="DH9"/>
  <c r="DG9"/>
  <c r="DF9"/>
  <c r="DE9"/>
  <c r="DD9"/>
  <c r="DC9"/>
  <c r="DB9"/>
  <c r="DA9"/>
  <c r="CZ9"/>
  <c r="CY9"/>
  <c r="CX9"/>
  <c r="CW9"/>
  <c r="CV9"/>
  <c r="CU9"/>
  <c r="CT9"/>
  <c r="CS9"/>
  <c r="CR9"/>
  <c r="CQ9"/>
  <c r="CP9"/>
  <c r="CO9"/>
  <c r="CN9"/>
  <c r="CM9"/>
  <c r="CL9"/>
  <c r="CK9"/>
  <c r="CJ9"/>
  <c r="CI9"/>
  <c r="CH9"/>
  <c r="CG9"/>
  <c r="CF9"/>
  <c r="CE9"/>
  <c r="CD9"/>
  <c r="CC9"/>
  <c r="CB9"/>
  <c r="CA9"/>
  <c r="BZ9"/>
  <c r="BY9"/>
  <c r="BX9"/>
  <c r="BW9"/>
  <c r="BV9"/>
  <c r="BU9"/>
  <c r="BT9"/>
  <c r="BS9"/>
  <c r="BR9"/>
  <c r="BQ9"/>
  <c r="BP9"/>
  <c r="BO9"/>
  <c r="BN9"/>
  <c r="E9"/>
  <c r="E232" s="1"/>
  <c r="D9"/>
  <c r="D232" s="1"/>
  <c r="C9"/>
  <c r="C232" s="1"/>
  <c r="B9"/>
  <c r="B232" s="1"/>
  <c r="A9"/>
  <c r="A232" s="1"/>
  <c r="DU8"/>
  <c r="DT8"/>
  <c r="DS8"/>
  <c r="DR8"/>
  <c r="DQ8"/>
  <c r="DP8"/>
  <c r="DO8"/>
  <c r="DN8"/>
  <c r="DM8"/>
  <c r="DL8"/>
  <c r="DK8"/>
  <c r="DJ8"/>
  <c r="DI8"/>
  <c r="DH8"/>
  <c r="DG8"/>
  <c r="DF8"/>
  <c r="DE8"/>
  <c r="DD8"/>
  <c r="DC8"/>
  <c r="DB8"/>
  <c r="DA8"/>
  <c r="CZ8"/>
  <c r="CY8"/>
  <c r="CX8"/>
  <c r="CW8"/>
  <c r="CV8"/>
  <c r="CU8"/>
  <c r="CT8"/>
  <c r="CS8"/>
  <c r="CR8"/>
  <c r="CQ8"/>
  <c r="CP8"/>
  <c r="CO8"/>
  <c r="CN8"/>
  <c r="CM8"/>
  <c r="CL8"/>
  <c r="CK8"/>
  <c r="CJ8"/>
  <c r="CI8"/>
  <c r="CH8"/>
  <c r="CG8"/>
  <c r="CF8"/>
  <c r="CE8"/>
  <c r="CD8"/>
  <c r="CC8"/>
  <c r="CB8"/>
  <c r="CA8"/>
  <c r="BZ8"/>
  <c r="BY8"/>
  <c r="BX8"/>
  <c r="BW8"/>
  <c r="BV8"/>
  <c r="BU8"/>
  <c r="BT8"/>
  <c r="BS8"/>
  <c r="BR8"/>
  <c r="BQ8"/>
  <c r="BP8"/>
  <c r="BO8"/>
  <c r="BN8"/>
  <c r="E8"/>
  <c r="E231" s="1"/>
  <c r="D8"/>
  <c r="D231" s="1"/>
  <c r="C8"/>
  <c r="C231" s="1"/>
  <c r="B8"/>
  <c r="B231" s="1"/>
  <c r="A8"/>
  <c r="A231" s="1"/>
  <c r="DU7"/>
  <c r="DT7"/>
  <c r="DS7"/>
  <c r="DR7"/>
  <c r="DQ7"/>
  <c r="DP7"/>
  <c r="DO7"/>
  <c r="DN7"/>
  <c r="DM7"/>
  <c r="DL7"/>
  <c r="DK7"/>
  <c r="DJ7"/>
  <c r="DI7"/>
  <c r="DH7"/>
  <c r="DG7"/>
  <c r="DF7"/>
  <c r="DE7"/>
  <c r="DD7"/>
  <c r="DC7"/>
  <c r="DB7"/>
  <c r="DA7"/>
  <c r="CZ7"/>
  <c r="CY7"/>
  <c r="CX7"/>
  <c r="CW7"/>
  <c r="CV7"/>
  <c r="CU7"/>
  <c r="CT7"/>
  <c r="CS7"/>
  <c r="CR7"/>
  <c r="CQ7"/>
  <c r="CP7"/>
  <c r="CO7"/>
  <c r="CN7"/>
  <c r="CM7"/>
  <c r="CL7"/>
  <c r="CK7"/>
  <c r="CJ7"/>
  <c r="CI7"/>
  <c r="CH7"/>
  <c r="CG7"/>
  <c r="CF7"/>
  <c r="CE7"/>
  <c r="CD7"/>
  <c r="CC7"/>
  <c r="CB7"/>
  <c r="CA7"/>
  <c r="BZ7"/>
  <c r="BY7"/>
  <c r="BX7"/>
  <c r="BW7"/>
  <c r="BV7"/>
  <c r="BU7"/>
  <c r="BT7"/>
  <c r="BS7"/>
  <c r="BR7"/>
  <c r="BQ7"/>
  <c r="BP7"/>
  <c r="BO7"/>
  <c r="BN7"/>
  <c r="E7"/>
  <c r="E230" s="1"/>
  <c r="D7"/>
  <c r="D230" s="1"/>
  <c r="C7"/>
  <c r="C230" s="1"/>
  <c r="B7"/>
  <c r="B230" s="1"/>
  <c r="A7"/>
  <c r="A230" s="1"/>
  <c r="DU6"/>
  <c r="DT6"/>
  <c r="DS6"/>
  <c r="DR6"/>
  <c r="DQ6"/>
  <c r="DP6"/>
  <c r="DO6"/>
  <c r="DN6"/>
  <c r="DM6"/>
  <c r="DL6"/>
  <c r="DK6"/>
  <c r="DJ6"/>
  <c r="DI6"/>
  <c r="DH6"/>
  <c r="DG6"/>
  <c r="DF6"/>
  <c r="DE6"/>
  <c r="DD6"/>
  <c r="DC6"/>
  <c r="DB6"/>
  <c r="DA6"/>
  <c r="CZ6"/>
  <c r="CY6"/>
  <c r="CX6"/>
  <c r="CW6"/>
  <c r="CV6"/>
  <c r="CU6"/>
  <c r="CT6"/>
  <c r="CS6"/>
  <c r="CR6"/>
  <c r="CQ6"/>
  <c r="CP6"/>
  <c r="CO6"/>
  <c r="CN6"/>
  <c r="CM6"/>
  <c r="CL6"/>
  <c r="CK6"/>
  <c r="CJ6"/>
  <c r="CI6"/>
  <c r="CH6"/>
  <c r="CG6"/>
  <c r="CF6"/>
  <c r="CE6"/>
  <c r="CD6"/>
  <c r="CC6"/>
  <c r="CB6"/>
  <c r="CA6"/>
  <c r="BZ6"/>
  <c r="BY6"/>
  <c r="BX6"/>
  <c r="BW6"/>
  <c r="BV6"/>
  <c r="BU6"/>
  <c r="BT6"/>
  <c r="BS6"/>
  <c r="BR6"/>
  <c r="BQ6"/>
  <c r="BP6"/>
  <c r="BO6"/>
  <c r="BN6"/>
  <c r="E6"/>
  <c r="E229" s="1"/>
  <c r="D6"/>
  <c r="D229" s="1"/>
  <c r="C6"/>
  <c r="C229" s="1"/>
  <c r="B6"/>
  <c r="B229" s="1"/>
  <c r="A6"/>
  <c r="A229" s="1"/>
  <c r="DU5"/>
  <c r="DT5"/>
  <c r="DS5"/>
  <c r="DR5"/>
  <c r="DQ5"/>
  <c r="DP5"/>
  <c r="DO5"/>
  <c r="DN5"/>
  <c r="DM5"/>
  <c r="DL5"/>
  <c r="DK5"/>
  <c r="DJ5"/>
  <c r="DI5"/>
  <c r="DH5"/>
  <c r="DG5"/>
  <c r="DF5"/>
  <c r="DE5"/>
  <c r="DD5"/>
  <c r="DC5"/>
  <c r="DB5"/>
  <c r="DA5"/>
  <c r="CZ5"/>
  <c r="CY5"/>
  <c r="CX5"/>
  <c r="CW5"/>
  <c r="CV5"/>
  <c r="CU5"/>
  <c r="CT5"/>
  <c r="CS5"/>
  <c r="CR5"/>
  <c r="CQ5"/>
  <c r="CP5"/>
  <c r="CO5"/>
  <c r="CN5"/>
  <c r="CM5"/>
  <c r="CL5"/>
  <c r="CK5"/>
  <c r="CJ5"/>
  <c r="CI5"/>
  <c r="CH5"/>
  <c r="CG5"/>
  <c r="CF5"/>
  <c r="CE5"/>
  <c r="CD5"/>
  <c r="CC5"/>
  <c r="CB5"/>
  <c r="CA5"/>
  <c r="BZ5"/>
  <c r="BY5"/>
  <c r="BX5"/>
  <c r="BW5"/>
  <c r="BV5"/>
  <c r="BU5"/>
  <c r="BT5"/>
  <c r="BS5"/>
  <c r="BR5"/>
  <c r="BQ5"/>
  <c r="BP5"/>
  <c r="BO5"/>
  <c r="BN5"/>
  <c r="E5"/>
  <c r="E228" s="1"/>
  <c r="D5"/>
  <c r="D228" s="1"/>
  <c r="C5"/>
  <c r="C228" s="1"/>
  <c r="B5"/>
  <c r="B228" s="1"/>
  <c r="A5"/>
  <c r="A228" s="1"/>
  <c r="DU4"/>
  <c r="DT4"/>
  <c r="DS4"/>
  <c r="DR4"/>
  <c r="DQ4"/>
  <c r="DP4"/>
  <c r="DO4"/>
  <c r="DN4"/>
  <c r="DM4"/>
  <c r="DL4"/>
  <c r="DK4"/>
  <c r="DJ4"/>
  <c r="DI4"/>
  <c r="DH4"/>
  <c r="DG4"/>
  <c r="DF4"/>
  <c r="DE4"/>
  <c r="DD4"/>
  <c r="DC4"/>
  <c r="DB4"/>
  <c r="DA4"/>
  <c r="CZ4"/>
  <c r="CY4"/>
  <c r="CX4"/>
  <c r="CW4"/>
  <c r="CV4"/>
  <c r="CU4"/>
  <c r="CT4"/>
  <c r="CS4"/>
  <c r="CR4"/>
  <c r="CQ4"/>
  <c r="CP4"/>
  <c r="CO4"/>
  <c r="CN4"/>
  <c r="CM4"/>
  <c r="CL4"/>
  <c r="CK4"/>
  <c r="CJ4"/>
  <c r="CI4"/>
  <c r="CH4"/>
  <c r="CG4"/>
  <c r="CF4"/>
  <c r="CE4"/>
  <c r="CD4"/>
  <c r="CC4"/>
  <c r="CB4"/>
  <c r="CA4"/>
  <c r="BZ4"/>
  <c r="BY4"/>
  <c r="BX4"/>
  <c r="BW4"/>
  <c r="BV4"/>
  <c r="BU4"/>
  <c r="BT4"/>
  <c r="BS4"/>
  <c r="BR4"/>
  <c r="BQ4"/>
  <c r="BP4"/>
  <c r="BO4"/>
  <c r="BN4"/>
  <c r="E4"/>
  <c r="B4"/>
  <c r="A4"/>
  <c r="DU3"/>
  <c r="DT3"/>
  <c r="DS3"/>
  <c r="DR3"/>
  <c r="DQ3"/>
  <c r="DP3"/>
  <c r="DO3"/>
  <c r="DN3"/>
  <c r="DM3"/>
  <c r="DL3"/>
  <c r="DK3"/>
  <c r="DJ3"/>
  <c r="DI3"/>
  <c r="DH3"/>
  <c r="DG3"/>
  <c r="DF3"/>
  <c r="DE3"/>
  <c r="DD3"/>
  <c r="DC3"/>
  <c r="DB3"/>
  <c r="DA3"/>
  <c r="CZ3"/>
  <c r="CY3"/>
  <c r="CX3"/>
  <c r="CW3"/>
  <c r="CV3"/>
  <c r="CU3"/>
  <c r="CT3"/>
  <c r="CS3"/>
  <c r="CR3"/>
  <c r="CQ3"/>
  <c r="CP3"/>
  <c r="CO3"/>
  <c r="CN3"/>
  <c r="CM3"/>
  <c r="CL3"/>
  <c r="CK3"/>
  <c r="CJ3"/>
  <c r="CI3"/>
  <c r="CH3"/>
  <c r="CG3"/>
  <c r="CF3"/>
  <c r="CE3"/>
  <c r="CD3"/>
  <c r="CC3"/>
  <c r="CB3"/>
  <c r="CA3"/>
  <c r="BZ3"/>
  <c r="BY3"/>
  <c r="BX3"/>
  <c r="BW3"/>
  <c r="BV3"/>
  <c r="BU3"/>
  <c r="BT3"/>
  <c r="BS3"/>
  <c r="BR3"/>
  <c r="BQ3"/>
  <c r="BP3"/>
  <c r="BO3"/>
  <c r="BN3"/>
  <c r="E3"/>
  <c r="B3"/>
  <c r="A3"/>
  <c r="E2"/>
  <c r="D2"/>
  <c r="C2"/>
  <c r="B2"/>
  <c r="A2"/>
  <c r="E210" i="2"/>
  <c r="C210"/>
  <c r="A210"/>
  <c r="D209"/>
  <c r="B209"/>
  <c r="A209"/>
  <c r="E208"/>
  <c r="C208"/>
  <c r="B208"/>
  <c r="A208"/>
  <c r="D207"/>
  <c r="C207"/>
  <c r="B207"/>
  <c r="E206"/>
  <c r="D206"/>
  <c r="C206"/>
  <c r="A206"/>
  <c r="E205"/>
  <c r="D205"/>
  <c r="B205"/>
  <c r="E204"/>
  <c r="C204"/>
  <c r="A204"/>
  <c r="D203"/>
  <c r="B203"/>
  <c r="E202"/>
  <c r="D202"/>
  <c r="C202"/>
  <c r="A202"/>
  <c r="D201"/>
  <c r="B201"/>
  <c r="E200"/>
  <c r="C200"/>
  <c r="A200"/>
  <c r="D199"/>
  <c r="B199"/>
  <c r="A199"/>
  <c r="E198"/>
  <c r="C198"/>
  <c r="B198"/>
  <c r="A198"/>
  <c r="E197"/>
  <c r="D197"/>
  <c r="C197"/>
  <c r="B197"/>
  <c r="A197"/>
  <c r="E196"/>
  <c r="D196"/>
  <c r="C196"/>
  <c r="B196"/>
  <c r="A196"/>
  <c r="E195"/>
  <c r="D195"/>
  <c r="C195"/>
  <c r="B195"/>
  <c r="A195"/>
  <c r="E194"/>
  <c r="D194"/>
  <c r="C194"/>
  <c r="B194"/>
  <c r="A194"/>
  <c r="E193"/>
  <c r="D193"/>
  <c r="C193"/>
  <c r="B193"/>
  <c r="A193"/>
  <c r="E192"/>
  <c r="D192"/>
  <c r="C192"/>
  <c r="B192"/>
  <c r="A192"/>
  <c r="E191"/>
  <c r="D191"/>
  <c r="C191"/>
  <c r="B191"/>
  <c r="A191"/>
  <c r="E190"/>
  <c r="D190"/>
  <c r="C190"/>
  <c r="B190"/>
  <c r="A190"/>
  <c r="E189"/>
  <c r="D189"/>
  <c r="C189"/>
  <c r="A189"/>
  <c r="E188"/>
  <c r="D188"/>
  <c r="C188"/>
  <c r="B188"/>
  <c r="A188"/>
  <c r="E187"/>
  <c r="D187"/>
  <c r="C187"/>
  <c r="B187"/>
  <c r="A187"/>
  <c r="E186"/>
  <c r="D186"/>
  <c r="C186"/>
  <c r="B186"/>
  <c r="A186"/>
  <c r="E185"/>
  <c r="D185"/>
  <c r="C185"/>
  <c r="B185"/>
  <c r="A185"/>
  <c r="E184"/>
  <c r="D184"/>
  <c r="C184"/>
  <c r="B184"/>
  <c r="A184"/>
  <c r="E183"/>
  <c r="D183"/>
  <c r="C183"/>
  <c r="B183"/>
  <c r="A183"/>
  <c r="E182"/>
  <c r="D182"/>
  <c r="C182"/>
  <c r="B182"/>
  <c r="A182"/>
  <c r="E181"/>
  <c r="D181"/>
  <c r="C181"/>
  <c r="B181"/>
  <c r="A181"/>
  <c r="E180"/>
  <c r="D180"/>
  <c r="C180"/>
  <c r="B180"/>
  <c r="A180"/>
  <c r="E179"/>
  <c r="D179"/>
  <c r="C179"/>
  <c r="B179"/>
  <c r="A179"/>
  <c r="E178"/>
  <c r="D178"/>
  <c r="C178"/>
  <c r="B178"/>
  <c r="A178"/>
  <c r="E177"/>
  <c r="D177"/>
  <c r="C177"/>
  <c r="B177"/>
  <c r="A177"/>
  <c r="E176"/>
  <c r="D176"/>
  <c r="C176"/>
  <c r="B176"/>
  <c r="A176"/>
  <c r="E175"/>
  <c r="D175"/>
  <c r="C175"/>
  <c r="B175"/>
  <c r="A175"/>
  <c r="E174"/>
  <c r="D174"/>
  <c r="C174"/>
  <c r="B174"/>
  <c r="A174"/>
  <c r="E173"/>
  <c r="D173"/>
  <c r="C173"/>
  <c r="B173"/>
  <c r="A173"/>
  <c r="E172"/>
  <c r="D172"/>
  <c r="C172"/>
  <c r="B172"/>
  <c r="A172"/>
  <c r="E171"/>
  <c r="D171"/>
  <c r="C171"/>
  <c r="B171"/>
  <c r="A171"/>
  <c r="E170"/>
  <c r="D170"/>
  <c r="C170"/>
  <c r="B170"/>
  <c r="A170"/>
  <c r="E169"/>
  <c r="D169"/>
  <c r="C169"/>
  <c r="B169"/>
  <c r="A169"/>
  <c r="E168"/>
  <c r="D168"/>
  <c r="C168"/>
  <c r="B168"/>
  <c r="A168"/>
  <c r="E167"/>
  <c r="D167"/>
  <c r="C167"/>
  <c r="B167"/>
  <c r="A167"/>
  <c r="E166"/>
  <c r="D166"/>
  <c r="C166"/>
  <c r="B166"/>
  <c r="A166"/>
  <c r="E165"/>
  <c r="D165"/>
  <c r="C165"/>
  <c r="B165"/>
  <c r="A165"/>
  <c r="E164"/>
  <c r="D164"/>
  <c r="C164"/>
  <c r="B164"/>
  <c r="A164"/>
  <c r="E163"/>
  <c r="D163"/>
  <c r="C163"/>
  <c r="B163"/>
  <c r="A163"/>
  <c r="E162"/>
  <c r="D162"/>
  <c r="C162"/>
  <c r="B162"/>
  <c r="A162"/>
  <c r="E161"/>
  <c r="D161"/>
  <c r="C161"/>
  <c r="B161"/>
  <c r="A161"/>
  <c r="E160"/>
  <c r="D160"/>
  <c r="C160"/>
  <c r="B160"/>
  <c r="A160"/>
  <c r="E159"/>
  <c r="D159"/>
  <c r="C159"/>
  <c r="B159"/>
  <c r="A159"/>
  <c r="E158"/>
  <c r="D158"/>
  <c r="C158"/>
  <c r="B158"/>
  <c r="A158"/>
  <c r="E157"/>
  <c r="D157"/>
  <c r="C157"/>
  <c r="B157"/>
  <c r="A157"/>
  <c r="E156"/>
  <c r="D156"/>
  <c r="C156"/>
  <c r="B156"/>
  <c r="A156"/>
  <c r="E155"/>
  <c r="D155"/>
  <c r="C155"/>
  <c r="B155"/>
  <c r="A155"/>
  <c r="E154"/>
  <c r="D154"/>
  <c r="C154"/>
  <c r="B154"/>
  <c r="A154"/>
  <c r="E153"/>
  <c r="D153"/>
  <c r="C153"/>
  <c r="B153"/>
  <c r="A153"/>
  <c r="E152"/>
  <c r="D152"/>
  <c r="C152"/>
  <c r="B152"/>
  <c r="A152"/>
  <c r="E151"/>
  <c r="D151"/>
  <c r="C151"/>
  <c r="B151"/>
  <c r="A151"/>
  <c r="E150"/>
  <c r="D150"/>
  <c r="C150"/>
  <c r="B150"/>
  <c r="A150"/>
  <c r="E149"/>
  <c r="D149"/>
  <c r="C149"/>
  <c r="B149"/>
  <c r="A149"/>
  <c r="E148"/>
  <c r="D148"/>
  <c r="C148"/>
  <c r="B148"/>
  <c r="A148"/>
  <c r="E147"/>
  <c r="D147"/>
  <c r="C147"/>
  <c r="B147"/>
  <c r="A147"/>
  <c r="E146"/>
  <c r="D146"/>
  <c r="C146"/>
  <c r="B146"/>
  <c r="A146"/>
  <c r="E145"/>
  <c r="D145"/>
  <c r="C145"/>
  <c r="B145"/>
  <c r="A145"/>
  <c r="E144"/>
  <c r="D144"/>
  <c r="C144"/>
  <c r="B144"/>
  <c r="A144"/>
  <c r="E143"/>
  <c r="D143"/>
  <c r="C143"/>
  <c r="B143"/>
  <c r="A143"/>
  <c r="E142"/>
  <c r="D142"/>
  <c r="C142"/>
  <c r="B142"/>
  <c r="A142"/>
  <c r="E141"/>
  <c r="D141"/>
  <c r="C141"/>
  <c r="B141"/>
  <c r="A141"/>
  <c r="E140"/>
  <c r="D140"/>
  <c r="C140"/>
  <c r="B140"/>
  <c r="A140"/>
  <c r="E139"/>
  <c r="D139"/>
  <c r="C139"/>
  <c r="B139"/>
  <c r="A139"/>
  <c r="E138"/>
  <c r="D138"/>
  <c r="C138"/>
  <c r="B138"/>
  <c r="A138"/>
  <c r="E137"/>
  <c r="D137"/>
  <c r="C137"/>
  <c r="B137"/>
  <c r="A137"/>
  <c r="E136"/>
  <c r="D136"/>
  <c r="C136"/>
  <c r="B136"/>
  <c r="A136"/>
  <c r="E135"/>
  <c r="D135"/>
  <c r="C135"/>
  <c r="B135"/>
  <c r="A135"/>
  <c r="E134"/>
  <c r="D134"/>
  <c r="C134"/>
  <c r="B134"/>
  <c r="A134"/>
  <c r="E133"/>
  <c r="D133"/>
  <c r="C133"/>
  <c r="B133"/>
  <c r="A133"/>
  <c r="E132"/>
  <c r="D132"/>
  <c r="C132"/>
  <c r="B132"/>
  <c r="A132"/>
  <c r="E131"/>
  <c r="C131"/>
  <c r="B131"/>
  <c r="A131"/>
  <c r="E130"/>
  <c r="D130"/>
  <c r="C130"/>
  <c r="B130"/>
  <c r="A130"/>
  <c r="E129"/>
  <c r="D129"/>
  <c r="C129"/>
  <c r="B129"/>
  <c r="A129"/>
  <c r="E128"/>
  <c r="D128"/>
  <c r="C128"/>
  <c r="B128"/>
  <c r="A128"/>
  <c r="E127"/>
  <c r="D127"/>
  <c r="C127"/>
  <c r="B127"/>
  <c r="A127"/>
  <c r="E126"/>
  <c r="D126"/>
  <c r="C126"/>
  <c r="B126"/>
  <c r="A126"/>
  <c r="E125"/>
  <c r="D125"/>
  <c r="C125"/>
  <c r="B125"/>
  <c r="A125"/>
  <c r="E124"/>
  <c r="D124"/>
  <c r="C124"/>
  <c r="B124"/>
  <c r="A124"/>
  <c r="E123"/>
  <c r="D123"/>
  <c r="C123"/>
  <c r="B123"/>
  <c r="A123"/>
  <c r="E122"/>
  <c r="D122"/>
  <c r="C122"/>
  <c r="B122"/>
  <c r="A122"/>
  <c r="E121"/>
  <c r="D121"/>
  <c r="C121"/>
  <c r="B121"/>
  <c r="A121"/>
  <c r="E120"/>
  <c r="D120"/>
  <c r="C120"/>
  <c r="B120"/>
  <c r="A120"/>
  <c r="E119"/>
  <c r="C119"/>
  <c r="B119"/>
  <c r="A119"/>
  <c r="E118"/>
  <c r="D118"/>
  <c r="C118"/>
  <c r="B118"/>
  <c r="A118"/>
  <c r="E117"/>
  <c r="D117"/>
  <c r="C117"/>
  <c r="B117"/>
  <c r="A117"/>
  <c r="E116"/>
  <c r="D116"/>
  <c r="C116"/>
  <c r="B116"/>
  <c r="A116"/>
  <c r="E115"/>
  <c r="D115"/>
  <c r="C115"/>
  <c r="B115"/>
  <c r="A115"/>
  <c r="E114"/>
  <c r="D114"/>
  <c r="C114"/>
  <c r="B114"/>
  <c r="A114"/>
  <c r="E113"/>
  <c r="D113"/>
  <c r="C113"/>
  <c r="B113"/>
  <c r="A113"/>
  <c r="E112"/>
  <c r="D112"/>
  <c r="C112"/>
  <c r="B112"/>
  <c r="A112"/>
  <c r="E111"/>
  <c r="D111"/>
  <c r="C111"/>
  <c r="B111"/>
  <c r="A111"/>
  <c r="E110"/>
  <c r="D110"/>
  <c r="C110"/>
  <c r="B110"/>
  <c r="A110"/>
  <c r="E109"/>
  <c r="D109"/>
  <c r="C109"/>
  <c r="B109"/>
  <c r="A109"/>
  <c r="E108"/>
  <c r="D108"/>
  <c r="C108"/>
  <c r="B108"/>
  <c r="A108"/>
  <c r="E107"/>
  <c r="D107"/>
  <c r="C107"/>
  <c r="B107"/>
  <c r="A107"/>
  <c r="E106"/>
  <c r="D106"/>
  <c r="C106"/>
  <c r="B106"/>
  <c r="A106"/>
  <c r="E105"/>
  <c r="D105"/>
  <c r="C105"/>
  <c r="B105"/>
  <c r="A105"/>
  <c r="E104"/>
  <c r="D104"/>
  <c r="C104"/>
  <c r="B104"/>
  <c r="A104"/>
  <c r="E103"/>
  <c r="D103"/>
  <c r="C103"/>
  <c r="B103"/>
  <c r="A103"/>
  <c r="E102"/>
  <c r="D102"/>
  <c r="C102"/>
  <c r="B102"/>
  <c r="A102"/>
  <c r="E101"/>
  <c r="D101"/>
  <c r="C101"/>
  <c r="B101"/>
  <c r="A101"/>
  <c r="E100"/>
  <c r="D100"/>
  <c r="C100"/>
  <c r="B100"/>
  <c r="A100"/>
  <c r="E99"/>
  <c r="D99"/>
  <c r="C99"/>
  <c r="B99"/>
  <c r="A99"/>
  <c r="E98"/>
  <c r="D98"/>
  <c r="C98"/>
  <c r="B98"/>
  <c r="A98"/>
  <c r="E97"/>
  <c r="D97"/>
  <c r="C97"/>
  <c r="B97"/>
  <c r="A97"/>
  <c r="E96"/>
  <c r="D96"/>
  <c r="C96"/>
  <c r="B96"/>
  <c r="A96"/>
  <c r="E95"/>
  <c r="D95"/>
  <c r="C95"/>
  <c r="B95"/>
  <c r="A95"/>
  <c r="E94"/>
  <c r="D94"/>
  <c r="C94"/>
  <c r="B94"/>
  <c r="A94"/>
  <c r="E93"/>
  <c r="D93"/>
  <c r="C93"/>
  <c r="B93"/>
  <c r="A93"/>
  <c r="E92"/>
  <c r="D92"/>
  <c r="C92"/>
  <c r="B92"/>
  <c r="A92"/>
  <c r="D91"/>
  <c r="C91"/>
  <c r="B91"/>
  <c r="A91"/>
  <c r="E90"/>
  <c r="D90"/>
  <c r="C90"/>
  <c r="B90"/>
  <c r="A90"/>
  <c r="E89"/>
  <c r="D89"/>
  <c r="C89"/>
  <c r="B89"/>
  <c r="A89"/>
  <c r="E88"/>
  <c r="D88"/>
  <c r="C88"/>
  <c r="B88"/>
  <c r="A88"/>
  <c r="E87"/>
  <c r="D87"/>
  <c r="C87"/>
  <c r="B87"/>
  <c r="A87"/>
  <c r="E86"/>
  <c r="D86"/>
  <c r="C86"/>
  <c r="B86"/>
  <c r="A86"/>
  <c r="E85"/>
  <c r="D85"/>
  <c r="C85"/>
  <c r="B85"/>
  <c r="A85"/>
  <c r="E84"/>
  <c r="D84"/>
  <c r="C84"/>
  <c r="B84"/>
  <c r="A84"/>
  <c r="E83"/>
  <c r="D83"/>
  <c r="C83"/>
  <c r="B83"/>
  <c r="A83"/>
  <c r="E82"/>
  <c r="D82"/>
  <c r="C82"/>
  <c r="B82"/>
  <c r="A82"/>
  <c r="D81"/>
  <c r="C81"/>
  <c r="B81"/>
  <c r="A81"/>
  <c r="E80"/>
  <c r="D80"/>
  <c r="C80"/>
  <c r="B80"/>
  <c r="A80"/>
  <c r="E79"/>
  <c r="D79"/>
  <c r="C79"/>
  <c r="B79"/>
  <c r="A79"/>
  <c r="E78"/>
  <c r="D78"/>
  <c r="C78"/>
  <c r="B78"/>
  <c r="A78"/>
  <c r="E77"/>
  <c r="D77"/>
  <c r="C77"/>
  <c r="B77"/>
  <c r="A77"/>
  <c r="E76"/>
  <c r="D76"/>
  <c r="C76"/>
  <c r="B76"/>
  <c r="A76"/>
  <c r="E75"/>
  <c r="D75"/>
  <c r="C75"/>
  <c r="B75"/>
  <c r="A75"/>
  <c r="E74"/>
  <c r="D74"/>
  <c r="C74"/>
  <c r="B74"/>
  <c r="A74"/>
  <c r="E73"/>
  <c r="D73"/>
  <c r="C73"/>
  <c r="B73"/>
  <c r="A73"/>
  <c r="E72"/>
  <c r="D72"/>
  <c r="C72"/>
  <c r="B72"/>
  <c r="A72"/>
  <c r="E71"/>
  <c r="D71"/>
  <c r="C71"/>
  <c r="B71"/>
  <c r="A71"/>
  <c r="E70"/>
  <c r="D70"/>
  <c r="C70"/>
  <c r="B70"/>
  <c r="A70"/>
  <c r="E69"/>
  <c r="D69"/>
  <c r="C69"/>
  <c r="B69"/>
  <c r="A69"/>
  <c r="E68"/>
  <c r="D68"/>
  <c r="C68"/>
  <c r="B68"/>
  <c r="A68"/>
  <c r="E67"/>
  <c r="D67"/>
  <c r="C67"/>
  <c r="B67"/>
  <c r="A67"/>
  <c r="E66"/>
  <c r="D66"/>
  <c r="C66"/>
  <c r="B66"/>
  <c r="A66"/>
  <c r="E65"/>
  <c r="D65"/>
  <c r="C65"/>
  <c r="B65"/>
  <c r="A65"/>
  <c r="E64"/>
  <c r="D64"/>
  <c r="C64"/>
  <c r="B64"/>
  <c r="A64"/>
  <c r="E63"/>
  <c r="D63"/>
  <c r="C63"/>
  <c r="B63"/>
  <c r="A63"/>
  <c r="E62"/>
  <c r="D62"/>
  <c r="C62"/>
  <c r="B62"/>
  <c r="A62"/>
  <c r="E61"/>
  <c r="D61"/>
  <c r="C61"/>
  <c r="B61"/>
  <c r="A61"/>
  <c r="E60"/>
  <c r="D60"/>
  <c r="C60"/>
  <c r="B60"/>
  <c r="A60"/>
  <c r="E59"/>
  <c r="D59"/>
  <c r="C59"/>
  <c r="B59"/>
  <c r="A59"/>
  <c r="E58"/>
  <c r="D58"/>
  <c r="C58"/>
  <c r="B58"/>
  <c r="A58"/>
  <c r="E57"/>
  <c r="D57"/>
  <c r="C57"/>
  <c r="B57"/>
  <c r="A57"/>
  <c r="E56"/>
  <c r="D56"/>
  <c r="C56"/>
  <c r="B56"/>
  <c r="A56"/>
  <c r="E55"/>
  <c r="D55"/>
  <c r="C55"/>
  <c r="B55"/>
  <c r="A55"/>
  <c r="E54"/>
  <c r="D54"/>
  <c r="C54"/>
  <c r="B54"/>
  <c r="A54"/>
  <c r="E53"/>
  <c r="D53"/>
  <c r="C53"/>
  <c r="B53"/>
  <c r="A53"/>
  <c r="E52"/>
  <c r="D52"/>
  <c r="C52"/>
  <c r="B52"/>
  <c r="A52"/>
  <c r="E51"/>
  <c r="D51"/>
  <c r="C51"/>
  <c r="B51"/>
  <c r="A51"/>
  <c r="E50"/>
  <c r="D50"/>
  <c r="C50"/>
  <c r="B50"/>
  <c r="A50"/>
  <c r="E49"/>
  <c r="D49"/>
  <c r="C49"/>
  <c r="B49"/>
  <c r="A49"/>
  <c r="E48"/>
  <c r="D48"/>
  <c r="C48"/>
  <c r="B48"/>
  <c r="A48"/>
  <c r="E47"/>
  <c r="D47"/>
  <c r="C47"/>
  <c r="B47"/>
  <c r="A47"/>
  <c r="E46"/>
  <c r="D46"/>
  <c r="C46"/>
  <c r="B46"/>
  <c r="A46"/>
  <c r="E45"/>
  <c r="D45"/>
  <c r="C45"/>
  <c r="B45"/>
  <c r="A45"/>
  <c r="E44"/>
  <c r="D44"/>
  <c r="C44"/>
  <c r="B44"/>
  <c r="A44"/>
  <c r="E43"/>
  <c r="D43"/>
  <c r="C43"/>
  <c r="B43"/>
  <c r="A43"/>
  <c r="E42"/>
  <c r="D42"/>
  <c r="B42"/>
  <c r="A42"/>
  <c r="E41"/>
  <c r="D41"/>
  <c r="C41"/>
  <c r="B41"/>
  <c r="A41"/>
  <c r="E40"/>
  <c r="D40"/>
  <c r="C40"/>
  <c r="B40"/>
  <c r="A40"/>
  <c r="E39"/>
  <c r="D39"/>
  <c r="C39"/>
  <c r="B39"/>
  <c r="A39"/>
  <c r="E38"/>
  <c r="D38"/>
  <c r="C38"/>
  <c r="B38"/>
  <c r="A38"/>
  <c r="E37"/>
  <c r="D37"/>
  <c r="C37"/>
  <c r="B37"/>
  <c r="A37"/>
  <c r="E36"/>
  <c r="D36"/>
  <c r="C36"/>
  <c r="B36"/>
  <c r="A36"/>
  <c r="E35"/>
  <c r="D35"/>
  <c r="C35"/>
  <c r="B35"/>
  <c r="A35"/>
  <c r="E34"/>
  <c r="D34"/>
  <c r="C34"/>
  <c r="B34"/>
  <c r="A34"/>
  <c r="E33"/>
  <c r="D33"/>
  <c r="C33"/>
  <c r="B33"/>
  <c r="A33"/>
  <c r="E32"/>
  <c r="D32"/>
  <c r="C32"/>
  <c r="B32"/>
  <c r="A32"/>
  <c r="E31"/>
  <c r="D31"/>
  <c r="C31"/>
  <c r="B31"/>
  <c r="A31"/>
  <c r="E30"/>
  <c r="D30"/>
  <c r="C30"/>
  <c r="B30"/>
  <c r="A30"/>
  <c r="E29"/>
  <c r="D29"/>
  <c r="C29"/>
  <c r="B29"/>
  <c r="A29"/>
  <c r="E28"/>
  <c r="D28"/>
  <c r="C28"/>
  <c r="B28"/>
  <c r="A28"/>
  <c r="E27"/>
  <c r="D27"/>
  <c r="C27"/>
  <c r="B27"/>
  <c r="A27"/>
  <c r="E26"/>
  <c r="D26"/>
  <c r="C26"/>
  <c r="B26"/>
  <c r="A26"/>
  <c r="E25"/>
  <c r="D25"/>
  <c r="C25"/>
  <c r="B25"/>
  <c r="A25"/>
  <c r="E24"/>
  <c r="D24"/>
  <c r="C24"/>
  <c r="B24"/>
  <c r="A24"/>
  <c r="E23"/>
  <c r="D23"/>
  <c r="C23"/>
  <c r="B23"/>
  <c r="A23"/>
  <c r="E22"/>
  <c r="D22"/>
  <c r="C22"/>
  <c r="B22"/>
  <c r="A22"/>
  <c r="E21"/>
  <c r="D21"/>
  <c r="C21"/>
  <c r="B21"/>
  <c r="A21"/>
  <c r="E20"/>
  <c r="D20"/>
  <c r="C20"/>
  <c r="B20"/>
  <c r="A20"/>
  <c r="E19"/>
  <c r="D19"/>
  <c r="C19"/>
  <c r="B19"/>
  <c r="A19"/>
  <c r="E18"/>
  <c r="D18"/>
  <c r="C18"/>
  <c r="B18"/>
  <c r="A18"/>
  <c r="E17"/>
  <c r="D17"/>
  <c r="C17"/>
  <c r="B17"/>
  <c r="A17"/>
  <c r="E16"/>
  <c r="D16"/>
  <c r="C16"/>
  <c r="B16"/>
  <c r="A16"/>
  <c r="E15"/>
  <c r="D15"/>
  <c r="C15"/>
  <c r="B15"/>
  <c r="A15"/>
  <c r="E14"/>
  <c r="D14"/>
  <c r="C14"/>
  <c r="B14"/>
  <c r="A14"/>
  <c r="E13"/>
  <c r="D13"/>
  <c r="C13"/>
  <c r="B13"/>
  <c r="A13"/>
  <c r="E12"/>
  <c r="D12"/>
  <c r="C12"/>
  <c r="B12"/>
  <c r="A12"/>
  <c r="E11"/>
  <c r="D11"/>
  <c r="C11"/>
  <c r="B11"/>
  <c r="A11"/>
  <c r="E10"/>
  <c r="D10"/>
  <c r="C10"/>
  <c r="B10"/>
  <c r="A10"/>
  <c r="E9"/>
  <c r="D9"/>
  <c r="C9"/>
  <c r="B9"/>
  <c r="A9"/>
  <c r="E8"/>
  <c r="D8"/>
  <c r="C8"/>
  <c r="B8"/>
  <c r="A8"/>
  <c r="E7"/>
  <c r="D7"/>
  <c r="C7"/>
  <c r="B7"/>
  <c r="A7"/>
  <c r="E6"/>
  <c r="D6"/>
  <c r="C6"/>
  <c r="B6"/>
  <c r="A6"/>
  <c r="E5"/>
  <c r="D5"/>
  <c r="C5"/>
  <c r="B5"/>
  <c r="A5"/>
  <c r="E4"/>
  <c r="D4"/>
  <c r="C4"/>
  <c r="B4"/>
  <c r="A4"/>
  <c r="BM3"/>
  <c r="BL3"/>
  <c r="BK3"/>
  <c r="BJ3"/>
  <c r="BI3"/>
  <c r="BH3"/>
  <c r="BG3"/>
  <c r="BF3"/>
  <c r="BE3"/>
  <c r="BD3"/>
  <c r="BC3"/>
  <c r="BB3"/>
  <c r="BA3"/>
  <c r="AZ3"/>
  <c r="AY3"/>
  <c r="AX3"/>
  <c r="AW3"/>
  <c r="AV3"/>
  <c r="AU3"/>
  <c r="AT3"/>
  <c r="AS3"/>
  <c r="AR3"/>
  <c r="AQ3"/>
  <c r="AP3"/>
  <c r="AO3"/>
  <c r="AN3"/>
  <c r="AM3"/>
  <c r="AL3"/>
  <c r="AK3"/>
  <c r="AJ3"/>
  <c r="AI3"/>
  <c r="AH3"/>
  <c r="AG3"/>
  <c r="AF3"/>
  <c r="AE3"/>
  <c r="AD3"/>
  <c r="AC3"/>
  <c r="AB3"/>
  <c r="AA3"/>
  <c r="Z3"/>
  <c r="Y3"/>
  <c r="X3"/>
  <c r="W3"/>
  <c r="V3"/>
  <c r="U3"/>
  <c r="T3"/>
  <c r="S3"/>
  <c r="R3"/>
  <c r="Q3"/>
  <c r="P3"/>
  <c r="O3"/>
  <c r="N3"/>
  <c r="M3"/>
  <c r="L3"/>
  <c r="K3"/>
  <c r="J3"/>
  <c r="I3"/>
  <c r="H3"/>
  <c r="G3"/>
  <c r="F3"/>
  <c r="E3"/>
  <c r="D3"/>
  <c r="C3"/>
  <c r="B3"/>
  <c r="A3"/>
  <c r="E2"/>
  <c r="D2"/>
  <c r="C2"/>
  <c r="B2"/>
  <c r="A2"/>
  <c r="A220" i="3"/>
  <c r="C434"/>
  <c r="C426"/>
  <c r="C436"/>
  <c r="C424"/>
  <c r="C428"/>
  <c r="F282"/>
  <c r="F260"/>
  <c r="F363"/>
  <c r="F330"/>
  <c r="F314"/>
  <c r="F244"/>
  <c r="F380"/>
  <c r="F379"/>
  <c r="F292"/>
  <c r="F276"/>
  <c r="F234"/>
  <c r="C432"/>
  <c r="F372"/>
  <c r="F362"/>
  <c r="F298"/>
  <c r="F250"/>
  <c r="F404"/>
  <c r="F299"/>
  <c r="F228"/>
  <c r="F308"/>
  <c r="F235"/>
  <c r="F356"/>
  <c r="F340"/>
  <c r="F266"/>
  <c r="F407"/>
  <c r="D198" i="2" l="1"/>
  <c r="B200"/>
  <c r="E201"/>
  <c r="C203"/>
  <c r="A205"/>
  <c r="E209"/>
  <c r="A404" i="3"/>
  <c r="E408"/>
  <c r="C401"/>
  <c r="E199" i="2"/>
  <c r="C201"/>
  <c r="D204"/>
  <c r="B206"/>
  <c r="C209"/>
  <c r="B405" i="3"/>
  <c r="A201" i="2"/>
  <c r="D210"/>
  <c r="D200"/>
  <c r="E203"/>
  <c r="C205"/>
  <c r="A207"/>
  <c r="D208"/>
  <c r="B210"/>
  <c r="C224" i="3"/>
  <c r="B432"/>
  <c r="B428"/>
  <c r="B424"/>
  <c r="B436"/>
  <c r="B426"/>
  <c r="B434"/>
  <c r="C261"/>
  <c r="C42" i="2"/>
  <c r="D330" i="3"/>
  <c r="D119" i="2"/>
  <c r="E305" i="3"/>
  <c r="E91" i="2"/>
  <c r="B392" i="3"/>
  <c r="B189" i="2"/>
  <c r="E296" i="3"/>
  <c r="E81" i="2"/>
  <c r="D340" i="3"/>
  <c r="D131" i="2"/>
  <c r="F364" i="3"/>
  <c r="F390"/>
  <c r="F378"/>
  <c r="F315"/>
  <c r="F411"/>
  <c r="F406"/>
  <c r="F385"/>
  <c r="F353"/>
  <c r="F321"/>
  <c r="F289"/>
  <c r="F257"/>
  <c r="F232"/>
  <c r="F360"/>
  <c r="F274"/>
  <c r="F338"/>
  <c r="F402"/>
  <c r="F336"/>
  <c r="F255"/>
  <c r="F319"/>
  <c r="F383"/>
  <c r="F387"/>
  <c r="F318"/>
  <c r="F326"/>
  <c r="F395"/>
  <c r="F329"/>
  <c r="F233"/>
  <c r="F386"/>
  <c r="F303"/>
  <c r="F305"/>
  <c r="F242"/>
  <c r="F400"/>
  <c r="F394"/>
  <c r="F347"/>
  <c r="F373"/>
  <c r="F277"/>
  <c r="F408"/>
  <c r="F384"/>
  <c r="F346"/>
  <c r="F345"/>
  <c r="F264"/>
  <c r="F240"/>
  <c r="F399"/>
  <c r="F358"/>
  <c r="F332"/>
  <c r="F359"/>
  <c r="F310"/>
  <c r="F410"/>
  <c r="F396"/>
  <c r="F389"/>
  <c r="F357"/>
  <c r="F325"/>
  <c r="F293"/>
  <c r="F261"/>
  <c r="F229"/>
  <c r="F344"/>
  <c r="F259"/>
  <c r="F320"/>
  <c r="F382"/>
  <c r="F300"/>
  <c r="F327"/>
  <c r="F388"/>
  <c r="F361"/>
  <c r="F265"/>
  <c r="F258"/>
  <c r="F304"/>
  <c r="F367"/>
  <c r="F273"/>
  <c r="F370"/>
  <c r="F351"/>
  <c r="F291"/>
  <c r="F350"/>
  <c r="F279"/>
  <c r="F313"/>
  <c r="F392"/>
  <c r="F368"/>
  <c r="F294"/>
  <c r="F268"/>
  <c r="F295"/>
  <c r="F283"/>
  <c r="F374"/>
  <c r="F375"/>
  <c r="F397"/>
  <c r="F365"/>
  <c r="F333"/>
  <c r="F301"/>
  <c r="F269"/>
  <c r="F237"/>
  <c r="F312"/>
  <c r="F243"/>
  <c r="F307"/>
  <c r="F371"/>
  <c r="F288"/>
  <c r="F238"/>
  <c r="F302"/>
  <c r="F366"/>
  <c r="F236"/>
  <c r="F262"/>
  <c r="F263"/>
  <c r="F278"/>
  <c r="F348"/>
  <c r="F343"/>
  <c r="F401"/>
  <c r="F369"/>
  <c r="F241"/>
  <c r="F306"/>
  <c r="F287"/>
  <c r="F230"/>
  <c r="F252"/>
  <c r="F405"/>
  <c r="F309"/>
  <c r="F280"/>
  <c r="F256"/>
  <c r="F251"/>
  <c r="F377"/>
  <c r="F249"/>
  <c r="F354"/>
  <c r="F335"/>
  <c r="F267"/>
  <c r="F324"/>
  <c r="F246"/>
  <c r="F316"/>
  <c r="F247"/>
  <c r="F391"/>
  <c r="F381"/>
  <c r="F349"/>
  <c r="F317"/>
  <c r="F285"/>
  <c r="F253"/>
  <c r="F248"/>
  <c r="F376"/>
  <c r="F275"/>
  <c r="F339"/>
  <c r="F403"/>
  <c r="F352"/>
  <c r="F270"/>
  <c r="F334"/>
  <c r="F398"/>
  <c r="F323"/>
  <c r="F254"/>
  <c r="F284"/>
  <c r="F393"/>
  <c r="F297"/>
  <c r="F328"/>
  <c r="F322"/>
  <c r="F239"/>
  <c r="F337"/>
  <c r="F296"/>
  <c r="F272"/>
  <c r="F231"/>
  <c r="F311"/>
  <c r="F341"/>
  <c r="F245"/>
  <c r="F355"/>
  <c r="F286"/>
  <c r="F331"/>
  <c r="F342"/>
  <c r="F409"/>
  <c r="F281"/>
  <c r="F290"/>
  <c r="F271"/>
  <c r="BJ430" l="1"/>
  <c r="BJ431" s="1"/>
  <c r="BB430"/>
  <c r="BB431" s="1"/>
  <c r="AT430"/>
  <c r="AT431" s="1"/>
  <c r="AL430"/>
  <c r="AL431" s="1"/>
  <c r="AD430"/>
  <c r="AD431" s="1"/>
  <c r="V430"/>
  <c r="V431" s="1"/>
  <c r="N430"/>
  <c r="N431" s="1"/>
  <c r="F430"/>
  <c r="F431" s="1"/>
  <c r="BG430"/>
  <c r="BG431" s="1"/>
  <c r="AY430"/>
  <c r="AY431" s="1"/>
  <c r="AQ430"/>
  <c r="AQ431" s="1"/>
  <c r="AI430"/>
  <c r="AI431" s="1"/>
  <c r="AA430"/>
  <c r="AA431" s="1"/>
  <c r="S430"/>
  <c r="S431" s="1"/>
  <c r="K430"/>
  <c r="K431" s="1"/>
  <c r="C430"/>
  <c r="C431" s="1"/>
  <c r="BF430"/>
  <c r="BF431" s="1"/>
  <c r="AV430"/>
  <c r="AV431" s="1"/>
  <c r="AK430"/>
  <c r="AK431" s="1"/>
  <c r="Z430"/>
  <c r="Z431" s="1"/>
  <c r="P430"/>
  <c r="P431" s="1"/>
  <c r="E430"/>
  <c r="E431" s="1"/>
  <c r="BH430"/>
  <c r="BH431" s="1"/>
  <c r="AW430"/>
  <c r="AW431" s="1"/>
  <c r="AM430"/>
  <c r="AM431" s="1"/>
  <c r="AB430"/>
  <c r="AB431" s="1"/>
  <c r="Q430"/>
  <c r="Q431" s="1"/>
  <c r="G430"/>
  <c r="G431" s="1"/>
  <c r="BI430"/>
  <c r="BI431" s="1"/>
  <c r="AX430"/>
  <c r="AX431" s="1"/>
  <c r="AN430"/>
  <c r="AN431" s="1"/>
  <c r="AC430"/>
  <c r="AC431" s="1"/>
  <c r="R430"/>
  <c r="R431" s="1"/>
  <c r="H430"/>
  <c r="H431" s="1"/>
  <c r="BC430"/>
  <c r="BC431" s="1"/>
  <c r="AR430"/>
  <c r="AR431" s="1"/>
  <c r="AG430"/>
  <c r="AG431" s="1"/>
  <c r="W430"/>
  <c r="W431" s="1"/>
  <c r="L430"/>
  <c r="L431" s="1"/>
  <c r="BE430"/>
  <c r="BE431" s="1"/>
  <c r="AJ430"/>
  <c r="AJ431" s="1"/>
  <c r="O430"/>
  <c r="O431" s="1"/>
  <c r="AS430"/>
  <c r="AS431" s="1"/>
  <c r="X430"/>
  <c r="X431" s="1"/>
  <c r="B430"/>
  <c r="B431" s="1"/>
  <c r="AZ430"/>
  <c r="AZ431" s="1"/>
  <c r="AE430"/>
  <c r="AE431" s="1"/>
  <c r="I430"/>
  <c r="I431" s="1"/>
  <c r="BD430"/>
  <c r="BD431" s="1"/>
  <c r="AH430"/>
  <c r="AH431" s="1"/>
  <c r="M430"/>
  <c r="M431" s="1"/>
  <c r="AU430"/>
  <c r="AU431" s="1"/>
  <c r="D430"/>
  <c r="D431" s="1"/>
  <c r="BA430"/>
  <c r="BA431" s="1"/>
  <c r="J430"/>
  <c r="J431" s="1"/>
  <c r="U430"/>
  <c r="U431" s="1"/>
  <c r="AF430"/>
  <c r="AF431" s="1"/>
  <c r="T430"/>
  <c r="T431" s="1"/>
  <c r="Y430"/>
  <c r="Y431" s="1"/>
  <c r="AP430"/>
  <c r="AP431" s="1"/>
  <c r="AO430"/>
  <c r="AO431" s="1"/>
  <c r="BJ438"/>
  <c r="BJ439" s="1"/>
  <c r="BB438"/>
  <c r="BB439" s="1"/>
  <c r="AT438"/>
  <c r="AT439" s="1"/>
  <c r="AL438"/>
  <c r="AL439" s="1"/>
  <c r="AD438"/>
  <c r="AD439" s="1"/>
  <c r="V438"/>
  <c r="V439" s="1"/>
  <c r="N438"/>
  <c r="N439" s="1"/>
  <c r="F438"/>
  <c r="F439" s="1"/>
  <c r="BG438"/>
  <c r="BG439" s="1"/>
  <c r="AY438"/>
  <c r="AY439" s="1"/>
  <c r="AQ438"/>
  <c r="AQ439" s="1"/>
  <c r="AI438"/>
  <c r="AI439" s="1"/>
  <c r="AA438"/>
  <c r="AA439" s="1"/>
  <c r="S438"/>
  <c r="S439" s="1"/>
  <c r="K438"/>
  <c r="K439" s="1"/>
  <c r="C438"/>
  <c r="C439" s="1"/>
  <c r="BI438"/>
  <c r="BI439" s="1"/>
  <c r="AX438"/>
  <c r="AX439" s="1"/>
  <c r="AN438"/>
  <c r="AN439" s="1"/>
  <c r="AC438"/>
  <c r="AC439" s="1"/>
  <c r="R438"/>
  <c r="R439" s="1"/>
  <c r="H438"/>
  <c r="H439" s="1"/>
  <c r="AZ438"/>
  <c r="AZ439" s="1"/>
  <c r="AO438"/>
  <c r="AO439" s="1"/>
  <c r="AE438"/>
  <c r="AE439" s="1"/>
  <c r="T438"/>
  <c r="T439" s="1"/>
  <c r="I438"/>
  <c r="I439" s="1"/>
  <c r="BA438"/>
  <c r="BA439" s="1"/>
  <c r="AP438"/>
  <c r="AP439" s="1"/>
  <c r="AF438"/>
  <c r="AF439" s="1"/>
  <c r="U438"/>
  <c r="U439" s="1"/>
  <c r="J438"/>
  <c r="J439" s="1"/>
  <c r="BE438"/>
  <c r="BE439" s="1"/>
  <c r="AU438"/>
  <c r="AU439" s="1"/>
  <c r="AJ438"/>
  <c r="AJ439" s="1"/>
  <c r="Y438"/>
  <c r="Y439" s="1"/>
  <c r="O438"/>
  <c r="O439" s="1"/>
  <c r="D438"/>
  <c r="D439" s="1"/>
  <c r="AR438"/>
  <c r="AR439" s="1"/>
  <c r="W438"/>
  <c r="W439" s="1"/>
  <c r="AW438"/>
  <c r="AW439" s="1"/>
  <c r="AB438"/>
  <c r="AB439" s="1"/>
  <c r="G438"/>
  <c r="G439" s="1"/>
  <c r="BD438"/>
  <c r="BD439" s="1"/>
  <c r="AH438"/>
  <c r="AH439" s="1"/>
  <c r="M438"/>
  <c r="M439" s="1"/>
  <c r="BH438"/>
  <c r="BH439" s="1"/>
  <c r="AM438"/>
  <c r="AM439" s="1"/>
  <c r="Q438"/>
  <c r="Q439" s="1"/>
  <c r="AV438"/>
  <c r="AV439" s="1"/>
  <c r="E438"/>
  <c r="E439" s="1"/>
  <c r="BC438"/>
  <c r="BC439" s="1"/>
  <c r="L438"/>
  <c r="L439" s="1"/>
  <c r="X438"/>
  <c r="X439" s="1"/>
  <c r="AG438"/>
  <c r="AG439" s="1"/>
  <c r="BF438"/>
  <c r="BF439" s="1"/>
  <c r="B438"/>
  <c r="B439" s="1"/>
  <c r="Z438"/>
  <c r="Z439" s="1"/>
  <c r="AK438"/>
  <c r="AK439" s="1"/>
  <c r="P438"/>
  <c r="P439" s="1"/>
  <c r="AS438"/>
  <c r="AS439" s="1"/>
  <c r="R2" l="1"/>
  <c r="BZ2"/>
  <c r="AY2"/>
  <c r="DG2"/>
  <c r="CJ2"/>
  <c r="AB2"/>
  <c r="CB2"/>
  <c r="T2"/>
  <c r="DF2"/>
  <c r="AX2"/>
  <c r="DK2"/>
  <c r="BC2"/>
  <c r="V2"/>
  <c r="CD2"/>
  <c r="AI2"/>
  <c r="CQ2"/>
  <c r="BG2"/>
  <c r="DO2"/>
  <c r="CU2"/>
  <c r="AM2"/>
  <c r="CC2"/>
  <c r="U2"/>
  <c r="CX2"/>
  <c r="AP2"/>
  <c r="DQ2"/>
  <c r="BI2"/>
  <c r="BJ2"/>
  <c r="DR2"/>
  <c r="BM2"/>
  <c r="DU2"/>
  <c r="K2"/>
  <c r="BS2"/>
  <c r="BE2"/>
  <c r="DM2"/>
  <c r="P2"/>
  <c r="BX2"/>
  <c r="DB2"/>
  <c r="AT2"/>
  <c r="DC2"/>
  <c r="AU2"/>
  <c r="J2"/>
  <c r="BR2"/>
  <c r="CK2"/>
  <c r="AC2"/>
  <c r="AL2"/>
  <c r="CT2"/>
  <c r="AO2"/>
  <c r="CW2"/>
  <c r="CZ2"/>
  <c r="AR2"/>
  <c r="BO2"/>
  <c r="G2"/>
  <c r="CR2"/>
  <c r="AJ2"/>
  <c r="BL2"/>
  <c r="DT2"/>
  <c r="S2"/>
  <c r="CA2"/>
  <c r="CL2"/>
  <c r="AD2"/>
  <c r="AG2"/>
  <c r="CO2"/>
  <c r="CS2"/>
  <c r="AK2"/>
  <c r="BB2"/>
  <c r="DJ2"/>
  <c r="AV2"/>
  <c r="DD2"/>
  <c r="AN2"/>
  <c r="CV2"/>
  <c r="AA2"/>
  <c r="CI2"/>
  <c r="BD2"/>
  <c r="DL2"/>
  <c r="DI2"/>
  <c r="BA2"/>
  <c r="H2"/>
  <c r="BP2"/>
  <c r="BU2"/>
  <c r="M2"/>
  <c r="CP2"/>
  <c r="AH2"/>
  <c r="BW2"/>
  <c r="O2"/>
  <c r="AQ2"/>
  <c r="CY2"/>
  <c r="DS2"/>
  <c r="BK2"/>
  <c r="BV2"/>
  <c r="N2"/>
  <c r="Q2"/>
  <c r="BY2"/>
  <c r="CE2"/>
  <c r="W2"/>
  <c r="CM2"/>
  <c r="AE2"/>
  <c r="DN2"/>
  <c r="BF2"/>
  <c r="AW2"/>
  <c r="DE2"/>
  <c r="DA2"/>
  <c r="AS2"/>
  <c r="Z2"/>
  <c r="CH2"/>
  <c r="Y2"/>
  <c r="CG2"/>
  <c r="X2"/>
  <c r="CF2"/>
  <c r="BT2"/>
  <c r="L2"/>
  <c r="DP2"/>
  <c r="BH2"/>
  <c r="AF2"/>
  <c r="CN2"/>
  <c r="DH2"/>
  <c r="AZ2"/>
  <c r="BN2"/>
  <c r="F2"/>
  <c r="I2"/>
  <c r="BQ2"/>
  <c r="T19"/>
  <c r="T9"/>
  <c r="T45"/>
  <c r="T8"/>
  <c r="T10"/>
  <c r="T57"/>
  <c r="T100"/>
  <c r="T123"/>
  <c r="T33"/>
  <c r="T46"/>
  <c r="T17"/>
  <c r="T14"/>
  <c r="T47"/>
  <c r="T92"/>
  <c r="T21"/>
  <c r="T23"/>
  <c r="T36"/>
  <c r="T37"/>
  <c r="T56"/>
  <c r="T12"/>
  <c r="T119"/>
  <c r="T7"/>
  <c r="T20"/>
  <c r="T25"/>
  <c r="T43"/>
  <c r="T146"/>
  <c r="T173"/>
  <c r="T199"/>
  <c r="T5"/>
  <c r="T15"/>
  <c r="T26"/>
  <c r="T27"/>
  <c r="T60"/>
  <c r="T72"/>
  <c r="T98"/>
  <c r="T102"/>
  <c r="T151"/>
  <c r="T156"/>
  <c r="T11"/>
  <c r="T35"/>
  <c r="T147"/>
  <c r="T6"/>
  <c r="T16"/>
  <c r="T53"/>
  <c r="T78"/>
  <c r="T79"/>
  <c r="T24"/>
  <c r="T34"/>
  <c r="T44"/>
  <c r="T54"/>
  <c r="T62"/>
  <c r="T70"/>
  <c r="T90"/>
  <c r="T101"/>
  <c r="T110"/>
  <c r="T122"/>
  <c r="T124"/>
  <c r="T133"/>
  <c r="T207"/>
  <c r="T30"/>
  <c r="T32"/>
  <c r="T42"/>
  <c r="T52"/>
  <c r="T113"/>
  <c r="T18"/>
  <c r="T28"/>
  <c r="T38"/>
  <c r="T48"/>
  <c r="T50"/>
  <c r="T59"/>
  <c r="T66"/>
  <c r="T80"/>
  <c r="T127"/>
  <c r="T144"/>
  <c r="T29"/>
  <c r="T39"/>
  <c r="T41"/>
  <c r="T51"/>
  <c r="T68"/>
  <c r="T69"/>
  <c r="T82"/>
  <c r="T88"/>
  <c r="T89"/>
  <c r="T106"/>
  <c r="T114"/>
  <c r="T55"/>
  <c r="T65"/>
  <c r="T75"/>
  <c r="T77"/>
  <c r="T87"/>
  <c r="T104"/>
  <c r="T136"/>
  <c r="T158"/>
  <c r="T63"/>
  <c r="T73"/>
  <c r="T83"/>
  <c r="T93"/>
  <c r="T95"/>
  <c r="T99"/>
  <c r="T111"/>
  <c r="T120"/>
  <c r="T131"/>
  <c r="T61"/>
  <c r="T71"/>
  <c r="T81"/>
  <c r="T91"/>
  <c r="T105"/>
  <c r="T116"/>
  <c r="T126"/>
  <c r="T64"/>
  <c r="T74"/>
  <c r="T84"/>
  <c r="T86"/>
  <c r="T96"/>
  <c r="T109"/>
  <c r="T128"/>
  <c r="T129"/>
  <c r="T97"/>
  <c r="T107"/>
  <c r="T117"/>
  <c r="T132"/>
  <c r="T141"/>
  <c r="T186"/>
  <c r="T115"/>
  <c r="T125"/>
  <c r="T135"/>
  <c r="T143"/>
  <c r="T153"/>
  <c r="T159"/>
  <c r="T108"/>
  <c r="T118"/>
  <c r="T134"/>
  <c r="T140"/>
  <c r="T154"/>
  <c r="T178"/>
  <c r="T160"/>
  <c r="T195"/>
  <c r="T137"/>
  <c r="T138"/>
  <c r="T149"/>
  <c r="T150"/>
  <c r="T167"/>
  <c r="T171"/>
  <c r="T194"/>
  <c r="T145"/>
  <c r="T155"/>
  <c r="T206"/>
  <c r="T164"/>
  <c r="T185"/>
  <c r="T161"/>
  <c r="T172"/>
  <c r="T188"/>
  <c r="T189"/>
  <c r="T142"/>
  <c r="T152"/>
  <c r="T162"/>
  <c r="T163"/>
  <c r="T165"/>
  <c r="T169"/>
  <c r="T174"/>
  <c r="T177"/>
  <c r="T192"/>
  <c r="T196"/>
  <c r="T170"/>
  <c r="T182"/>
  <c r="T197"/>
  <c r="T208"/>
  <c r="T179"/>
  <c r="T183"/>
  <c r="T204"/>
  <c r="T168"/>
  <c r="T176"/>
  <c r="T187"/>
  <c r="T198"/>
  <c r="T205"/>
  <c r="T209"/>
  <c r="T181"/>
  <c r="T191"/>
  <c r="T201"/>
  <c r="T203"/>
  <c r="T180"/>
  <c r="T190"/>
  <c r="T200"/>
  <c r="T210"/>
  <c r="AP17"/>
  <c r="AP12"/>
  <c r="AP37"/>
  <c r="AP6"/>
  <c r="AP126"/>
  <c r="AP14"/>
  <c r="AP10"/>
  <c r="AP18"/>
  <c r="AP35"/>
  <c r="AP45"/>
  <c r="AP41"/>
  <c r="AP50"/>
  <c r="AP28"/>
  <c r="AP80"/>
  <c r="AP124"/>
  <c r="AP158"/>
  <c r="AP11"/>
  <c r="AP39"/>
  <c r="AP84"/>
  <c r="AP90"/>
  <c r="AP141"/>
  <c r="AP27"/>
  <c r="AP9"/>
  <c r="AP47"/>
  <c r="AP51"/>
  <c r="AP123"/>
  <c r="AP127"/>
  <c r="AP177"/>
  <c r="AP7"/>
  <c r="AP16"/>
  <c r="AP29"/>
  <c r="AP48"/>
  <c r="AP91"/>
  <c r="AP5"/>
  <c r="AP15"/>
  <c r="AP70"/>
  <c r="AP97"/>
  <c r="AP8"/>
  <c r="AP19"/>
  <c r="AP25"/>
  <c r="AP38"/>
  <c r="AP61"/>
  <c r="AP62"/>
  <c r="AP71"/>
  <c r="AP105"/>
  <c r="AP26"/>
  <c r="AP36"/>
  <c r="AP46"/>
  <c r="AP72"/>
  <c r="AP92"/>
  <c r="AP114"/>
  <c r="AP116"/>
  <c r="AP118"/>
  <c r="AP156"/>
  <c r="AP24"/>
  <c r="AP34"/>
  <c r="AP44"/>
  <c r="AP54"/>
  <c r="AP60"/>
  <c r="AP74"/>
  <c r="AP81"/>
  <c r="AP86"/>
  <c r="AP20"/>
  <c r="AP30"/>
  <c r="AP32"/>
  <c r="AP42"/>
  <c r="AP52"/>
  <c r="AP82"/>
  <c r="AP113"/>
  <c r="AP21"/>
  <c r="AP23"/>
  <c r="AP33"/>
  <c r="AP43"/>
  <c r="AP53"/>
  <c r="AP64"/>
  <c r="AP96"/>
  <c r="AP101"/>
  <c r="AP106"/>
  <c r="AP57"/>
  <c r="AP59"/>
  <c r="AP69"/>
  <c r="AP79"/>
  <c r="AP89"/>
  <c r="AP100"/>
  <c r="AP107"/>
  <c r="AP136"/>
  <c r="AP138"/>
  <c r="AP188"/>
  <c r="AP203"/>
  <c r="AP55"/>
  <c r="AP65"/>
  <c r="AP75"/>
  <c r="AP77"/>
  <c r="AP87"/>
  <c r="AP108"/>
  <c r="AP128"/>
  <c r="AP146"/>
  <c r="AP151"/>
  <c r="AP63"/>
  <c r="AP73"/>
  <c r="AP83"/>
  <c r="AP93"/>
  <c r="AP95"/>
  <c r="AP98"/>
  <c r="AP104"/>
  <c r="AP115"/>
  <c r="AP125"/>
  <c r="AP56"/>
  <c r="AP66"/>
  <c r="AP68"/>
  <c r="AP78"/>
  <c r="AP88"/>
  <c r="AP102"/>
  <c r="AP111"/>
  <c r="AP132"/>
  <c r="AP135"/>
  <c r="AP99"/>
  <c r="AP109"/>
  <c r="AP119"/>
  <c r="AP133"/>
  <c r="AP200"/>
  <c r="AP117"/>
  <c r="AP131"/>
  <c r="AP153"/>
  <c r="AP161"/>
  <c r="AP110"/>
  <c r="AP120"/>
  <c r="AP122"/>
  <c r="AP129"/>
  <c r="AP137"/>
  <c r="AP155"/>
  <c r="AP140"/>
  <c r="AP143"/>
  <c r="AP145"/>
  <c r="AP152"/>
  <c r="AP178"/>
  <c r="AP186"/>
  <c r="AP199"/>
  <c r="AP150"/>
  <c r="AP142"/>
  <c r="AP160"/>
  <c r="AP147"/>
  <c r="AP149"/>
  <c r="AP159"/>
  <c r="AP206"/>
  <c r="AP169"/>
  <c r="AP197"/>
  <c r="AP208"/>
  <c r="AP210"/>
  <c r="AP163"/>
  <c r="AP171"/>
  <c r="AP189"/>
  <c r="AP134"/>
  <c r="AP144"/>
  <c r="AP154"/>
  <c r="AP164"/>
  <c r="AP168"/>
  <c r="AP180"/>
  <c r="AP174"/>
  <c r="AP181"/>
  <c r="AP196"/>
  <c r="AP207"/>
  <c r="AP162"/>
  <c r="AP190"/>
  <c r="AP201"/>
  <c r="AP165"/>
  <c r="AP167"/>
  <c r="AP179"/>
  <c r="AP187"/>
  <c r="AP198"/>
  <c r="AP170"/>
  <c r="AP176"/>
  <c r="AP191"/>
  <c r="AP209"/>
  <c r="AP173"/>
  <c r="AP183"/>
  <c r="AP185"/>
  <c r="AP195"/>
  <c r="AP205"/>
  <c r="AP172"/>
  <c r="AP182"/>
  <c r="AP192"/>
  <c r="AP194"/>
  <c r="AP204"/>
  <c r="AK146"/>
  <c r="AK114"/>
  <c r="AK14"/>
  <c r="AK30"/>
  <c r="AK11"/>
  <c r="AK26"/>
  <c r="AK28"/>
  <c r="AK81"/>
  <c r="AK38"/>
  <c r="AK61"/>
  <c r="AK63"/>
  <c r="AK5"/>
  <c r="AK65"/>
  <c r="AK39"/>
  <c r="AK20"/>
  <c r="AK15"/>
  <c r="AK50"/>
  <c r="AK75"/>
  <c r="AK154"/>
  <c r="AK7"/>
  <c r="AK51"/>
  <c r="AK71"/>
  <c r="AK104"/>
  <c r="AK12"/>
  <c r="AK16"/>
  <c r="AK18"/>
  <c r="AK41"/>
  <c r="AK19"/>
  <c r="AK42"/>
  <c r="AK91"/>
  <c r="AK116"/>
  <c r="AK10"/>
  <c r="AK119"/>
  <c r="AK8"/>
  <c r="AK32"/>
  <c r="AK46"/>
  <c r="AK82"/>
  <c r="AK106"/>
  <c r="AK6"/>
  <c r="AK48"/>
  <c r="AK52"/>
  <c r="AK101"/>
  <c r="AK9"/>
  <c r="AK29"/>
  <c r="AK36"/>
  <c r="AK87"/>
  <c r="AK95"/>
  <c r="AK97"/>
  <c r="AK159"/>
  <c r="AK17"/>
  <c r="AK27"/>
  <c r="AK37"/>
  <c r="AK47"/>
  <c r="AK55"/>
  <c r="AK83"/>
  <c r="AK105"/>
  <c r="AK25"/>
  <c r="AK35"/>
  <c r="AK45"/>
  <c r="AK72"/>
  <c r="AK77"/>
  <c r="AK92"/>
  <c r="AK108"/>
  <c r="AK124"/>
  <c r="AK126"/>
  <c r="AK132"/>
  <c r="AK197"/>
  <c r="AK21"/>
  <c r="AK23"/>
  <c r="AK33"/>
  <c r="AK43"/>
  <c r="AK53"/>
  <c r="AK73"/>
  <c r="AK93"/>
  <c r="AK131"/>
  <c r="AK141"/>
  <c r="AK208"/>
  <c r="AK24"/>
  <c r="AK34"/>
  <c r="AK44"/>
  <c r="AK54"/>
  <c r="AK62"/>
  <c r="AK99"/>
  <c r="AK60"/>
  <c r="AK70"/>
  <c r="AK80"/>
  <c r="AK90"/>
  <c r="AK98"/>
  <c r="AK109"/>
  <c r="AK115"/>
  <c r="AK125"/>
  <c r="AK56"/>
  <c r="AK66"/>
  <c r="AK68"/>
  <c r="AK78"/>
  <c r="AK88"/>
  <c r="AK102"/>
  <c r="AK133"/>
  <c r="AK64"/>
  <c r="AK74"/>
  <c r="AK84"/>
  <c r="AK86"/>
  <c r="AK96"/>
  <c r="AK107"/>
  <c r="AK117"/>
  <c r="AK128"/>
  <c r="AK137"/>
  <c r="AK57"/>
  <c r="AK59"/>
  <c r="AK69"/>
  <c r="AK79"/>
  <c r="AK89"/>
  <c r="AK100"/>
  <c r="AK110"/>
  <c r="AK120"/>
  <c r="AK122"/>
  <c r="AK129"/>
  <c r="AK134"/>
  <c r="AK144"/>
  <c r="AK147"/>
  <c r="AK199"/>
  <c r="AK118"/>
  <c r="AK188"/>
  <c r="AK111"/>
  <c r="AK113"/>
  <c r="AK123"/>
  <c r="AK149"/>
  <c r="AK153"/>
  <c r="AK161"/>
  <c r="AK201"/>
  <c r="AK136"/>
  <c r="AK204"/>
  <c r="AK127"/>
  <c r="AK142"/>
  <c r="AK151"/>
  <c r="AK158"/>
  <c r="AK194"/>
  <c r="AK140"/>
  <c r="AK143"/>
  <c r="AK156"/>
  <c r="AK164"/>
  <c r="AK138"/>
  <c r="AK152"/>
  <c r="AK150"/>
  <c r="AK160"/>
  <c r="AK179"/>
  <c r="AK191"/>
  <c r="AK167"/>
  <c r="AK172"/>
  <c r="AK180"/>
  <c r="AK182"/>
  <c r="AK165"/>
  <c r="AK169"/>
  <c r="AK135"/>
  <c r="AK145"/>
  <c r="AK155"/>
  <c r="AK162"/>
  <c r="AK170"/>
  <c r="AK190"/>
  <c r="AK187"/>
  <c r="AK198"/>
  <c r="AK209"/>
  <c r="AK163"/>
  <c r="AK177"/>
  <c r="AK192"/>
  <c r="AK210"/>
  <c r="AK168"/>
  <c r="AK181"/>
  <c r="AK189"/>
  <c r="AK207"/>
  <c r="AK171"/>
  <c r="AK178"/>
  <c r="AK200"/>
  <c r="AK203"/>
  <c r="AK174"/>
  <c r="AK176"/>
  <c r="AK186"/>
  <c r="AK196"/>
  <c r="AK206"/>
  <c r="AK173"/>
  <c r="AK183"/>
  <c r="AK185"/>
  <c r="AK195"/>
  <c r="AK205"/>
  <c r="M81"/>
  <c r="M46"/>
  <c r="M77"/>
  <c r="M95"/>
  <c r="M7"/>
  <c r="M36"/>
  <c r="M42"/>
  <c r="M51"/>
  <c r="M11"/>
  <c r="M32"/>
  <c r="M125"/>
  <c r="M5"/>
  <c r="M19"/>
  <c r="M102"/>
  <c r="M15"/>
  <c r="M38"/>
  <c r="M143"/>
  <c r="M12"/>
  <c r="M91"/>
  <c r="M92"/>
  <c r="M115"/>
  <c r="M14"/>
  <c r="M18"/>
  <c r="M28"/>
  <c r="M29"/>
  <c r="M10"/>
  <c r="M48"/>
  <c r="M52"/>
  <c r="M104"/>
  <c r="M133"/>
  <c r="M167"/>
  <c r="M8"/>
  <c r="M30"/>
  <c r="M41"/>
  <c r="M105"/>
  <c r="M117"/>
  <c r="M6"/>
  <c r="M16"/>
  <c r="M62"/>
  <c r="M71"/>
  <c r="M72"/>
  <c r="M149"/>
  <c r="M9"/>
  <c r="M20"/>
  <c r="M26"/>
  <c r="M39"/>
  <c r="M50"/>
  <c r="M63"/>
  <c r="M152"/>
  <c r="M17"/>
  <c r="M27"/>
  <c r="M37"/>
  <c r="M47"/>
  <c r="M73"/>
  <c r="M93"/>
  <c r="M97"/>
  <c r="M140"/>
  <c r="M25"/>
  <c r="M35"/>
  <c r="M45"/>
  <c r="M61"/>
  <c r="M75"/>
  <c r="M82"/>
  <c r="M87"/>
  <c r="M106"/>
  <c r="M107"/>
  <c r="M21"/>
  <c r="M23"/>
  <c r="M33"/>
  <c r="M43"/>
  <c r="M53"/>
  <c r="M55"/>
  <c r="M83"/>
  <c r="M147"/>
  <c r="M24"/>
  <c r="M34"/>
  <c r="M44"/>
  <c r="M54"/>
  <c r="M65"/>
  <c r="M60"/>
  <c r="M70"/>
  <c r="M80"/>
  <c r="M90"/>
  <c r="M99"/>
  <c r="M108"/>
  <c r="M116"/>
  <c r="M126"/>
  <c r="M129"/>
  <c r="M207"/>
  <c r="M56"/>
  <c r="M66"/>
  <c r="M68"/>
  <c r="M78"/>
  <c r="M88"/>
  <c r="M109"/>
  <c r="M179"/>
  <c r="M64"/>
  <c r="M74"/>
  <c r="M84"/>
  <c r="M86"/>
  <c r="M96"/>
  <c r="M101"/>
  <c r="M132"/>
  <c r="M57"/>
  <c r="M59"/>
  <c r="M69"/>
  <c r="M79"/>
  <c r="M89"/>
  <c r="M98"/>
  <c r="M114"/>
  <c r="M119"/>
  <c r="M124"/>
  <c r="M131"/>
  <c r="M142"/>
  <c r="M154"/>
  <c r="M156"/>
  <c r="M100"/>
  <c r="M110"/>
  <c r="M120"/>
  <c r="M122"/>
  <c r="M134"/>
  <c r="M169"/>
  <c r="M198"/>
  <c r="M209"/>
  <c r="M118"/>
  <c r="M128"/>
  <c r="M162"/>
  <c r="M111"/>
  <c r="M113"/>
  <c r="M123"/>
  <c r="M137"/>
  <c r="M146"/>
  <c r="M153"/>
  <c r="M203"/>
  <c r="M127"/>
  <c r="M138"/>
  <c r="M159"/>
  <c r="M189"/>
  <c r="M141"/>
  <c r="M144"/>
  <c r="M151"/>
  <c r="M158"/>
  <c r="M170"/>
  <c r="M187"/>
  <c r="M200"/>
  <c r="M136"/>
  <c r="M161"/>
  <c r="M150"/>
  <c r="M160"/>
  <c r="M164"/>
  <c r="M172"/>
  <c r="M178"/>
  <c r="M190"/>
  <c r="M181"/>
  <c r="M204"/>
  <c r="M165"/>
  <c r="M135"/>
  <c r="M145"/>
  <c r="M155"/>
  <c r="M201"/>
  <c r="M182"/>
  <c r="M197"/>
  <c r="M208"/>
  <c r="M163"/>
  <c r="M191"/>
  <c r="M194"/>
  <c r="M168"/>
  <c r="M180"/>
  <c r="M188"/>
  <c r="M199"/>
  <c r="M171"/>
  <c r="M177"/>
  <c r="M192"/>
  <c r="M210"/>
  <c r="M174"/>
  <c r="M176"/>
  <c r="M186"/>
  <c r="M196"/>
  <c r="M206"/>
  <c r="M173"/>
  <c r="M183"/>
  <c r="M185"/>
  <c r="M195"/>
  <c r="M205"/>
  <c r="AE10"/>
  <c r="AE120"/>
  <c r="AE83"/>
  <c r="AE106"/>
  <c r="AE15"/>
  <c r="AE9"/>
  <c r="AE18"/>
  <c r="AE47"/>
  <c r="AE134"/>
  <c r="AE5"/>
  <c r="AE48"/>
  <c r="AE11"/>
  <c r="AE34"/>
  <c r="AE37"/>
  <c r="AE44"/>
  <c r="AE151"/>
  <c r="AE129"/>
  <c r="AE185"/>
  <c r="AE21"/>
  <c r="AE28"/>
  <c r="AE114"/>
  <c r="AE79"/>
  <c r="AE17"/>
  <c r="AE102"/>
  <c r="AE131"/>
  <c r="AE8"/>
  <c r="AE20"/>
  <c r="AE36"/>
  <c r="AE54"/>
  <c r="AE61"/>
  <c r="AE6"/>
  <c r="AE24"/>
  <c r="AE38"/>
  <c r="AE80"/>
  <c r="AE160"/>
  <c r="AE12"/>
  <c r="AE14"/>
  <c r="AE16"/>
  <c r="AE26"/>
  <c r="AE50"/>
  <c r="AE104"/>
  <c r="AE122"/>
  <c r="AE7"/>
  <c r="AE27"/>
  <c r="AE46"/>
  <c r="AE25"/>
  <c r="AE35"/>
  <c r="AE45"/>
  <c r="AE81"/>
  <c r="AE97"/>
  <c r="AE23"/>
  <c r="AE33"/>
  <c r="AE43"/>
  <c r="AE53"/>
  <c r="AE69"/>
  <c r="AE70"/>
  <c r="AE89"/>
  <c r="AE90"/>
  <c r="AE19"/>
  <c r="AE29"/>
  <c r="AE39"/>
  <c r="AE41"/>
  <c r="AE51"/>
  <c r="AE57"/>
  <c r="AE63"/>
  <c r="AE71"/>
  <c r="AE91"/>
  <c r="AE95"/>
  <c r="AE110"/>
  <c r="AE124"/>
  <c r="AE132"/>
  <c r="AE30"/>
  <c r="AE32"/>
  <c r="AE42"/>
  <c r="AE52"/>
  <c r="AE59"/>
  <c r="AE60"/>
  <c r="AE73"/>
  <c r="AE93"/>
  <c r="AE117"/>
  <c r="AE56"/>
  <c r="AE66"/>
  <c r="AE68"/>
  <c r="AE78"/>
  <c r="AE88"/>
  <c r="AE99"/>
  <c r="AE107"/>
  <c r="AE113"/>
  <c r="AE123"/>
  <c r="AE135"/>
  <c r="AE142"/>
  <c r="AE159"/>
  <c r="AE64"/>
  <c r="AE74"/>
  <c r="AE84"/>
  <c r="AE86"/>
  <c r="AE96"/>
  <c r="AE100"/>
  <c r="AE149"/>
  <c r="AE62"/>
  <c r="AE72"/>
  <c r="AE82"/>
  <c r="AE92"/>
  <c r="AE101"/>
  <c r="AE105"/>
  <c r="AE111"/>
  <c r="AE115"/>
  <c r="AE125"/>
  <c r="AE55"/>
  <c r="AE65"/>
  <c r="AE75"/>
  <c r="AE77"/>
  <c r="AE87"/>
  <c r="AE152"/>
  <c r="AE98"/>
  <c r="AE108"/>
  <c r="AE118"/>
  <c r="AE127"/>
  <c r="AE133"/>
  <c r="AE145"/>
  <c r="AE155"/>
  <c r="AE163"/>
  <c r="AE210"/>
  <c r="AE116"/>
  <c r="AE126"/>
  <c r="AE128"/>
  <c r="AE167"/>
  <c r="AE109"/>
  <c r="AE119"/>
  <c r="AE138"/>
  <c r="AE195"/>
  <c r="AE137"/>
  <c r="AE177"/>
  <c r="AE140"/>
  <c r="AE141"/>
  <c r="AE144"/>
  <c r="AE161"/>
  <c r="AE180"/>
  <c r="AE136"/>
  <c r="AE147"/>
  <c r="AE150"/>
  <c r="AE154"/>
  <c r="AE197"/>
  <c r="AE146"/>
  <c r="AE156"/>
  <c r="AE158"/>
  <c r="AE164"/>
  <c r="AE188"/>
  <c r="AE189"/>
  <c r="AE170"/>
  <c r="AE178"/>
  <c r="AE162"/>
  <c r="AE172"/>
  <c r="AE206"/>
  <c r="AE143"/>
  <c r="AE153"/>
  <c r="AE165"/>
  <c r="AE168"/>
  <c r="AE173"/>
  <c r="AE186"/>
  <c r="AE199"/>
  <c r="AE200"/>
  <c r="AE174"/>
  <c r="AE196"/>
  <c r="AE207"/>
  <c r="AE171"/>
  <c r="AE190"/>
  <c r="AE208"/>
  <c r="AE179"/>
  <c r="AE183"/>
  <c r="AE187"/>
  <c r="AE169"/>
  <c r="AE176"/>
  <c r="AE198"/>
  <c r="AE205"/>
  <c r="AE209"/>
  <c r="AE182"/>
  <c r="AE192"/>
  <c r="AE194"/>
  <c r="AE204"/>
  <c r="AE181"/>
  <c r="AE191"/>
  <c r="AE201"/>
  <c r="AE203"/>
  <c r="BH46"/>
  <c r="BH26"/>
  <c r="BH53"/>
  <c r="BH21"/>
  <c r="BH23"/>
  <c r="BH47"/>
  <c r="BH88"/>
  <c r="BH111"/>
  <c r="BH144"/>
  <c r="BH17"/>
  <c r="BH10"/>
  <c r="BH14"/>
  <c r="BH56"/>
  <c r="BH12"/>
  <c r="BH57"/>
  <c r="BH68"/>
  <c r="BH27"/>
  <c r="BH33"/>
  <c r="BH126"/>
  <c r="BH8"/>
  <c r="BH9"/>
  <c r="BH129"/>
  <c r="BH7"/>
  <c r="BH19"/>
  <c r="BH35"/>
  <c r="BH60"/>
  <c r="BH69"/>
  <c r="BH5"/>
  <c r="BH15"/>
  <c r="BH16"/>
  <c r="BH20"/>
  <c r="BH36"/>
  <c r="BH37"/>
  <c r="BH138"/>
  <c r="BH11"/>
  <c r="BH25"/>
  <c r="BH43"/>
  <c r="BH82"/>
  <c r="BH99"/>
  <c r="BH135"/>
  <c r="BH188"/>
  <c r="BH6"/>
  <c r="BH45"/>
  <c r="BH89"/>
  <c r="BH127"/>
  <c r="BH141"/>
  <c r="BH24"/>
  <c r="BH34"/>
  <c r="BH44"/>
  <c r="BH54"/>
  <c r="BH59"/>
  <c r="BH66"/>
  <c r="BH80"/>
  <c r="BH30"/>
  <c r="BH32"/>
  <c r="BH42"/>
  <c r="BH52"/>
  <c r="BH109"/>
  <c r="BH110"/>
  <c r="BH116"/>
  <c r="BH120"/>
  <c r="BH18"/>
  <c r="BH28"/>
  <c r="BH38"/>
  <c r="BH48"/>
  <c r="BH50"/>
  <c r="BH62"/>
  <c r="BH70"/>
  <c r="BH90"/>
  <c r="BH102"/>
  <c r="BH29"/>
  <c r="BH39"/>
  <c r="BH41"/>
  <c r="BH51"/>
  <c r="BH72"/>
  <c r="BH78"/>
  <c r="BH79"/>
  <c r="BH92"/>
  <c r="BH96"/>
  <c r="BH101"/>
  <c r="BH105"/>
  <c r="BH55"/>
  <c r="BH65"/>
  <c r="BH75"/>
  <c r="BH77"/>
  <c r="BH87"/>
  <c r="BH100"/>
  <c r="BH106"/>
  <c r="BH114"/>
  <c r="BH119"/>
  <c r="BH124"/>
  <c r="BH128"/>
  <c r="BH63"/>
  <c r="BH73"/>
  <c r="BH83"/>
  <c r="BH93"/>
  <c r="BH95"/>
  <c r="BH156"/>
  <c r="BH61"/>
  <c r="BH71"/>
  <c r="BH81"/>
  <c r="BH91"/>
  <c r="BH98"/>
  <c r="BH150"/>
  <c r="BH162"/>
  <c r="BH64"/>
  <c r="BH74"/>
  <c r="BH84"/>
  <c r="BH86"/>
  <c r="BH104"/>
  <c r="BH113"/>
  <c r="BH122"/>
  <c r="BH123"/>
  <c r="BH97"/>
  <c r="BH107"/>
  <c r="BH117"/>
  <c r="BH132"/>
  <c r="BH115"/>
  <c r="BH125"/>
  <c r="BH137"/>
  <c r="BH149"/>
  <c r="BH151"/>
  <c r="BH108"/>
  <c r="BH118"/>
  <c r="BH131"/>
  <c r="BH133"/>
  <c r="BH136"/>
  <c r="BH134"/>
  <c r="BH140"/>
  <c r="BH143"/>
  <c r="BH147"/>
  <c r="BH154"/>
  <c r="BH169"/>
  <c r="BH176"/>
  <c r="BH205"/>
  <c r="BH158"/>
  <c r="BH183"/>
  <c r="BH198"/>
  <c r="BH160"/>
  <c r="BH146"/>
  <c r="BH153"/>
  <c r="BH159"/>
  <c r="BH165"/>
  <c r="BH209"/>
  <c r="BH145"/>
  <c r="BH155"/>
  <c r="BH171"/>
  <c r="BH192"/>
  <c r="BH204"/>
  <c r="BH195"/>
  <c r="BH196"/>
  <c r="BH161"/>
  <c r="BH163"/>
  <c r="BH167"/>
  <c r="BH173"/>
  <c r="BH174"/>
  <c r="BH187"/>
  <c r="BH199"/>
  <c r="BH142"/>
  <c r="BH152"/>
  <c r="BH164"/>
  <c r="BH172"/>
  <c r="BH177"/>
  <c r="BH179"/>
  <c r="BH194"/>
  <c r="BH206"/>
  <c r="BH170"/>
  <c r="BH185"/>
  <c r="BH189"/>
  <c r="BH207"/>
  <c r="BH178"/>
  <c r="BH186"/>
  <c r="BH168"/>
  <c r="BH182"/>
  <c r="BH197"/>
  <c r="BH208"/>
  <c r="BH181"/>
  <c r="BH191"/>
  <c r="BH201"/>
  <c r="BH203"/>
  <c r="BH180"/>
  <c r="BH190"/>
  <c r="BH200"/>
  <c r="BH210"/>
  <c r="AI140"/>
  <c r="AI17"/>
  <c r="AI21"/>
  <c r="AI9"/>
  <c r="AI54"/>
  <c r="AI5"/>
  <c r="AI6"/>
  <c r="AI7"/>
  <c r="AI32"/>
  <c r="AI110"/>
  <c r="AI53"/>
  <c r="AI59"/>
  <c r="AI77"/>
  <c r="AI30"/>
  <c r="AI73"/>
  <c r="AI74"/>
  <c r="AI15"/>
  <c r="AI97"/>
  <c r="AI43"/>
  <c r="AI44"/>
  <c r="AI93"/>
  <c r="AI108"/>
  <c r="AI12"/>
  <c r="AI14"/>
  <c r="AI16"/>
  <c r="AI18"/>
  <c r="AI23"/>
  <c r="AI24"/>
  <c r="AI38"/>
  <c r="AI42"/>
  <c r="AI10"/>
  <c r="AI50"/>
  <c r="AI83"/>
  <c r="AI84"/>
  <c r="AI126"/>
  <c r="AI8"/>
  <c r="AI28"/>
  <c r="AI33"/>
  <c r="AI34"/>
  <c r="AI86"/>
  <c r="AI168"/>
  <c r="AI11"/>
  <c r="AI20"/>
  <c r="AI48"/>
  <c r="AI52"/>
  <c r="AI55"/>
  <c r="AI111"/>
  <c r="AI19"/>
  <c r="AI29"/>
  <c r="AI39"/>
  <c r="AI41"/>
  <c r="AI51"/>
  <c r="AI69"/>
  <c r="AI89"/>
  <c r="AI191"/>
  <c r="AI27"/>
  <c r="AI37"/>
  <c r="AI47"/>
  <c r="AI57"/>
  <c r="AI63"/>
  <c r="AI64"/>
  <c r="AI95"/>
  <c r="AI96"/>
  <c r="AI101"/>
  <c r="AI106"/>
  <c r="AI116"/>
  <c r="AI25"/>
  <c r="AI35"/>
  <c r="AI45"/>
  <c r="AI65"/>
  <c r="AI79"/>
  <c r="AI100"/>
  <c r="AI142"/>
  <c r="AI26"/>
  <c r="AI36"/>
  <c r="AI46"/>
  <c r="AI75"/>
  <c r="AI87"/>
  <c r="AI127"/>
  <c r="AI128"/>
  <c r="AI62"/>
  <c r="AI72"/>
  <c r="AI82"/>
  <c r="AI92"/>
  <c r="AI119"/>
  <c r="AI154"/>
  <c r="AI155"/>
  <c r="AI156"/>
  <c r="AI60"/>
  <c r="AI70"/>
  <c r="AI80"/>
  <c r="AI90"/>
  <c r="AI98"/>
  <c r="AI109"/>
  <c r="AI138"/>
  <c r="AI186"/>
  <c r="AI56"/>
  <c r="AI66"/>
  <c r="AI68"/>
  <c r="AI78"/>
  <c r="AI88"/>
  <c r="AI200"/>
  <c r="AI61"/>
  <c r="AI71"/>
  <c r="AI81"/>
  <c r="AI91"/>
  <c r="AI99"/>
  <c r="AI107"/>
  <c r="AI113"/>
  <c r="AI117"/>
  <c r="AI118"/>
  <c r="AI123"/>
  <c r="AI144"/>
  <c r="AI102"/>
  <c r="AI104"/>
  <c r="AI114"/>
  <c r="AI124"/>
  <c r="AI183"/>
  <c r="AI120"/>
  <c r="AI122"/>
  <c r="AI134"/>
  <c r="AI135"/>
  <c r="AI141"/>
  <c r="AI179"/>
  <c r="AI189"/>
  <c r="AI105"/>
  <c r="AI115"/>
  <c r="AI125"/>
  <c r="AI132"/>
  <c r="AI143"/>
  <c r="AI150"/>
  <c r="AI133"/>
  <c r="AI146"/>
  <c r="AI153"/>
  <c r="AI169"/>
  <c r="AI129"/>
  <c r="AI131"/>
  <c r="AI136"/>
  <c r="AI161"/>
  <c r="AI209"/>
  <c r="AI151"/>
  <c r="AI158"/>
  <c r="AI162"/>
  <c r="AI145"/>
  <c r="AI164"/>
  <c r="AI205"/>
  <c r="AI152"/>
  <c r="AI171"/>
  <c r="AI176"/>
  <c r="AI203"/>
  <c r="AI160"/>
  <c r="AI163"/>
  <c r="AI204"/>
  <c r="AI185"/>
  <c r="AI137"/>
  <c r="AI147"/>
  <c r="AI149"/>
  <c r="AI159"/>
  <c r="AI182"/>
  <c r="AI190"/>
  <c r="AI201"/>
  <c r="AI165"/>
  <c r="AI167"/>
  <c r="AI172"/>
  <c r="AI180"/>
  <c r="AI194"/>
  <c r="AI206"/>
  <c r="AI170"/>
  <c r="AI173"/>
  <c r="AI195"/>
  <c r="AI199"/>
  <c r="AI210"/>
  <c r="AI174"/>
  <c r="AI181"/>
  <c r="AI192"/>
  <c r="AI196"/>
  <c r="AI178"/>
  <c r="AI188"/>
  <c r="AI198"/>
  <c r="AI208"/>
  <c r="AI177"/>
  <c r="AI187"/>
  <c r="AI197"/>
  <c r="AI207"/>
  <c r="AA52"/>
  <c r="AA87"/>
  <c r="AA5"/>
  <c r="AA48"/>
  <c r="AA6"/>
  <c r="AA18"/>
  <c r="AA110"/>
  <c r="AA75"/>
  <c r="AA50"/>
  <c r="AA16"/>
  <c r="AA20"/>
  <c r="AA96"/>
  <c r="AA9"/>
  <c r="AA30"/>
  <c r="AA98"/>
  <c r="AA64"/>
  <c r="AA86"/>
  <c r="AA15"/>
  <c r="AA32"/>
  <c r="AA55"/>
  <c r="AA7"/>
  <c r="AA97"/>
  <c r="AA12"/>
  <c r="AA14"/>
  <c r="AA28"/>
  <c r="AA33"/>
  <c r="AA34"/>
  <c r="AA57"/>
  <c r="AA59"/>
  <c r="AA73"/>
  <c r="AA74"/>
  <c r="AA95"/>
  <c r="AA107"/>
  <c r="AA10"/>
  <c r="AA53"/>
  <c r="AA54"/>
  <c r="AA63"/>
  <c r="AA8"/>
  <c r="AA17"/>
  <c r="AA21"/>
  <c r="AA23"/>
  <c r="AA24"/>
  <c r="AA38"/>
  <c r="AA42"/>
  <c r="AA83"/>
  <c r="AA84"/>
  <c r="AA106"/>
  <c r="AA183"/>
  <c r="AA11"/>
  <c r="AA43"/>
  <c r="AA44"/>
  <c r="AA93"/>
  <c r="AA19"/>
  <c r="AA29"/>
  <c r="AA39"/>
  <c r="AA41"/>
  <c r="AA51"/>
  <c r="AA65"/>
  <c r="AA79"/>
  <c r="AA161"/>
  <c r="AA27"/>
  <c r="AA37"/>
  <c r="AA47"/>
  <c r="AA25"/>
  <c r="AA35"/>
  <c r="AA45"/>
  <c r="AA69"/>
  <c r="AA89"/>
  <c r="AA26"/>
  <c r="AA36"/>
  <c r="AA46"/>
  <c r="AA77"/>
  <c r="AA111"/>
  <c r="AA138"/>
  <c r="AA62"/>
  <c r="AA72"/>
  <c r="AA82"/>
  <c r="AA92"/>
  <c r="AA101"/>
  <c r="AA109"/>
  <c r="AA116"/>
  <c r="AA126"/>
  <c r="AA153"/>
  <c r="AA60"/>
  <c r="AA70"/>
  <c r="AA80"/>
  <c r="AA90"/>
  <c r="AA113"/>
  <c r="AA117"/>
  <c r="AA118"/>
  <c r="AA123"/>
  <c r="AA128"/>
  <c r="AA135"/>
  <c r="AA154"/>
  <c r="AA155"/>
  <c r="AA56"/>
  <c r="AA66"/>
  <c r="AA68"/>
  <c r="AA78"/>
  <c r="AA88"/>
  <c r="AA99"/>
  <c r="AA134"/>
  <c r="AA150"/>
  <c r="AA182"/>
  <c r="AA61"/>
  <c r="AA71"/>
  <c r="AA81"/>
  <c r="AA91"/>
  <c r="AA100"/>
  <c r="AA108"/>
  <c r="AA119"/>
  <c r="AA136"/>
  <c r="AA145"/>
  <c r="AA102"/>
  <c r="AA104"/>
  <c r="AA114"/>
  <c r="AA124"/>
  <c r="AA120"/>
  <c r="AA122"/>
  <c r="AA132"/>
  <c r="AA146"/>
  <c r="AA171"/>
  <c r="AA105"/>
  <c r="AA115"/>
  <c r="AA125"/>
  <c r="AA127"/>
  <c r="AA133"/>
  <c r="AA141"/>
  <c r="AA144"/>
  <c r="AA173"/>
  <c r="AA129"/>
  <c r="AA131"/>
  <c r="AA142"/>
  <c r="AA151"/>
  <c r="AA158"/>
  <c r="AA169"/>
  <c r="AA204"/>
  <c r="AA206"/>
  <c r="AA156"/>
  <c r="AA163"/>
  <c r="AA201"/>
  <c r="AA140"/>
  <c r="AA143"/>
  <c r="AA180"/>
  <c r="AA199"/>
  <c r="AA152"/>
  <c r="AA162"/>
  <c r="AA168"/>
  <c r="AA172"/>
  <c r="AA210"/>
  <c r="AA160"/>
  <c r="AA190"/>
  <c r="AA164"/>
  <c r="AA179"/>
  <c r="AA137"/>
  <c r="AA147"/>
  <c r="AA149"/>
  <c r="AA159"/>
  <c r="AA194"/>
  <c r="AA195"/>
  <c r="AA176"/>
  <c r="AA191"/>
  <c r="AA205"/>
  <c r="AA209"/>
  <c r="AA165"/>
  <c r="AA167"/>
  <c r="AA174"/>
  <c r="AA181"/>
  <c r="AA192"/>
  <c r="AA196"/>
  <c r="AA170"/>
  <c r="AA185"/>
  <c r="AA189"/>
  <c r="AA200"/>
  <c r="AA203"/>
  <c r="AA186"/>
  <c r="AA178"/>
  <c r="AA188"/>
  <c r="AA198"/>
  <c r="AA208"/>
  <c r="AA177"/>
  <c r="AA187"/>
  <c r="AA197"/>
  <c r="AA207"/>
  <c r="Z62"/>
  <c r="Z35"/>
  <c r="Z41"/>
  <c r="Z50"/>
  <c r="Z14"/>
  <c r="Z116"/>
  <c r="Z91"/>
  <c r="Z27"/>
  <c r="Z113"/>
  <c r="Z71"/>
  <c r="Z133"/>
  <c r="Z45"/>
  <c r="Z12"/>
  <c r="Z28"/>
  <c r="Z176"/>
  <c r="Z6"/>
  <c r="Z61"/>
  <c r="Z10"/>
  <c r="Z19"/>
  <c r="Z37"/>
  <c r="Z101"/>
  <c r="Z11"/>
  <c r="Z18"/>
  <c r="Z39"/>
  <c r="Z80"/>
  <c r="Z125"/>
  <c r="Z9"/>
  <c r="Z16"/>
  <c r="Z47"/>
  <c r="Z51"/>
  <c r="Z70"/>
  <c r="Z102"/>
  <c r="Z7"/>
  <c r="Z29"/>
  <c r="Z48"/>
  <c r="Z5"/>
  <c r="Z15"/>
  <c r="Z126"/>
  <c r="Z8"/>
  <c r="Z17"/>
  <c r="Z21"/>
  <c r="Z25"/>
  <c r="Z38"/>
  <c r="Z84"/>
  <c r="Z90"/>
  <c r="Z108"/>
  <c r="Z118"/>
  <c r="Z26"/>
  <c r="Z36"/>
  <c r="Z46"/>
  <c r="Z72"/>
  <c r="Z92"/>
  <c r="Z100"/>
  <c r="Z111"/>
  <c r="Z115"/>
  <c r="Z129"/>
  <c r="Z24"/>
  <c r="Z34"/>
  <c r="Z44"/>
  <c r="Z54"/>
  <c r="Z60"/>
  <c r="Z74"/>
  <c r="Z81"/>
  <c r="Z86"/>
  <c r="Z97"/>
  <c r="Z123"/>
  <c r="Z127"/>
  <c r="Z128"/>
  <c r="Z135"/>
  <c r="Z137"/>
  <c r="Z20"/>
  <c r="Z30"/>
  <c r="Z32"/>
  <c r="Z42"/>
  <c r="Z52"/>
  <c r="Z82"/>
  <c r="Z105"/>
  <c r="Z151"/>
  <c r="Z158"/>
  <c r="Z23"/>
  <c r="Z33"/>
  <c r="Z43"/>
  <c r="Z53"/>
  <c r="Z64"/>
  <c r="Z96"/>
  <c r="Z57"/>
  <c r="Z59"/>
  <c r="Z69"/>
  <c r="Z79"/>
  <c r="Z89"/>
  <c r="Z143"/>
  <c r="Z55"/>
  <c r="Z65"/>
  <c r="Z75"/>
  <c r="Z77"/>
  <c r="Z87"/>
  <c r="Z98"/>
  <c r="Z104"/>
  <c r="Z106"/>
  <c r="Z141"/>
  <c r="Z161"/>
  <c r="Z63"/>
  <c r="Z73"/>
  <c r="Z83"/>
  <c r="Z93"/>
  <c r="Z95"/>
  <c r="Z107"/>
  <c r="Z138"/>
  <c r="Z56"/>
  <c r="Z66"/>
  <c r="Z68"/>
  <c r="Z78"/>
  <c r="Z88"/>
  <c r="Z114"/>
  <c r="Z124"/>
  <c r="Z180"/>
  <c r="Z99"/>
  <c r="Z109"/>
  <c r="Z119"/>
  <c r="Z131"/>
  <c r="Z140"/>
  <c r="Z153"/>
  <c r="Z168"/>
  <c r="Z117"/>
  <c r="Z110"/>
  <c r="Z120"/>
  <c r="Z122"/>
  <c r="Z132"/>
  <c r="Z142"/>
  <c r="Z146"/>
  <c r="Z164"/>
  <c r="Z150"/>
  <c r="Z162"/>
  <c r="Z136"/>
  <c r="Z155"/>
  <c r="Z145"/>
  <c r="Z152"/>
  <c r="Z171"/>
  <c r="Z190"/>
  <c r="Z156"/>
  <c r="Z160"/>
  <c r="Z147"/>
  <c r="Z149"/>
  <c r="Z159"/>
  <c r="Z186"/>
  <c r="Z209"/>
  <c r="Z163"/>
  <c r="Z188"/>
  <c r="Z201"/>
  <c r="Z169"/>
  <c r="Z191"/>
  <c r="Z134"/>
  <c r="Z144"/>
  <c r="Z154"/>
  <c r="Z197"/>
  <c r="Z206"/>
  <c r="Z208"/>
  <c r="Z179"/>
  <c r="Z187"/>
  <c r="Z198"/>
  <c r="Z172"/>
  <c r="Z177"/>
  <c r="Z199"/>
  <c r="Z210"/>
  <c r="Z165"/>
  <c r="Z167"/>
  <c r="Z174"/>
  <c r="Z181"/>
  <c r="Z196"/>
  <c r="Z207"/>
  <c r="Z170"/>
  <c r="Z178"/>
  <c r="Z189"/>
  <c r="Z200"/>
  <c r="Z203"/>
  <c r="Z173"/>
  <c r="Z183"/>
  <c r="Z185"/>
  <c r="Z195"/>
  <c r="Z205"/>
  <c r="Z182"/>
  <c r="Z192"/>
  <c r="Z194"/>
  <c r="Z204"/>
  <c r="AB126"/>
  <c r="AB23"/>
  <c r="AB99"/>
  <c r="AB131"/>
  <c r="AB46"/>
  <c r="AB12"/>
  <c r="AB17"/>
  <c r="AB21"/>
  <c r="AB26"/>
  <c r="AB53"/>
  <c r="AB56"/>
  <c r="AB88"/>
  <c r="AB14"/>
  <c r="AB57"/>
  <c r="AB68"/>
  <c r="AB105"/>
  <c r="AB10"/>
  <c r="AB47"/>
  <c r="AB16"/>
  <c r="AB27"/>
  <c r="AB33"/>
  <c r="AB150"/>
  <c r="AB8"/>
  <c r="AB9"/>
  <c r="AB101"/>
  <c r="AB141"/>
  <c r="AB7"/>
  <c r="AB19"/>
  <c r="AB35"/>
  <c r="AB60"/>
  <c r="AB69"/>
  <c r="AB109"/>
  <c r="AB128"/>
  <c r="AB5"/>
  <c r="AB15"/>
  <c r="AB20"/>
  <c r="AB36"/>
  <c r="AB37"/>
  <c r="AB123"/>
  <c r="AB11"/>
  <c r="AB25"/>
  <c r="AB43"/>
  <c r="AB82"/>
  <c r="AB6"/>
  <c r="AB45"/>
  <c r="AB89"/>
  <c r="AB104"/>
  <c r="AB122"/>
  <c r="AB24"/>
  <c r="AB34"/>
  <c r="AB44"/>
  <c r="AB54"/>
  <c r="AB59"/>
  <c r="AB66"/>
  <c r="AB80"/>
  <c r="AB113"/>
  <c r="AB195"/>
  <c r="AB30"/>
  <c r="AB32"/>
  <c r="AB42"/>
  <c r="AB52"/>
  <c r="AB144"/>
  <c r="AB18"/>
  <c r="AB28"/>
  <c r="AB38"/>
  <c r="AB48"/>
  <c r="AB50"/>
  <c r="AB62"/>
  <c r="AB70"/>
  <c r="AB90"/>
  <c r="AB116"/>
  <c r="AB149"/>
  <c r="AB29"/>
  <c r="AB39"/>
  <c r="AB41"/>
  <c r="AB51"/>
  <c r="AB72"/>
  <c r="AB78"/>
  <c r="AB79"/>
  <c r="AB92"/>
  <c r="AB134"/>
  <c r="AB55"/>
  <c r="AB65"/>
  <c r="AB75"/>
  <c r="AB77"/>
  <c r="AB87"/>
  <c r="AB98"/>
  <c r="AB106"/>
  <c r="AB110"/>
  <c r="AB63"/>
  <c r="AB73"/>
  <c r="AB83"/>
  <c r="AB93"/>
  <c r="AB95"/>
  <c r="AB102"/>
  <c r="AB156"/>
  <c r="AB61"/>
  <c r="AB71"/>
  <c r="AB81"/>
  <c r="AB91"/>
  <c r="AB100"/>
  <c r="AB114"/>
  <c r="AB119"/>
  <c r="AB124"/>
  <c r="AB132"/>
  <c r="AB64"/>
  <c r="AB74"/>
  <c r="AB84"/>
  <c r="AB86"/>
  <c r="AB96"/>
  <c r="AB111"/>
  <c r="AB120"/>
  <c r="AB151"/>
  <c r="AB158"/>
  <c r="AB97"/>
  <c r="AB107"/>
  <c r="AB117"/>
  <c r="AB129"/>
  <c r="AB159"/>
  <c r="AB177"/>
  <c r="AB115"/>
  <c r="AB125"/>
  <c r="AB127"/>
  <c r="AB108"/>
  <c r="AB118"/>
  <c r="AB133"/>
  <c r="AB137"/>
  <c r="AB205"/>
  <c r="AB136"/>
  <c r="AB147"/>
  <c r="AB154"/>
  <c r="AB164"/>
  <c r="AB179"/>
  <c r="AB183"/>
  <c r="AB196"/>
  <c r="AB140"/>
  <c r="AB143"/>
  <c r="AB160"/>
  <c r="AB188"/>
  <c r="AB135"/>
  <c r="AB138"/>
  <c r="AB146"/>
  <c r="AB153"/>
  <c r="AB145"/>
  <c r="AB155"/>
  <c r="AB163"/>
  <c r="AB167"/>
  <c r="AB173"/>
  <c r="AB174"/>
  <c r="AB187"/>
  <c r="AB199"/>
  <c r="AB165"/>
  <c r="AB169"/>
  <c r="AB176"/>
  <c r="AB161"/>
  <c r="AB171"/>
  <c r="AB192"/>
  <c r="AB204"/>
  <c r="AB142"/>
  <c r="AB152"/>
  <c r="AB162"/>
  <c r="AB172"/>
  <c r="AB198"/>
  <c r="AB209"/>
  <c r="AB194"/>
  <c r="AB206"/>
  <c r="AB170"/>
  <c r="AB185"/>
  <c r="AB189"/>
  <c r="AB207"/>
  <c r="AB178"/>
  <c r="AB186"/>
  <c r="AB168"/>
  <c r="AB182"/>
  <c r="AB197"/>
  <c r="AB208"/>
  <c r="AB181"/>
  <c r="AB191"/>
  <c r="AB201"/>
  <c r="AB203"/>
  <c r="AB180"/>
  <c r="AB190"/>
  <c r="AB200"/>
  <c r="AB210"/>
  <c r="AJ169"/>
  <c r="AJ124"/>
  <c r="AJ79"/>
  <c r="AJ33"/>
  <c r="AJ10"/>
  <c r="AJ60"/>
  <c r="AJ8"/>
  <c r="AJ9"/>
  <c r="AJ14"/>
  <c r="AJ78"/>
  <c r="AJ21"/>
  <c r="AJ23"/>
  <c r="AJ36"/>
  <c r="AJ37"/>
  <c r="AJ72"/>
  <c r="AJ119"/>
  <c r="AJ12"/>
  <c r="AJ16"/>
  <c r="AJ45"/>
  <c r="AJ46"/>
  <c r="AJ47"/>
  <c r="AJ92"/>
  <c r="AJ109"/>
  <c r="AJ7"/>
  <c r="AJ25"/>
  <c r="AJ43"/>
  <c r="AJ5"/>
  <c r="AJ15"/>
  <c r="AJ19"/>
  <c r="AJ26"/>
  <c r="AJ27"/>
  <c r="AJ11"/>
  <c r="AJ20"/>
  <c r="AJ35"/>
  <c r="AJ6"/>
  <c r="AJ17"/>
  <c r="AJ53"/>
  <c r="AJ56"/>
  <c r="AJ57"/>
  <c r="AJ24"/>
  <c r="AJ34"/>
  <c r="AJ44"/>
  <c r="AJ54"/>
  <c r="AJ62"/>
  <c r="AJ70"/>
  <c r="AJ90"/>
  <c r="AJ135"/>
  <c r="AJ30"/>
  <c r="AJ32"/>
  <c r="AJ42"/>
  <c r="AJ52"/>
  <c r="AJ98"/>
  <c r="AJ114"/>
  <c r="AJ18"/>
  <c r="AJ28"/>
  <c r="AJ38"/>
  <c r="AJ48"/>
  <c r="AJ50"/>
  <c r="AJ59"/>
  <c r="AJ66"/>
  <c r="AJ80"/>
  <c r="AJ133"/>
  <c r="AJ29"/>
  <c r="AJ39"/>
  <c r="AJ41"/>
  <c r="AJ51"/>
  <c r="AJ68"/>
  <c r="AJ69"/>
  <c r="AJ82"/>
  <c r="AJ88"/>
  <c r="AJ89"/>
  <c r="AJ102"/>
  <c r="AJ55"/>
  <c r="AJ65"/>
  <c r="AJ75"/>
  <c r="AJ77"/>
  <c r="AJ87"/>
  <c r="AJ101"/>
  <c r="AJ105"/>
  <c r="AJ111"/>
  <c r="AJ120"/>
  <c r="AJ134"/>
  <c r="AJ172"/>
  <c r="AJ63"/>
  <c r="AJ73"/>
  <c r="AJ83"/>
  <c r="AJ93"/>
  <c r="AJ95"/>
  <c r="AJ104"/>
  <c r="AJ106"/>
  <c r="AJ110"/>
  <c r="AJ116"/>
  <c r="AJ126"/>
  <c r="AJ61"/>
  <c r="AJ71"/>
  <c r="AJ81"/>
  <c r="AJ91"/>
  <c r="AJ99"/>
  <c r="AJ113"/>
  <c r="AJ122"/>
  <c r="AJ123"/>
  <c r="AJ129"/>
  <c r="AJ146"/>
  <c r="AJ158"/>
  <c r="AJ64"/>
  <c r="AJ74"/>
  <c r="AJ84"/>
  <c r="AJ86"/>
  <c r="AJ96"/>
  <c r="AJ100"/>
  <c r="AJ128"/>
  <c r="AJ137"/>
  <c r="AJ153"/>
  <c r="AJ97"/>
  <c r="AJ107"/>
  <c r="AJ117"/>
  <c r="AJ131"/>
  <c r="AJ136"/>
  <c r="AJ138"/>
  <c r="AJ187"/>
  <c r="AJ115"/>
  <c r="AJ125"/>
  <c r="AJ132"/>
  <c r="AJ108"/>
  <c r="AJ118"/>
  <c r="AJ127"/>
  <c r="AJ151"/>
  <c r="AJ141"/>
  <c r="AJ144"/>
  <c r="AJ149"/>
  <c r="AJ150"/>
  <c r="AJ160"/>
  <c r="AJ163"/>
  <c r="AJ167"/>
  <c r="AJ206"/>
  <c r="AJ147"/>
  <c r="AJ154"/>
  <c r="AJ159"/>
  <c r="AJ165"/>
  <c r="AJ182"/>
  <c r="AJ140"/>
  <c r="AJ143"/>
  <c r="AJ156"/>
  <c r="AJ145"/>
  <c r="AJ155"/>
  <c r="AJ162"/>
  <c r="AJ205"/>
  <c r="AJ161"/>
  <c r="AJ164"/>
  <c r="AJ186"/>
  <c r="AJ194"/>
  <c r="AJ197"/>
  <c r="AJ198"/>
  <c r="AJ208"/>
  <c r="AJ209"/>
  <c r="AJ142"/>
  <c r="AJ152"/>
  <c r="AJ171"/>
  <c r="AJ176"/>
  <c r="AJ178"/>
  <c r="AJ179"/>
  <c r="AJ183"/>
  <c r="AJ204"/>
  <c r="AJ170"/>
  <c r="AJ173"/>
  <c r="AJ188"/>
  <c r="AJ195"/>
  <c r="AJ199"/>
  <c r="AJ174"/>
  <c r="AJ177"/>
  <c r="AJ192"/>
  <c r="AJ196"/>
  <c r="AJ168"/>
  <c r="AJ185"/>
  <c r="AJ189"/>
  <c r="AJ207"/>
  <c r="AJ181"/>
  <c r="AJ191"/>
  <c r="AJ201"/>
  <c r="AJ203"/>
  <c r="AJ180"/>
  <c r="AJ190"/>
  <c r="AJ200"/>
  <c r="AJ210"/>
  <c r="AS106"/>
  <c r="AS16"/>
  <c r="AS51"/>
  <c r="AS32"/>
  <c r="AS15"/>
  <c r="AS42"/>
  <c r="AS119"/>
  <c r="AS19"/>
  <c r="AS11"/>
  <c r="AS18"/>
  <c r="AS38"/>
  <c r="AS81"/>
  <c r="AS5"/>
  <c r="AS36"/>
  <c r="AS46"/>
  <c r="AS77"/>
  <c r="AS7"/>
  <c r="AS12"/>
  <c r="AS91"/>
  <c r="AS92"/>
  <c r="AS14"/>
  <c r="AS28"/>
  <c r="AS29"/>
  <c r="AS95"/>
  <c r="AS10"/>
  <c r="AS48"/>
  <c r="AS52"/>
  <c r="AS181"/>
  <c r="AS8"/>
  <c r="AS30"/>
  <c r="AS41"/>
  <c r="AS115"/>
  <c r="AS6"/>
  <c r="AS62"/>
  <c r="AS71"/>
  <c r="AS72"/>
  <c r="AS102"/>
  <c r="AS105"/>
  <c r="AS9"/>
  <c r="AS20"/>
  <c r="AS26"/>
  <c r="AS39"/>
  <c r="AS50"/>
  <c r="AS63"/>
  <c r="AS98"/>
  <c r="AS107"/>
  <c r="AS117"/>
  <c r="AS129"/>
  <c r="AS17"/>
  <c r="AS27"/>
  <c r="AS37"/>
  <c r="AS47"/>
  <c r="AS73"/>
  <c r="AS93"/>
  <c r="AS124"/>
  <c r="AS147"/>
  <c r="AS25"/>
  <c r="AS35"/>
  <c r="AS45"/>
  <c r="AS61"/>
  <c r="AS75"/>
  <c r="AS82"/>
  <c r="AS87"/>
  <c r="AS97"/>
  <c r="AS133"/>
  <c r="AS21"/>
  <c r="AS23"/>
  <c r="AS33"/>
  <c r="AS43"/>
  <c r="AS53"/>
  <c r="AS55"/>
  <c r="AS83"/>
  <c r="AS125"/>
  <c r="AS138"/>
  <c r="AS24"/>
  <c r="AS34"/>
  <c r="AS44"/>
  <c r="AS54"/>
  <c r="AS65"/>
  <c r="AS114"/>
  <c r="AS60"/>
  <c r="AS70"/>
  <c r="AS80"/>
  <c r="AS90"/>
  <c r="AS101"/>
  <c r="AS108"/>
  <c r="AS128"/>
  <c r="AS56"/>
  <c r="AS66"/>
  <c r="AS68"/>
  <c r="AS78"/>
  <c r="AS88"/>
  <c r="AS104"/>
  <c r="AS109"/>
  <c r="AS64"/>
  <c r="AS74"/>
  <c r="AS84"/>
  <c r="AS86"/>
  <c r="AS96"/>
  <c r="AS99"/>
  <c r="AS116"/>
  <c r="AS126"/>
  <c r="AS57"/>
  <c r="AS59"/>
  <c r="AS69"/>
  <c r="AS79"/>
  <c r="AS89"/>
  <c r="AS100"/>
  <c r="AS110"/>
  <c r="AS120"/>
  <c r="AS122"/>
  <c r="AS131"/>
  <c r="AS149"/>
  <c r="AS152"/>
  <c r="AS204"/>
  <c r="AS118"/>
  <c r="AS137"/>
  <c r="AS154"/>
  <c r="AS156"/>
  <c r="AS159"/>
  <c r="AS201"/>
  <c r="AS111"/>
  <c r="AS113"/>
  <c r="AS123"/>
  <c r="AS132"/>
  <c r="AS134"/>
  <c r="AS136"/>
  <c r="AS142"/>
  <c r="AS141"/>
  <c r="AS144"/>
  <c r="AS146"/>
  <c r="AS153"/>
  <c r="AS209"/>
  <c r="AS127"/>
  <c r="AS203"/>
  <c r="AS151"/>
  <c r="AS158"/>
  <c r="AS140"/>
  <c r="AS143"/>
  <c r="AS161"/>
  <c r="AS167"/>
  <c r="AS179"/>
  <c r="AS198"/>
  <c r="AS150"/>
  <c r="AS160"/>
  <c r="AS162"/>
  <c r="AS170"/>
  <c r="AS187"/>
  <c r="AS189"/>
  <c r="AS200"/>
  <c r="AS164"/>
  <c r="AS178"/>
  <c r="AS190"/>
  <c r="AS135"/>
  <c r="AS145"/>
  <c r="AS155"/>
  <c r="AS165"/>
  <c r="AS169"/>
  <c r="AS207"/>
  <c r="AS182"/>
  <c r="AS197"/>
  <c r="AS208"/>
  <c r="AS163"/>
  <c r="AS172"/>
  <c r="AS191"/>
  <c r="AS194"/>
  <c r="AS168"/>
  <c r="AS180"/>
  <c r="AS188"/>
  <c r="AS199"/>
  <c r="AS171"/>
  <c r="AS177"/>
  <c r="AS192"/>
  <c r="AS210"/>
  <c r="AS174"/>
  <c r="AS176"/>
  <c r="AS186"/>
  <c r="AS196"/>
  <c r="AS206"/>
  <c r="AS173"/>
  <c r="AS183"/>
  <c r="AS185"/>
  <c r="AS195"/>
  <c r="AS205"/>
  <c r="V102"/>
  <c r="V114"/>
  <c r="V25"/>
  <c r="V10"/>
  <c r="V24"/>
  <c r="V68"/>
  <c r="V118"/>
  <c r="V23"/>
  <c r="V6"/>
  <c r="V7"/>
  <c r="V8"/>
  <c r="V43"/>
  <c r="V35"/>
  <c r="V34"/>
  <c r="V5"/>
  <c r="V15"/>
  <c r="V17"/>
  <c r="V21"/>
  <c r="V39"/>
  <c r="V44"/>
  <c r="V45"/>
  <c r="V87"/>
  <c r="V88"/>
  <c r="V96"/>
  <c r="V120"/>
  <c r="V129"/>
  <c r="V11"/>
  <c r="V18"/>
  <c r="V33"/>
  <c r="V51"/>
  <c r="V64"/>
  <c r="V66"/>
  <c r="V75"/>
  <c r="V9"/>
  <c r="V19"/>
  <c r="V29"/>
  <c r="V53"/>
  <c r="V77"/>
  <c r="V80"/>
  <c r="V12"/>
  <c r="V14"/>
  <c r="V41"/>
  <c r="V54"/>
  <c r="V143"/>
  <c r="V20"/>
  <c r="V30"/>
  <c r="V32"/>
  <c r="V42"/>
  <c r="V52"/>
  <c r="V56"/>
  <c r="V84"/>
  <c r="V108"/>
  <c r="V109"/>
  <c r="V28"/>
  <c r="V38"/>
  <c r="V48"/>
  <c r="V50"/>
  <c r="V65"/>
  <c r="V78"/>
  <c r="V119"/>
  <c r="V146"/>
  <c r="V16"/>
  <c r="V26"/>
  <c r="V36"/>
  <c r="V46"/>
  <c r="V60"/>
  <c r="V74"/>
  <c r="V86"/>
  <c r="V97"/>
  <c r="V27"/>
  <c r="V37"/>
  <c r="V47"/>
  <c r="V55"/>
  <c r="V70"/>
  <c r="V90"/>
  <c r="V104"/>
  <c r="V107"/>
  <c r="V124"/>
  <c r="V63"/>
  <c r="V73"/>
  <c r="V83"/>
  <c r="V93"/>
  <c r="V95"/>
  <c r="V99"/>
  <c r="V131"/>
  <c r="V61"/>
  <c r="V71"/>
  <c r="V81"/>
  <c r="V91"/>
  <c r="V100"/>
  <c r="V133"/>
  <c r="V142"/>
  <c r="V197"/>
  <c r="V57"/>
  <c r="V59"/>
  <c r="V69"/>
  <c r="V79"/>
  <c r="V89"/>
  <c r="V101"/>
  <c r="V135"/>
  <c r="V62"/>
  <c r="V72"/>
  <c r="V82"/>
  <c r="V92"/>
  <c r="V98"/>
  <c r="V110"/>
  <c r="V117"/>
  <c r="V122"/>
  <c r="V169"/>
  <c r="V105"/>
  <c r="V115"/>
  <c r="V125"/>
  <c r="V127"/>
  <c r="V111"/>
  <c r="V113"/>
  <c r="V123"/>
  <c r="V128"/>
  <c r="V134"/>
  <c r="V163"/>
  <c r="V106"/>
  <c r="V116"/>
  <c r="V126"/>
  <c r="V155"/>
  <c r="V156"/>
  <c r="V137"/>
  <c r="V145"/>
  <c r="V152"/>
  <c r="V165"/>
  <c r="V210"/>
  <c r="V132"/>
  <c r="V149"/>
  <c r="V162"/>
  <c r="V141"/>
  <c r="V144"/>
  <c r="V147"/>
  <c r="V154"/>
  <c r="V159"/>
  <c r="V167"/>
  <c r="V192"/>
  <c r="V136"/>
  <c r="V151"/>
  <c r="V158"/>
  <c r="V190"/>
  <c r="V153"/>
  <c r="V164"/>
  <c r="V170"/>
  <c r="V182"/>
  <c r="V195"/>
  <c r="V196"/>
  <c r="V207"/>
  <c r="V161"/>
  <c r="V172"/>
  <c r="V173"/>
  <c r="V174"/>
  <c r="V186"/>
  <c r="V177"/>
  <c r="V201"/>
  <c r="V138"/>
  <c r="V140"/>
  <c r="V150"/>
  <c r="V160"/>
  <c r="V181"/>
  <c r="V204"/>
  <c r="V185"/>
  <c r="V200"/>
  <c r="V203"/>
  <c r="V168"/>
  <c r="V183"/>
  <c r="V187"/>
  <c r="V171"/>
  <c r="V176"/>
  <c r="V191"/>
  <c r="V194"/>
  <c r="V205"/>
  <c r="V180"/>
  <c r="V206"/>
  <c r="V179"/>
  <c r="V189"/>
  <c r="V199"/>
  <c r="V209"/>
  <c r="V178"/>
  <c r="V188"/>
  <c r="V198"/>
  <c r="V208"/>
  <c r="AQ52"/>
  <c r="AQ9"/>
  <c r="AQ87"/>
  <c r="AQ30"/>
  <c r="AQ55"/>
  <c r="AQ136"/>
  <c r="AQ16"/>
  <c r="AQ48"/>
  <c r="AQ63"/>
  <c r="AQ5"/>
  <c r="AQ6"/>
  <c r="AQ15"/>
  <c r="AQ32"/>
  <c r="AQ20"/>
  <c r="AQ93"/>
  <c r="AQ96"/>
  <c r="AQ100"/>
  <c r="AQ7"/>
  <c r="AQ50"/>
  <c r="AQ182"/>
  <c r="AQ12"/>
  <c r="AQ14"/>
  <c r="AQ17"/>
  <c r="AQ28"/>
  <c r="AQ33"/>
  <c r="AQ34"/>
  <c r="AQ83"/>
  <c r="AQ84"/>
  <c r="AQ10"/>
  <c r="AQ18"/>
  <c r="AQ21"/>
  <c r="AQ53"/>
  <c r="AQ54"/>
  <c r="AQ86"/>
  <c r="AQ8"/>
  <c r="AQ23"/>
  <c r="AQ24"/>
  <c r="AQ38"/>
  <c r="AQ42"/>
  <c r="AQ57"/>
  <c r="AQ59"/>
  <c r="AQ73"/>
  <c r="AQ74"/>
  <c r="AQ95"/>
  <c r="AQ11"/>
  <c r="AQ43"/>
  <c r="AQ44"/>
  <c r="AQ64"/>
  <c r="AQ75"/>
  <c r="AQ19"/>
  <c r="AQ29"/>
  <c r="AQ39"/>
  <c r="AQ41"/>
  <c r="AQ51"/>
  <c r="AQ65"/>
  <c r="AQ79"/>
  <c r="AQ108"/>
  <c r="AQ126"/>
  <c r="AQ27"/>
  <c r="AQ37"/>
  <c r="AQ47"/>
  <c r="AQ25"/>
  <c r="AQ35"/>
  <c r="AQ45"/>
  <c r="AQ69"/>
  <c r="AQ89"/>
  <c r="AQ99"/>
  <c r="AQ119"/>
  <c r="AQ140"/>
  <c r="AQ26"/>
  <c r="AQ36"/>
  <c r="AQ46"/>
  <c r="AQ77"/>
  <c r="AQ98"/>
  <c r="AQ107"/>
  <c r="AQ116"/>
  <c r="AQ161"/>
  <c r="AQ62"/>
  <c r="AQ72"/>
  <c r="AQ82"/>
  <c r="AQ92"/>
  <c r="AQ97"/>
  <c r="AQ113"/>
  <c r="AQ117"/>
  <c r="AQ118"/>
  <c r="AQ123"/>
  <c r="AQ60"/>
  <c r="AQ70"/>
  <c r="AQ80"/>
  <c r="AQ90"/>
  <c r="AQ101"/>
  <c r="AQ127"/>
  <c r="AQ158"/>
  <c r="AQ168"/>
  <c r="AQ56"/>
  <c r="AQ66"/>
  <c r="AQ68"/>
  <c r="AQ78"/>
  <c r="AQ88"/>
  <c r="AQ109"/>
  <c r="AQ111"/>
  <c r="AQ132"/>
  <c r="AQ61"/>
  <c r="AQ71"/>
  <c r="AQ81"/>
  <c r="AQ91"/>
  <c r="AQ106"/>
  <c r="AQ110"/>
  <c r="AQ134"/>
  <c r="AQ171"/>
  <c r="AQ192"/>
  <c r="AQ102"/>
  <c r="AQ104"/>
  <c r="AQ114"/>
  <c r="AQ124"/>
  <c r="AQ128"/>
  <c r="AQ143"/>
  <c r="AQ150"/>
  <c r="AQ151"/>
  <c r="AQ120"/>
  <c r="AQ122"/>
  <c r="AQ105"/>
  <c r="AQ115"/>
  <c r="AQ125"/>
  <c r="AQ145"/>
  <c r="AQ190"/>
  <c r="AQ133"/>
  <c r="AQ135"/>
  <c r="AQ138"/>
  <c r="AQ156"/>
  <c r="AQ129"/>
  <c r="AQ131"/>
  <c r="AQ141"/>
  <c r="AQ144"/>
  <c r="AQ146"/>
  <c r="AQ153"/>
  <c r="AQ164"/>
  <c r="AQ142"/>
  <c r="AQ210"/>
  <c r="AQ154"/>
  <c r="AQ155"/>
  <c r="AQ163"/>
  <c r="AQ169"/>
  <c r="AQ152"/>
  <c r="AQ195"/>
  <c r="AQ196"/>
  <c r="AQ160"/>
  <c r="AQ162"/>
  <c r="AQ173"/>
  <c r="AQ174"/>
  <c r="AQ186"/>
  <c r="AQ199"/>
  <c r="AQ201"/>
  <c r="AQ137"/>
  <c r="AQ147"/>
  <c r="AQ149"/>
  <c r="AQ159"/>
  <c r="AQ181"/>
  <c r="AQ185"/>
  <c r="AQ189"/>
  <c r="AQ200"/>
  <c r="AQ203"/>
  <c r="AQ165"/>
  <c r="AQ167"/>
  <c r="AQ179"/>
  <c r="AQ183"/>
  <c r="AQ204"/>
  <c r="AQ170"/>
  <c r="AQ176"/>
  <c r="AQ191"/>
  <c r="AQ205"/>
  <c r="AQ209"/>
  <c r="AQ172"/>
  <c r="AQ180"/>
  <c r="AQ194"/>
  <c r="AQ206"/>
  <c r="AQ178"/>
  <c r="AQ188"/>
  <c r="AQ198"/>
  <c r="AQ208"/>
  <c r="AQ177"/>
  <c r="AQ187"/>
  <c r="AQ197"/>
  <c r="AQ207"/>
  <c r="AM11"/>
  <c r="AM113"/>
  <c r="AM183"/>
  <c r="AM61"/>
  <c r="AM27"/>
  <c r="AM115"/>
  <c r="AM17"/>
  <c r="AM15"/>
  <c r="AM24"/>
  <c r="AM9"/>
  <c r="AM10"/>
  <c r="AM38"/>
  <c r="AM69"/>
  <c r="AM123"/>
  <c r="AM44"/>
  <c r="AM46"/>
  <c r="AM48"/>
  <c r="AM5"/>
  <c r="AM89"/>
  <c r="AM99"/>
  <c r="AM8"/>
  <c r="AM26"/>
  <c r="AM50"/>
  <c r="AM6"/>
  <c r="AM20"/>
  <c r="AM28"/>
  <c r="AM34"/>
  <c r="AM47"/>
  <c r="AM90"/>
  <c r="AM93"/>
  <c r="AM100"/>
  <c r="AM12"/>
  <c r="AM14"/>
  <c r="AM21"/>
  <c r="AM36"/>
  <c r="AM54"/>
  <c r="AM7"/>
  <c r="AM16"/>
  <c r="AM18"/>
  <c r="AM37"/>
  <c r="AM59"/>
  <c r="AM60"/>
  <c r="AM70"/>
  <c r="AM73"/>
  <c r="AM125"/>
  <c r="AM131"/>
  <c r="AM25"/>
  <c r="AM35"/>
  <c r="AM45"/>
  <c r="AM57"/>
  <c r="AM63"/>
  <c r="AM71"/>
  <c r="AM91"/>
  <c r="AM95"/>
  <c r="AM104"/>
  <c r="AM120"/>
  <c r="AM137"/>
  <c r="AM23"/>
  <c r="AM33"/>
  <c r="AM43"/>
  <c r="AM53"/>
  <c r="AM79"/>
  <c r="AM80"/>
  <c r="AM154"/>
  <c r="AM155"/>
  <c r="AM19"/>
  <c r="AM29"/>
  <c r="AM39"/>
  <c r="AM41"/>
  <c r="AM51"/>
  <c r="AM81"/>
  <c r="AM111"/>
  <c r="AM136"/>
  <c r="AM159"/>
  <c r="AM30"/>
  <c r="AM32"/>
  <c r="AM42"/>
  <c r="AM52"/>
  <c r="AM83"/>
  <c r="AM105"/>
  <c r="AM56"/>
  <c r="AM66"/>
  <c r="AM68"/>
  <c r="AM78"/>
  <c r="AM88"/>
  <c r="AM102"/>
  <c r="AM106"/>
  <c r="AM110"/>
  <c r="AM64"/>
  <c r="AM74"/>
  <c r="AM84"/>
  <c r="AM86"/>
  <c r="AM96"/>
  <c r="AM107"/>
  <c r="AM117"/>
  <c r="AM122"/>
  <c r="AM129"/>
  <c r="AM145"/>
  <c r="AM177"/>
  <c r="AM62"/>
  <c r="AM72"/>
  <c r="AM82"/>
  <c r="AM92"/>
  <c r="AM97"/>
  <c r="AM114"/>
  <c r="AM124"/>
  <c r="AM187"/>
  <c r="AM198"/>
  <c r="AM209"/>
  <c r="AM55"/>
  <c r="AM65"/>
  <c r="AM75"/>
  <c r="AM77"/>
  <c r="AM87"/>
  <c r="AM101"/>
  <c r="AM127"/>
  <c r="AM147"/>
  <c r="AM98"/>
  <c r="AM108"/>
  <c r="AM118"/>
  <c r="AM132"/>
  <c r="AM135"/>
  <c r="AM164"/>
  <c r="AM116"/>
  <c r="AM126"/>
  <c r="AM133"/>
  <c r="AM150"/>
  <c r="AM152"/>
  <c r="AM160"/>
  <c r="AM109"/>
  <c r="AM119"/>
  <c r="AM128"/>
  <c r="AM140"/>
  <c r="AM170"/>
  <c r="AM142"/>
  <c r="AM151"/>
  <c r="AM161"/>
  <c r="AM134"/>
  <c r="AM162"/>
  <c r="AM188"/>
  <c r="AM138"/>
  <c r="AM176"/>
  <c r="AM205"/>
  <c r="AM141"/>
  <c r="AM144"/>
  <c r="AM149"/>
  <c r="AM210"/>
  <c r="AM146"/>
  <c r="AM156"/>
  <c r="AM158"/>
  <c r="AM167"/>
  <c r="AM165"/>
  <c r="AM168"/>
  <c r="AM195"/>
  <c r="AM196"/>
  <c r="AM207"/>
  <c r="AM173"/>
  <c r="AM174"/>
  <c r="AM199"/>
  <c r="AM143"/>
  <c r="AM153"/>
  <c r="AM163"/>
  <c r="AM179"/>
  <c r="AM180"/>
  <c r="AM206"/>
  <c r="AM171"/>
  <c r="AM185"/>
  <c r="AM189"/>
  <c r="AM200"/>
  <c r="AM178"/>
  <c r="AM186"/>
  <c r="AM197"/>
  <c r="AM169"/>
  <c r="AM190"/>
  <c r="AM208"/>
  <c r="AM172"/>
  <c r="AM182"/>
  <c r="AM192"/>
  <c r="AM194"/>
  <c r="AM204"/>
  <c r="AM181"/>
  <c r="AM191"/>
  <c r="AM201"/>
  <c r="AM203"/>
  <c r="AD8"/>
  <c r="AD162"/>
  <c r="AD7"/>
  <c r="AD24"/>
  <c r="AD51"/>
  <c r="AD70"/>
  <c r="AD6"/>
  <c r="AD35"/>
  <c r="AD43"/>
  <c r="AD33"/>
  <c r="AD65"/>
  <c r="AD19"/>
  <c r="AD54"/>
  <c r="AD55"/>
  <c r="AD34"/>
  <c r="AD41"/>
  <c r="AD25"/>
  <c r="AD87"/>
  <c r="AD78"/>
  <c r="AD10"/>
  <c r="AD96"/>
  <c r="AD133"/>
  <c r="AD135"/>
  <c r="AD159"/>
  <c r="AD5"/>
  <c r="AD15"/>
  <c r="AD29"/>
  <c r="AD53"/>
  <c r="AD64"/>
  <c r="AD75"/>
  <c r="AD11"/>
  <c r="AD17"/>
  <c r="AD21"/>
  <c r="AD23"/>
  <c r="AD77"/>
  <c r="AD110"/>
  <c r="AD9"/>
  <c r="AD18"/>
  <c r="AD39"/>
  <c r="AD44"/>
  <c r="AD45"/>
  <c r="AD90"/>
  <c r="AD108"/>
  <c r="AD12"/>
  <c r="AD14"/>
  <c r="AD196"/>
  <c r="AD20"/>
  <c r="AD30"/>
  <c r="AD32"/>
  <c r="AD42"/>
  <c r="AD52"/>
  <c r="AD60"/>
  <c r="AD74"/>
  <c r="AD86"/>
  <c r="AD28"/>
  <c r="AD38"/>
  <c r="AD48"/>
  <c r="AD50"/>
  <c r="AD68"/>
  <c r="AD88"/>
  <c r="AD99"/>
  <c r="AD206"/>
  <c r="AD16"/>
  <c r="AD26"/>
  <c r="AD36"/>
  <c r="AD46"/>
  <c r="AD56"/>
  <c r="AD84"/>
  <c r="AD98"/>
  <c r="AD104"/>
  <c r="AD107"/>
  <c r="AD118"/>
  <c r="AD154"/>
  <c r="AD27"/>
  <c r="AD37"/>
  <c r="AD47"/>
  <c r="AD66"/>
  <c r="AD80"/>
  <c r="AD100"/>
  <c r="AD129"/>
  <c r="AD63"/>
  <c r="AD73"/>
  <c r="AD83"/>
  <c r="AD93"/>
  <c r="AD95"/>
  <c r="AD102"/>
  <c r="AD117"/>
  <c r="AD122"/>
  <c r="AD61"/>
  <c r="AD71"/>
  <c r="AD81"/>
  <c r="AD91"/>
  <c r="AD114"/>
  <c r="AD119"/>
  <c r="AD124"/>
  <c r="AD127"/>
  <c r="AD57"/>
  <c r="AD59"/>
  <c r="AD69"/>
  <c r="AD79"/>
  <c r="AD89"/>
  <c r="AD97"/>
  <c r="AD120"/>
  <c r="AD131"/>
  <c r="AD151"/>
  <c r="AD170"/>
  <c r="AD62"/>
  <c r="AD72"/>
  <c r="AD82"/>
  <c r="AD92"/>
  <c r="AD101"/>
  <c r="AD109"/>
  <c r="AD146"/>
  <c r="AD105"/>
  <c r="AD115"/>
  <c r="AD125"/>
  <c r="AD156"/>
  <c r="AD172"/>
  <c r="AD111"/>
  <c r="AD113"/>
  <c r="AD123"/>
  <c r="AD137"/>
  <c r="AD147"/>
  <c r="AD164"/>
  <c r="AD106"/>
  <c r="AD116"/>
  <c r="AD126"/>
  <c r="AD128"/>
  <c r="AD136"/>
  <c r="AD158"/>
  <c r="AD194"/>
  <c r="AD142"/>
  <c r="AD155"/>
  <c r="AD132"/>
  <c r="AD134"/>
  <c r="AD143"/>
  <c r="AD145"/>
  <c r="AD152"/>
  <c r="AD167"/>
  <c r="AD149"/>
  <c r="AD207"/>
  <c r="AD141"/>
  <c r="AD144"/>
  <c r="AD176"/>
  <c r="AD203"/>
  <c r="AD153"/>
  <c r="AD165"/>
  <c r="AD169"/>
  <c r="AD200"/>
  <c r="AD161"/>
  <c r="AD191"/>
  <c r="AD180"/>
  <c r="AD181"/>
  <c r="AD205"/>
  <c r="AD138"/>
  <c r="AD140"/>
  <c r="AD150"/>
  <c r="AD160"/>
  <c r="AD163"/>
  <c r="AD174"/>
  <c r="AD185"/>
  <c r="AD173"/>
  <c r="AD177"/>
  <c r="AD192"/>
  <c r="AD195"/>
  <c r="AD210"/>
  <c r="AD168"/>
  <c r="AD182"/>
  <c r="AD186"/>
  <c r="AD197"/>
  <c r="AD171"/>
  <c r="AD190"/>
  <c r="AD201"/>
  <c r="AD204"/>
  <c r="AD183"/>
  <c r="AD187"/>
  <c r="AD179"/>
  <c r="AD189"/>
  <c r="AD199"/>
  <c r="AD209"/>
  <c r="AD178"/>
  <c r="AD188"/>
  <c r="AD198"/>
  <c r="AD208"/>
  <c r="AZ14"/>
  <c r="AZ57"/>
  <c r="AZ92"/>
  <c r="AZ100"/>
  <c r="AZ9"/>
  <c r="AZ8"/>
  <c r="AZ19"/>
  <c r="AZ33"/>
  <c r="AZ98"/>
  <c r="AZ10"/>
  <c r="AZ45"/>
  <c r="AZ46"/>
  <c r="AZ47"/>
  <c r="AZ16"/>
  <c r="AZ56"/>
  <c r="AZ106"/>
  <c r="AZ23"/>
  <c r="AZ36"/>
  <c r="AZ37"/>
  <c r="AZ12"/>
  <c r="AZ17"/>
  <c r="AZ7"/>
  <c r="AZ20"/>
  <c r="AZ25"/>
  <c r="AZ43"/>
  <c r="AZ137"/>
  <c r="AZ151"/>
  <c r="AZ5"/>
  <c r="AZ15"/>
  <c r="AZ26"/>
  <c r="AZ27"/>
  <c r="AZ60"/>
  <c r="AZ72"/>
  <c r="AZ140"/>
  <c r="AZ11"/>
  <c r="AZ21"/>
  <c r="AZ35"/>
  <c r="AZ6"/>
  <c r="AZ53"/>
  <c r="AZ78"/>
  <c r="AZ79"/>
  <c r="AZ24"/>
  <c r="AZ34"/>
  <c r="AZ44"/>
  <c r="AZ54"/>
  <c r="AZ62"/>
  <c r="AZ70"/>
  <c r="AZ90"/>
  <c r="AZ99"/>
  <c r="AZ30"/>
  <c r="AZ32"/>
  <c r="AZ42"/>
  <c r="AZ52"/>
  <c r="AZ96"/>
  <c r="AZ194"/>
  <c r="AZ18"/>
  <c r="AZ28"/>
  <c r="AZ38"/>
  <c r="AZ48"/>
  <c r="AZ50"/>
  <c r="AZ59"/>
  <c r="AZ66"/>
  <c r="AZ80"/>
  <c r="AZ110"/>
  <c r="AZ120"/>
  <c r="AZ29"/>
  <c r="AZ39"/>
  <c r="AZ41"/>
  <c r="AZ51"/>
  <c r="AZ68"/>
  <c r="AZ69"/>
  <c r="AZ82"/>
  <c r="AZ88"/>
  <c r="AZ89"/>
  <c r="AZ111"/>
  <c r="AZ55"/>
  <c r="AZ65"/>
  <c r="AZ75"/>
  <c r="AZ77"/>
  <c r="AZ87"/>
  <c r="AZ116"/>
  <c r="AZ126"/>
  <c r="AZ132"/>
  <c r="AZ143"/>
  <c r="AZ146"/>
  <c r="AZ167"/>
  <c r="AZ63"/>
  <c r="AZ73"/>
  <c r="AZ83"/>
  <c r="AZ93"/>
  <c r="AZ95"/>
  <c r="AZ101"/>
  <c r="AZ113"/>
  <c r="AZ122"/>
  <c r="AZ123"/>
  <c r="AZ134"/>
  <c r="AZ153"/>
  <c r="AZ164"/>
  <c r="AZ61"/>
  <c r="AZ71"/>
  <c r="AZ81"/>
  <c r="AZ91"/>
  <c r="AZ104"/>
  <c r="AZ105"/>
  <c r="AZ133"/>
  <c r="AZ154"/>
  <c r="AZ171"/>
  <c r="AZ64"/>
  <c r="AZ74"/>
  <c r="AZ84"/>
  <c r="AZ86"/>
  <c r="AZ102"/>
  <c r="AZ109"/>
  <c r="AZ114"/>
  <c r="AZ119"/>
  <c r="AZ124"/>
  <c r="AZ127"/>
  <c r="AZ136"/>
  <c r="AZ97"/>
  <c r="AZ107"/>
  <c r="AZ117"/>
  <c r="AZ128"/>
  <c r="AZ156"/>
  <c r="AZ115"/>
  <c r="AZ125"/>
  <c r="AZ131"/>
  <c r="AZ147"/>
  <c r="AZ165"/>
  <c r="AZ108"/>
  <c r="AZ118"/>
  <c r="AZ129"/>
  <c r="AZ158"/>
  <c r="AZ163"/>
  <c r="AZ135"/>
  <c r="AZ138"/>
  <c r="AZ160"/>
  <c r="AZ207"/>
  <c r="AZ141"/>
  <c r="AZ144"/>
  <c r="AZ159"/>
  <c r="AZ169"/>
  <c r="AZ195"/>
  <c r="AZ149"/>
  <c r="AZ150"/>
  <c r="AZ185"/>
  <c r="AZ145"/>
  <c r="AZ155"/>
  <c r="AZ188"/>
  <c r="AZ189"/>
  <c r="AZ162"/>
  <c r="AZ172"/>
  <c r="AZ178"/>
  <c r="AZ161"/>
  <c r="AZ206"/>
  <c r="AZ142"/>
  <c r="AZ152"/>
  <c r="AZ173"/>
  <c r="AZ186"/>
  <c r="AZ199"/>
  <c r="AZ174"/>
  <c r="AZ177"/>
  <c r="AZ192"/>
  <c r="AZ196"/>
  <c r="AZ170"/>
  <c r="AZ182"/>
  <c r="AZ197"/>
  <c r="AZ208"/>
  <c r="AZ179"/>
  <c r="AZ183"/>
  <c r="AZ204"/>
  <c r="AZ168"/>
  <c r="AZ176"/>
  <c r="AZ187"/>
  <c r="AZ198"/>
  <c r="AZ205"/>
  <c r="AZ209"/>
  <c r="AZ181"/>
  <c r="AZ191"/>
  <c r="AZ201"/>
  <c r="AZ203"/>
  <c r="AZ180"/>
  <c r="AZ190"/>
  <c r="AZ200"/>
  <c r="AZ210"/>
  <c r="W60"/>
  <c r="W93"/>
  <c r="W21"/>
  <c r="W27"/>
  <c r="W124"/>
  <c r="W11"/>
  <c r="W15"/>
  <c r="W59"/>
  <c r="W73"/>
  <c r="W90"/>
  <c r="W20"/>
  <c r="W24"/>
  <c r="W18"/>
  <c r="W70"/>
  <c r="W89"/>
  <c r="W16"/>
  <c r="W111"/>
  <c r="W132"/>
  <c r="W9"/>
  <c r="W10"/>
  <c r="W17"/>
  <c r="W44"/>
  <c r="W46"/>
  <c r="W48"/>
  <c r="W38"/>
  <c r="W107"/>
  <c r="W5"/>
  <c r="W125"/>
  <c r="W8"/>
  <c r="W26"/>
  <c r="W50"/>
  <c r="W114"/>
  <c r="W141"/>
  <c r="W208"/>
  <c r="W6"/>
  <c r="W28"/>
  <c r="W34"/>
  <c r="W47"/>
  <c r="W61"/>
  <c r="W69"/>
  <c r="W127"/>
  <c r="W137"/>
  <c r="W142"/>
  <c r="W12"/>
  <c r="W14"/>
  <c r="W36"/>
  <c r="W54"/>
  <c r="W99"/>
  <c r="W7"/>
  <c r="W37"/>
  <c r="W25"/>
  <c r="W35"/>
  <c r="W45"/>
  <c r="W57"/>
  <c r="W63"/>
  <c r="W71"/>
  <c r="W91"/>
  <c r="W95"/>
  <c r="W23"/>
  <c r="W33"/>
  <c r="W43"/>
  <c r="W53"/>
  <c r="W79"/>
  <c r="W80"/>
  <c r="W100"/>
  <c r="W115"/>
  <c r="W172"/>
  <c r="W19"/>
  <c r="W29"/>
  <c r="W39"/>
  <c r="W41"/>
  <c r="W51"/>
  <c r="W81"/>
  <c r="W102"/>
  <c r="W30"/>
  <c r="W32"/>
  <c r="W42"/>
  <c r="W52"/>
  <c r="W83"/>
  <c r="W101"/>
  <c r="W133"/>
  <c r="W136"/>
  <c r="W56"/>
  <c r="W66"/>
  <c r="W68"/>
  <c r="W78"/>
  <c r="W88"/>
  <c r="W120"/>
  <c r="W144"/>
  <c r="W147"/>
  <c r="W163"/>
  <c r="W64"/>
  <c r="W74"/>
  <c r="W84"/>
  <c r="W86"/>
  <c r="W96"/>
  <c r="W97"/>
  <c r="W105"/>
  <c r="W129"/>
  <c r="W159"/>
  <c r="W62"/>
  <c r="W72"/>
  <c r="W82"/>
  <c r="W92"/>
  <c r="W106"/>
  <c r="W110"/>
  <c r="W117"/>
  <c r="W122"/>
  <c r="W128"/>
  <c r="W55"/>
  <c r="W65"/>
  <c r="W75"/>
  <c r="W77"/>
  <c r="W87"/>
  <c r="W104"/>
  <c r="W113"/>
  <c r="W123"/>
  <c r="W160"/>
  <c r="W98"/>
  <c r="W108"/>
  <c r="W118"/>
  <c r="W149"/>
  <c r="W150"/>
  <c r="W152"/>
  <c r="W116"/>
  <c r="W126"/>
  <c r="W140"/>
  <c r="W154"/>
  <c r="W109"/>
  <c r="W119"/>
  <c r="W131"/>
  <c r="W145"/>
  <c r="W134"/>
  <c r="W161"/>
  <c r="W189"/>
  <c r="W135"/>
  <c r="W138"/>
  <c r="W179"/>
  <c r="W185"/>
  <c r="W151"/>
  <c r="W174"/>
  <c r="W155"/>
  <c r="W146"/>
  <c r="W156"/>
  <c r="W158"/>
  <c r="W183"/>
  <c r="W167"/>
  <c r="W187"/>
  <c r="W200"/>
  <c r="W162"/>
  <c r="W165"/>
  <c r="W168"/>
  <c r="W190"/>
  <c r="W143"/>
  <c r="W153"/>
  <c r="W164"/>
  <c r="W170"/>
  <c r="W196"/>
  <c r="W207"/>
  <c r="W178"/>
  <c r="W186"/>
  <c r="W197"/>
  <c r="W171"/>
  <c r="W176"/>
  <c r="W198"/>
  <c r="W205"/>
  <c r="W209"/>
  <c r="W180"/>
  <c r="W206"/>
  <c r="W169"/>
  <c r="W173"/>
  <c r="W177"/>
  <c r="W188"/>
  <c r="W195"/>
  <c r="W199"/>
  <c r="W210"/>
  <c r="W182"/>
  <c r="W192"/>
  <c r="W194"/>
  <c r="W204"/>
  <c r="W181"/>
  <c r="W191"/>
  <c r="W201"/>
  <c r="W203"/>
  <c r="AG66"/>
  <c r="AG36"/>
  <c r="AG59"/>
  <c r="AG9"/>
  <c r="AG35"/>
  <c r="AG57"/>
  <c r="AG42"/>
  <c r="AG45"/>
  <c r="AG69"/>
  <c r="AG7"/>
  <c r="AG8"/>
  <c r="AG149"/>
  <c r="AG147"/>
  <c r="AG20"/>
  <c r="AG71"/>
  <c r="AG24"/>
  <c r="AG26"/>
  <c r="AG52"/>
  <c r="AG54"/>
  <c r="AG111"/>
  <c r="AG11"/>
  <c r="AG6"/>
  <c r="AG30"/>
  <c r="AG65"/>
  <c r="AG12"/>
  <c r="AG14"/>
  <c r="AG16"/>
  <c r="AG18"/>
  <c r="AG25"/>
  <c r="AG44"/>
  <c r="AG79"/>
  <c r="AG10"/>
  <c r="AG19"/>
  <c r="AG32"/>
  <c r="AG46"/>
  <c r="AG89"/>
  <c r="AG91"/>
  <c r="AG118"/>
  <c r="AG5"/>
  <c r="AG15"/>
  <c r="AG34"/>
  <c r="AG101"/>
  <c r="AG132"/>
  <c r="AG174"/>
  <c r="AG21"/>
  <c r="AG23"/>
  <c r="AG33"/>
  <c r="AG43"/>
  <c r="AG53"/>
  <c r="AG61"/>
  <c r="AG68"/>
  <c r="AG75"/>
  <c r="AG87"/>
  <c r="AG88"/>
  <c r="AG99"/>
  <c r="AG123"/>
  <c r="AG128"/>
  <c r="AG29"/>
  <c r="AG39"/>
  <c r="AG41"/>
  <c r="AG51"/>
  <c r="AG55"/>
  <c r="AG56"/>
  <c r="AG120"/>
  <c r="AG17"/>
  <c r="AG27"/>
  <c r="AG37"/>
  <c r="AG47"/>
  <c r="AG77"/>
  <c r="AG78"/>
  <c r="AG108"/>
  <c r="AG109"/>
  <c r="AG28"/>
  <c r="AG38"/>
  <c r="AG48"/>
  <c r="AG50"/>
  <c r="AG81"/>
  <c r="AG97"/>
  <c r="AG113"/>
  <c r="AG119"/>
  <c r="AG64"/>
  <c r="AG74"/>
  <c r="AG84"/>
  <c r="AG86"/>
  <c r="AG96"/>
  <c r="AG100"/>
  <c r="AG127"/>
  <c r="AG62"/>
  <c r="AG72"/>
  <c r="AG82"/>
  <c r="AG92"/>
  <c r="AG105"/>
  <c r="AG115"/>
  <c r="AG125"/>
  <c r="AG150"/>
  <c r="AG208"/>
  <c r="AG60"/>
  <c r="AG70"/>
  <c r="AG80"/>
  <c r="AG90"/>
  <c r="AG98"/>
  <c r="AG104"/>
  <c r="AG110"/>
  <c r="AG145"/>
  <c r="AG152"/>
  <c r="AG204"/>
  <c r="AG63"/>
  <c r="AG73"/>
  <c r="AG83"/>
  <c r="AG93"/>
  <c r="AG95"/>
  <c r="AG102"/>
  <c r="AG122"/>
  <c r="AG106"/>
  <c r="AG116"/>
  <c r="AG126"/>
  <c r="AG137"/>
  <c r="AG114"/>
  <c r="AG124"/>
  <c r="AG131"/>
  <c r="AG136"/>
  <c r="AG138"/>
  <c r="AG158"/>
  <c r="AG107"/>
  <c r="AG117"/>
  <c r="AG129"/>
  <c r="AG134"/>
  <c r="AG135"/>
  <c r="AG140"/>
  <c r="AG143"/>
  <c r="AG156"/>
  <c r="AG181"/>
  <c r="AG185"/>
  <c r="AG133"/>
  <c r="AG144"/>
  <c r="AG146"/>
  <c r="AG153"/>
  <c r="AG192"/>
  <c r="AG168"/>
  <c r="AG186"/>
  <c r="AG197"/>
  <c r="AG142"/>
  <c r="AG155"/>
  <c r="AG159"/>
  <c r="AG154"/>
  <c r="AG170"/>
  <c r="AG177"/>
  <c r="AG201"/>
  <c r="AG162"/>
  <c r="AG171"/>
  <c r="AG160"/>
  <c r="AG163"/>
  <c r="AG182"/>
  <c r="AG183"/>
  <c r="AG196"/>
  <c r="AG207"/>
  <c r="AG141"/>
  <c r="AG151"/>
  <c r="AG161"/>
  <c r="AG164"/>
  <c r="AG178"/>
  <c r="AG203"/>
  <c r="AG169"/>
  <c r="AG187"/>
  <c r="AG198"/>
  <c r="AG205"/>
  <c r="AG172"/>
  <c r="AG176"/>
  <c r="AG191"/>
  <c r="AG194"/>
  <c r="AG165"/>
  <c r="AG167"/>
  <c r="AG173"/>
  <c r="AG188"/>
  <c r="AG195"/>
  <c r="AG206"/>
  <c r="AG180"/>
  <c r="AG190"/>
  <c r="AG200"/>
  <c r="AG210"/>
  <c r="AG179"/>
  <c r="AG189"/>
  <c r="AG199"/>
  <c r="AG209"/>
  <c r="G24"/>
  <c r="G152"/>
  <c r="G17"/>
  <c r="G105"/>
  <c r="G15"/>
  <c r="G117"/>
  <c r="G21"/>
  <c r="G27"/>
  <c r="G11"/>
  <c r="G89"/>
  <c r="G9"/>
  <c r="G10"/>
  <c r="G38"/>
  <c r="G100"/>
  <c r="G101"/>
  <c r="G44"/>
  <c r="G46"/>
  <c r="G48"/>
  <c r="G69"/>
  <c r="G5"/>
  <c r="G61"/>
  <c r="G8"/>
  <c r="G26"/>
  <c r="G50"/>
  <c r="G150"/>
  <c r="G155"/>
  <c r="G6"/>
  <c r="G16"/>
  <c r="G20"/>
  <c r="G28"/>
  <c r="G34"/>
  <c r="G47"/>
  <c r="G90"/>
  <c r="G93"/>
  <c r="G104"/>
  <c r="G111"/>
  <c r="G12"/>
  <c r="G14"/>
  <c r="G36"/>
  <c r="G54"/>
  <c r="G7"/>
  <c r="G18"/>
  <c r="G37"/>
  <c r="G59"/>
  <c r="G60"/>
  <c r="G70"/>
  <c r="G73"/>
  <c r="G25"/>
  <c r="G35"/>
  <c r="G45"/>
  <c r="G55"/>
  <c r="G57"/>
  <c r="G63"/>
  <c r="G71"/>
  <c r="G91"/>
  <c r="G95"/>
  <c r="G123"/>
  <c r="G125"/>
  <c r="G141"/>
  <c r="G23"/>
  <c r="G33"/>
  <c r="G43"/>
  <c r="G53"/>
  <c r="G79"/>
  <c r="G80"/>
  <c r="G132"/>
  <c r="G164"/>
  <c r="G19"/>
  <c r="G29"/>
  <c r="G39"/>
  <c r="G41"/>
  <c r="G51"/>
  <c r="G81"/>
  <c r="G122"/>
  <c r="G131"/>
  <c r="G30"/>
  <c r="G32"/>
  <c r="G42"/>
  <c r="G52"/>
  <c r="G83"/>
  <c r="G113"/>
  <c r="G115"/>
  <c r="G127"/>
  <c r="G56"/>
  <c r="G66"/>
  <c r="G68"/>
  <c r="G78"/>
  <c r="G88"/>
  <c r="G97"/>
  <c r="G106"/>
  <c r="G110"/>
  <c r="G114"/>
  <c r="G124"/>
  <c r="G140"/>
  <c r="G196"/>
  <c r="G64"/>
  <c r="G74"/>
  <c r="G84"/>
  <c r="G86"/>
  <c r="G96"/>
  <c r="G107"/>
  <c r="G120"/>
  <c r="G145"/>
  <c r="G62"/>
  <c r="G72"/>
  <c r="G82"/>
  <c r="G92"/>
  <c r="G102"/>
  <c r="G134"/>
  <c r="G144"/>
  <c r="G65"/>
  <c r="G75"/>
  <c r="G77"/>
  <c r="G87"/>
  <c r="G99"/>
  <c r="G128"/>
  <c r="G195"/>
  <c r="G98"/>
  <c r="G108"/>
  <c r="G118"/>
  <c r="G154"/>
  <c r="G207"/>
  <c r="G116"/>
  <c r="G126"/>
  <c r="G129"/>
  <c r="G133"/>
  <c r="G160"/>
  <c r="G109"/>
  <c r="G119"/>
  <c r="G147"/>
  <c r="G172"/>
  <c r="G135"/>
  <c r="G138"/>
  <c r="G151"/>
  <c r="G161"/>
  <c r="G188"/>
  <c r="G136"/>
  <c r="G205"/>
  <c r="G142"/>
  <c r="G179"/>
  <c r="G183"/>
  <c r="G137"/>
  <c r="G149"/>
  <c r="G159"/>
  <c r="G163"/>
  <c r="G168"/>
  <c r="G170"/>
  <c r="G146"/>
  <c r="G156"/>
  <c r="G158"/>
  <c r="G165"/>
  <c r="G174"/>
  <c r="G199"/>
  <c r="G173"/>
  <c r="G176"/>
  <c r="G177"/>
  <c r="G162"/>
  <c r="G167"/>
  <c r="G143"/>
  <c r="G153"/>
  <c r="G187"/>
  <c r="G198"/>
  <c r="G209"/>
  <c r="G210"/>
  <c r="G180"/>
  <c r="G206"/>
  <c r="G171"/>
  <c r="G185"/>
  <c r="G189"/>
  <c r="G200"/>
  <c r="G178"/>
  <c r="G186"/>
  <c r="G197"/>
  <c r="G169"/>
  <c r="G190"/>
  <c r="G208"/>
  <c r="G182"/>
  <c r="G192"/>
  <c r="G194"/>
  <c r="G204"/>
  <c r="G181"/>
  <c r="G191"/>
  <c r="G201"/>
  <c r="G203"/>
  <c r="O48"/>
  <c r="O5"/>
  <c r="O34"/>
  <c r="O47"/>
  <c r="O9"/>
  <c r="O10"/>
  <c r="O37"/>
  <c r="O11"/>
  <c r="O15"/>
  <c r="O44"/>
  <c r="O79"/>
  <c r="O197"/>
  <c r="O18"/>
  <c r="O28"/>
  <c r="O83"/>
  <c r="O80"/>
  <c r="O8"/>
  <c r="O36"/>
  <c r="O54"/>
  <c r="O111"/>
  <c r="O125"/>
  <c r="O135"/>
  <c r="O6"/>
  <c r="O16"/>
  <c r="O24"/>
  <c r="O38"/>
  <c r="O124"/>
  <c r="O12"/>
  <c r="O14"/>
  <c r="O20"/>
  <c r="O26"/>
  <c r="O50"/>
  <c r="O61"/>
  <c r="O7"/>
  <c r="O17"/>
  <c r="O21"/>
  <c r="O27"/>
  <c r="O46"/>
  <c r="O164"/>
  <c r="O25"/>
  <c r="O35"/>
  <c r="O45"/>
  <c r="O81"/>
  <c r="O99"/>
  <c r="O114"/>
  <c r="O132"/>
  <c r="O23"/>
  <c r="O33"/>
  <c r="O43"/>
  <c r="O53"/>
  <c r="O69"/>
  <c r="O70"/>
  <c r="O89"/>
  <c r="O90"/>
  <c r="O122"/>
  <c r="O134"/>
  <c r="O19"/>
  <c r="O29"/>
  <c r="O39"/>
  <c r="O41"/>
  <c r="O51"/>
  <c r="O57"/>
  <c r="O63"/>
  <c r="O71"/>
  <c r="O91"/>
  <c r="O95"/>
  <c r="O115"/>
  <c r="O117"/>
  <c r="O30"/>
  <c r="O32"/>
  <c r="O42"/>
  <c r="O52"/>
  <c r="O59"/>
  <c r="O60"/>
  <c r="O73"/>
  <c r="O93"/>
  <c r="O97"/>
  <c r="O56"/>
  <c r="O66"/>
  <c r="O68"/>
  <c r="O78"/>
  <c r="O88"/>
  <c r="O100"/>
  <c r="O105"/>
  <c r="O64"/>
  <c r="O74"/>
  <c r="O84"/>
  <c r="O86"/>
  <c r="O96"/>
  <c r="O101"/>
  <c r="O106"/>
  <c r="O110"/>
  <c r="O113"/>
  <c r="O123"/>
  <c r="O127"/>
  <c r="O62"/>
  <c r="O72"/>
  <c r="O82"/>
  <c r="O92"/>
  <c r="O104"/>
  <c r="O107"/>
  <c r="O133"/>
  <c r="O154"/>
  <c r="O55"/>
  <c r="O65"/>
  <c r="O75"/>
  <c r="O77"/>
  <c r="O87"/>
  <c r="O102"/>
  <c r="O120"/>
  <c r="O155"/>
  <c r="O98"/>
  <c r="O108"/>
  <c r="O118"/>
  <c r="O128"/>
  <c r="O147"/>
  <c r="O160"/>
  <c r="O116"/>
  <c r="O126"/>
  <c r="O131"/>
  <c r="O137"/>
  <c r="O138"/>
  <c r="O109"/>
  <c r="O119"/>
  <c r="O129"/>
  <c r="O136"/>
  <c r="O149"/>
  <c r="O150"/>
  <c r="O140"/>
  <c r="O159"/>
  <c r="O141"/>
  <c r="O144"/>
  <c r="O151"/>
  <c r="O168"/>
  <c r="O161"/>
  <c r="O172"/>
  <c r="O206"/>
  <c r="O142"/>
  <c r="O145"/>
  <c r="O152"/>
  <c r="O146"/>
  <c r="O156"/>
  <c r="O158"/>
  <c r="O165"/>
  <c r="O180"/>
  <c r="O205"/>
  <c r="O162"/>
  <c r="O163"/>
  <c r="O170"/>
  <c r="O186"/>
  <c r="O198"/>
  <c r="O208"/>
  <c r="O209"/>
  <c r="O143"/>
  <c r="O153"/>
  <c r="O167"/>
  <c r="O176"/>
  <c r="O178"/>
  <c r="O190"/>
  <c r="O179"/>
  <c r="O183"/>
  <c r="O187"/>
  <c r="O171"/>
  <c r="O173"/>
  <c r="O177"/>
  <c r="O188"/>
  <c r="O195"/>
  <c r="O199"/>
  <c r="O210"/>
  <c r="O174"/>
  <c r="O196"/>
  <c r="O207"/>
  <c r="O169"/>
  <c r="O185"/>
  <c r="O189"/>
  <c r="O200"/>
  <c r="O182"/>
  <c r="O192"/>
  <c r="O194"/>
  <c r="O204"/>
  <c r="O181"/>
  <c r="O191"/>
  <c r="O201"/>
  <c r="O203"/>
  <c r="AY55"/>
  <c r="AY96"/>
  <c r="AY44"/>
  <c r="AY6"/>
  <c r="AY7"/>
  <c r="AY53"/>
  <c r="AY5"/>
  <c r="AY20"/>
  <c r="AY54"/>
  <c r="AY9"/>
  <c r="AY93"/>
  <c r="AY99"/>
  <c r="AY119"/>
  <c r="AY127"/>
  <c r="AY43"/>
  <c r="AY83"/>
  <c r="AY101"/>
  <c r="AY32"/>
  <c r="AY84"/>
  <c r="AY118"/>
  <c r="AY209"/>
  <c r="AY15"/>
  <c r="AY30"/>
  <c r="AY109"/>
  <c r="AY110"/>
  <c r="AY116"/>
  <c r="AY113"/>
  <c r="AY12"/>
  <c r="AY14"/>
  <c r="AY23"/>
  <c r="AY24"/>
  <c r="AY38"/>
  <c r="AY42"/>
  <c r="AY86"/>
  <c r="AY108"/>
  <c r="AY126"/>
  <c r="AY10"/>
  <c r="AY16"/>
  <c r="AY17"/>
  <c r="AY50"/>
  <c r="AY59"/>
  <c r="AY73"/>
  <c r="AY74"/>
  <c r="AY8"/>
  <c r="AY18"/>
  <c r="AY28"/>
  <c r="AY33"/>
  <c r="AY34"/>
  <c r="AY117"/>
  <c r="AY11"/>
  <c r="AY21"/>
  <c r="AY48"/>
  <c r="AY52"/>
  <c r="AY77"/>
  <c r="AY19"/>
  <c r="AY29"/>
  <c r="AY39"/>
  <c r="AY41"/>
  <c r="AY51"/>
  <c r="AY69"/>
  <c r="AY89"/>
  <c r="AY111"/>
  <c r="AY27"/>
  <c r="AY37"/>
  <c r="AY47"/>
  <c r="AY57"/>
  <c r="AY63"/>
  <c r="AY64"/>
  <c r="AY95"/>
  <c r="AY123"/>
  <c r="AY203"/>
  <c r="AY25"/>
  <c r="AY35"/>
  <c r="AY45"/>
  <c r="AY65"/>
  <c r="AY79"/>
  <c r="AY106"/>
  <c r="AY107"/>
  <c r="AY26"/>
  <c r="AY36"/>
  <c r="AY46"/>
  <c r="AY75"/>
  <c r="AY87"/>
  <c r="AY97"/>
  <c r="AY132"/>
  <c r="AY189"/>
  <c r="AY62"/>
  <c r="AY72"/>
  <c r="AY82"/>
  <c r="AY92"/>
  <c r="AY100"/>
  <c r="AY168"/>
  <c r="AY60"/>
  <c r="AY70"/>
  <c r="AY80"/>
  <c r="AY90"/>
  <c r="AY135"/>
  <c r="AY56"/>
  <c r="AY66"/>
  <c r="AY68"/>
  <c r="AY78"/>
  <c r="AY88"/>
  <c r="AY98"/>
  <c r="AY192"/>
  <c r="AY61"/>
  <c r="AY71"/>
  <c r="AY81"/>
  <c r="AY91"/>
  <c r="AY128"/>
  <c r="AY176"/>
  <c r="AY102"/>
  <c r="AY104"/>
  <c r="AY114"/>
  <c r="AY124"/>
  <c r="AY136"/>
  <c r="AY145"/>
  <c r="AY154"/>
  <c r="AY155"/>
  <c r="AY120"/>
  <c r="AY122"/>
  <c r="AY138"/>
  <c r="AY144"/>
  <c r="AY105"/>
  <c r="AY115"/>
  <c r="AY125"/>
  <c r="AY141"/>
  <c r="AY133"/>
  <c r="AY134"/>
  <c r="AY140"/>
  <c r="AY143"/>
  <c r="AY151"/>
  <c r="AY158"/>
  <c r="AY194"/>
  <c r="AY129"/>
  <c r="AY131"/>
  <c r="AY156"/>
  <c r="AY161"/>
  <c r="AY172"/>
  <c r="AY146"/>
  <c r="AY153"/>
  <c r="AY171"/>
  <c r="AY142"/>
  <c r="AY150"/>
  <c r="AY162"/>
  <c r="AY196"/>
  <c r="AY206"/>
  <c r="AY152"/>
  <c r="AY200"/>
  <c r="AY160"/>
  <c r="AY191"/>
  <c r="AY163"/>
  <c r="AY169"/>
  <c r="AY180"/>
  <c r="AY181"/>
  <c r="AY205"/>
  <c r="AY137"/>
  <c r="AY147"/>
  <c r="AY149"/>
  <c r="AY159"/>
  <c r="AY164"/>
  <c r="AY174"/>
  <c r="AY185"/>
  <c r="AY173"/>
  <c r="AY195"/>
  <c r="AY199"/>
  <c r="AY210"/>
  <c r="AY165"/>
  <c r="AY167"/>
  <c r="AY186"/>
  <c r="AY170"/>
  <c r="AY182"/>
  <c r="AY190"/>
  <c r="AY201"/>
  <c r="AY179"/>
  <c r="AY183"/>
  <c r="AY204"/>
  <c r="AY178"/>
  <c r="AY188"/>
  <c r="AY198"/>
  <c r="AY208"/>
  <c r="AY177"/>
  <c r="AY187"/>
  <c r="AY197"/>
  <c r="AY207"/>
  <c r="BJ6"/>
  <c r="BJ55"/>
  <c r="BJ8"/>
  <c r="BJ24"/>
  <c r="BJ51"/>
  <c r="BJ101"/>
  <c r="BJ7"/>
  <c r="BJ43"/>
  <c r="BJ33"/>
  <c r="BJ54"/>
  <c r="BJ21"/>
  <c r="BJ34"/>
  <c r="BJ41"/>
  <c r="BJ108"/>
  <c r="BJ19"/>
  <c r="BJ35"/>
  <c r="BJ65"/>
  <c r="BJ25"/>
  <c r="BJ78"/>
  <c r="BJ87"/>
  <c r="BJ133"/>
  <c r="BJ10"/>
  <c r="BJ70"/>
  <c r="BJ104"/>
  <c r="BJ5"/>
  <c r="BJ15"/>
  <c r="BJ29"/>
  <c r="BJ53"/>
  <c r="BJ64"/>
  <c r="BJ75"/>
  <c r="BJ156"/>
  <c r="BJ11"/>
  <c r="BJ17"/>
  <c r="BJ23"/>
  <c r="BJ77"/>
  <c r="BJ114"/>
  <c r="BJ131"/>
  <c r="BJ147"/>
  <c r="BJ9"/>
  <c r="BJ18"/>
  <c r="BJ39"/>
  <c r="BJ44"/>
  <c r="BJ45"/>
  <c r="BJ90"/>
  <c r="BJ119"/>
  <c r="BJ12"/>
  <c r="BJ14"/>
  <c r="BJ100"/>
  <c r="BJ20"/>
  <c r="BJ30"/>
  <c r="BJ32"/>
  <c r="BJ42"/>
  <c r="BJ52"/>
  <c r="BJ60"/>
  <c r="BJ74"/>
  <c r="BJ86"/>
  <c r="BJ107"/>
  <c r="BJ128"/>
  <c r="BJ28"/>
  <c r="BJ38"/>
  <c r="BJ48"/>
  <c r="BJ50"/>
  <c r="BJ68"/>
  <c r="BJ88"/>
  <c r="BJ124"/>
  <c r="BJ16"/>
  <c r="BJ26"/>
  <c r="BJ36"/>
  <c r="BJ46"/>
  <c r="BJ56"/>
  <c r="BJ84"/>
  <c r="BJ27"/>
  <c r="BJ37"/>
  <c r="BJ47"/>
  <c r="BJ66"/>
  <c r="BJ80"/>
  <c r="BJ143"/>
  <c r="BJ63"/>
  <c r="BJ73"/>
  <c r="BJ83"/>
  <c r="BJ93"/>
  <c r="BJ95"/>
  <c r="BJ97"/>
  <c r="BJ110"/>
  <c r="BJ120"/>
  <c r="BJ127"/>
  <c r="BJ141"/>
  <c r="BJ61"/>
  <c r="BJ71"/>
  <c r="BJ81"/>
  <c r="BJ91"/>
  <c r="BJ98"/>
  <c r="BJ159"/>
  <c r="BJ57"/>
  <c r="BJ59"/>
  <c r="BJ69"/>
  <c r="BJ79"/>
  <c r="BJ89"/>
  <c r="BJ102"/>
  <c r="BJ117"/>
  <c r="BJ122"/>
  <c r="BJ62"/>
  <c r="BJ72"/>
  <c r="BJ82"/>
  <c r="BJ92"/>
  <c r="BJ96"/>
  <c r="BJ99"/>
  <c r="BJ109"/>
  <c r="BJ118"/>
  <c r="BJ144"/>
  <c r="BJ146"/>
  <c r="BJ151"/>
  <c r="BJ172"/>
  <c r="BJ105"/>
  <c r="BJ115"/>
  <c r="BJ125"/>
  <c r="BJ134"/>
  <c r="BJ158"/>
  <c r="BJ111"/>
  <c r="BJ113"/>
  <c r="BJ123"/>
  <c r="BJ129"/>
  <c r="BJ191"/>
  <c r="BJ196"/>
  <c r="BJ206"/>
  <c r="BJ207"/>
  <c r="BJ106"/>
  <c r="BJ116"/>
  <c r="BJ126"/>
  <c r="BJ154"/>
  <c r="BJ164"/>
  <c r="BJ176"/>
  <c r="BJ185"/>
  <c r="BJ135"/>
  <c r="BJ155"/>
  <c r="BJ162"/>
  <c r="BJ132"/>
  <c r="BJ136"/>
  <c r="BJ145"/>
  <c r="BJ152"/>
  <c r="BJ142"/>
  <c r="BJ149"/>
  <c r="BJ137"/>
  <c r="BJ163"/>
  <c r="BJ174"/>
  <c r="BJ194"/>
  <c r="BJ153"/>
  <c r="BJ180"/>
  <c r="BJ181"/>
  <c r="BJ205"/>
  <c r="BJ161"/>
  <c r="BJ167"/>
  <c r="BJ165"/>
  <c r="BJ169"/>
  <c r="BJ200"/>
  <c r="BJ138"/>
  <c r="BJ140"/>
  <c r="BJ150"/>
  <c r="BJ160"/>
  <c r="BJ170"/>
  <c r="BJ203"/>
  <c r="BJ173"/>
  <c r="BJ177"/>
  <c r="BJ192"/>
  <c r="BJ195"/>
  <c r="BJ210"/>
  <c r="BJ168"/>
  <c r="BJ182"/>
  <c r="BJ186"/>
  <c r="BJ197"/>
  <c r="BJ171"/>
  <c r="BJ190"/>
  <c r="BJ201"/>
  <c r="BJ204"/>
  <c r="BJ183"/>
  <c r="BJ187"/>
  <c r="BJ179"/>
  <c r="BJ189"/>
  <c r="BJ199"/>
  <c r="BJ209"/>
  <c r="BJ178"/>
  <c r="BJ188"/>
  <c r="BJ198"/>
  <c r="BJ208"/>
  <c r="P100"/>
  <c r="P6"/>
  <c r="P20"/>
  <c r="P39"/>
  <c r="P12"/>
  <c r="P72"/>
  <c r="P16"/>
  <c r="P84"/>
  <c r="P73"/>
  <c r="P88"/>
  <c r="P8"/>
  <c r="P106"/>
  <c r="P127"/>
  <c r="P98"/>
  <c r="P5"/>
  <c r="P14"/>
  <c r="P29"/>
  <c r="P53"/>
  <c r="P15"/>
  <c r="P19"/>
  <c r="P23"/>
  <c r="P30"/>
  <c r="P52"/>
  <c r="P78"/>
  <c r="P82"/>
  <c r="P11"/>
  <c r="P37"/>
  <c r="P41"/>
  <c r="P92"/>
  <c r="P93"/>
  <c r="P9"/>
  <c r="P42"/>
  <c r="P43"/>
  <c r="P56"/>
  <c r="P95"/>
  <c r="P107"/>
  <c r="P180"/>
  <c r="P7"/>
  <c r="P17"/>
  <c r="P21"/>
  <c r="P27"/>
  <c r="P63"/>
  <c r="P66"/>
  <c r="P68"/>
  <c r="P10"/>
  <c r="P32"/>
  <c r="P33"/>
  <c r="P47"/>
  <c r="P51"/>
  <c r="P126"/>
  <c r="P171"/>
  <c r="P18"/>
  <c r="P28"/>
  <c r="P38"/>
  <c r="P48"/>
  <c r="P50"/>
  <c r="P105"/>
  <c r="P116"/>
  <c r="P26"/>
  <c r="P36"/>
  <c r="P46"/>
  <c r="P62"/>
  <c r="P83"/>
  <c r="P104"/>
  <c r="P108"/>
  <c r="P110"/>
  <c r="P188"/>
  <c r="P24"/>
  <c r="P34"/>
  <c r="P44"/>
  <c r="P54"/>
  <c r="P64"/>
  <c r="P96"/>
  <c r="P25"/>
  <c r="P35"/>
  <c r="P45"/>
  <c r="P74"/>
  <c r="P86"/>
  <c r="P201"/>
  <c r="P61"/>
  <c r="P71"/>
  <c r="P81"/>
  <c r="P91"/>
  <c r="P97"/>
  <c r="P109"/>
  <c r="P117"/>
  <c r="P122"/>
  <c r="P134"/>
  <c r="P190"/>
  <c r="P194"/>
  <c r="P57"/>
  <c r="P59"/>
  <c r="P69"/>
  <c r="P79"/>
  <c r="P89"/>
  <c r="P118"/>
  <c r="P132"/>
  <c r="P143"/>
  <c r="P144"/>
  <c r="P153"/>
  <c r="P167"/>
  <c r="P55"/>
  <c r="P65"/>
  <c r="P75"/>
  <c r="P77"/>
  <c r="P87"/>
  <c r="P102"/>
  <c r="P120"/>
  <c r="P131"/>
  <c r="P195"/>
  <c r="P60"/>
  <c r="P70"/>
  <c r="P80"/>
  <c r="P90"/>
  <c r="P99"/>
  <c r="P115"/>
  <c r="P125"/>
  <c r="P140"/>
  <c r="P101"/>
  <c r="P111"/>
  <c r="P113"/>
  <c r="P123"/>
  <c r="P119"/>
  <c r="P129"/>
  <c r="P141"/>
  <c r="P149"/>
  <c r="P173"/>
  <c r="P199"/>
  <c r="P114"/>
  <c r="P124"/>
  <c r="P133"/>
  <c r="P163"/>
  <c r="P135"/>
  <c r="P138"/>
  <c r="P147"/>
  <c r="P150"/>
  <c r="P154"/>
  <c r="P128"/>
  <c r="P155"/>
  <c r="P160"/>
  <c r="P165"/>
  <c r="P170"/>
  <c r="P208"/>
  <c r="P142"/>
  <c r="P145"/>
  <c r="P152"/>
  <c r="P204"/>
  <c r="P137"/>
  <c r="P162"/>
  <c r="P151"/>
  <c r="P161"/>
  <c r="P168"/>
  <c r="P179"/>
  <c r="P191"/>
  <c r="P159"/>
  <c r="P182"/>
  <c r="P183"/>
  <c r="P210"/>
  <c r="P136"/>
  <c r="P146"/>
  <c r="P156"/>
  <c r="P158"/>
  <c r="P198"/>
  <c r="P205"/>
  <c r="P209"/>
  <c r="P164"/>
  <c r="P192"/>
  <c r="P169"/>
  <c r="P181"/>
  <c r="P185"/>
  <c r="P189"/>
  <c r="P200"/>
  <c r="P172"/>
  <c r="P178"/>
  <c r="P203"/>
  <c r="P177"/>
  <c r="P187"/>
  <c r="P197"/>
  <c r="P207"/>
  <c r="P174"/>
  <c r="P176"/>
  <c r="P186"/>
  <c r="P196"/>
  <c r="P206"/>
  <c r="AV21"/>
  <c r="AV78"/>
  <c r="AV82"/>
  <c r="AV12"/>
  <c r="AV72"/>
  <c r="AV6"/>
  <c r="AV20"/>
  <c r="AV39"/>
  <c r="AV84"/>
  <c r="AV125"/>
  <c r="AV19"/>
  <c r="AV73"/>
  <c r="AV8"/>
  <c r="AV5"/>
  <c r="AV14"/>
  <c r="AV29"/>
  <c r="AV53"/>
  <c r="AV108"/>
  <c r="AV15"/>
  <c r="AV23"/>
  <c r="AV30"/>
  <c r="AV52"/>
  <c r="AV88"/>
  <c r="AV110"/>
  <c r="AV11"/>
  <c r="AV37"/>
  <c r="AV41"/>
  <c r="AV92"/>
  <c r="AV93"/>
  <c r="AV106"/>
  <c r="AV116"/>
  <c r="AV9"/>
  <c r="AV42"/>
  <c r="AV43"/>
  <c r="AV56"/>
  <c r="AV95"/>
  <c r="AV118"/>
  <c r="AV149"/>
  <c r="AV172"/>
  <c r="AV7"/>
  <c r="AV17"/>
  <c r="AV27"/>
  <c r="AV63"/>
  <c r="AV66"/>
  <c r="AV68"/>
  <c r="AV98"/>
  <c r="AV107"/>
  <c r="AV10"/>
  <c r="AV16"/>
  <c r="AV32"/>
  <c r="AV33"/>
  <c r="AV47"/>
  <c r="AV51"/>
  <c r="AV18"/>
  <c r="AV28"/>
  <c r="AV38"/>
  <c r="AV48"/>
  <c r="AV50"/>
  <c r="AV26"/>
  <c r="AV36"/>
  <c r="AV46"/>
  <c r="AV62"/>
  <c r="AV83"/>
  <c r="AV99"/>
  <c r="AV115"/>
  <c r="AV24"/>
  <c r="AV34"/>
  <c r="AV44"/>
  <c r="AV54"/>
  <c r="AV64"/>
  <c r="AV96"/>
  <c r="AV104"/>
  <c r="AV105"/>
  <c r="AV25"/>
  <c r="AV35"/>
  <c r="AV45"/>
  <c r="AV74"/>
  <c r="AV86"/>
  <c r="AV100"/>
  <c r="AV126"/>
  <c r="AV204"/>
  <c r="AV61"/>
  <c r="AV71"/>
  <c r="AV81"/>
  <c r="AV91"/>
  <c r="AV102"/>
  <c r="AV109"/>
  <c r="AV120"/>
  <c r="AV127"/>
  <c r="AV199"/>
  <c r="AV57"/>
  <c r="AV59"/>
  <c r="AV69"/>
  <c r="AV79"/>
  <c r="AV89"/>
  <c r="AV131"/>
  <c r="AV143"/>
  <c r="AV55"/>
  <c r="AV65"/>
  <c r="AV75"/>
  <c r="AV77"/>
  <c r="AV87"/>
  <c r="AV97"/>
  <c r="AV117"/>
  <c r="AV122"/>
  <c r="AV60"/>
  <c r="AV70"/>
  <c r="AV80"/>
  <c r="AV90"/>
  <c r="AV129"/>
  <c r="AV140"/>
  <c r="AV162"/>
  <c r="AV101"/>
  <c r="AV111"/>
  <c r="AV113"/>
  <c r="AV123"/>
  <c r="AV137"/>
  <c r="AV153"/>
  <c r="AV119"/>
  <c r="AV180"/>
  <c r="AV114"/>
  <c r="AV124"/>
  <c r="AV133"/>
  <c r="AV135"/>
  <c r="AV132"/>
  <c r="AV142"/>
  <c r="AV147"/>
  <c r="AV150"/>
  <c r="AV154"/>
  <c r="AV128"/>
  <c r="AV134"/>
  <c r="AV155"/>
  <c r="AV160"/>
  <c r="AV182"/>
  <c r="AV138"/>
  <c r="AV145"/>
  <c r="AV152"/>
  <c r="AV173"/>
  <c r="AV141"/>
  <c r="AV144"/>
  <c r="AV171"/>
  <c r="AV183"/>
  <c r="AV151"/>
  <c r="AV161"/>
  <c r="AV210"/>
  <c r="AV159"/>
  <c r="AV167"/>
  <c r="AV188"/>
  <c r="AV190"/>
  <c r="AV201"/>
  <c r="AV165"/>
  <c r="AV168"/>
  <c r="AV179"/>
  <c r="AV191"/>
  <c r="AV136"/>
  <c r="AV146"/>
  <c r="AV156"/>
  <c r="AV158"/>
  <c r="AV163"/>
  <c r="AV170"/>
  <c r="AV194"/>
  <c r="AV195"/>
  <c r="AV208"/>
  <c r="AV198"/>
  <c r="AV205"/>
  <c r="AV209"/>
  <c r="AV164"/>
  <c r="AV192"/>
  <c r="AV169"/>
  <c r="AV181"/>
  <c r="AV185"/>
  <c r="AV189"/>
  <c r="AV200"/>
  <c r="AV178"/>
  <c r="AV203"/>
  <c r="AV177"/>
  <c r="AV187"/>
  <c r="AV197"/>
  <c r="AV207"/>
  <c r="AV174"/>
  <c r="AV176"/>
  <c r="AV186"/>
  <c r="AV196"/>
  <c r="AV206"/>
  <c r="Q122"/>
  <c r="Q8"/>
  <c r="Q18"/>
  <c r="Q69"/>
  <c r="Q7"/>
  <c r="Q71"/>
  <c r="Q9"/>
  <c r="Q134"/>
  <c r="Q45"/>
  <c r="Q42"/>
  <c r="Q24"/>
  <c r="Q26"/>
  <c r="Q52"/>
  <c r="Q54"/>
  <c r="Q59"/>
  <c r="Q66"/>
  <c r="Q11"/>
  <c r="Q35"/>
  <c r="Q36"/>
  <c r="Q79"/>
  <c r="Q6"/>
  <c r="Q16"/>
  <c r="Q19"/>
  <c r="Q30"/>
  <c r="Q89"/>
  <c r="Q91"/>
  <c r="Q12"/>
  <c r="Q14"/>
  <c r="Q20"/>
  <c r="Q25"/>
  <c r="Q44"/>
  <c r="Q57"/>
  <c r="Q97"/>
  <c r="Q10"/>
  <c r="Q32"/>
  <c r="Q46"/>
  <c r="Q65"/>
  <c r="Q123"/>
  <c r="Q145"/>
  <c r="Q5"/>
  <c r="Q15"/>
  <c r="Q34"/>
  <c r="Q138"/>
  <c r="Q21"/>
  <c r="Q23"/>
  <c r="Q33"/>
  <c r="Q43"/>
  <c r="Q53"/>
  <c r="Q61"/>
  <c r="Q68"/>
  <c r="Q75"/>
  <c r="Q87"/>
  <c r="Q88"/>
  <c r="Q118"/>
  <c r="Q29"/>
  <c r="Q39"/>
  <c r="Q41"/>
  <c r="Q51"/>
  <c r="Q55"/>
  <c r="Q56"/>
  <c r="Q101"/>
  <c r="Q109"/>
  <c r="Q129"/>
  <c r="Q17"/>
  <c r="Q27"/>
  <c r="Q37"/>
  <c r="Q47"/>
  <c r="Q77"/>
  <c r="Q78"/>
  <c r="Q100"/>
  <c r="Q113"/>
  <c r="Q119"/>
  <c r="Q137"/>
  <c r="Q28"/>
  <c r="Q38"/>
  <c r="Q48"/>
  <c r="Q50"/>
  <c r="Q81"/>
  <c r="Q102"/>
  <c r="Q105"/>
  <c r="Q120"/>
  <c r="Q64"/>
  <c r="Q74"/>
  <c r="Q84"/>
  <c r="Q86"/>
  <c r="Q96"/>
  <c r="Q110"/>
  <c r="Q127"/>
  <c r="Q128"/>
  <c r="Q146"/>
  <c r="Q201"/>
  <c r="Q62"/>
  <c r="Q72"/>
  <c r="Q82"/>
  <c r="Q92"/>
  <c r="Q98"/>
  <c r="Q104"/>
  <c r="Q147"/>
  <c r="Q60"/>
  <c r="Q70"/>
  <c r="Q80"/>
  <c r="Q90"/>
  <c r="Q99"/>
  <c r="Q115"/>
  <c r="Q125"/>
  <c r="Q140"/>
  <c r="Q142"/>
  <c r="Q155"/>
  <c r="Q63"/>
  <c r="Q73"/>
  <c r="Q83"/>
  <c r="Q93"/>
  <c r="Q95"/>
  <c r="Q108"/>
  <c r="Q111"/>
  <c r="Q135"/>
  <c r="Q106"/>
  <c r="Q116"/>
  <c r="Q126"/>
  <c r="Q131"/>
  <c r="Q114"/>
  <c r="Q124"/>
  <c r="Q150"/>
  <c r="Q152"/>
  <c r="Q107"/>
  <c r="Q117"/>
  <c r="Q132"/>
  <c r="Q143"/>
  <c r="Q153"/>
  <c r="Q159"/>
  <c r="Q188"/>
  <c r="Q144"/>
  <c r="Q205"/>
  <c r="Q133"/>
  <c r="Q136"/>
  <c r="Q158"/>
  <c r="Q173"/>
  <c r="Q183"/>
  <c r="Q198"/>
  <c r="Q156"/>
  <c r="Q149"/>
  <c r="Q164"/>
  <c r="Q154"/>
  <c r="Q165"/>
  <c r="Q192"/>
  <c r="Q204"/>
  <c r="Q162"/>
  <c r="Q163"/>
  <c r="Q170"/>
  <c r="Q195"/>
  <c r="Q206"/>
  <c r="Q160"/>
  <c r="Q171"/>
  <c r="Q187"/>
  <c r="Q141"/>
  <c r="Q151"/>
  <c r="Q161"/>
  <c r="Q168"/>
  <c r="Q177"/>
  <c r="Q176"/>
  <c r="Q191"/>
  <c r="Q194"/>
  <c r="Q169"/>
  <c r="Q174"/>
  <c r="Q181"/>
  <c r="Q185"/>
  <c r="Q196"/>
  <c r="Q207"/>
  <c r="Q172"/>
  <c r="Q178"/>
  <c r="Q203"/>
  <c r="Q167"/>
  <c r="Q182"/>
  <c r="Q186"/>
  <c r="Q197"/>
  <c r="Q208"/>
  <c r="Q180"/>
  <c r="Q190"/>
  <c r="Q200"/>
  <c r="Q210"/>
  <c r="Q179"/>
  <c r="Q189"/>
  <c r="Q199"/>
  <c r="Q209"/>
  <c r="AW152"/>
  <c r="AW45"/>
  <c r="AW7"/>
  <c r="AW8"/>
  <c r="AW102"/>
  <c r="AW105"/>
  <c r="AW18"/>
  <c r="AW153"/>
  <c r="AW79"/>
  <c r="AW42"/>
  <c r="AW69"/>
  <c r="AW9"/>
  <c r="AW71"/>
  <c r="AW111"/>
  <c r="AW59"/>
  <c r="AW66"/>
  <c r="AW24"/>
  <c r="AW26"/>
  <c r="AW52"/>
  <c r="AW54"/>
  <c r="AW11"/>
  <c r="AW35"/>
  <c r="AW36"/>
  <c r="AW120"/>
  <c r="AW6"/>
  <c r="AW19"/>
  <c r="AW30"/>
  <c r="AW89"/>
  <c r="AW91"/>
  <c r="AW104"/>
  <c r="AW12"/>
  <c r="AW14"/>
  <c r="AW20"/>
  <c r="AW25"/>
  <c r="AW44"/>
  <c r="AW57"/>
  <c r="AW10"/>
  <c r="AW16"/>
  <c r="AW32"/>
  <c r="AW46"/>
  <c r="AW65"/>
  <c r="AW109"/>
  <c r="AW5"/>
  <c r="AW15"/>
  <c r="AW34"/>
  <c r="AW150"/>
  <c r="AW21"/>
  <c r="AW23"/>
  <c r="AW33"/>
  <c r="AW43"/>
  <c r="AW53"/>
  <c r="AW61"/>
  <c r="AW68"/>
  <c r="AW75"/>
  <c r="AW87"/>
  <c r="AW88"/>
  <c r="AW97"/>
  <c r="AW131"/>
  <c r="AW168"/>
  <c r="AW29"/>
  <c r="AW39"/>
  <c r="AW41"/>
  <c r="AW51"/>
  <c r="AW55"/>
  <c r="AW56"/>
  <c r="AW119"/>
  <c r="AW136"/>
  <c r="AW142"/>
  <c r="AW17"/>
  <c r="AW27"/>
  <c r="AW37"/>
  <c r="AW47"/>
  <c r="AW77"/>
  <c r="AW78"/>
  <c r="AW98"/>
  <c r="AW28"/>
  <c r="AW38"/>
  <c r="AW48"/>
  <c r="AW50"/>
  <c r="AW81"/>
  <c r="AW122"/>
  <c r="AW164"/>
  <c r="AW64"/>
  <c r="AW74"/>
  <c r="AW84"/>
  <c r="AW86"/>
  <c r="AW99"/>
  <c r="AW110"/>
  <c r="AW115"/>
  <c r="AW125"/>
  <c r="AW145"/>
  <c r="AW62"/>
  <c r="AW72"/>
  <c r="AW82"/>
  <c r="AW92"/>
  <c r="AW100"/>
  <c r="AW132"/>
  <c r="AW60"/>
  <c r="AW70"/>
  <c r="AW80"/>
  <c r="AW90"/>
  <c r="AW129"/>
  <c r="AW163"/>
  <c r="AW63"/>
  <c r="AW73"/>
  <c r="AW83"/>
  <c r="AW93"/>
  <c r="AW95"/>
  <c r="AW101"/>
  <c r="AW108"/>
  <c r="AW113"/>
  <c r="AW118"/>
  <c r="AW123"/>
  <c r="AW155"/>
  <c r="AW159"/>
  <c r="AW96"/>
  <c r="AW106"/>
  <c r="AW116"/>
  <c r="AW126"/>
  <c r="AW127"/>
  <c r="AW134"/>
  <c r="AW114"/>
  <c r="AW124"/>
  <c r="AW135"/>
  <c r="AW146"/>
  <c r="AW195"/>
  <c r="AW107"/>
  <c r="AW117"/>
  <c r="AW128"/>
  <c r="AW138"/>
  <c r="AW147"/>
  <c r="AW206"/>
  <c r="AW137"/>
  <c r="AW170"/>
  <c r="AW188"/>
  <c r="AW201"/>
  <c r="AW133"/>
  <c r="AW140"/>
  <c r="AW143"/>
  <c r="AW158"/>
  <c r="AW205"/>
  <c r="AW144"/>
  <c r="AW156"/>
  <c r="AW183"/>
  <c r="AW149"/>
  <c r="AW177"/>
  <c r="AW154"/>
  <c r="AW171"/>
  <c r="AW173"/>
  <c r="AW187"/>
  <c r="AW160"/>
  <c r="AW162"/>
  <c r="AW172"/>
  <c r="AW192"/>
  <c r="AW204"/>
  <c r="AW141"/>
  <c r="AW151"/>
  <c r="AW161"/>
  <c r="AW198"/>
  <c r="AW176"/>
  <c r="AW191"/>
  <c r="AW194"/>
  <c r="AW169"/>
  <c r="AW174"/>
  <c r="AW181"/>
  <c r="AW185"/>
  <c r="AW196"/>
  <c r="AW207"/>
  <c r="AW178"/>
  <c r="AW203"/>
  <c r="AW165"/>
  <c r="AW167"/>
  <c r="AW182"/>
  <c r="AW186"/>
  <c r="AW197"/>
  <c r="AW208"/>
  <c r="AW180"/>
  <c r="AW190"/>
  <c r="AW200"/>
  <c r="AW210"/>
  <c r="AW179"/>
  <c r="AW189"/>
  <c r="AW199"/>
  <c r="AW209"/>
  <c r="X19"/>
  <c r="X29"/>
  <c r="X17"/>
  <c r="X12"/>
  <c r="X52"/>
  <c r="X53"/>
  <c r="X86"/>
  <c r="X15"/>
  <c r="X21"/>
  <c r="X43"/>
  <c r="X72"/>
  <c r="X5"/>
  <c r="X74"/>
  <c r="X92"/>
  <c r="X120"/>
  <c r="X132"/>
  <c r="X8"/>
  <c r="X51"/>
  <c r="X14"/>
  <c r="X42"/>
  <c r="X47"/>
  <c r="X88"/>
  <c r="X6"/>
  <c r="X32"/>
  <c r="X33"/>
  <c r="X39"/>
  <c r="X11"/>
  <c r="X27"/>
  <c r="X97"/>
  <c r="X105"/>
  <c r="X117"/>
  <c r="X203"/>
  <c r="X9"/>
  <c r="X16"/>
  <c r="X62"/>
  <c r="X68"/>
  <c r="X7"/>
  <c r="X37"/>
  <c r="X41"/>
  <c r="X78"/>
  <c r="X10"/>
  <c r="X20"/>
  <c r="X23"/>
  <c r="X30"/>
  <c r="X82"/>
  <c r="X83"/>
  <c r="X106"/>
  <c r="X18"/>
  <c r="X28"/>
  <c r="X38"/>
  <c r="X48"/>
  <c r="X50"/>
  <c r="X64"/>
  <c r="X96"/>
  <c r="X198"/>
  <c r="X26"/>
  <c r="X36"/>
  <c r="X46"/>
  <c r="X66"/>
  <c r="X73"/>
  <c r="X93"/>
  <c r="X24"/>
  <c r="X34"/>
  <c r="X44"/>
  <c r="X54"/>
  <c r="X99"/>
  <c r="X152"/>
  <c r="X153"/>
  <c r="X162"/>
  <c r="X25"/>
  <c r="X35"/>
  <c r="X45"/>
  <c r="X56"/>
  <c r="X63"/>
  <c r="X84"/>
  <c r="X95"/>
  <c r="X110"/>
  <c r="X122"/>
  <c r="X61"/>
  <c r="X71"/>
  <c r="X81"/>
  <c r="X91"/>
  <c r="X100"/>
  <c r="X108"/>
  <c r="X115"/>
  <c r="X125"/>
  <c r="X133"/>
  <c r="X137"/>
  <c r="X57"/>
  <c r="X59"/>
  <c r="X69"/>
  <c r="X79"/>
  <c r="X89"/>
  <c r="X109"/>
  <c r="X116"/>
  <c r="X126"/>
  <c r="X55"/>
  <c r="X65"/>
  <c r="X75"/>
  <c r="X77"/>
  <c r="X87"/>
  <c r="X98"/>
  <c r="X104"/>
  <c r="X160"/>
  <c r="X168"/>
  <c r="X60"/>
  <c r="X70"/>
  <c r="X80"/>
  <c r="X90"/>
  <c r="X102"/>
  <c r="X107"/>
  <c r="X118"/>
  <c r="X127"/>
  <c r="X134"/>
  <c r="X138"/>
  <c r="X165"/>
  <c r="X101"/>
  <c r="X111"/>
  <c r="X113"/>
  <c r="X123"/>
  <c r="X135"/>
  <c r="X119"/>
  <c r="X131"/>
  <c r="X145"/>
  <c r="X200"/>
  <c r="X204"/>
  <c r="X114"/>
  <c r="X124"/>
  <c r="X129"/>
  <c r="X167"/>
  <c r="X179"/>
  <c r="X140"/>
  <c r="X143"/>
  <c r="X149"/>
  <c r="X170"/>
  <c r="X128"/>
  <c r="X141"/>
  <c r="X144"/>
  <c r="X147"/>
  <c r="X150"/>
  <c r="X154"/>
  <c r="X181"/>
  <c r="X155"/>
  <c r="X209"/>
  <c r="X142"/>
  <c r="X201"/>
  <c r="X151"/>
  <c r="X161"/>
  <c r="X171"/>
  <c r="X185"/>
  <c r="X159"/>
  <c r="X189"/>
  <c r="X163"/>
  <c r="X178"/>
  <c r="X136"/>
  <c r="X146"/>
  <c r="X156"/>
  <c r="X158"/>
  <c r="X183"/>
  <c r="X205"/>
  <c r="X182"/>
  <c r="X190"/>
  <c r="X208"/>
  <c r="X164"/>
  <c r="X180"/>
  <c r="X191"/>
  <c r="X194"/>
  <c r="X169"/>
  <c r="X173"/>
  <c r="X188"/>
  <c r="X195"/>
  <c r="X199"/>
  <c r="X210"/>
  <c r="X172"/>
  <c r="X192"/>
  <c r="X177"/>
  <c r="X187"/>
  <c r="X197"/>
  <c r="X207"/>
  <c r="X174"/>
  <c r="X176"/>
  <c r="X186"/>
  <c r="X196"/>
  <c r="X206"/>
  <c r="AX41"/>
  <c r="AX160"/>
  <c r="AX25"/>
  <c r="AX74"/>
  <c r="AX27"/>
  <c r="AX38"/>
  <c r="AX81"/>
  <c r="AX29"/>
  <c r="AX12"/>
  <c r="AX10"/>
  <c r="AX14"/>
  <c r="AX86"/>
  <c r="AX143"/>
  <c r="AX11"/>
  <c r="AX16"/>
  <c r="AX17"/>
  <c r="AX48"/>
  <c r="AX90"/>
  <c r="AX115"/>
  <c r="AX6"/>
  <c r="AX19"/>
  <c r="AX60"/>
  <c r="AX62"/>
  <c r="AX64"/>
  <c r="AX50"/>
  <c r="AX37"/>
  <c r="AX9"/>
  <c r="AX100"/>
  <c r="AX7"/>
  <c r="AX39"/>
  <c r="AX45"/>
  <c r="AX70"/>
  <c r="AX5"/>
  <c r="AX15"/>
  <c r="AX47"/>
  <c r="AX51"/>
  <c r="AX114"/>
  <c r="AX129"/>
  <c r="AX8"/>
  <c r="AX18"/>
  <c r="AX28"/>
  <c r="AX35"/>
  <c r="AX80"/>
  <c r="AX124"/>
  <c r="AX26"/>
  <c r="AX36"/>
  <c r="AX46"/>
  <c r="AX82"/>
  <c r="AX102"/>
  <c r="AX150"/>
  <c r="AX24"/>
  <c r="AX34"/>
  <c r="AX44"/>
  <c r="AX54"/>
  <c r="AX71"/>
  <c r="AX84"/>
  <c r="AX91"/>
  <c r="AX125"/>
  <c r="AX20"/>
  <c r="AX30"/>
  <c r="AX32"/>
  <c r="AX42"/>
  <c r="AX52"/>
  <c r="AX72"/>
  <c r="AX92"/>
  <c r="AX127"/>
  <c r="AX21"/>
  <c r="AX23"/>
  <c r="AX33"/>
  <c r="AX43"/>
  <c r="AX53"/>
  <c r="AX61"/>
  <c r="AX57"/>
  <c r="AX59"/>
  <c r="AX69"/>
  <c r="AX79"/>
  <c r="AX89"/>
  <c r="AX96"/>
  <c r="AX106"/>
  <c r="AX111"/>
  <c r="AX137"/>
  <c r="AX151"/>
  <c r="AX158"/>
  <c r="AX55"/>
  <c r="AX65"/>
  <c r="AX75"/>
  <c r="AX77"/>
  <c r="AX87"/>
  <c r="AX97"/>
  <c r="AX107"/>
  <c r="AX116"/>
  <c r="AX126"/>
  <c r="AX63"/>
  <c r="AX73"/>
  <c r="AX83"/>
  <c r="AX93"/>
  <c r="AX95"/>
  <c r="AX101"/>
  <c r="AX108"/>
  <c r="AX113"/>
  <c r="AX118"/>
  <c r="AX123"/>
  <c r="AX140"/>
  <c r="AX56"/>
  <c r="AX66"/>
  <c r="AX68"/>
  <c r="AX78"/>
  <c r="AX88"/>
  <c r="AX98"/>
  <c r="AX104"/>
  <c r="AX105"/>
  <c r="AX156"/>
  <c r="AX207"/>
  <c r="AX99"/>
  <c r="AX109"/>
  <c r="AX119"/>
  <c r="AX132"/>
  <c r="AX142"/>
  <c r="AX161"/>
  <c r="AX117"/>
  <c r="AX128"/>
  <c r="AX133"/>
  <c r="AX110"/>
  <c r="AX120"/>
  <c r="AX122"/>
  <c r="AX131"/>
  <c r="AX169"/>
  <c r="AX191"/>
  <c r="AX196"/>
  <c r="AX155"/>
  <c r="AX135"/>
  <c r="AX138"/>
  <c r="AX145"/>
  <c r="AX152"/>
  <c r="AX163"/>
  <c r="AX141"/>
  <c r="AX179"/>
  <c r="AX198"/>
  <c r="AX136"/>
  <c r="AX146"/>
  <c r="AX153"/>
  <c r="AX181"/>
  <c r="AX147"/>
  <c r="AX149"/>
  <c r="AX159"/>
  <c r="AX164"/>
  <c r="AX174"/>
  <c r="AX199"/>
  <c r="AX168"/>
  <c r="AX176"/>
  <c r="AX177"/>
  <c r="AX134"/>
  <c r="AX144"/>
  <c r="AX154"/>
  <c r="AX171"/>
  <c r="AX187"/>
  <c r="AX209"/>
  <c r="AX210"/>
  <c r="AX180"/>
  <c r="AX188"/>
  <c r="AX206"/>
  <c r="AX162"/>
  <c r="AX178"/>
  <c r="AX189"/>
  <c r="AX200"/>
  <c r="AX203"/>
  <c r="AX165"/>
  <c r="AX167"/>
  <c r="AX186"/>
  <c r="AX197"/>
  <c r="AX208"/>
  <c r="AX170"/>
  <c r="AX190"/>
  <c r="AX201"/>
  <c r="AX173"/>
  <c r="AX183"/>
  <c r="AX185"/>
  <c r="AX195"/>
  <c r="AX205"/>
  <c r="AX172"/>
  <c r="AX182"/>
  <c r="AX192"/>
  <c r="AX194"/>
  <c r="AX204"/>
  <c r="BI7"/>
  <c r="BI63"/>
  <c r="BI28"/>
  <c r="BI96"/>
  <c r="BI42"/>
  <c r="BI51"/>
  <c r="BI38"/>
  <c r="BI5"/>
  <c r="BI16"/>
  <c r="BI11"/>
  <c r="BI36"/>
  <c r="BI46"/>
  <c r="BI29"/>
  <c r="BI32"/>
  <c r="BI95"/>
  <c r="BI109"/>
  <c r="BI15"/>
  <c r="BI12"/>
  <c r="BI77"/>
  <c r="BI81"/>
  <c r="BI124"/>
  <c r="BI19"/>
  <c r="BI14"/>
  <c r="BI20"/>
  <c r="BI10"/>
  <c r="BI48"/>
  <c r="BI52"/>
  <c r="BI62"/>
  <c r="BI71"/>
  <c r="BI72"/>
  <c r="BI97"/>
  <c r="BI115"/>
  <c r="BI8"/>
  <c r="BI30"/>
  <c r="BI41"/>
  <c r="BI6"/>
  <c r="BI9"/>
  <c r="BI18"/>
  <c r="BI26"/>
  <c r="BI39"/>
  <c r="BI50"/>
  <c r="BI91"/>
  <c r="BI92"/>
  <c r="BI119"/>
  <c r="BI17"/>
  <c r="BI27"/>
  <c r="BI37"/>
  <c r="BI47"/>
  <c r="BI73"/>
  <c r="BI93"/>
  <c r="BI106"/>
  <c r="BI134"/>
  <c r="BI154"/>
  <c r="BI25"/>
  <c r="BI35"/>
  <c r="BI45"/>
  <c r="BI61"/>
  <c r="BI75"/>
  <c r="BI82"/>
  <c r="BI87"/>
  <c r="BI114"/>
  <c r="BI140"/>
  <c r="BI21"/>
  <c r="BI23"/>
  <c r="BI33"/>
  <c r="BI43"/>
  <c r="BI53"/>
  <c r="BI55"/>
  <c r="BI83"/>
  <c r="BI99"/>
  <c r="BI169"/>
  <c r="BI24"/>
  <c r="BI34"/>
  <c r="BI44"/>
  <c r="BI54"/>
  <c r="BI65"/>
  <c r="BI98"/>
  <c r="BI125"/>
  <c r="BI60"/>
  <c r="BI70"/>
  <c r="BI80"/>
  <c r="BI90"/>
  <c r="BI147"/>
  <c r="BI177"/>
  <c r="BI56"/>
  <c r="BI66"/>
  <c r="BI68"/>
  <c r="BI78"/>
  <c r="BI88"/>
  <c r="BI101"/>
  <c r="BI107"/>
  <c r="BI116"/>
  <c r="BI126"/>
  <c r="BI64"/>
  <c r="BI74"/>
  <c r="BI84"/>
  <c r="BI86"/>
  <c r="BI104"/>
  <c r="BI108"/>
  <c r="BI132"/>
  <c r="BI137"/>
  <c r="BI57"/>
  <c r="BI59"/>
  <c r="BI69"/>
  <c r="BI79"/>
  <c r="BI89"/>
  <c r="BI102"/>
  <c r="BI105"/>
  <c r="BI117"/>
  <c r="BI210"/>
  <c r="BI100"/>
  <c r="BI110"/>
  <c r="BI120"/>
  <c r="BI122"/>
  <c r="BI128"/>
  <c r="BI143"/>
  <c r="BI189"/>
  <c r="BI118"/>
  <c r="BI131"/>
  <c r="BI133"/>
  <c r="BI136"/>
  <c r="BI152"/>
  <c r="BI111"/>
  <c r="BI113"/>
  <c r="BI123"/>
  <c r="BI129"/>
  <c r="BI181"/>
  <c r="BI138"/>
  <c r="BI151"/>
  <c r="BI167"/>
  <c r="BI172"/>
  <c r="BI127"/>
  <c r="BI141"/>
  <c r="BI144"/>
  <c r="BI156"/>
  <c r="BI164"/>
  <c r="BI187"/>
  <c r="BI146"/>
  <c r="BI153"/>
  <c r="BI159"/>
  <c r="BI165"/>
  <c r="BI142"/>
  <c r="BI149"/>
  <c r="BI161"/>
  <c r="BI150"/>
  <c r="BI160"/>
  <c r="BI170"/>
  <c r="BI158"/>
  <c r="BI162"/>
  <c r="BI194"/>
  <c r="BI198"/>
  <c r="BI207"/>
  <c r="BI209"/>
  <c r="BI135"/>
  <c r="BI145"/>
  <c r="BI155"/>
  <c r="BI191"/>
  <c r="BI192"/>
  <c r="BI180"/>
  <c r="BI188"/>
  <c r="BI199"/>
  <c r="BI163"/>
  <c r="BI178"/>
  <c r="BI200"/>
  <c r="BI203"/>
  <c r="BI168"/>
  <c r="BI182"/>
  <c r="BI197"/>
  <c r="BI208"/>
  <c r="BI171"/>
  <c r="BI179"/>
  <c r="BI190"/>
  <c r="BI201"/>
  <c r="BI204"/>
  <c r="BI174"/>
  <c r="BI176"/>
  <c r="BI186"/>
  <c r="BI196"/>
  <c r="BI206"/>
  <c r="BI173"/>
  <c r="BI183"/>
  <c r="BI185"/>
  <c r="BI195"/>
  <c r="BI205"/>
  <c r="AR12"/>
  <c r="AR128"/>
  <c r="AR10"/>
  <c r="AR20"/>
  <c r="AR138"/>
  <c r="AR47"/>
  <c r="AR23"/>
  <c r="AR14"/>
  <c r="AR46"/>
  <c r="AR56"/>
  <c r="AR17"/>
  <c r="AR33"/>
  <c r="AR57"/>
  <c r="AR127"/>
  <c r="AR21"/>
  <c r="AR27"/>
  <c r="AR89"/>
  <c r="AR101"/>
  <c r="AR8"/>
  <c r="AR9"/>
  <c r="AR26"/>
  <c r="AR53"/>
  <c r="AR7"/>
  <c r="AR16"/>
  <c r="AR35"/>
  <c r="AR82"/>
  <c r="AR113"/>
  <c r="AR5"/>
  <c r="AR15"/>
  <c r="AR36"/>
  <c r="AR37"/>
  <c r="AR88"/>
  <c r="AR104"/>
  <c r="AR122"/>
  <c r="AR11"/>
  <c r="AR19"/>
  <c r="AR25"/>
  <c r="AR43"/>
  <c r="AR60"/>
  <c r="AR69"/>
  <c r="AR179"/>
  <c r="AR6"/>
  <c r="AR45"/>
  <c r="AR68"/>
  <c r="AR24"/>
  <c r="AR34"/>
  <c r="AR44"/>
  <c r="AR54"/>
  <c r="AR59"/>
  <c r="AR66"/>
  <c r="AR80"/>
  <c r="AR100"/>
  <c r="AR109"/>
  <c r="AR132"/>
  <c r="AR146"/>
  <c r="AR30"/>
  <c r="AR32"/>
  <c r="AR42"/>
  <c r="AR52"/>
  <c r="AR111"/>
  <c r="AR143"/>
  <c r="AR18"/>
  <c r="AR28"/>
  <c r="AR38"/>
  <c r="AR48"/>
  <c r="AR50"/>
  <c r="AR62"/>
  <c r="AR70"/>
  <c r="AR90"/>
  <c r="AR123"/>
  <c r="AR29"/>
  <c r="AR39"/>
  <c r="AR41"/>
  <c r="AR51"/>
  <c r="AR72"/>
  <c r="AR78"/>
  <c r="AR79"/>
  <c r="AR92"/>
  <c r="AR120"/>
  <c r="AR55"/>
  <c r="AR65"/>
  <c r="AR75"/>
  <c r="AR77"/>
  <c r="AR87"/>
  <c r="AR133"/>
  <c r="AR63"/>
  <c r="AR73"/>
  <c r="AR83"/>
  <c r="AR93"/>
  <c r="AR95"/>
  <c r="AR98"/>
  <c r="AR105"/>
  <c r="AR114"/>
  <c r="AR119"/>
  <c r="AR124"/>
  <c r="AR144"/>
  <c r="AR61"/>
  <c r="AR71"/>
  <c r="AR81"/>
  <c r="AR91"/>
  <c r="AR102"/>
  <c r="AR106"/>
  <c r="AR110"/>
  <c r="AR134"/>
  <c r="AR135"/>
  <c r="AR153"/>
  <c r="AR164"/>
  <c r="AR64"/>
  <c r="AR74"/>
  <c r="AR84"/>
  <c r="AR86"/>
  <c r="AR96"/>
  <c r="AR99"/>
  <c r="AR116"/>
  <c r="AR126"/>
  <c r="AR131"/>
  <c r="AR141"/>
  <c r="AR185"/>
  <c r="AR97"/>
  <c r="AR107"/>
  <c r="AR117"/>
  <c r="AR140"/>
  <c r="AR167"/>
  <c r="AR115"/>
  <c r="AR125"/>
  <c r="AR129"/>
  <c r="AR108"/>
  <c r="AR118"/>
  <c r="AR156"/>
  <c r="AR159"/>
  <c r="AR162"/>
  <c r="AR174"/>
  <c r="AR192"/>
  <c r="AR136"/>
  <c r="AR149"/>
  <c r="AR150"/>
  <c r="AR197"/>
  <c r="AR147"/>
  <c r="AR154"/>
  <c r="AR160"/>
  <c r="AR189"/>
  <c r="AR137"/>
  <c r="AR151"/>
  <c r="AR158"/>
  <c r="AR208"/>
  <c r="AR145"/>
  <c r="AR155"/>
  <c r="AR165"/>
  <c r="AR169"/>
  <c r="AR182"/>
  <c r="AR183"/>
  <c r="AR207"/>
  <c r="AR163"/>
  <c r="AR171"/>
  <c r="AR161"/>
  <c r="AR177"/>
  <c r="AR142"/>
  <c r="AR152"/>
  <c r="AR196"/>
  <c r="AR204"/>
  <c r="AR178"/>
  <c r="AR186"/>
  <c r="AR170"/>
  <c r="AR176"/>
  <c r="AR187"/>
  <c r="AR198"/>
  <c r="AR205"/>
  <c r="AR209"/>
  <c r="AR172"/>
  <c r="AR194"/>
  <c r="AR206"/>
  <c r="AR168"/>
  <c r="AR173"/>
  <c r="AR188"/>
  <c r="AR195"/>
  <c r="AR199"/>
  <c r="AR181"/>
  <c r="AR191"/>
  <c r="AR201"/>
  <c r="AR203"/>
  <c r="AR180"/>
  <c r="AR190"/>
  <c r="AR200"/>
  <c r="AR210"/>
  <c r="AH10"/>
  <c r="AH37"/>
  <c r="AH11"/>
  <c r="AH74"/>
  <c r="AH19"/>
  <c r="AH16"/>
  <c r="AH38"/>
  <c r="AH80"/>
  <c r="AH14"/>
  <c r="AH62"/>
  <c r="AH27"/>
  <c r="AH60"/>
  <c r="AH25"/>
  <c r="AH29"/>
  <c r="AH64"/>
  <c r="AH12"/>
  <c r="AH6"/>
  <c r="AH50"/>
  <c r="AH70"/>
  <c r="AH105"/>
  <c r="AH145"/>
  <c r="AH17"/>
  <c r="AH18"/>
  <c r="AH41"/>
  <c r="AH48"/>
  <c r="AH90"/>
  <c r="AH98"/>
  <c r="AH100"/>
  <c r="AH9"/>
  <c r="AH136"/>
  <c r="AH163"/>
  <c r="AH7"/>
  <c r="AH39"/>
  <c r="AH45"/>
  <c r="AH81"/>
  <c r="AH113"/>
  <c r="AH5"/>
  <c r="AH15"/>
  <c r="AH47"/>
  <c r="AH51"/>
  <c r="AH115"/>
  <c r="AH171"/>
  <c r="AH8"/>
  <c r="AH28"/>
  <c r="AH35"/>
  <c r="AH86"/>
  <c r="AH96"/>
  <c r="AH26"/>
  <c r="AH36"/>
  <c r="AH46"/>
  <c r="AH82"/>
  <c r="AH127"/>
  <c r="AH24"/>
  <c r="AH34"/>
  <c r="AH44"/>
  <c r="AH54"/>
  <c r="AH71"/>
  <c r="AH84"/>
  <c r="AH91"/>
  <c r="AH104"/>
  <c r="AH107"/>
  <c r="AH118"/>
  <c r="AH153"/>
  <c r="AH156"/>
  <c r="AH20"/>
  <c r="AH30"/>
  <c r="AH32"/>
  <c r="AH42"/>
  <c r="AH52"/>
  <c r="AH72"/>
  <c r="AH92"/>
  <c r="AH21"/>
  <c r="AH23"/>
  <c r="AH33"/>
  <c r="AH43"/>
  <c r="AH53"/>
  <c r="AH61"/>
  <c r="AH123"/>
  <c r="AH125"/>
  <c r="AH207"/>
  <c r="AH57"/>
  <c r="AH59"/>
  <c r="AH69"/>
  <c r="AH79"/>
  <c r="AH89"/>
  <c r="AH97"/>
  <c r="AH108"/>
  <c r="AH114"/>
  <c r="AH124"/>
  <c r="AH132"/>
  <c r="AH140"/>
  <c r="AH161"/>
  <c r="AH55"/>
  <c r="AH65"/>
  <c r="AH75"/>
  <c r="AH77"/>
  <c r="AH87"/>
  <c r="AH101"/>
  <c r="AH111"/>
  <c r="AH131"/>
  <c r="AH63"/>
  <c r="AH73"/>
  <c r="AH83"/>
  <c r="AH93"/>
  <c r="AH95"/>
  <c r="AH102"/>
  <c r="AH106"/>
  <c r="AH116"/>
  <c r="AH126"/>
  <c r="AH133"/>
  <c r="AH56"/>
  <c r="AH66"/>
  <c r="AH68"/>
  <c r="AH78"/>
  <c r="AH88"/>
  <c r="AH143"/>
  <c r="AH164"/>
  <c r="AH198"/>
  <c r="AH99"/>
  <c r="AH109"/>
  <c r="AH119"/>
  <c r="AH128"/>
  <c r="AH146"/>
  <c r="AH117"/>
  <c r="AH129"/>
  <c r="AH110"/>
  <c r="AH120"/>
  <c r="AH122"/>
  <c r="AH152"/>
  <c r="AH160"/>
  <c r="AH135"/>
  <c r="AH138"/>
  <c r="AH187"/>
  <c r="AH196"/>
  <c r="AH200"/>
  <c r="AH141"/>
  <c r="AH150"/>
  <c r="AH174"/>
  <c r="AH142"/>
  <c r="AH155"/>
  <c r="AH203"/>
  <c r="AH137"/>
  <c r="AH151"/>
  <c r="AH158"/>
  <c r="AH147"/>
  <c r="AH149"/>
  <c r="AH159"/>
  <c r="AH178"/>
  <c r="AH190"/>
  <c r="AH179"/>
  <c r="AH181"/>
  <c r="AH168"/>
  <c r="AH134"/>
  <c r="AH144"/>
  <c r="AH154"/>
  <c r="AH169"/>
  <c r="AH189"/>
  <c r="AH201"/>
  <c r="AH186"/>
  <c r="AH197"/>
  <c r="AH208"/>
  <c r="AH162"/>
  <c r="AH176"/>
  <c r="AH191"/>
  <c r="AH209"/>
  <c r="AH165"/>
  <c r="AH167"/>
  <c r="AH180"/>
  <c r="AH188"/>
  <c r="AH206"/>
  <c r="AH170"/>
  <c r="AH177"/>
  <c r="AH199"/>
  <c r="AH210"/>
  <c r="AH173"/>
  <c r="AH183"/>
  <c r="AH185"/>
  <c r="AH195"/>
  <c r="AH205"/>
  <c r="AH172"/>
  <c r="AH182"/>
  <c r="AH192"/>
  <c r="AH194"/>
  <c r="AH204"/>
  <c r="N33"/>
  <c r="N34"/>
  <c r="N78"/>
  <c r="N16"/>
  <c r="N17"/>
  <c r="N101"/>
  <c r="N108"/>
  <c r="N8"/>
  <c r="N21"/>
  <c r="N43"/>
  <c r="N6"/>
  <c r="N7"/>
  <c r="N41"/>
  <c r="N99"/>
  <c r="N35"/>
  <c r="N118"/>
  <c r="N70"/>
  <c r="N129"/>
  <c r="N158"/>
  <c r="N25"/>
  <c r="N10"/>
  <c r="N24"/>
  <c r="N51"/>
  <c r="N54"/>
  <c r="N77"/>
  <c r="N5"/>
  <c r="N15"/>
  <c r="N18"/>
  <c r="N29"/>
  <c r="N53"/>
  <c r="N90"/>
  <c r="N100"/>
  <c r="N11"/>
  <c r="N19"/>
  <c r="N23"/>
  <c r="N55"/>
  <c r="N87"/>
  <c r="N96"/>
  <c r="N109"/>
  <c r="N128"/>
  <c r="N9"/>
  <c r="N39"/>
  <c r="N44"/>
  <c r="N45"/>
  <c r="N64"/>
  <c r="N75"/>
  <c r="N127"/>
  <c r="N205"/>
  <c r="N12"/>
  <c r="N14"/>
  <c r="N65"/>
  <c r="N110"/>
  <c r="N20"/>
  <c r="N30"/>
  <c r="N32"/>
  <c r="N42"/>
  <c r="N52"/>
  <c r="N60"/>
  <c r="N74"/>
  <c r="N86"/>
  <c r="N102"/>
  <c r="N120"/>
  <c r="N136"/>
  <c r="N186"/>
  <c r="N28"/>
  <c r="N38"/>
  <c r="N48"/>
  <c r="N50"/>
  <c r="N68"/>
  <c r="N88"/>
  <c r="N170"/>
  <c r="N26"/>
  <c r="N36"/>
  <c r="N46"/>
  <c r="N56"/>
  <c r="N84"/>
  <c r="N146"/>
  <c r="N27"/>
  <c r="N37"/>
  <c r="N47"/>
  <c r="N66"/>
  <c r="N80"/>
  <c r="N159"/>
  <c r="N63"/>
  <c r="N73"/>
  <c r="N83"/>
  <c r="N93"/>
  <c r="N95"/>
  <c r="N145"/>
  <c r="N61"/>
  <c r="N71"/>
  <c r="N81"/>
  <c r="N91"/>
  <c r="N97"/>
  <c r="N117"/>
  <c r="N122"/>
  <c r="N162"/>
  <c r="N57"/>
  <c r="N59"/>
  <c r="N69"/>
  <c r="N79"/>
  <c r="N89"/>
  <c r="N98"/>
  <c r="N114"/>
  <c r="N119"/>
  <c r="N124"/>
  <c r="N62"/>
  <c r="N72"/>
  <c r="N82"/>
  <c r="N92"/>
  <c r="N104"/>
  <c r="N107"/>
  <c r="N133"/>
  <c r="N105"/>
  <c r="N115"/>
  <c r="N125"/>
  <c r="N142"/>
  <c r="N165"/>
  <c r="N111"/>
  <c r="N113"/>
  <c r="N123"/>
  <c r="N144"/>
  <c r="N183"/>
  <c r="N187"/>
  <c r="N106"/>
  <c r="N116"/>
  <c r="N126"/>
  <c r="N131"/>
  <c r="N137"/>
  <c r="N141"/>
  <c r="N151"/>
  <c r="N152"/>
  <c r="N200"/>
  <c r="N134"/>
  <c r="N143"/>
  <c r="N149"/>
  <c r="N182"/>
  <c r="N132"/>
  <c r="N135"/>
  <c r="N147"/>
  <c r="N154"/>
  <c r="N163"/>
  <c r="N191"/>
  <c r="N155"/>
  <c r="N156"/>
  <c r="N153"/>
  <c r="N167"/>
  <c r="N176"/>
  <c r="N203"/>
  <c r="N161"/>
  <c r="N169"/>
  <c r="N185"/>
  <c r="N194"/>
  <c r="N197"/>
  <c r="N138"/>
  <c r="N140"/>
  <c r="N150"/>
  <c r="N160"/>
  <c r="N164"/>
  <c r="N172"/>
  <c r="N190"/>
  <c r="N201"/>
  <c r="N204"/>
  <c r="N168"/>
  <c r="N180"/>
  <c r="N206"/>
  <c r="N171"/>
  <c r="N173"/>
  <c r="N177"/>
  <c r="N192"/>
  <c r="N195"/>
  <c r="N210"/>
  <c r="N174"/>
  <c r="N181"/>
  <c r="N196"/>
  <c r="N207"/>
  <c r="N179"/>
  <c r="N189"/>
  <c r="N199"/>
  <c r="N209"/>
  <c r="N178"/>
  <c r="N188"/>
  <c r="N198"/>
  <c r="N208"/>
  <c r="BF41"/>
  <c r="BF50"/>
  <c r="BF14"/>
  <c r="BF71"/>
  <c r="BF10"/>
  <c r="BF61"/>
  <c r="BF91"/>
  <c r="BF28"/>
  <c r="BF12"/>
  <c r="BF35"/>
  <c r="BF114"/>
  <c r="BF6"/>
  <c r="BF37"/>
  <c r="BF201"/>
  <c r="BF27"/>
  <c r="BF62"/>
  <c r="BF45"/>
  <c r="BF102"/>
  <c r="BF11"/>
  <c r="BF80"/>
  <c r="BF18"/>
  <c r="BF39"/>
  <c r="BF19"/>
  <c r="BF9"/>
  <c r="BF47"/>
  <c r="BF51"/>
  <c r="BF70"/>
  <c r="BF118"/>
  <c r="BF7"/>
  <c r="BF29"/>
  <c r="BF48"/>
  <c r="BF111"/>
  <c r="BF5"/>
  <c r="BF15"/>
  <c r="BF16"/>
  <c r="BF164"/>
  <c r="BF8"/>
  <c r="BF17"/>
  <c r="BF25"/>
  <c r="BF38"/>
  <c r="BF84"/>
  <c r="BF90"/>
  <c r="BF26"/>
  <c r="BF36"/>
  <c r="BF46"/>
  <c r="BF72"/>
  <c r="BF92"/>
  <c r="BF96"/>
  <c r="BF98"/>
  <c r="BF105"/>
  <c r="BF123"/>
  <c r="BF24"/>
  <c r="BF34"/>
  <c r="BF44"/>
  <c r="BF54"/>
  <c r="BF60"/>
  <c r="BF74"/>
  <c r="BF81"/>
  <c r="BF86"/>
  <c r="BF108"/>
  <c r="BF20"/>
  <c r="BF30"/>
  <c r="BF32"/>
  <c r="BF42"/>
  <c r="BF52"/>
  <c r="BF82"/>
  <c r="BF97"/>
  <c r="BF124"/>
  <c r="BF135"/>
  <c r="BF21"/>
  <c r="BF23"/>
  <c r="BF33"/>
  <c r="BF43"/>
  <c r="BF53"/>
  <c r="BF64"/>
  <c r="BF104"/>
  <c r="BF113"/>
  <c r="BF129"/>
  <c r="BF146"/>
  <c r="BF57"/>
  <c r="BF59"/>
  <c r="BF69"/>
  <c r="BF79"/>
  <c r="BF89"/>
  <c r="BF133"/>
  <c r="BF142"/>
  <c r="BF153"/>
  <c r="BF55"/>
  <c r="BF65"/>
  <c r="BF75"/>
  <c r="BF77"/>
  <c r="BF87"/>
  <c r="BF100"/>
  <c r="BF106"/>
  <c r="BF115"/>
  <c r="BF125"/>
  <c r="BF136"/>
  <c r="BF63"/>
  <c r="BF73"/>
  <c r="BF83"/>
  <c r="BF93"/>
  <c r="BF95"/>
  <c r="BF107"/>
  <c r="BF131"/>
  <c r="BF138"/>
  <c r="BF56"/>
  <c r="BF66"/>
  <c r="BF68"/>
  <c r="BF78"/>
  <c r="BF88"/>
  <c r="BF101"/>
  <c r="BF116"/>
  <c r="BF126"/>
  <c r="BF161"/>
  <c r="BF99"/>
  <c r="BF109"/>
  <c r="BF119"/>
  <c r="BF127"/>
  <c r="BF188"/>
  <c r="BF117"/>
  <c r="BF132"/>
  <c r="BF163"/>
  <c r="BF110"/>
  <c r="BF120"/>
  <c r="BF122"/>
  <c r="BF128"/>
  <c r="BF151"/>
  <c r="BF197"/>
  <c r="BF137"/>
  <c r="BF150"/>
  <c r="BF140"/>
  <c r="BF143"/>
  <c r="BF155"/>
  <c r="BF208"/>
  <c r="BF145"/>
  <c r="BF152"/>
  <c r="BF158"/>
  <c r="BF168"/>
  <c r="BF206"/>
  <c r="BF141"/>
  <c r="BF156"/>
  <c r="BF160"/>
  <c r="BF147"/>
  <c r="BF149"/>
  <c r="BF159"/>
  <c r="BF169"/>
  <c r="BF191"/>
  <c r="BF171"/>
  <c r="BF180"/>
  <c r="BF186"/>
  <c r="BF209"/>
  <c r="BF134"/>
  <c r="BF144"/>
  <c r="BF154"/>
  <c r="BF176"/>
  <c r="BF190"/>
  <c r="BF179"/>
  <c r="BF187"/>
  <c r="BF198"/>
  <c r="BF162"/>
  <c r="BF177"/>
  <c r="BF199"/>
  <c r="BF210"/>
  <c r="BF165"/>
  <c r="BF167"/>
  <c r="BF174"/>
  <c r="BF181"/>
  <c r="BF196"/>
  <c r="BF207"/>
  <c r="BF170"/>
  <c r="BF178"/>
  <c r="BF189"/>
  <c r="BF200"/>
  <c r="BF203"/>
  <c r="BF173"/>
  <c r="BF183"/>
  <c r="BF185"/>
  <c r="BF195"/>
  <c r="BF205"/>
  <c r="BF172"/>
  <c r="BF182"/>
  <c r="BF192"/>
  <c r="BF194"/>
  <c r="BF204"/>
  <c r="I36"/>
  <c r="I8"/>
  <c r="I7"/>
  <c r="I19"/>
  <c r="I54"/>
  <c r="I97"/>
  <c r="I26"/>
  <c r="I9"/>
  <c r="I44"/>
  <c r="I104"/>
  <c r="I11"/>
  <c r="I135"/>
  <c r="I34"/>
  <c r="I99"/>
  <c r="I113"/>
  <c r="I45"/>
  <c r="I144"/>
  <c r="I194"/>
  <c r="I25"/>
  <c r="I65"/>
  <c r="I6"/>
  <c r="I16"/>
  <c r="I20"/>
  <c r="I32"/>
  <c r="I46"/>
  <c r="I79"/>
  <c r="I81"/>
  <c r="I108"/>
  <c r="I115"/>
  <c r="I12"/>
  <c r="I14"/>
  <c r="I35"/>
  <c r="I52"/>
  <c r="I89"/>
  <c r="I10"/>
  <c r="I18"/>
  <c r="I30"/>
  <c r="I55"/>
  <c r="I56"/>
  <c r="I5"/>
  <c r="I15"/>
  <c r="I24"/>
  <c r="I42"/>
  <c r="I66"/>
  <c r="I69"/>
  <c r="I98"/>
  <c r="I149"/>
  <c r="I21"/>
  <c r="I23"/>
  <c r="I33"/>
  <c r="I43"/>
  <c r="I53"/>
  <c r="I77"/>
  <c r="I78"/>
  <c r="I29"/>
  <c r="I39"/>
  <c r="I41"/>
  <c r="I51"/>
  <c r="I59"/>
  <c r="I118"/>
  <c r="I17"/>
  <c r="I27"/>
  <c r="I37"/>
  <c r="I47"/>
  <c r="I61"/>
  <c r="I68"/>
  <c r="I75"/>
  <c r="I87"/>
  <c r="I88"/>
  <c r="I110"/>
  <c r="I28"/>
  <c r="I38"/>
  <c r="I48"/>
  <c r="I50"/>
  <c r="I57"/>
  <c r="I71"/>
  <c r="I91"/>
  <c r="I123"/>
  <c r="I125"/>
  <c r="I64"/>
  <c r="I74"/>
  <c r="I84"/>
  <c r="I86"/>
  <c r="I96"/>
  <c r="I101"/>
  <c r="I119"/>
  <c r="I120"/>
  <c r="I131"/>
  <c r="I138"/>
  <c r="I171"/>
  <c r="I62"/>
  <c r="I72"/>
  <c r="I82"/>
  <c r="I92"/>
  <c r="I102"/>
  <c r="I111"/>
  <c r="I152"/>
  <c r="I203"/>
  <c r="I60"/>
  <c r="I70"/>
  <c r="I80"/>
  <c r="I90"/>
  <c r="I105"/>
  <c r="I122"/>
  <c r="I128"/>
  <c r="I136"/>
  <c r="I63"/>
  <c r="I73"/>
  <c r="I83"/>
  <c r="I93"/>
  <c r="I95"/>
  <c r="I100"/>
  <c r="I109"/>
  <c r="I137"/>
  <c r="I106"/>
  <c r="I116"/>
  <c r="I126"/>
  <c r="I129"/>
  <c r="I145"/>
  <c r="I155"/>
  <c r="I176"/>
  <c r="I114"/>
  <c r="I124"/>
  <c r="I132"/>
  <c r="I107"/>
  <c r="I117"/>
  <c r="I127"/>
  <c r="I134"/>
  <c r="I158"/>
  <c r="I207"/>
  <c r="I133"/>
  <c r="I142"/>
  <c r="I156"/>
  <c r="I195"/>
  <c r="I146"/>
  <c r="I153"/>
  <c r="I159"/>
  <c r="I163"/>
  <c r="I140"/>
  <c r="I143"/>
  <c r="I147"/>
  <c r="I150"/>
  <c r="I165"/>
  <c r="I185"/>
  <c r="I196"/>
  <c r="I206"/>
  <c r="I154"/>
  <c r="I173"/>
  <c r="I188"/>
  <c r="I162"/>
  <c r="I178"/>
  <c r="I191"/>
  <c r="I160"/>
  <c r="I164"/>
  <c r="I168"/>
  <c r="I181"/>
  <c r="I141"/>
  <c r="I151"/>
  <c r="I161"/>
  <c r="I170"/>
  <c r="I174"/>
  <c r="I177"/>
  <c r="I192"/>
  <c r="I169"/>
  <c r="I182"/>
  <c r="I186"/>
  <c r="I197"/>
  <c r="I208"/>
  <c r="I172"/>
  <c r="I183"/>
  <c r="I201"/>
  <c r="I204"/>
  <c r="I167"/>
  <c r="I187"/>
  <c r="I198"/>
  <c r="I205"/>
  <c r="I180"/>
  <c r="I190"/>
  <c r="I200"/>
  <c r="I210"/>
  <c r="I179"/>
  <c r="I189"/>
  <c r="I199"/>
  <c r="I209"/>
  <c r="U15"/>
  <c r="U105"/>
  <c r="U91"/>
  <c r="U75"/>
  <c r="U28"/>
  <c r="U39"/>
  <c r="U11"/>
  <c r="U50"/>
  <c r="U87"/>
  <c r="U161"/>
  <c r="U14"/>
  <c r="U42"/>
  <c r="U5"/>
  <c r="U18"/>
  <c r="U26"/>
  <c r="U30"/>
  <c r="U7"/>
  <c r="U41"/>
  <c r="U95"/>
  <c r="U12"/>
  <c r="U20"/>
  <c r="U51"/>
  <c r="U61"/>
  <c r="U63"/>
  <c r="U65"/>
  <c r="U82"/>
  <c r="U170"/>
  <c r="U38"/>
  <c r="U10"/>
  <c r="U8"/>
  <c r="U32"/>
  <c r="U46"/>
  <c r="U71"/>
  <c r="U158"/>
  <c r="U165"/>
  <c r="U6"/>
  <c r="U16"/>
  <c r="U48"/>
  <c r="U52"/>
  <c r="U116"/>
  <c r="U9"/>
  <c r="U19"/>
  <c r="U29"/>
  <c r="U36"/>
  <c r="U81"/>
  <c r="U99"/>
  <c r="U17"/>
  <c r="U27"/>
  <c r="U37"/>
  <c r="U47"/>
  <c r="U55"/>
  <c r="U83"/>
  <c r="U98"/>
  <c r="U104"/>
  <c r="U131"/>
  <c r="U138"/>
  <c r="U164"/>
  <c r="U25"/>
  <c r="U35"/>
  <c r="U45"/>
  <c r="U72"/>
  <c r="U77"/>
  <c r="U92"/>
  <c r="U117"/>
  <c r="U21"/>
  <c r="U23"/>
  <c r="U33"/>
  <c r="U43"/>
  <c r="U53"/>
  <c r="U73"/>
  <c r="U93"/>
  <c r="U24"/>
  <c r="U34"/>
  <c r="U44"/>
  <c r="U54"/>
  <c r="U62"/>
  <c r="U126"/>
  <c r="U60"/>
  <c r="U70"/>
  <c r="U80"/>
  <c r="U90"/>
  <c r="U102"/>
  <c r="U107"/>
  <c r="U114"/>
  <c r="U119"/>
  <c r="U124"/>
  <c r="U132"/>
  <c r="U152"/>
  <c r="U56"/>
  <c r="U66"/>
  <c r="U68"/>
  <c r="U78"/>
  <c r="U88"/>
  <c r="U108"/>
  <c r="U115"/>
  <c r="U125"/>
  <c r="U137"/>
  <c r="U64"/>
  <c r="U74"/>
  <c r="U84"/>
  <c r="U86"/>
  <c r="U96"/>
  <c r="U97"/>
  <c r="U109"/>
  <c r="U129"/>
  <c r="U57"/>
  <c r="U59"/>
  <c r="U69"/>
  <c r="U79"/>
  <c r="U89"/>
  <c r="U101"/>
  <c r="U106"/>
  <c r="U149"/>
  <c r="U100"/>
  <c r="U110"/>
  <c r="U120"/>
  <c r="U122"/>
  <c r="U133"/>
  <c r="U136"/>
  <c r="U151"/>
  <c r="U162"/>
  <c r="U182"/>
  <c r="U203"/>
  <c r="U118"/>
  <c r="U178"/>
  <c r="U111"/>
  <c r="U113"/>
  <c r="U123"/>
  <c r="U128"/>
  <c r="U142"/>
  <c r="U156"/>
  <c r="U127"/>
  <c r="U134"/>
  <c r="U140"/>
  <c r="U143"/>
  <c r="U146"/>
  <c r="U153"/>
  <c r="U172"/>
  <c r="U177"/>
  <c r="U200"/>
  <c r="U169"/>
  <c r="U141"/>
  <c r="U144"/>
  <c r="U147"/>
  <c r="U154"/>
  <c r="U159"/>
  <c r="U188"/>
  <c r="U192"/>
  <c r="U150"/>
  <c r="U160"/>
  <c r="U197"/>
  <c r="U199"/>
  <c r="U208"/>
  <c r="U210"/>
  <c r="U167"/>
  <c r="U135"/>
  <c r="U145"/>
  <c r="U155"/>
  <c r="U180"/>
  <c r="U181"/>
  <c r="U189"/>
  <c r="U207"/>
  <c r="U163"/>
  <c r="U179"/>
  <c r="U190"/>
  <c r="U201"/>
  <c r="U204"/>
  <c r="U168"/>
  <c r="U187"/>
  <c r="U198"/>
  <c r="U209"/>
  <c r="U171"/>
  <c r="U191"/>
  <c r="U194"/>
  <c r="U174"/>
  <c r="U176"/>
  <c r="U186"/>
  <c r="U196"/>
  <c r="U206"/>
  <c r="U173"/>
  <c r="U183"/>
  <c r="U185"/>
  <c r="U195"/>
  <c r="U205"/>
  <c r="L20"/>
  <c r="L122"/>
  <c r="L47"/>
  <c r="L14"/>
  <c r="L46"/>
  <c r="L10"/>
  <c r="L21"/>
  <c r="L12"/>
  <c r="L23"/>
  <c r="L33"/>
  <c r="L89"/>
  <c r="L120"/>
  <c r="L17"/>
  <c r="L27"/>
  <c r="L57"/>
  <c r="L153"/>
  <c r="L8"/>
  <c r="L9"/>
  <c r="L26"/>
  <c r="L53"/>
  <c r="L56"/>
  <c r="L7"/>
  <c r="L35"/>
  <c r="L82"/>
  <c r="L5"/>
  <c r="L15"/>
  <c r="L36"/>
  <c r="L37"/>
  <c r="L88"/>
  <c r="L114"/>
  <c r="L11"/>
  <c r="L19"/>
  <c r="L25"/>
  <c r="L43"/>
  <c r="L60"/>
  <c r="L69"/>
  <c r="L119"/>
  <c r="L192"/>
  <c r="L6"/>
  <c r="L16"/>
  <c r="L45"/>
  <c r="L68"/>
  <c r="L113"/>
  <c r="L116"/>
  <c r="L123"/>
  <c r="L24"/>
  <c r="L34"/>
  <c r="L44"/>
  <c r="L54"/>
  <c r="L59"/>
  <c r="L66"/>
  <c r="L80"/>
  <c r="L30"/>
  <c r="L32"/>
  <c r="L42"/>
  <c r="L52"/>
  <c r="L99"/>
  <c r="L124"/>
  <c r="L126"/>
  <c r="L131"/>
  <c r="L133"/>
  <c r="L18"/>
  <c r="L28"/>
  <c r="L38"/>
  <c r="L48"/>
  <c r="L50"/>
  <c r="L62"/>
  <c r="L70"/>
  <c r="L90"/>
  <c r="L98"/>
  <c r="L104"/>
  <c r="L109"/>
  <c r="L111"/>
  <c r="L129"/>
  <c r="L135"/>
  <c r="L156"/>
  <c r="L29"/>
  <c r="L39"/>
  <c r="L41"/>
  <c r="L51"/>
  <c r="L72"/>
  <c r="L78"/>
  <c r="L79"/>
  <c r="L92"/>
  <c r="L163"/>
  <c r="L55"/>
  <c r="L65"/>
  <c r="L75"/>
  <c r="L77"/>
  <c r="L87"/>
  <c r="L102"/>
  <c r="L164"/>
  <c r="L63"/>
  <c r="L73"/>
  <c r="L83"/>
  <c r="L93"/>
  <c r="L95"/>
  <c r="L100"/>
  <c r="L105"/>
  <c r="L136"/>
  <c r="L61"/>
  <c r="L71"/>
  <c r="L81"/>
  <c r="L91"/>
  <c r="L106"/>
  <c r="L110"/>
  <c r="L137"/>
  <c r="L159"/>
  <c r="L64"/>
  <c r="L74"/>
  <c r="L84"/>
  <c r="L86"/>
  <c r="L96"/>
  <c r="L101"/>
  <c r="L132"/>
  <c r="L97"/>
  <c r="L107"/>
  <c r="L117"/>
  <c r="L127"/>
  <c r="L146"/>
  <c r="L208"/>
  <c r="L115"/>
  <c r="L125"/>
  <c r="L174"/>
  <c r="L108"/>
  <c r="L118"/>
  <c r="L128"/>
  <c r="L138"/>
  <c r="L171"/>
  <c r="L197"/>
  <c r="L134"/>
  <c r="L140"/>
  <c r="L143"/>
  <c r="L149"/>
  <c r="L150"/>
  <c r="L147"/>
  <c r="L154"/>
  <c r="L160"/>
  <c r="L165"/>
  <c r="L185"/>
  <c r="L196"/>
  <c r="L141"/>
  <c r="L144"/>
  <c r="L151"/>
  <c r="L158"/>
  <c r="L172"/>
  <c r="L204"/>
  <c r="L145"/>
  <c r="L155"/>
  <c r="L177"/>
  <c r="L167"/>
  <c r="L179"/>
  <c r="L161"/>
  <c r="L169"/>
  <c r="L182"/>
  <c r="L183"/>
  <c r="L207"/>
  <c r="L142"/>
  <c r="L152"/>
  <c r="L162"/>
  <c r="L189"/>
  <c r="L178"/>
  <c r="L186"/>
  <c r="L170"/>
  <c r="L176"/>
  <c r="L187"/>
  <c r="L198"/>
  <c r="L205"/>
  <c r="L209"/>
  <c r="L194"/>
  <c r="L206"/>
  <c r="L168"/>
  <c r="L173"/>
  <c r="L188"/>
  <c r="L195"/>
  <c r="L199"/>
  <c r="L181"/>
  <c r="L191"/>
  <c r="L201"/>
  <c r="L203"/>
  <c r="L180"/>
  <c r="L190"/>
  <c r="L200"/>
  <c r="L210"/>
  <c r="BM118"/>
  <c r="BM59"/>
  <c r="BM9"/>
  <c r="BM66"/>
  <c r="BM20"/>
  <c r="BM36"/>
  <c r="BM101"/>
  <c r="BM147"/>
  <c r="BM35"/>
  <c r="BM45"/>
  <c r="BM7"/>
  <c r="BM8"/>
  <c r="BM42"/>
  <c r="BM16"/>
  <c r="BM24"/>
  <c r="BM26"/>
  <c r="BM52"/>
  <c r="BM54"/>
  <c r="BM11"/>
  <c r="BM57"/>
  <c r="BM69"/>
  <c r="BM71"/>
  <c r="BM6"/>
  <c r="BM30"/>
  <c r="BM65"/>
  <c r="BM125"/>
  <c r="BM12"/>
  <c r="BM14"/>
  <c r="BM18"/>
  <c r="BM25"/>
  <c r="BM44"/>
  <c r="BM79"/>
  <c r="BM162"/>
  <c r="BM10"/>
  <c r="BM19"/>
  <c r="BM32"/>
  <c r="BM46"/>
  <c r="BM89"/>
  <c r="BM91"/>
  <c r="BM5"/>
  <c r="BM15"/>
  <c r="BM34"/>
  <c r="BM113"/>
  <c r="BM123"/>
  <c r="BM21"/>
  <c r="BM23"/>
  <c r="BM33"/>
  <c r="BM43"/>
  <c r="BM53"/>
  <c r="BM61"/>
  <c r="BM68"/>
  <c r="BM75"/>
  <c r="BM87"/>
  <c r="BM88"/>
  <c r="BM108"/>
  <c r="BM109"/>
  <c r="BM29"/>
  <c r="BM39"/>
  <c r="BM41"/>
  <c r="BM51"/>
  <c r="BM55"/>
  <c r="BM56"/>
  <c r="BM102"/>
  <c r="BM122"/>
  <c r="BM159"/>
  <c r="BM17"/>
  <c r="BM27"/>
  <c r="BM37"/>
  <c r="BM47"/>
  <c r="BM77"/>
  <c r="BM78"/>
  <c r="BM111"/>
  <c r="BM115"/>
  <c r="BM131"/>
  <c r="BM28"/>
  <c r="BM38"/>
  <c r="BM48"/>
  <c r="BM50"/>
  <c r="BM81"/>
  <c r="BM134"/>
  <c r="BM64"/>
  <c r="BM74"/>
  <c r="BM84"/>
  <c r="BM86"/>
  <c r="BM98"/>
  <c r="BM104"/>
  <c r="BM62"/>
  <c r="BM72"/>
  <c r="BM82"/>
  <c r="BM92"/>
  <c r="BM99"/>
  <c r="BM105"/>
  <c r="BM132"/>
  <c r="BM60"/>
  <c r="BM70"/>
  <c r="BM80"/>
  <c r="BM90"/>
  <c r="BM100"/>
  <c r="BM129"/>
  <c r="BM63"/>
  <c r="BM73"/>
  <c r="BM83"/>
  <c r="BM93"/>
  <c r="BM95"/>
  <c r="BM97"/>
  <c r="BM110"/>
  <c r="BM119"/>
  <c r="BM120"/>
  <c r="BM128"/>
  <c r="BM96"/>
  <c r="BM106"/>
  <c r="BM116"/>
  <c r="BM126"/>
  <c r="BM149"/>
  <c r="BM150"/>
  <c r="BM152"/>
  <c r="BM114"/>
  <c r="BM124"/>
  <c r="BM127"/>
  <c r="BM142"/>
  <c r="BM197"/>
  <c r="BM107"/>
  <c r="BM117"/>
  <c r="BM144"/>
  <c r="BM145"/>
  <c r="BM208"/>
  <c r="BM136"/>
  <c r="BM156"/>
  <c r="BM158"/>
  <c r="BM164"/>
  <c r="BM171"/>
  <c r="BM133"/>
  <c r="BM137"/>
  <c r="BM146"/>
  <c r="BM153"/>
  <c r="BM168"/>
  <c r="BM185"/>
  <c r="BM140"/>
  <c r="BM143"/>
  <c r="BM192"/>
  <c r="BM135"/>
  <c r="BM138"/>
  <c r="BM155"/>
  <c r="BM154"/>
  <c r="BM163"/>
  <c r="BM182"/>
  <c r="BM183"/>
  <c r="BM196"/>
  <c r="BM207"/>
  <c r="BM174"/>
  <c r="BM186"/>
  <c r="BM160"/>
  <c r="BM170"/>
  <c r="BM177"/>
  <c r="BM201"/>
  <c r="BM141"/>
  <c r="BM151"/>
  <c r="BM161"/>
  <c r="BM181"/>
  <c r="BM204"/>
  <c r="BM178"/>
  <c r="BM203"/>
  <c r="BM169"/>
  <c r="BM187"/>
  <c r="BM198"/>
  <c r="BM205"/>
  <c r="BM172"/>
  <c r="BM176"/>
  <c r="BM191"/>
  <c r="BM194"/>
  <c r="BM165"/>
  <c r="BM167"/>
  <c r="BM173"/>
  <c r="BM188"/>
  <c r="BM195"/>
  <c r="BM206"/>
  <c r="BM180"/>
  <c r="BM190"/>
  <c r="BM200"/>
  <c r="BM210"/>
  <c r="BM179"/>
  <c r="BM189"/>
  <c r="BM199"/>
  <c r="BM209"/>
  <c r="AN118"/>
  <c r="AN39"/>
  <c r="AN5"/>
  <c r="AN15"/>
  <c r="AN43"/>
  <c r="AN32"/>
  <c r="AN51"/>
  <c r="AN52"/>
  <c r="AN8"/>
  <c r="AN82"/>
  <c r="AN29"/>
  <c r="AN88"/>
  <c r="AN12"/>
  <c r="AN53"/>
  <c r="AN33"/>
  <c r="AN62"/>
  <c r="AN83"/>
  <c r="AN14"/>
  <c r="AN68"/>
  <c r="AN86"/>
  <c r="AN19"/>
  <c r="AN42"/>
  <c r="AN47"/>
  <c r="AN6"/>
  <c r="AN20"/>
  <c r="AN21"/>
  <c r="AN163"/>
  <c r="AN11"/>
  <c r="AN27"/>
  <c r="AN78"/>
  <c r="AN110"/>
  <c r="AN9"/>
  <c r="AN17"/>
  <c r="AN92"/>
  <c r="AN7"/>
  <c r="AN16"/>
  <c r="AN37"/>
  <c r="AN41"/>
  <c r="AN125"/>
  <c r="AN138"/>
  <c r="AN10"/>
  <c r="AN23"/>
  <c r="AN30"/>
  <c r="AN72"/>
  <c r="AN74"/>
  <c r="AN102"/>
  <c r="AN109"/>
  <c r="AN133"/>
  <c r="AN18"/>
  <c r="AN28"/>
  <c r="AN38"/>
  <c r="AN48"/>
  <c r="AN50"/>
  <c r="AN64"/>
  <c r="AN96"/>
  <c r="AN98"/>
  <c r="AN106"/>
  <c r="AN107"/>
  <c r="AN26"/>
  <c r="AN36"/>
  <c r="AN46"/>
  <c r="AN66"/>
  <c r="AN73"/>
  <c r="AN93"/>
  <c r="AN122"/>
  <c r="AN131"/>
  <c r="AN150"/>
  <c r="AN185"/>
  <c r="AN24"/>
  <c r="AN34"/>
  <c r="AN44"/>
  <c r="AN54"/>
  <c r="AN97"/>
  <c r="AN115"/>
  <c r="AN117"/>
  <c r="AN129"/>
  <c r="AN134"/>
  <c r="AN25"/>
  <c r="AN35"/>
  <c r="AN45"/>
  <c r="AN56"/>
  <c r="AN63"/>
  <c r="AN84"/>
  <c r="AN95"/>
  <c r="AN104"/>
  <c r="AN135"/>
  <c r="AN61"/>
  <c r="AN71"/>
  <c r="AN81"/>
  <c r="AN91"/>
  <c r="AN99"/>
  <c r="AN116"/>
  <c r="AN126"/>
  <c r="AN181"/>
  <c r="AN57"/>
  <c r="AN59"/>
  <c r="AN69"/>
  <c r="AN79"/>
  <c r="AN89"/>
  <c r="AN100"/>
  <c r="AN160"/>
  <c r="AN55"/>
  <c r="AN65"/>
  <c r="AN75"/>
  <c r="AN77"/>
  <c r="AN87"/>
  <c r="AN108"/>
  <c r="AN147"/>
  <c r="AN60"/>
  <c r="AN70"/>
  <c r="AN80"/>
  <c r="AN90"/>
  <c r="AN105"/>
  <c r="AN120"/>
  <c r="AN142"/>
  <c r="AN101"/>
  <c r="AN111"/>
  <c r="AN113"/>
  <c r="AN123"/>
  <c r="AN127"/>
  <c r="AN119"/>
  <c r="AN114"/>
  <c r="AN124"/>
  <c r="AN154"/>
  <c r="AN132"/>
  <c r="AN137"/>
  <c r="AN155"/>
  <c r="AN171"/>
  <c r="AN128"/>
  <c r="AN140"/>
  <c r="AN143"/>
  <c r="AN145"/>
  <c r="AN152"/>
  <c r="AN165"/>
  <c r="AN168"/>
  <c r="AN141"/>
  <c r="AN144"/>
  <c r="AN149"/>
  <c r="AN153"/>
  <c r="AN189"/>
  <c r="AN151"/>
  <c r="AN161"/>
  <c r="AN172"/>
  <c r="AN180"/>
  <c r="AN205"/>
  <c r="AN159"/>
  <c r="AN194"/>
  <c r="AN198"/>
  <c r="AN209"/>
  <c r="AN162"/>
  <c r="AN170"/>
  <c r="AN200"/>
  <c r="AN136"/>
  <c r="AN146"/>
  <c r="AN156"/>
  <c r="AN158"/>
  <c r="AN167"/>
  <c r="AN191"/>
  <c r="AN192"/>
  <c r="AN173"/>
  <c r="AN188"/>
  <c r="AN195"/>
  <c r="AN199"/>
  <c r="AN210"/>
  <c r="AN164"/>
  <c r="AN178"/>
  <c r="AN203"/>
  <c r="AN169"/>
  <c r="AN182"/>
  <c r="AN190"/>
  <c r="AN208"/>
  <c r="AN179"/>
  <c r="AN183"/>
  <c r="AN201"/>
  <c r="AN204"/>
  <c r="AN177"/>
  <c r="AN187"/>
  <c r="AN197"/>
  <c r="AN207"/>
  <c r="AN174"/>
  <c r="AN176"/>
  <c r="AN186"/>
  <c r="AN196"/>
  <c r="AN206"/>
  <c r="BC89"/>
  <c r="BC70"/>
  <c r="BC11"/>
  <c r="BC73"/>
  <c r="BC123"/>
  <c r="BC15"/>
  <c r="BC24"/>
  <c r="BC60"/>
  <c r="BC20"/>
  <c r="BC97"/>
  <c r="BC59"/>
  <c r="BC90"/>
  <c r="BC104"/>
  <c r="BC27"/>
  <c r="BC93"/>
  <c r="BC9"/>
  <c r="BC10"/>
  <c r="BC44"/>
  <c r="BC46"/>
  <c r="BC48"/>
  <c r="BC134"/>
  <c r="BC17"/>
  <c r="BC38"/>
  <c r="BC5"/>
  <c r="BC16"/>
  <c r="BC18"/>
  <c r="BC8"/>
  <c r="BC26"/>
  <c r="BC50"/>
  <c r="BC96"/>
  <c r="BC101"/>
  <c r="BC6"/>
  <c r="BC21"/>
  <c r="BC28"/>
  <c r="BC34"/>
  <c r="BC47"/>
  <c r="BC61"/>
  <c r="BC69"/>
  <c r="BC132"/>
  <c r="BC154"/>
  <c r="BC12"/>
  <c r="BC14"/>
  <c r="BC36"/>
  <c r="BC54"/>
  <c r="BC7"/>
  <c r="BC37"/>
  <c r="BC135"/>
  <c r="BC25"/>
  <c r="BC35"/>
  <c r="BC45"/>
  <c r="BC57"/>
  <c r="BC63"/>
  <c r="BC71"/>
  <c r="BC91"/>
  <c r="BC95"/>
  <c r="BC113"/>
  <c r="BC152"/>
  <c r="BC23"/>
  <c r="BC33"/>
  <c r="BC43"/>
  <c r="BC53"/>
  <c r="BC79"/>
  <c r="BC80"/>
  <c r="BC107"/>
  <c r="BC19"/>
  <c r="BC29"/>
  <c r="BC39"/>
  <c r="BC41"/>
  <c r="BC51"/>
  <c r="BC81"/>
  <c r="BC30"/>
  <c r="BC32"/>
  <c r="BC42"/>
  <c r="BC52"/>
  <c r="BC83"/>
  <c r="BC99"/>
  <c r="BC131"/>
  <c r="BC145"/>
  <c r="BC147"/>
  <c r="BC56"/>
  <c r="BC66"/>
  <c r="BC68"/>
  <c r="BC78"/>
  <c r="BC88"/>
  <c r="BC117"/>
  <c r="BC122"/>
  <c r="BC160"/>
  <c r="BC208"/>
  <c r="BC64"/>
  <c r="BC74"/>
  <c r="BC84"/>
  <c r="BC86"/>
  <c r="BC102"/>
  <c r="BC105"/>
  <c r="BC114"/>
  <c r="BC124"/>
  <c r="BC128"/>
  <c r="BC133"/>
  <c r="BC141"/>
  <c r="BC62"/>
  <c r="BC72"/>
  <c r="BC82"/>
  <c r="BC92"/>
  <c r="BC106"/>
  <c r="BC110"/>
  <c r="BC120"/>
  <c r="BC149"/>
  <c r="BC159"/>
  <c r="BC174"/>
  <c r="BC55"/>
  <c r="BC65"/>
  <c r="BC75"/>
  <c r="BC77"/>
  <c r="BC87"/>
  <c r="BC100"/>
  <c r="BC111"/>
  <c r="BC115"/>
  <c r="BC125"/>
  <c r="BC137"/>
  <c r="BC150"/>
  <c r="BC98"/>
  <c r="BC108"/>
  <c r="BC118"/>
  <c r="BC129"/>
  <c r="BC138"/>
  <c r="BC144"/>
  <c r="BC170"/>
  <c r="BC116"/>
  <c r="BC126"/>
  <c r="BC109"/>
  <c r="BC119"/>
  <c r="BC127"/>
  <c r="BC207"/>
  <c r="BC136"/>
  <c r="BC161"/>
  <c r="BC163"/>
  <c r="BC142"/>
  <c r="BC167"/>
  <c r="BC151"/>
  <c r="BC164"/>
  <c r="BC185"/>
  <c r="BC187"/>
  <c r="BC196"/>
  <c r="BC200"/>
  <c r="BC140"/>
  <c r="BC155"/>
  <c r="BC146"/>
  <c r="BC156"/>
  <c r="BC158"/>
  <c r="BC165"/>
  <c r="BC168"/>
  <c r="BC190"/>
  <c r="BC179"/>
  <c r="BC183"/>
  <c r="BC143"/>
  <c r="BC153"/>
  <c r="BC162"/>
  <c r="BC189"/>
  <c r="BC178"/>
  <c r="BC186"/>
  <c r="BC197"/>
  <c r="BC171"/>
  <c r="BC176"/>
  <c r="BC198"/>
  <c r="BC205"/>
  <c r="BC209"/>
  <c r="BC180"/>
  <c r="BC206"/>
  <c r="BC169"/>
  <c r="BC173"/>
  <c r="BC177"/>
  <c r="BC188"/>
  <c r="BC195"/>
  <c r="BC199"/>
  <c r="BC210"/>
  <c r="BC172"/>
  <c r="BC182"/>
  <c r="BC192"/>
  <c r="BC194"/>
  <c r="BC204"/>
  <c r="BC181"/>
  <c r="BC191"/>
  <c r="BC201"/>
  <c r="BC203"/>
  <c r="BA50"/>
  <c r="BA42"/>
  <c r="BA14"/>
  <c r="BA5"/>
  <c r="BA15"/>
  <c r="BA26"/>
  <c r="BA30"/>
  <c r="BA91"/>
  <c r="BA11"/>
  <c r="BA28"/>
  <c r="BA75"/>
  <c r="BA18"/>
  <c r="BA39"/>
  <c r="BA87"/>
  <c r="BA7"/>
  <c r="BA20"/>
  <c r="BA41"/>
  <c r="BA61"/>
  <c r="BA63"/>
  <c r="BA65"/>
  <c r="BA82"/>
  <c r="BA132"/>
  <c r="BA12"/>
  <c r="BA51"/>
  <c r="BA95"/>
  <c r="BA38"/>
  <c r="BA126"/>
  <c r="BA10"/>
  <c r="BA16"/>
  <c r="BA8"/>
  <c r="BA32"/>
  <c r="BA46"/>
  <c r="BA71"/>
  <c r="BA125"/>
  <c r="BA6"/>
  <c r="BA48"/>
  <c r="BA52"/>
  <c r="BA210"/>
  <c r="BA9"/>
  <c r="BA19"/>
  <c r="BA29"/>
  <c r="BA36"/>
  <c r="BA81"/>
  <c r="BA161"/>
  <c r="BA17"/>
  <c r="BA27"/>
  <c r="BA37"/>
  <c r="BA47"/>
  <c r="BA55"/>
  <c r="BA83"/>
  <c r="BA115"/>
  <c r="BA151"/>
  <c r="BA170"/>
  <c r="BA25"/>
  <c r="BA35"/>
  <c r="BA45"/>
  <c r="BA72"/>
  <c r="BA77"/>
  <c r="BA92"/>
  <c r="BA101"/>
  <c r="BA104"/>
  <c r="BA105"/>
  <c r="BA134"/>
  <c r="BA21"/>
  <c r="BA23"/>
  <c r="BA33"/>
  <c r="BA43"/>
  <c r="BA53"/>
  <c r="BA73"/>
  <c r="BA93"/>
  <c r="BA116"/>
  <c r="BA24"/>
  <c r="BA34"/>
  <c r="BA44"/>
  <c r="BA54"/>
  <c r="BA62"/>
  <c r="BA60"/>
  <c r="BA70"/>
  <c r="BA80"/>
  <c r="BA90"/>
  <c r="BA97"/>
  <c r="BA107"/>
  <c r="BA131"/>
  <c r="BA144"/>
  <c r="BA152"/>
  <c r="BA197"/>
  <c r="BA56"/>
  <c r="BA66"/>
  <c r="BA68"/>
  <c r="BA78"/>
  <c r="BA88"/>
  <c r="BA98"/>
  <c r="BA108"/>
  <c r="BA117"/>
  <c r="BA140"/>
  <c r="BA182"/>
  <c r="BA64"/>
  <c r="BA74"/>
  <c r="BA84"/>
  <c r="BA86"/>
  <c r="BA102"/>
  <c r="BA109"/>
  <c r="BA114"/>
  <c r="BA119"/>
  <c r="BA124"/>
  <c r="BA128"/>
  <c r="BA57"/>
  <c r="BA59"/>
  <c r="BA69"/>
  <c r="BA79"/>
  <c r="BA89"/>
  <c r="BA96"/>
  <c r="BA99"/>
  <c r="BA106"/>
  <c r="BA138"/>
  <c r="BA149"/>
  <c r="BA100"/>
  <c r="BA110"/>
  <c r="BA120"/>
  <c r="BA122"/>
  <c r="BA133"/>
  <c r="BA159"/>
  <c r="BA118"/>
  <c r="BA129"/>
  <c r="BA141"/>
  <c r="BA111"/>
  <c r="BA113"/>
  <c r="BA123"/>
  <c r="BA143"/>
  <c r="BA156"/>
  <c r="BA178"/>
  <c r="BA180"/>
  <c r="BA199"/>
  <c r="BA127"/>
  <c r="BA136"/>
  <c r="BA146"/>
  <c r="BA153"/>
  <c r="BA142"/>
  <c r="BA162"/>
  <c r="BA177"/>
  <c r="BA208"/>
  <c r="BA137"/>
  <c r="BA147"/>
  <c r="BA154"/>
  <c r="BA164"/>
  <c r="BA150"/>
  <c r="BA160"/>
  <c r="BA167"/>
  <c r="BA158"/>
  <c r="BA165"/>
  <c r="BA169"/>
  <c r="BA192"/>
  <c r="BA203"/>
  <c r="BA135"/>
  <c r="BA145"/>
  <c r="BA155"/>
  <c r="BA188"/>
  <c r="BA200"/>
  <c r="BA181"/>
  <c r="BA189"/>
  <c r="BA207"/>
  <c r="BA163"/>
  <c r="BA179"/>
  <c r="BA190"/>
  <c r="BA201"/>
  <c r="BA204"/>
  <c r="BA168"/>
  <c r="BA187"/>
  <c r="BA198"/>
  <c r="BA209"/>
  <c r="BA171"/>
  <c r="BA172"/>
  <c r="BA191"/>
  <c r="BA194"/>
  <c r="BA174"/>
  <c r="BA176"/>
  <c r="BA186"/>
  <c r="BA196"/>
  <c r="BA206"/>
  <c r="BA173"/>
  <c r="BA183"/>
  <c r="BA185"/>
  <c r="BA195"/>
  <c r="BA205"/>
  <c r="R29"/>
  <c r="R25"/>
  <c r="R104"/>
  <c r="R48"/>
  <c r="R11"/>
  <c r="R86"/>
  <c r="R115"/>
  <c r="R14"/>
  <c r="R41"/>
  <c r="R96"/>
  <c r="R27"/>
  <c r="R12"/>
  <c r="R90"/>
  <c r="R97"/>
  <c r="R10"/>
  <c r="R38"/>
  <c r="R17"/>
  <c r="R74"/>
  <c r="R6"/>
  <c r="R19"/>
  <c r="R50"/>
  <c r="R60"/>
  <c r="R62"/>
  <c r="R64"/>
  <c r="R177"/>
  <c r="R16"/>
  <c r="R21"/>
  <c r="R37"/>
  <c r="R81"/>
  <c r="R9"/>
  <c r="R131"/>
  <c r="R7"/>
  <c r="R39"/>
  <c r="R45"/>
  <c r="R70"/>
  <c r="R5"/>
  <c r="R15"/>
  <c r="R47"/>
  <c r="R51"/>
  <c r="R8"/>
  <c r="R18"/>
  <c r="R28"/>
  <c r="R35"/>
  <c r="R80"/>
  <c r="R26"/>
  <c r="R36"/>
  <c r="R46"/>
  <c r="R82"/>
  <c r="R126"/>
  <c r="R24"/>
  <c r="R34"/>
  <c r="R44"/>
  <c r="R54"/>
  <c r="R71"/>
  <c r="R84"/>
  <c r="R91"/>
  <c r="R98"/>
  <c r="R20"/>
  <c r="R30"/>
  <c r="R32"/>
  <c r="R42"/>
  <c r="R52"/>
  <c r="R72"/>
  <c r="R92"/>
  <c r="R125"/>
  <c r="R128"/>
  <c r="R150"/>
  <c r="R23"/>
  <c r="R33"/>
  <c r="R43"/>
  <c r="R53"/>
  <c r="R61"/>
  <c r="R116"/>
  <c r="R160"/>
  <c r="R57"/>
  <c r="R59"/>
  <c r="R69"/>
  <c r="R79"/>
  <c r="R89"/>
  <c r="R101"/>
  <c r="R106"/>
  <c r="R113"/>
  <c r="R118"/>
  <c r="R123"/>
  <c r="R210"/>
  <c r="R55"/>
  <c r="R65"/>
  <c r="R75"/>
  <c r="R77"/>
  <c r="R87"/>
  <c r="R102"/>
  <c r="R107"/>
  <c r="R114"/>
  <c r="R124"/>
  <c r="R181"/>
  <c r="R63"/>
  <c r="R73"/>
  <c r="R83"/>
  <c r="R93"/>
  <c r="R95"/>
  <c r="R108"/>
  <c r="R111"/>
  <c r="R156"/>
  <c r="R56"/>
  <c r="R66"/>
  <c r="R68"/>
  <c r="R78"/>
  <c r="R88"/>
  <c r="R100"/>
  <c r="R105"/>
  <c r="R99"/>
  <c r="R109"/>
  <c r="R119"/>
  <c r="R129"/>
  <c r="R137"/>
  <c r="R138"/>
  <c r="R158"/>
  <c r="R161"/>
  <c r="R117"/>
  <c r="R132"/>
  <c r="R133"/>
  <c r="R136"/>
  <c r="R151"/>
  <c r="R168"/>
  <c r="R110"/>
  <c r="R120"/>
  <c r="R122"/>
  <c r="R127"/>
  <c r="R135"/>
  <c r="R171"/>
  <c r="R141"/>
  <c r="R155"/>
  <c r="R163"/>
  <c r="R176"/>
  <c r="R142"/>
  <c r="R145"/>
  <c r="R152"/>
  <c r="R187"/>
  <c r="R162"/>
  <c r="R140"/>
  <c r="R143"/>
  <c r="R146"/>
  <c r="R153"/>
  <c r="R169"/>
  <c r="R209"/>
  <c r="R147"/>
  <c r="R149"/>
  <c r="R159"/>
  <c r="R196"/>
  <c r="R198"/>
  <c r="R207"/>
  <c r="R164"/>
  <c r="R174"/>
  <c r="R199"/>
  <c r="R134"/>
  <c r="R144"/>
  <c r="R154"/>
  <c r="R179"/>
  <c r="R191"/>
  <c r="R180"/>
  <c r="R188"/>
  <c r="R206"/>
  <c r="R172"/>
  <c r="R178"/>
  <c r="R189"/>
  <c r="R200"/>
  <c r="R203"/>
  <c r="R165"/>
  <c r="R167"/>
  <c r="R186"/>
  <c r="R197"/>
  <c r="R208"/>
  <c r="R170"/>
  <c r="R190"/>
  <c r="R201"/>
  <c r="R173"/>
  <c r="R183"/>
  <c r="R185"/>
  <c r="R195"/>
  <c r="R205"/>
  <c r="R182"/>
  <c r="R192"/>
  <c r="R194"/>
  <c r="R204"/>
  <c r="BG20"/>
  <c r="BG16"/>
  <c r="BG64"/>
  <c r="BG6"/>
  <c r="BG50"/>
  <c r="BG5"/>
  <c r="BG75"/>
  <c r="BG30"/>
  <c r="BG106"/>
  <c r="BG9"/>
  <c r="BG18"/>
  <c r="BG48"/>
  <c r="BG52"/>
  <c r="BG15"/>
  <c r="BG55"/>
  <c r="BG32"/>
  <c r="BG113"/>
  <c r="BG7"/>
  <c r="BG86"/>
  <c r="BG87"/>
  <c r="BG117"/>
  <c r="BG146"/>
  <c r="BG12"/>
  <c r="BG14"/>
  <c r="BG21"/>
  <c r="BG28"/>
  <c r="BG33"/>
  <c r="BG34"/>
  <c r="BG57"/>
  <c r="BG59"/>
  <c r="BG73"/>
  <c r="BG74"/>
  <c r="BG95"/>
  <c r="BG158"/>
  <c r="BG190"/>
  <c r="BG10"/>
  <c r="BG53"/>
  <c r="BG54"/>
  <c r="BG63"/>
  <c r="BG107"/>
  <c r="BG8"/>
  <c r="BG17"/>
  <c r="BG23"/>
  <c r="BG24"/>
  <c r="BG38"/>
  <c r="BG42"/>
  <c r="BG83"/>
  <c r="BG84"/>
  <c r="BG11"/>
  <c r="BG43"/>
  <c r="BG44"/>
  <c r="BG93"/>
  <c r="BG19"/>
  <c r="BG29"/>
  <c r="BG39"/>
  <c r="BG41"/>
  <c r="BG51"/>
  <c r="BG65"/>
  <c r="BG79"/>
  <c r="BG142"/>
  <c r="BG143"/>
  <c r="BG27"/>
  <c r="BG37"/>
  <c r="BG47"/>
  <c r="BG100"/>
  <c r="BG118"/>
  <c r="BG25"/>
  <c r="BG35"/>
  <c r="BG45"/>
  <c r="BG69"/>
  <c r="BG89"/>
  <c r="BG163"/>
  <c r="BG171"/>
  <c r="BG199"/>
  <c r="BG26"/>
  <c r="BG36"/>
  <c r="BG46"/>
  <c r="BG77"/>
  <c r="BG119"/>
  <c r="BG123"/>
  <c r="BG62"/>
  <c r="BG72"/>
  <c r="BG82"/>
  <c r="BG92"/>
  <c r="BG96"/>
  <c r="BG99"/>
  <c r="BG109"/>
  <c r="BG60"/>
  <c r="BG70"/>
  <c r="BG80"/>
  <c r="BG90"/>
  <c r="BG97"/>
  <c r="BG111"/>
  <c r="BG127"/>
  <c r="BG154"/>
  <c r="BG155"/>
  <c r="BG195"/>
  <c r="BG56"/>
  <c r="BG66"/>
  <c r="BG68"/>
  <c r="BG78"/>
  <c r="BG88"/>
  <c r="BG101"/>
  <c r="BG116"/>
  <c r="BG126"/>
  <c r="BG161"/>
  <c r="BG180"/>
  <c r="BG61"/>
  <c r="BG71"/>
  <c r="BG81"/>
  <c r="BG91"/>
  <c r="BG98"/>
  <c r="BG108"/>
  <c r="BG132"/>
  <c r="BG145"/>
  <c r="BG102"/>
  <c r="BG104"/>
  <c r="BG114"/>
  <c r="BG124"/>
  <c r="BG194"/>
  <c r="BG201"/>
  <c r="BG110"/>
  <c r="BG120"/>
  <c r="BG122"/>
  <c r="BG128"/>
  <c r="BG134"/>
  <c r="BG140"/>
  <c r="BG150"/>
  <c r="BG105"/>
  <c r="BG115"/>
  <c r="BG125"/>
  <c r="BG153"/>
  <c r="BG133"/>
  <c r="BG129"/>
  <c r="BG131"/>
  <c r="BG135"/>
  <c r="BG138"/>
  <c r="BG151"/>
  <c r="BG173"/>
  <c r="BG141"/>
  <c r="BG144"/>
  <c r="BG156"/>
  <c r="BG204"/>
  <c r="BG136"/>
  <c r="BG152"/>
  <c r="BG164"/>
  <c r="BG172"/>
  <c r="BG179"/>
  <c r="BG160"/>
  <c r="BG182"/>
  <c r="BG183"/>
  <c r="BG206"/>
  <c r="BG162"/>
  <c r="BG168"/>
  <c r="BG210"/>
  <c r="BG137"/>
  <c r="BG147"/>
  <c r="BG149"/>
  <c r="BG159"/>
  <c r="BG169"/>
  <c r="BG176"/>
  <c r="BG191"/>
  <c r="BG205"/>
  <c r="BG209"/>
  <c r="BG165"/>
  <c r="BG167"/>
  <c r="BG174"/>
  <c r="BG181"/>
  <c r="BG192"/>
  <c r="BG196"/>
  <c r="BG170"/>
  <c r="BG185"/>
  <c r="BG189"/>
  <c r="BG200"/>
  <c r="BG203"/>
  <c r="BG186"/>
  <c r="BG178"/>
  <c r="BG188"/>
  <c r="BG198"/>
  <c r="BG208"/>
  <c r="BG177"/>
  <c r="BG187"/>
  <c r="BG197"/>
  <c r="BG207"/>
  <c r="BE69"/>
  <c r="BE9"/>
  <c r="BE26"/>
  <c r="BE108"/>
  <c r="BE36"/>
  <c r="BE89"/>
  <c r="BE11"/>
  <c r="BE7"/>
  <c r="BE8"/>
  <c r="BE25"/>
  <c r="BE44"/>
  <c r="BE54"/>
  <c r="BE66"/>
  <c r="BE100"/>
  <c r="BE45"/>
  <c r="BE136"/>
  <c r="BE34"/>
  <c r="BE6"/>
  <c r="BE18"/>
  <c r="BE32"/>
  <c r="BE46"/>
  <c r="BE55"/>
  <c r="BE56"/>
  <c r="BE12"/>
  <c r="BE14"/>
  <c r="BE19"/>
  <c r="BE35"/>
  <c r="BE52"/>
  <c r="BE65"/>
  <c r="BE98"/>
  <c r="BE109"/>
  <c r="BE10"/>
  <c r="BE20"/>
  <c r="BE30"/>
  <c r="BE79"/>
  <c r="BE81"/>
  <c r="BE128"/>
  <c r="BE159"/>
  <c r="BE5"/>
  <c r="BE15"/>
  <c r="BE16"/>
  <c r="BE24"/>
  <c r="BE42"/>
  <c r="BE99"/>
  <c r="BE21"/>
  <c r="BE23"/>
  <c r="BE33"/>
  <c r="BE43"/>
  <c r="BE53"/>
  <c r="BE77"/>
  <c r="BE78"/>
  <c r="BE101"/>
  <c r="BE104"/>
  <c r="BE125"/>
  <c r="BE155"/>
  <c r="BE172"/>
  <c r="BE29"/>
  <c r="BE39"/>
  <c r="BE41"/>
  <c r="BE51"/>
  <c r="BE59"/>
  <c r="BE127"/>
  <c r="BE17"/>
  <c r="BE27"/>
  <c r="BE37"/>
  <c r="BE47"/>
  <c r="BE61"/>
  <c r="BE68"/>
  <c r="BE75"/>
  <c r="BE87"/>
  <c r="BE88"/>
  <c r="BE122"/>
  <c r="BE187"/>
  <c r="BE28"/>
  <c r="BE38"/>
  <c r="BE48"/>
  <c r="BE50"/>
  <c r="BE57"/>
  <c r="BE71"/>
  <c r="BE91"/>
  <c r="BE115"/>
  <c r="BE156"/>
  <c r="BE64"/>
  <c r="BE74"/>
  <c r="BE84"/>
  <c r="BE86"/>
  <c r="BE102"/>
  <c r="BE105"/>
  <c r="BE113"/>
  <c r="BE118"/>
  <c r="BE123"/>
  <c r="BE129"/>
  <c r="BE135"/>
  <c r="BE186"/>
  <c r="BE62"/>
  <c r="BE72"/>
  <c r="BE82"/>
  <c r="BE92"/>
  <c r="BE110"/>
  <c r="BE119"/>
  <c r="BE120"/>
  <c r="BE60"/>
  <c r="BE70"/>
  <c r="BE80"/>
  <c r="BE90"/>
  <c r="BE97"/>
  <c r="BE111"/>
  <c r="BE63"/>
  <c r="BE73"/>
  <c r="BE83"/>
  <c r="BE93"/>
  <c r="BE95"/>
  <c r="BE131"/>
  <c r="BE96"/>
  <c r="BE106"/>
  <c r="BE116"/>
  <c r="BE126"/>
  <c r="BE147"/>
  <c r="BE114"/>
  <c r="BE124"/>
  <c r="BE143"/>
  <c r="BE107"/>
  <c r="BE117"/>
  <c r="BE132"/>
  <c r="BE137"/>
  <c r="BE140"/>
  <c r="BE149"/>
  <c r="BE150"/>
  <c r="BE142"/>
  <c r="BE146"/>
  <c r="BE153"/>
  <c r="BE182"/>
  <c r="BE133"/>
  <c r="BE134"/>
  <c r="BE162"/>
  <c r="BE171"/>
  <c r="BE191"/>
  <c r="BE138"/>
  <c r="BE144"/>
  <c r="BE145"/>
  <c r="BE152"/>
  <c r="BE158"/>
  <c r="BE168"/>
  <c r="BE170"/>
  <c r="BE154"/>
  <c r="BE176"/>
  <c r="BE203"/>
  <c r="BE164"/>
  <c r="BE205"/>
  <c r="BE160"/>
  <c r="BE194"/>
  <c r="BE197"/>
  <c r="BE198"/>
  <c r="BE208"/>
  <c r="BE141"/>
  <c r="BE151"/>
  <c r="BE161"/>
  <c r="BE163"/>
  <c r="BE178"/>
  <c r="BE183"/>
  <c r="BE201"/>
  <c r="BE204"/>
  <c r="BE169"/>
  <c r="BE173"/>
  <c r="BE188"/>
  <c r="BE195"/>
  <c r="BE206"/>
  <c r="BE177"/>
  <c r="BE192"/>
  <c r="BE165"/>
  <c r="BE167"/>
  <c r="BE174"/>
  <c r="BE181"/>
  <c r="BE185"/>
  <c r="BE196"/>
  <c r="BE207"/>
  <c r="BE180"/>
  <c r="BE190"/>
  <c r="BE200"/>
  <c r="BE210"/>
  <c r="BE179"/>
  <c r="BE189"/>
  <c r="BE199"/>
  <c r="BE209"/>
  <c r="J28"/>
  <c r="J6"/>
  <c r="J41"/>
  <c r="J37"/>
  <c r="J111"/>
  <c r="J155"/>
  <c r="J80"/>
  <c r="J18"/>
  <c r="J10"/>
  <c r="J50"/>
  <c r="J14"/>
  <c r="J16"/>
  <c r="J131"/>
  <c r="J12"/>
  <c r="J35"/>
  <c r="J45"/>
  <c r="J151"/>
  <c r="J11"/>
  <c r="J21"/>
  <c r="J39"/>
  <c r="J90"/>
  <c r="J126"/>
  <c r="J84"/>
  <c r="J106"/>
  <c r="J124"/>
  <c r="J17"/>
  <c r="J27"/>
  <c r="J128"/>
  <c r="J9"/>
  <c r="J47"/>
  <c r="J51"/>
  <c r="J132"/>
  <c r="J7"/>
  <c r="J29"/>
  <c r="J48"/>
  <c r="J91"/>
  <c r="J101"/>
  <c r="J5"/>
  <c r="J15"/>
  <c r="J70"/>
  <c r="J8"/>
  <c r="J19"/>
  <c r="J25"/>
  <c r="J38"/>
  <c r="J61"/>
  <c r="J62"/>
  <c r="J71"/>
  <c r="J26"/>
  <c r="J36"/>
  <c r="J46"/>
  <c r="J72"/>
  <c r="J92"/>
  <c r="J24"/>
  <c r="J34"/>
  <c r="J44"/>
  <c r="J54"/>
  <c r="J60"/>
  <c r="J74"/>
  <c r="J81"/>
  <c r="J86"/>
  <c r="J102"/>
  <c r="J105"/>
  <c r="J114"/>
  <c r="J116"/>
  <c r="J20"/>
  <c r="J30"/>
  <c r="J32"/>
  <c r="J42"/>
  <c r="J52"/>
  <c r="J82"/>
  <c r="J23"/>
  <c r="J33"/>
  <c r="J43"/>
  <c r="J53"/>
  <c r="J64"/>
  <c r="J96"/>
  <c r="J141"/>
  <c r="J57"/>
  <c r="J59"/>
  <c r="J69"/>
  <c r="J79"/>
  <c r="J89"/>
  <c r="J98"/>
  <c r="J104"/>
  <c r="J107"/>
  <c r="J115"/>
  <c r="J125"/>
  <c r="J55"/>
  <c r="J65"/>
  <c r="J75"/>
  <c r="J77"/>
  <c r="J87"/>
  <c r="J108"/>
  <c r="J129"/>
  <c r="J146"/>
  <c r="J63"/>
  <c r="J73"/>
  <c r="J83"/>
  <c r="J93"/>
  <c r="J95"/>
  <c r="J100"/>
  <c r="J153"/>
  <c r="J56"/>
  <c r="J66"/>
  <c r="J68"/>
  <c r="J78"/>
  <c r="J88"/>
  <c r="J97"/>
  <c r="J113"/>
  <c r="J118"/>
  <c r="J123"/>
  <c r="J99"/>
  <c r="J109"/>
  <c r="J119"/>
  <c r="J133"/>
  <c r="J135"/>
  <c r="J156"/>
  <c r="J197"/>
  <c r="J117"/>
  <c r="J127"/>
  <c r="J134"/>
  <c r="J142"/>
  <c r="J161"/>
  <c r="J210"/>
  <c r="J110"/>
  <c r="J120"/>
  <c r="J122"/>
  <c r="J158"/>
  <c r="J168"/>
  <c r="J136"/>
  <c r="J145"/>
  <c r="J152"/>
  <c r="J162"/>
  <c r="J164"/>
  <c r="J169"/>
  <c r="J178"/>
  <c r="J180"/>
  <c r="J137"/>
  <c r="J140"/>
  <c r="J143"/>
  <c r="J150"/>
  <c r="J177"/>
  <c r="J208"/>
  <c r="J138"/>
  <c r="J160"/>
  <c r="J147"/>
  <c r="J149"/>
  <c r="J159"/>
  <c r="J163"/>
  <c r="J171"/>
  <c r="J189"/>
  <c r="J203"/>
  <c r="J206"/>
  <c r="J144"/>
  <c r="J154"/>
  <c r="J186"/>
  <c r="J188"/>
  <c r="J199"/>
  <c r="J200"/>
  <c r="J174"/>
  <c r="J181"/>
  <c r="J196"/>
  <c r="J207"/>
  <c r="J172"/>
  <c r="J190"/>
  <c r="J201"/>
  <c r="J165"/>
  <c r="J167"/>
  <c r="J179"/>
  <c r="J187"/>
  <c r="J198"/>
  <c r="J170"/>
  <c r="J176"/>
  <c r="J191"/>
  <c r="J209"/>
  <c r="J173"/>
  <c r="J183"/>
  <c r="J185"/>
  <c r="J195"/>
  <c r="J205"/>
  <c r="J182"/>
  <c r="J192"/>
  <c r="J194"/>
  <c r="J204"/>
  <c r="S54"/>
  <c r="S5"/>
  <c r="S6"/>
  <c r="S43"/>
  <c r="S83"/>
  <c r="S9"/>
  <c r="S7"/>
  <c r="S108"/>
  <c r="S32"/>
  <c r="S44"/>
  <c r="S109"/>
  <c r="S196"/>
  <c r="S53"/>
  <c r="S84"/>
  <c r="S93"/>
  <c r="S142"/>
  <c r="S117"/>
  <c r="S191"/>
  <c r="S15"/>
  <c r="S16"/>
  <c r="S30"/>
  <c r="S128"/>
  <c r="S20"/>
  <c r="S55"/>
  <c r="S12"/>
  <c r="S14"/>
  <c r="S23"/>
  <c r="S24"/>
  <c r="S38"/>
  <c r="S42"/>
  <c r="S86"/>
  <c r="S101"/>
  <c r="S10"/>
  <c r="S17"/>
  <c r="S21"/>
  <c r="S50"/>
  <c r="S59"/>
  <c r="S73"/>
  <c r="S74"/>
  <c r="S8"/>
  <c r="S18"/>
  <c r="S28"/>
  <c r="S33"/>
  <c r="S34"/>
  <c r="S110"/>
  <c r="S113"/>
  <c r="S154"/>
  <c r="S11"/>
  <c r="S48"/>
  <c r="S52"/>
  <c r="S77"/>
  <c r="S19"/>
  <c r="S29"/>
  <c r="S39"/>
  <c r="S41"/>
  <c r="S51"/>
  <c r="S69"/>
  <c r="S89"/>
  <c r="S106"/>
  <c r="S107"/>
  <c r="S134"/>
  <c r="S27"/>
  <c r="S37"/>
  <c r="S47"/>
  <c r="S57"/>
  <c r="S63"/>
  <c r="S64"/>
  <c r="S95"/>
  <c r="S96"/>
  <c r="S111"/>
  <c r="S145"/>
  <c r="S25"/>
  <c r="S35"/>
  <c r="S45"/>
  <c r="S65"/>
  <c r="S79"/>
  <c r="S123"/>
  <c r="S155"/>
  <c r="S26"/>
  <c r="S36"/>
  <c r="S46"/>
  <c r="S75"/>
  <c r="S87"/>
  <c r="S99"/>
  <c r="S118"/>
  <c r="S132"/>
  <c r="S62"/>
  <c r="S72"/>
  <c r="S82"/>
  <c r="S92"/>
  <c r="S98"/>
  <c r="S176"/>
  <c r="S185"/>
  <c r="S60"/>
  <c r="S70"/>
  <c r="S80"/>
  <c r="S90"/>
  <c r="S119"/>
  <c r="S56"/>
  <c r="S66"/>
  <c r="S68"/>
  <c r="S78"/>
  <c r="S88"/>
  <c r="S100"/>
  <c r="S141"/>
  <c r="S189"/>
  <c r="S206"/>
  <c r="S61"/>
  <c r="S71"/>
  <c r="S81"/>
  <c r="S91"/>
  <c r="S97"/>
  <c r="S116"/>
  <c r="S126"/>
  <c r="S102"/>
  <c r="S104"/>
  <c r="S114"/>
  <c r="S124"/>
  <c r="S144"/>
  <c r="S120"/>
  <c r="S122"/>
  <c r="S127"/>
  <c r="S172"/>
  <c r="S105"/>
  <c r="S115"/>
  <c r="S125"/>
  <c r="S133"/>
  <c r="S136"/>
  <c r="S151"/>
  <c r="S158"/>
  <c r="S168"/>
  <c r="S129"/>
  <c r="S131"/>
  <c r="S156"/>
  <c r="S161"/>
  <c r="S140"/>
  <c r="S143"/>
  <c r="S146"/>
  <c r="S153"/>
  <c r="S164"/>
  <c r="S135"/>
  <c r="S138"/>
  <c r="S150"/>
  <c r="S174"/>
  <c r="S152"/>
  <c r="S162"/>
  <c r="S163"/>
  <c r="S169"/>
  <c r="S180"/>
  <c r="S181"/>
  <c r="S205"/>
  <c r="S160"/>
  <c r="S171"/>
  <c r="S194"/>
  <c r="S209"/>
  <c r="S173"/>
  <c r="S200"/>
  <c r="S137"/>
  <c r="S147"/>
  <c r="S149"/>
  <c r="S159"/>
  <c r="S192"/>
  <c r="S203"/>
  <c r="S195"/>
  <c r="S199"/>
  <c r="S210"/>
  <c r="S165"/>
  <c r="S167"/>
  <c r="S186"/>
  <c r="S170"/>
  <c r="S182"/>
  <c r="S190"/>
  <c r="S201"/>
  <c r="S179"/>
  <c r="S183"/>
  <c r="S204"/>
  <c r="S178"/>
  <c r="S188"/>
  <c r="S198"/>
  <c r="S208"/>
  <c r="S177"/>
  <c r="S187"/>
  <c r="S197"/>
  <c r="S207"/>
  <c r="BB21"/>
  <c r="BB10"/>
  <c r="BB6"/>
  <c r="BB68"/>
  <c r="BB7"/>
  <c r="BB23"/>
  <c r="BB25"/>
  <c r="BB24"/>
  <c r="BB107"/>
  <c r="BB8"/>
  <c r="BB43"/>
  <c r="BB173"/>
  <c r="BB35"/>
  <c r="BB122"/>
  <c r="BB137"/>
  <c r="BB34"/>
  <c r="BB5"/>
  <c r="BB15"/>
  <c r="BB17"/>
  <c r="BB39"/>
  <c r="BB44"/>
  <c r="BB45"/>
  <c r="BB87"/>
  <c r="BB88"/>
  <c r="BB11"/>
  <c r="BB18"/>
  <c r="BB33"/>
  <c r="BB51"/>
  <c r="BB64"/>
  <c r="BB66"/>
  <c r="BB75"/>
  <c r="BB97"/>
  <c r="BB9"/>
  <c r="BB19"/>
  <c r="BB29"/>
  <c r="BB53"/>
  <c r="BB77"/>
  <c r="BB80"/>
  <c r="BB124"/>
  <c r="BB12"/>
  <c r="BB14"/>
  <c r="BB41"/>
  <c r="BB54"/>
  <c r="BB20"/>
  <c r="BB30"/>
  <c r="BB32"/>
  <c r="BB42"/>
  <c r="BB52"/>
  <c r="BB56"/>
  <c r="BB84"/>
  <c r="BB117"/>
  <c r="BB119"/>
  <c r="BB133"/>
  <c r="BB28"/>
  <c r="BB38"/>
  <c r="BB48"/>
  <c r="BB50"/>
  <c r="BB65"/>
  <c r="BB78"/>
  <c r="BB98"/>
  <c r="BB128"/>
  <c r="BB16"/>
  <c r="BB26"/>
  <c r="BB36"/>
  <c r="BB46"/>
  <c r="BB60"/>
  <c r="BB74"/>
  <c r="BB86"/>
  <c r="BB100"/>
  <c r="BB108"/>
  <c r="BB109"/>
  <c r="BB114"/>
  <c r="BB27"/>
  <c r="BB37"/>
  <c r="BB47"/>
  <c r="BB55"/>
  <c r="BB70"/>
  <c r="BB90"/>
  <c r="BB102"/>
  <c r="BB63"/>
  <c r="BB73"/>
  <c r="BB83"/>
  <c r="BB93"/>
  <c r="BB95"/>
  <c r="BB101"/>
  <c r="BB134"/>
  <c r="BB61"/>
  <c r="BB71"/>
  <c r="BB81"/>
  <c r="BB91"/>
  <c r="BB104"/>
  <c r="BB118"/>
  <c r="BB129"/>
  <c r="BB142"/>
  <c r="BB165"/>
  <c r="BB57"/>
  <c r="BB59"/>
  <c r="BB69"/>
  <c r="BB79"/>
  <c r="BB89"/>
  <c r="BB96"/>
  <c r="BB99"/>
  <c r="BB127"/>
  <c r="BB136"/>
  <c r="BB155"/>
  <c r="BB156"/>
  <c r="BB62"/>
  <c r="BB72"/>
  <c r="BB82"/>
  <c r="BB92"/>
  <c r="BB110"/>
  <c r="BB120"/>
  <c r="BB174"/>
  <c r="BB105"/>
  <c r="BB115"/>
  <c r="BB125"/>
  <c r="BB131"/>
  <c r="BB135"/>
  <c r="BB146"/>
  <c r="BB111"/>
  <c r="BB113"/>
  <c r="BB123"/>
  <c r="BB158"/>
  <c r="BB169"/>
  <c r="BB190"/>
  <c r="BB106"/>
  <c r="BB116"/>
  <c r="BB126"/>
  <c r="BB192"/>
  <c r="BB141"/>
  <c r="BB144"/>
  <c r="BB145"/>
  <c r="BB152"/>
  <c r="BB159"/>
  <c r="BB186"/>
  <c r="BB197"/>
  <c r="BB132"/>
  <c r="BB149"/>
  <c r="BB210"/>
  <c r="BB147"/>
  <c r="BB154"/>
  <c r="BB181"/>
  <c r="BB143"/>
  <c r="BB151"/>
  <c r="BB204"/>
  <c r="BB153"/>
  <c r="BB162"/>
  <c r="BB177"/>
  <c r="BB201"/>
  <c r="BB161"/>
  <c r="BB163"/>
  <c r="BB164"/>
  <c r="BB170"/>
  <c r="BB182"/>
  <c r="BB195"/>
  <c r="BB196"/>
  <c r="BB207"/>
  <c r="BB138"/>
  <c r="BB140"/>
  <c r="BB150"/>
  <c r="BB160"/>
  <c r="BB167"/>
  <c r="BB185"/>
  <c r="BB200"/>
  <c r="BB203"/>
  <c r="BB168"/>
  <c r="BB183"/>
  <c r="BB187"/>
  <c r="BB171"/>
  <c r="BB172"/>
  <c r="BB176"/>
  <c r="BB191"/>
  <c r="BB194"/>
  <c r="BB205"/>
  <c r="BB180"/>
  <c r="BB206"/>
  <c r="BB179"/>
  <c r="BB189"/>
  <c r="BB199"/>
  <c r="BB209"/>
  <c r="BB178"/>
  <c r="BB188"/>
  <c r="BB198"/>
  <c r="BB208"/>
  <c r="BD15"/>
  <c r="BD74"/>
  <c r="BD116"/>
  <c r="BD43"/>
  <c r="BD8"/>
  <c r="BD29"/>
  <c r="BD12"/>
  <c r="BD19"/>
  <c r="BD53"/>
  <c r="BD86"/>
  <c r="BD92"/>
  <c r="BD5"/>
  <c r="BD51"/>
  <c r="BD17"/>
  <c r="BD52"/>
  <c r="BD72"/>
  <c r="BD14"/>
  <c r="BD21"/>
  <c r="BD42"/>
  <c r="BD47"/>
  <c r="BD16"/>
  <c r="BD88"/>
  <c r="BD131"/>
  <c r="BD6"/>
  <c r="BD32"/>
  <c r="BD33"/>
  <c r="BD39"/>
  <c r="BD11"/>
  <c r="BD27"/>
  <c r="BD122"/>
  <c r="BD142"/>
  <c r="BD9"/>
  <c r="BD62"/>
  <c r="BD68"/>
  <c r="BD102"/>
  <c r="BD105"/>
  <c r="BD120"/>
  <c r="BD145"/>
  <c r="BD7"/>
  <c r="BD37"/>
  <c r="BD41"/>
  <c r="BD78"/>
  <c r="BD10"/>
  <c r="BD20"/>
  <c r="BD23"/>
  <c r="BD30"/>
  <c r="BD82"/>
  <c r="BD83"/>
  <c r="BD110"/>
  <c r="BD200"/>
  <c r="BD18"/>
  <c r="BD28"/>
  <c r="BD38"/>
  <c r="BD48"/>
  <c r="BD50"/>
  <c r="BD64"/>
  <c r="BD129"/>
  <c r="BD153"/>
  <c r="BD26"/>
  <c r="BD36"/>
  <c r="BD46"/>
  <c r="BD66"/>
  <c r="BD73"/>
  <c r="BD93"/>
  <c r="BD106"/>
  <c r="BD24"/>
  <c r="BD34"/>
  <c r="BD44"/>
  <c r="BD54"/>
  <c r="BD118"/>
  <c r="BD126"/>
  <c r="BD160"/>
  <c r="BD167"/>
  <c r="BD205"/>
  <c r="BD25"/>
  <c r="BD35"/>
  <c r="BD45"/>
  <c r="BD56"/>
  <c r="BD63"/>
  <c r="BD84"/>
  <c r="BD95"/>
  <c r="BD117"/>
  <c r="BD133"/>
  <c r="BD144"/>
  <c r="BD198"/>
  <c r="BD61"/>
  <c r="BD71"/>
  <c r="BD81"/>
  <c r="BD91"/>
  <c r="BD98"/>
  <c r="BD104"/>
  <c r="BD108"/>
  <c r="BD57"/>
  <c r="BD59"/>
  <c r="BD69"/>
  <c r="BD79"/>
  <c r="BD89"/>
  <c r="BD96"/>
  <c r="BD99"/>
  <c r="BD109"/>
  <c r="BD209"/>
  <c r="BD55"/>
  <c r="BD65"/>
  <c r="BD75"/>
  <c r="BD77"/>
  <c r="BD87"/>
  <c r="BD100"/>
  <c r="BD115"/>
  <c r="BD125"/>
  <c r="BD60"/>
  <c r="BD70"/>
  <c r="BD80"/>
  <c r="BD90"/>
  <c r="BD97"/>
  <c r="BD107"/>
  <c r="BD183"/>
  <c r="BD101"/>
  <c r="BD111"/>
  <c r="BD113"/>
  <c r="BD123"/>
  <c r="BD141"/>
  <c r="BD162"/>
  <c r="BD179"/>
  <c r="BD119"/>
  <c r="BD127"/>
  <c r="BD114"/>
  <c r="BD124"/>
  <c r="BD134"/>
  <c r="BD152"/>
  <c r="BD132"/>
  <c r="BD149"/>
  <c r="BD203"/>
  <c r="BD128"/>
  <c r="BD137"/>
  <c r="BD147"/>
  <c r="BD150"/>
  <c r="BD154"/>
  <c r="BD189"/>
  <c r="BD140"/>
  <c r="BD143"/>
  <c r="BD155"/>
  <c r="BD135"/>
  <c r="BD138"/>
  <c r="BD151"/>
  <c r="BD161"/>
  <c r="BD163"/>
  <c r="BD178"/>
  <c r="BD159"/>
  <c r="BD170"/>
  <c r="BD181"/>
  <c r="BD204"/>
  <c r="BD171"/>
  <c r="BD185"/>
  <c r="BD136"/>
  <c r="BD146"/>
  <c r="BD156"/>
  <c r="BD158"/>
  <c r="BD165"/>
  <c r="BD168"/>
  <c r="BD201"/>
  <c r="BD182"/>
  <c r="BD190"/>
  <c r="BD208"/>
  <c r="BD164"/>
  <c r="BD172"/>
  <c r="BD180"/>
  <c r="BD191"/>
  <c r="BD194"/>
  <c r="BD169"/>
  <c r="BD173"/>
  <c r="BD188"/>
  <c r="BD195"/>
  <c r="BD199"/>
  <c r="BD210"/>
  <c r="BD192"/>
  <c r="BD177"/>
  <c r="BD187"/>
  <c r="BD197"/>
  <c r="BD207"/>
  <c r="BD174"/>
  <c r="BD176"/>
  <c r="BD186"/>
  <c r="BD196"/>
  <c r="BD206"/>
  <c r="Y104"/>
  <c r="Y136"/>
  <c r="Y89"/>
  <c r="Y66"/>
  <c r="Y11"/>
  <c r="Y69"/>
  <c r="Y36"/>
  <c r="Y7"/>
  <c r="Y8"/>
  <c r="Y16"/>
  <c r="Y26"/>
  <c r="Y9"/>
  <c r="Y25"/>
  <c r="Y44"/>
  <c r="Y54"/>
  <c r="Y45"/>
  <c r="Y34"/>
  <c r="Y6"/>
  <c r="Y18"/>
  <c r="Y32"/>
  <c r="Y46"/>
  <c r="Y55"/>
  <c r="Y56"/>
  <c r="Y144"/>
  <c r="Y12"/>
  <c r="Y14"/>
  <c r="Y19"/>
  <c r="Y35"/>
  <c r="Y52"/>
  <c r="Y65"/>
  <c r="Y119"/>
  <c r="Y10"/>
  <c r="Y20"/>
  <c r="Y30"/>
  <c r="Y79"/>
  <c r="Y81"/>
  <c r="Y5"/>
  <c r="Y15"/>
  <c r="Y24"/>
  <c r="Y42"/>
  <c r="Y100"/>
  <c r="Y115"/>
  <c r="Y21"/>
  <c r="Y23"/>
  <c r="Y33"/>
  <c r="Y43"/>
  <c r="Y53"/>
  <c r="Y77"/>
  <c r="Y78"/>
  <c r="Y29"/>
  <c r="Y39"/>
  <c r="Y41"/>
  <c r="Y51"/>
  <c r="Y59"/>
  <c r="Y125"/>
  <c r="Y147"/>
  <c r="Y17"/>
  <c r="Y27"/>
  <c r="Y37"/>
  <c r="Y47"/>
  <c r="Y61"/>
  <c r="Y68"/>
  <c r="Y75"/>
  <c r="Y87"/>
  <c r="Y88"/>
  <c r="Y120"/>
  <c r="Y28"/>
  <c r="Y38"/>
  <c r="Y48"/>
  <c r="Y50"/>
  <c r="Y57"/>
  <c r="Y71"/>
  <c r="Y91"/>
  <c r="Y98"/>
  <c r="Y108"/>
  <c r="Y109"/>
  <c r="Y131"/>
  <c r="Y140"/>
  <c r="Y64"/>
  <c r="Y74"/>
  <c r="Y84"/>
  <c r="Y86"/>
  <c r="Y96"/>
  <c r="Y97"/>
  <c r="Y105"/>
  <c r="Y111"/>
  <c r="Y205"/>
  <c r="Y62"/>
  <c r="Y72"/>
  <c r="Y82"/>
  <c r="Y92"/>
  <c r="Y101"/>
  <c r="Y110"/>
  <c r="Y122"/>
  <c r="Y60"/>
  <c r="Y70"/>
  <c r="Y80"/>
  <c r="Y90"/>
  <c r="Y102"/>
  <c r="Y113"/>
  <c r="Y118"/>
  <c r="Y123"/>
  <c r="Y127"/>
  <c r="Y149"/>
  <c r="Y63"/>
  <c r="Y73"/>
  <c r="Y83"/>
  <c r="Y93"/>
  <c r="Y95"/>
  <c r="Y99"/>
  <c r="Y132"/>
  <c r="Y150"/>
  <c r="Y170"/>
  <c r="Y187"/>
  <c r="Y106"/>
  <c r="Y116"/>
  <c r="Y126"/>
  <c r="Y128"/>
  <c r="Y134"/>
  <c r="Y143"/>
  <c r="Y114"/>
  <c r="Y124"/>
  <c r="Y129"/>
  <c r="Y155"/>
  <c r="Y156"/>
  <c r="Y107"/>
  <c r="Y117"/>
  <c r="Y135"/>
  <c r="Y138"/>
  <c r="Y146"/>
  <c r="Y153"/>
  <c r="Y191"/>
  <c r="Y133"/>
  <c r="Y159"/>
  <c r="Y164"/>
  <c r="Y142"/>
  <c r="Y158"/>
  <c r="Y137"/>
  <c r="Y145"/>
  <c r="Y152"/>
  <c r="Y163"/>
  <c r="Y178"/>
  <c r="Y186"/>
  <c r="Y154"/>
  <c r="Y194"/>
  <c r="Y197"/>
  <c r="Y198"/>
  <c r="Y208"/>
  <c r="Y162"/>
  <c r="Y168"/>
  <c r="Y160"/>
  <c r="Y176"/>
  <c r="Y203"/>
  <c r="Y141"/>
  <c r="Y151"/>
  <c r="Y161"/>
  <c r="Y171"/>
  <c r="Y182"/>
  <c r="Y183"/>
  <c r="Y201"/>
  <c r="Y204"/>
  <c r="Y169"/>
  <c r="Y173"/>
  <c r="Y188"/>
  <c r="Y195"/>
  <c r="Y206"/>
  <c r="Y172"/>
  <c r="Y177"/>
  <c r="Y192"/>
  <c r="Y165"/>
  <c r="Y167"/>
  <c r="Y174"/>
  <c r="Y181"/>
  <c r="Y185"/>
  <c r="Y196"/>
  <c r="Y207"/>
  <c r="Y180"/>
  <c r="Y190"/>
  <c r="Y200"/>
  <c r="Y210"/>
  <c r="Y179"/>
  <c r="Y189"/>
  <c r="Y199"/>
  <c r="Y209"/>
  <c r="AF73"/>
  <c r="AF8"/>
  <c r="AF30"/>
  <c r="AF23"/>
  <c r="AF56"/>
  <c r="AF127"/>
  <c r="AF107"/>
  <c r="AF155"/>
  <c r="AF72"/>
  <c r="AF84"/>
  <c r="AF12"/>
  <c r="AF16"/>
  <c r="AF39"/>
  <c r="AF6"/>
  <c r="AF117"/>
  <c r="AF52"/>
  <c r="AF82"/>
  <c r="AF95"/>
  <c r="AF5"/>
  <c r="AF20"/>
  <c r="AF29"/>
  <c r="AF53"/>
  <c r="AF14"/>
  <c r="AF15"/>
  <c r="AF137"/>
  <c r="AF11"/>
  <c r="AF17"/>
  <c r="AF21"/>
  <c r="AF37"/>
  <c r="AF41"/>
  <c r="AF63"/>
  <c r="AF66"/>
  <c r="AF68"/>
  <c r="AF153"/>
  <c r="AF9"/>
  <c r="AF42"/>
  <c r="AF43"/>
  <c r="AF78"/>
  <c r="AF99"/>
  <c r="AF7"/>
  <c r="AF27"/>
  <c r="AF92"/>
  <c r="AF93"/>
  <c r="AF100"/>
  <c r="AF140"/>
  <c r="AF143"/>
  <c r="AF10"/>
  <c r="AF19"/>
  <c r="AF32"/>
  <c r="AF33"/>
  <c r="AF47"/>
  <c r="AF51"/>
  <c r="AF88"/>
  <c r="AF18"/>
  <c r="AF28"/>
  <c r="AF38"/>
  <c r="AF48"/>
  <c r="AF50"/>
  <c r="AF102"/>
  <c r="AF125"/>
  <c r="AF26"/>
  <c r="AF36"/>
  <c r="AF46"/>
  <c r="AF62"/>
  <c r="AF83"/>
  <c r="AF105"/>
  <c r="AF24"/>
  <c r="AF34"/>
  <c r="AF44"/>
  <c r="AF54"/>
  <c r="AF64"/>
  <c r="AF96"/>
  <c r="AF122"/>
  <c r="AF190"/>
  <c r="AF25"/>
  <c r="AF35"/>
  <c r="AF45"/>
  <c r="AF74"/>
  <c r="AF86"/>
  <c r="AF115"/>
  <c r="AF210"/>
  <c r="AF61"/>
  <c r="AF71"/>
  <c r="AF81"/>
  <c r="AF91"/>
  <c r="AF118"/>
  <c r="AF57"/>
  <c r="AF59"/>
  <c r="AF69"/>
  <c r="AF79"/>
  <c r="AF89"/>
  <c r="AF97"/>
  <c r="AF108"/>
  <c r="AF120"/>
  <c r="AF132"/>
  <c r="AF55"/>
  <c r="AF65"/>
  <c r="AF75"/>
  <c r="AF77"/>
  <c r="AF87"/>
  <c r="AF109"/>
  <c r="AF60"/>
  <c r="AF70"/>
  <c r="AF80"/>
  <c r="AF90"/>
  <c r="AF98"/>
  <c r="AF104"/>
  <c r="AF106"/>
  <c r="AF110"/>
  <c r="AF116"/>
  <c r="AF126"/>
  <c r="AF129"/>
  <c r="AF133"/>
  <c r="AF101"/>
  <c r="AF111"/>
  <c r="AF113"/>
  <c r="AF123"/>
  <c r="AF142"/>
  <c r="AF173"/>
  <c r="AF119"/>
  <c r="AF144"/>
  <c r="AF114"/>
  <c r="AF124"/>
  <c r="AF131"/>
  <c r="AF141"/>
  <c r="AF134"/>
  <c r="AF145"/>
  <c r="AF152"/>
  <c r="AF208"/>
  <c r="AF128"/>
  <c r="AF135"/>
  <c r="AF138"/>
  <c r="AF149"/>
  <c r="AF160"/>
  <c r="AF163"/>
  <c r="AF171"/>
  <c r="AF147"/>
  <c r="AF150"/>
  <c r="AF154"/>
  <c r="AF178"/>
  <c r="AF199"/>
  <c r="AF162"/>
  <c r="AF165"/>
  <c r="AF168"/>
  <c r="AF170"/>
  <c r="AF182"/>
  <c r="AF151"/>
  <c r="AF161"/>
  <c r="AF159"/>
  <c r="AF192"/>
  <c r="AF203"/>
  <c r="AF167"/>
  <c r="AF195"/>
  <c r="AF136"/>
  <c r="AF146"/>
  <c r="AF156"/>
  <c r="AF158"/>
  <c r="AF188"/>
  <c r="AF181"/>
  <c r="AF185"/>
  <c r="AF189"/>
  <c r="AF200"/>
  <c r="AF164"/>
  <c r="AF179"/>
  <c r="AF183"/>
  <c r="AF201"/>
  <c r="AF204"/>
  <c r="AF169"/>
  <c r="AF198"/>
  <c r="AF205"/>
  <c r="AF209"/>
  <c r="AF172"/>
  <c r="AF180"/>
  <c r="AF191"/>
  <c r="AF194"/>
  <c r="AF177"/>
  <c r="AF187"/>
  <c r="AF197"/>
  <c r="AF207"/>
  <c r="AF174"/>
  <c r="AF176"/>
  <c r="AF186"/>
  <c r="AF196"/>
  <c r="AF206"/>
  <c r="AU37"/>
  <c r="AU79"/>
  <c r="AU123"/>
  <c r="AU5"/>
  <c r="AU44"/>
  <c r="AU11"/>
  <c r="AU34"/>
  <c r="AU47"/>
  <c r="AU48"/>
  <c r="AU15"/>
  <c r="AU21"/>
  <c r="AU80"/>
  <c r="AU9"/>
  <c r="AU10"/>
  <c r="AU16"/>
  <c r="AU18"/>
  <c r="AU83"/>
  <c r="AU28"/>
  <c r="AU8"/>
  <c r="AU36"/>
  <c r="AU54"/>
  <c r="AU6"/>
  <c r="AU24"/>
  <c r="AU38"/>
  <c r="AU12"/>
  <c r="AU14"/>
  <c r="AU20"/>
  <c r="AU26"/>
  <c r="AU50"/>
  <c r="AU61"/>
  <c r="AU120"/>
  <c r="AU131"/>
  <c r="AU134"/>
  <c r="AU7"/>
  <c r="AU17"/>
  <c r="AU27"/>
  <c r="AU46"/>
  <c r="AU114"/>
  <c r="AU128"/>
  <c r="AU25"/>
  <c r="AU35"/>
  <c r="AU45"/>
  <c r="AU81"/>
  <c r="AU23"/>
  <c r="AU33"/>
  <c r="AU43"/>
  <c r="AU53"/>
  <c r="AU69"/>
  <c r="AU70"/>
  <c r="AU89"/>
  <c r="AU90"/>
  <c r="AU102"/>
  <c r="AU113"/>
  <c r="AU129"/>
  <c r="AU141"/>
  <c r="AU149"/>
  <c r="AU19"/>
  <c r="AU29"/>
  <c r="AU39"/>
  <c r="AU41"/>
  <c r="AU51"/>
  <c r="AU57"/>
  <c r="AU63"/>
  <c r="AU71"/>
  <c r="AU91"/>
  <c r="AU95"/>
  <c r="AU101"/>
  <c r="AU30"/>
  <c r="AU32"/>
  <c r="AU42"/>
  <c r="AU52"/>
  <c r="AU59"/>
  <c r="AU60"/>
  <c r="AU73"/>
  <c r="AU93"/>
  <c r="AU124"/>
  <c r="AU56"/>
  <c r="AU66"/>
  <c r="AU68"/>
  <c r="AU78"/>
  <c r="AU88"/>
  <c r="AU104"/>
  <c r="AU105"/>
  <c r="AU150"/>
  <c r="AU64"/>
  <c r="AU74"/>
  <c r="AU84"/>
  <c r="AU86"/>
  <c r="AU96"/>
  <c r="AU99"/>
  <c r="AU106"/>
  <c r="AU110"/>
  <c r="AU111"/>
  <c r="AU115"/>
  <c r="AU125"/>
  <c r="AU147"/>
  <c r="AU62"/>
  <c r="AU72"/>
  <c r="AU82"/>
  <c r="AU92"/>
  <c r="AU100"/>
  <c r="AU107"/>
  <c r="AU55"/>
  <c r="AU65"/>
  <c r="AU75"/>
  <c r="AU77"/>
  <c r="AU87"/>
  <c r="AU97"/>
  <c r="AU117"/>
  <c r="AU122"/>
  <c r="AU133"/>
  <c r="AU154"/>
  <c r="AU98"/>
  <c r="AU108"/>
  <c r="AU118"/>
  <c r="AU160"/>
  <c r="AU178"/>
  <c r="AU116"/>
  <c r="AU126"/>
  <c r="AU127"/>
  <c r="AU132"/>
  <c r="AU136"/>
  <c r="AU142"/>
  <c r="AU155"/>
  <c r="AU162"/>
  <c r="AU205"/>
  <c r="AU109"/>
  <c r="AU119"/>
  <c r="AU144"/>
  <c r="AU165"/>
  <c r="AU168"/>
  <c r="AU190"/>
  <c r="AU137"/>
  <c r="AU151"/>
  <c r="AU176"/>
  <c r="AU180"/>
  <c r="AU140"/>
  <c r="AU159"/>
  <c r="AU161"/>
  <c r="AU167"/>
  <c r="AU135"/>
  <c r="AU138"/>
  <c r="AU145"/>
  <c r="AU152"/>
  <c r="AU146"/>
  <c r="AU156"/>
  <c r="AU158"/>
  <c r="AU163"/>
  <c r="AU170"/>
  <c r="AU186"/>
  <c r="AU198"/>
  <c r="AU208"/>
  <c r="AU209"/>
  <c r="AU164"/>
  <c r="AU143"/>
  <c r="AU153"/>
  <c r="AU197"/>
  <c r="AU206"/>
  <c r="AU179"/>
  <c r="AU183"/>
  <c r="AU187"/>
  <c r="AU171"/>
  <c r="AU173"/>
  <c r="AU177"/>
  <c r="AU188"/>
  <c r="AU195"/>
  <c r="AU199"/>
  <c r="AU210"/>
  <c r="AU174"/>
  <c r="AU196"/>
  <c r="AU207"/>
  <c r="AU169"/>
  <c r="AU185"/>
  <c r="AU189"/>
  <c r="AU200"/>
  <c r="AU172"/>
  <c r="AU182"/>
  <c r="AU192"/>
  <c r="AU194"/>
  <c r="AU204"/>
  <c r="AU181"/>
  <c r="AU191"/>
  <c r="AU201"/>
  <c r="AU203"/>
  <c r="BK9"/>
  <c r="BK37"/>
  <c r="BK44"/>
  <c r="BK83"/>
  <c r="BK186"/>
  <c r="BK48"/>
  <c r="BK18"/>
  <c r="BK34"/>
  <c r="BK167"/>
  <c r="BK10"/>
  <c r="BK47"/>
  <c r="BK17"/>
  <c r="BK11"/>
  <c r="BK15"/>
  <c r="BK5"/>
  <c r="BK122"/>
  <c r="BK28"/>
  <c r="BK79"/>
  <c r="BK120"/>
  <c r="BK199"/>
  <c r="BK8"/>
  <c r="BK16"/>
  <c r="BK20"/>
  <c r="BK36"/>
  <c r="BK54"/>
  <c r="BK61"/>
  <c r="BK102"/>
  <c r="BK160"/>
  <c r="BK6"/>
  <c r="BK24"/>
  <c r="BK38"/>
  <c r="BK80"/>
  <c r="BK117"/>
  <c r="BK12"/>
  <c r="BK14"/>
  <c r="BK26"/>
  <c r="BK50"/>
  <c r="BK110"/>
  <c r="BK7"/>
  <c r="BK27"/>
  <c r="BK46"/>
  <c r="BK25"/>
  <c r="BK35"/>
  <c r="BK45"/>
  <c r="BK81"/>
  <c r="BK100"/>
  <c r="BK127"/>
  <c r="BK136"/>
  <c r="BK149"/>
  <c r="BK21"/>
  <c r="BK23"/>
  <c r="BK33"/>
  <c r="BK43"/>
  <c r="BK53"/>
  <c r="BK69"/>
  <c r="BK70"/>
  <c r="BK89"/>
  <c r="BK90"/>
  <c r="BK97"/>
  <c r="BK19"/>
  <c r="BK29"/>
  <c r="BK39"/>
  <c r="BK41"/>
  <c r="BK51"/>
  <c r="BK57"/>
  <c r="BK63"/>
  <c r="BK71"/>
  <c r="BK91"/>
  <c r="BK95"/>
  <c r="BK132"/>
  <c r="BK30"/>
  <c r="BK32"/>
  <c r="BK42"/>
  <c r="BK52"/>
  <c r="BK59"/>
  <c r="BK60"/>
  <c r="BK73"/>
  <c r="BK93"/>
  <c r="BK106"/>
  <c r="BK128"/>
  <c r="BK152"/>
  <c r="BK155"/>
  <c r="BK56"/>
  <c r="BK66"/>
  <c r="BK68"/>
  <c r="BK78"/>
  <c r="BK88"/>
  <c r="BK101"/>
  <c r="BK107"/>
  <c r="BK111"/>
  <c r="BK115"/>
  <c r="BK125"/>
  <c r="BK173"/>
  <c r="BK64"/>
  <c r="BK74"/>
  <c r="BK84"/>
  <c r="BK86"/>
  <c r="BK104"/>
  <c r="BK138"/>
  <c r="BK62"/>
  <c r="BK72"/>
  <c r="BK82"/>
  <c r="BK92"/>
  <c r="BK96"/>
  <c r="BK99"/>
  <c r="BK105"/>
  <c r="BK113"/>
  <c r="BK123"/>
  <c r="BK145"/>
  <c r="BK55"/>
  <c r="BK65"/>
  <c r="BK75"/>
  <c r="BK77"/>
  <c r="BK87"/>
  <c r="BK114"/>
  <c r="BK124"/>
  <c r="BK129"/>
  <c r="BK134"/>
  <c r="BK178"/>
  <c r="BK98"/>
  <c r="BK108"/>
  <c r="BK118"/>
  <c r="BK131"/>
  <c r="BK133"/>
  <c r="BK137"/>
  <c r="BK140"/>
  <c r="BK151"/>
  <c r="BK165"/>
  <c r="BK116"/>
  <c r="BK126"/>
  <c r="BK109"/>
  <c r="BK119"/>
  <c r="BK135"/>
  <c r="BK142"/>
  <c r="BK168"/>
  <c r="BK141"/>
  <c r="BK144"/>
  <c r="BK195"/>
  <c r="BK159"/>
  <c r="BK177"/>
  <c r="BK200"/>
  <c r="BK161"/>
  <c r="BK170"/>
  <c r="BK147"/>
  <c r="BK150"/>
  <c r="BK154"/>
  <c r="BK146"/>
  <c r="BK156"/>
  <c r="BK158"/>
  <c r="BK162"/>
  <c r="BK206"/>
  <c r="BK163"/>
  <c r="BK185"/>
  <c r="BK197"/>
  <c r="BK210"/>
  <c r="BK164"/>
  <c r="BK188"/>
  <c r="BK189"/>
  <c r="BK143"/>
  <c r="BK153"/>
  <c r="BK180"/>
  <c r="BK174"/>
  <c r="BK196"/>
  <c r="BK207"/>
  <c r="BK171"/>
  <c r="BK190"/>
  <c r="BK208"/>
  <c r="BK179"/>
  <c r="BK183"/>
  <c r="BK187"/>
  <c r="BK169"/>
  <c r="BK176"/>
  <c r="BK198"/>
  <c r="BK205"/>
  <c r="BK209"/>
  <c r="BK172"/>
  <c r="BK182"/>
  <c r="BK192"/>
  <c r="BK194"/>
  <c r="BK204"/>
  <c r="BK181"/>
  <c r="BK191"/>
  <c r="BK201"/>
  <c r="BK203"/>
  <c r="K9"/>
  <c r="K190"/>
  <c r="K30"/>
  <c r="K5"/>
  <c r="K6"/>
  <c r="K87"/>
  <c r="K52"/>
  <c r="K48"/>
  <c r="K55"/>
  <c r="K15"/>
  <c r="K16"/>
  <c r="K20"/>
  <c r="K32"/>
  <c r="K93"/>
  <c r="K96"/>
  <c r="K7"/>
  <c r="K50"/>
  <c r="K63"/>
  <c r="K107"/>
  <c r="K150"/>
  <c r="K12"/>
  <c r="K14"/>
  <c r="K17"/>
  <c r="K21"/>
  <c r="K28"/>
  <c r="K33"/>
  <c r="K34"/>
  <c r="K83"/>
  <c r="K84"/>
  <c r="K10"/>
  <c r="K18"/>
  <c r="K53"/>
  <c r="K54"/>
  <c r="K86"/>
  <c r="K136"/>
  <c r="K169"/>
  <c r="K8"/>
  <c r="K23"/>
  <c r="K24"/>
  <c r="K38"/>
  <c r="K42"/>
  <c r="K57"/>
  <c r="K59"/>
  <c r="K73"/>
  <c r="K74"/>
  <c r="K95"/>
  <c r="K98"/>
  <c r="K11"/>
  <c r="K43"/>
  <c r="K44"/>
  <c r="K64"/>
  <c r="K75"/>
  <c r="K119"/>
  <c r="K140"/>
  <c r="K19"/>
  <c r="K29"/>
  <c r="K39"/>
  <c r="K41"/>
  <c r="K51"/>
  <c r="K65"/>
  <c r="K79"/>
  <c r="K27"/>
  <c r="K37"/>
  <c r="K47"/>
  <c r="K25"/>
  <c r="K35"/>
  <c r="K45"/>
  <c r="K69"/>
  <c r="K89"/>
  <c r="K101"/>
  <c r="K108"/>
  <c r="K145"/>
  <c r="K26"/>
  <c r="K36"/>
  <c r="K46"/>
  <c r="K77"/>
  <c r="K100"/>
  <c r="K62"/>
  <c r="K72"/>
  <c r="K82"/>
  <c r="K92"/>
  <c r="K111"/>
  <c r="K135"/>
  <c r="K151"/>
  <c r="K60"/>
  <c r="K70"/>
  <c r="K80"/>
  <c r="K90"/>
  <c r="K99"/>
  <c r="K116"/>
  <c r="K126"/>
  <c r="K128"/>
  <c r="K134"/>
  <c r="K56"/>
  <c r="K66"/>
  <c r="K68"/>
  <c r="K78"/>
  <c r="K88"/>
  <c r="K97"/>
  <c r="K109"/>
  <c r="K113"/>
  <c r="K117"/>
  <c r="K118"/>
  <c r="K123"/>
  <c r="K127"/>
  <c r="K143"/>
  <c r="K161"/>
  <c r="K61"/>
  <c r="K71"/>
  <c r="K81"/>
  <c r="K91"/>
  <c r="K106"/>
  <c r="K110"/>
  <c r="K141"/>
  <c r="K182"/>
  <c r="K102"/>
  <c r="K104"/>
  <c r="K114"/>
  <c r="K124"/>
  <c r="K132"/>
  <c r="K120"/>
  <c r="K122"/>
  <c r="K158"/>
  <c r="K105"/>
  <c r="K115"/>
  <c r="K125"/>
  <c r="K144"/>
  <c r="K174"/>
  <c r="K133"/>
  <c r="K142"/>
  <c r="K156"/>
  <c r="K186"/>
  <c r="K199"/>
  <c r="K129"/>
  <c r="K131"/>
  <c r="K146"/>
  <c r="K153"/>
  <c r="K210"/>
  <c r="K138"/>
  <c r="K181"/>
  <c r="K154"/>
  <c r="K155"/>
  <c r="K152"/>
  <c r="K162"/>
  <c r="K201"/>
  <c r="K160"/>
  <c r="K164"/>
  <c r="K168"/>
  <c r="K172"/>
  <c r="K192"/>
  <c r="K195"/>
  <c r="K196"/>
  <c r="K137"/>
  <c r="K147"/>
  <c r="K149"/>
  <c r="K159"/>
  <c r="K163"/>
  <c r="K171"/>
  <c r="K173"/>
  <c r="K185"/>
  <c r="K189"/>
  <c r="K200"/>
  <c r="K203"/>
  <c r="K165"/>
  <c r="K167"/>
  <c r="K179"/>
  <c r="K183"/>
  <c r="K204"/>
  <c r="K170"/>
  <c r="K176"/>
  <c r="K191"/>
  <c r="K205"/>
  <c r="K209"/>
  <c r="K180"/>
  <c r="K194"/>
  <c r="K206"/>
  <c r="K178"/>
  <c r="K188"/>
  <c r="K198"/>
  <c r="K208"/>
  <c r="K177"/>
  <c r="K187"/>
  <c r="K197"/>
  <c r="K207"/>
  <c r="AO65"/>
  <c r="AO26"/>
  <c r="AO7"/>
  <c r="AO8"/>
  <c r="AO44"/>
  <c r="AO144"/>
  <c r="AO9"/>
  <c r="AO54"/>
  <c r="AO19"/>
  <c r="AO11"/>
  <c r="AO16"/>
  <c r="AO36"/>
  <c r="AO178"/>
  <c r="AO34"/>
  <c r="AO45"/>
  <c r="AO25"/>
  <c r="AO6"/>
  <c r="AO20"/>
  <c r="AO32"/>
  <c r="AO46"/>
  <c r="AO79"/>
  <c r="AO81"/>
  <c r="AO99"/>
  <c r="AO12"/>
  <c r="AO14"/>
  <c r="AO35"/>
  <c r="AO52"/>
  <c r="AO89"/>
  <c r="AO108"/>
  <c r="AO10"/>
  <c r="AO18"/>
  <c r="AO30"/>
  <c r="AO55"/>
  <c r="AO56"/>
  <c r="AO111"/>
  <c r="AO132"/>
  <c r="AO5"/>
  <c r="AO15"/>
  <c r="AO24"/>
  <c r="AO42"/>
  <c r="AO66"/>
  <c r="AO69"/>
  <c r="AO155"/>
  <c r="AO21"/>
  <c r="AO23"/>
  <c r="AO33"/>
  <c r="AO43"/>
  <c r="AO53"/>
  <c r="AO77"/>
  <c r="AO78"/>
  <c r="AO110"/>
  <c r="AO145"/>
  <c r="AO176"/>
  <c r="AO29"/>
  <c r="AO39"/>
  <c r="AO41"/>
  <c r="AO51"/>
  <c r="AO59"/>
  <c r="AO100"/>
  <c r="AO152"/>
  <c r="AO17"/>
  <c r="AO27"/>
  <c r="AO37"/>
  <c r="AO47"/>
  <c r="AO61"/>
  <c r="AO68"/>
  <c r="AO75"/>
  <c r="AO87"/>
  <c r="AO88"/>
  <c r="AO102"/>
  <c r="AO28"/>
  <c r="AO38"/>
  <c r="AO48"/>
  <c r="AO50"/>
  <c r="AO57"/>
  <c r="AO71"/>
  <c r="AO91"/>
  <c r="AO64"/>
  <c r="AO74"/>
  <c r="AO84"/>
  <c r="AO86"/>
  <c r="AO96"/>
  <c r="AO122"/>
  <c r="AO129"/>
  <c r="AO149"/>
  <c r="AO62"/>
  <c r="AO72"/>
  <c r="AO82"/>
  <c r="AO92"/>
  <c r="AO97"/>
  <c r="AO113"/>
  <c r="AO118"/>
  <c r="AO123"/>
  <c r="AO137"/>
  <c r="AO206"/>
  <c r="AO60"/>
  <c r="AO70"/>
  <c r="AO80"/>
  <c r="AO90"/>
  <c r="AO101"/>
  <c r="AO105"/>
  <c r="AO119"/>
  <c r="AO120"/>
  <c r="AO127"/>
  <c r="AO142"/>
  <c r="AO143"/>
  <c r="AO63"/>
  <c r="AO73"/>
  <c r="AO83"/>
  <c r="AO93"/>
  <c r="AO95"/>
  <c r="AO98"/>
  <c r="AO104"/>
  <c r="AO109"/>
  <c r="AO115"/>
  <c r="AO125"/>
  <c r="AO163"/>
  <c r="AO196"/>
  <c r="AO106"/>
  <c r="AO116"/>
  <c r="AO126"/>
  <c r="AO171"/>
  <c r="AO174"/>
  <c r="AO114"/>
  <c r="AO124"/>
  <c r="AO128"/>
  <c r="AO140"/>
  <c r="AO194"/>
  <c r="AO107"/>
  <c r="AO117"/>
  <c r="AO131"/>
  <c r="AO162"/>
  <c r="AO134"/>
  <c r="AO158"/>
  <c r="AO159"/>
  <c r="AO133"/>
  <c r="AO135"/>
  <c r="AO138"/>
  <c r="AO156"/>
  <c r="AO170"/>
  <c r="AO207"/>
  <c r="AO146"/>
  <c r="AO153"/>
  <c r="AO195"/>
  <c r="AO136"/>
  <c r="AO147"/>
  <c r="AO150"/>
  <c r="AO173"/>
  <c r="AO191"/>
  <c r="AO154"/>
  <c r="AO164"/>
  <c r="AO168"/>
  <c r="AO181"/>
  <c r="AO185"/>
  <c r="AO160"/>
  <c r="AO188"/>
  <c r="AO141"/>
  <c r="AO151"/>
  <c r="AO161"/>
  <c r="AO172"/>
  <c r="AO203"/>
  <c r="AO177"/>
  <c r="AO192"/>
  <c r="AO169"/>
  <c r="AO182"/>
  <c r="AO186"/>
  <c r="AO197"/>
  <c r="AO208"/>
  <c r="AO183"/>
  <c r="AO201"/>
  <c r="AO204"/>
  <c r="AO165"/>
  <c r="AO167"/>
  <c r="AO187"/>
  <c r="AO198"/>
  <c r="AO205"/>
  <c r="AO180"/>
  <c r="AO190"/>
  <c r="AO200"/>
  <c r="AO210"/>
  <c r="AO179"/>
  <c r="AO189"/>
  <c r="AO199"/>
  <c r="AO209"/>
  <c r="BL97"/>
  <c r="BL8"/>
  <c r="BL16"/>
  <c r="BL203"/>
  <c r="BL125"/>
  <c r="BL98"/>
  <c r="BL105"/>
  <c r="BL52"/>
  <c r="BL56"/>
  <c r="BL82"/>
  <c r="BL30"/>
  <c r="BL95"/>
  <c r="BL12"/>
  <c r="BL39"/>
  <c r="BL6"/>
  <c r="BL23"/>
  <c r="BL96"/>
  <c r="BL99"/>
  <c r="BL5"/>
  <c r="BL29"/>
  <c r="BL53"/>
  <c r="BL115"/>
  <c r="BL14"/>
  <c r="BL20"/>
  <c r="BL15"/>
  <c r="BL72"/>
  <c r="BL73"/>
  <c r="BL84"/>
  <c r="BL11"/>
  <c r="BL17"/>
  <c r="BL37"/>
  <c r="BL41"/>
  <c r="BL63"/>
  <c r="BL66"/>
  <c r="BL68"/>
  <c r="BL9"/>
  <c r="BL42"/>
  <c r="BL43"/>
  <c r="BL78"/>
  <c r="BL133"/>
  <c r="BL7"/>
  <c r="BL27"/>
  <c r="BL92"/>
  <c r="BL93"/>
  <c r="BL10"/>
  <c r="BL19"/>
  <c r="BL21"/>
  <c r="BL32"/>
  <c r="BL33"/>
  <c r="BL47"/>
  <c r="BL51"/>
  <c r="BL88"/>
  <c r="BL104"/>
  <c r="BL116"/>
  <c r="BL18"/>
  <c r="BL28"/>
  <c r="BL38"/>
  <c r="BL48"/>
  <c r="BL50"/>
  <c r="BL110"/>
  <c r="BL120"/>
  <c r="BL141"/>
  <c r="BL182"/>
  <c r="BL26"/>
  <c r="BL36"/>
  <c r="BL46"/>
  <c r="BL62"/>
  <c r="BL83"/>
  <c r="BL126"/>
  <c r="BL138"/>
  <c r="BL24"/>
  <c r="BL34"/>
  <c r="BL44"/>
  <c r="BL54"/>
  <c r="BL64"/>
  <c r="BL137"/>
  <c r="BL25"/>
  <c r="BL35"/>
  <c r="BL45"/>
  <c r="BL74"/>
  <c r="BL86"/>
  <c r="BL107"/>
  <c r="BL61"/>
  <c r="BL71"/>
  <c r="BL81"/>
  <c r="BL91"/>
  <c r="BL57"/>
  <c r="BL59"/>
  <c r="BL69"/>
  <c r="BL79"/>
  <c r="BL89"/>
  <c r="BL102"/>
  <c r="BL108"/>
  <c r="BL117"/>
  <c r="BL122"/>
  <c r="BL131"/>
  <c r="BL170"/>
  <c r="BL55"/>
  <c r="BL65"/>
  <c r="BL75"/>
  <c r="BL77"/>
  <c r="BL87"/>
  <c r="BL109"/>
  <c r="BL118"/>
  <c r="BL134"/>
  <c r="BL144"/>
  <c r="BL178"/>
  <c r="BL60"/>
  <c r="BL70"/>
  <c r="BL80"/>
  <c r="BL90"/>
  <c r="BL100"/>
  <c r="BL106"/>
  <c r="BL101"/>
  <c r="BL111"/>
  <c r="BL113"/>
  <c r="BL123"/>
  <c r="BL129"/>
  <c r="BL119"/>
  <c r="BL135"/>
  <c r="BL153"/>
  <c r="BL114"/>
  <c r="BL124"/>
  <c r="BL127"/>
  <c r="BL155"/>
  <c r="BL132"/>
  <c r="BL145"/>
  <c r="BL152"/>
  <c r="BL210"/>
  <c r="BL128"/>
  <c r="BL142"/>
  <c r="BL149"/>
  <c r="BL160"/>
  <c r="BL147"/>
  <c r="BL150"/>
  <c r="BL154"/>
  <c r="BL163"/>
  <c r="BL140"/>
  <c r="BL143"/>
  <c r="BL188"/>
  <c r="BL190"/>
  <c r="BL192"/>
  <c r="BL151"/>
  <c r="BL161"/>
  <c r="BL167"/>
  <c r="BL195"/>
  <c r="BL159"/>
  <c r="BL165"/>
  <c r="BL168"/>
  <c r="BL173"/>
  <c r="BL199"/>
  <c r="BL208"/>
  <c r="BL136"/>
  <c r="BL146"/>
  <c r="BL156"/>
  <c r="BL158"/>
  <c r="BL162"/>
  <c r="BL171"/>
  <c r="BL181"/>
  <c r="BL185"/>
  <c r="BL189"/>
  <c r="BL200"/>
  <c r="BL164"/>
  <c r="BL179"/>
  <c r="BL183"/>
  <c r="BL201"/>
  <c r="BL204"/>
  <c r="BL169"/>
  <c r="BL198"/>
  <c r="BL205"/>
  <c r="BL209"/>
  <c r="BL172"/>
  <c r="BL180"/>
  <c r="BL191"/>
  <c r="BL194"/>
  <c r="BL177"/>
  <c r="BL187"/>
  <c r="BL197"/>
  <c r="BL207"/>
  <c r="BL174"/>
  <c r="BL176"/>
  <c r="BL186"/>
  <c r="BL196"/>
  <c r="BL206"/>
  <c r="AT35"/>
  <c r="AT17"/>
  <c r="AT70"/>
  <c r="AT41"/>
  <c r="AT78"/>
  <c r="AT97"/>
  <c r="AT34"/>
  <c r="AT77"/>
  <c r="AT6"/>
  <c r="AT7"/>
  <c r="AT33"/>
  <c r="AT8"/>
  <c r="AT43"/>
  <c r="AT104"/>
  <c r="AT25"/>
  <c r="AT99"/>
  <c r="AT135"/>
  <c r="AT10"/>
  <c r="AT24"/>
  <c r="AT51"/>
  <c r="AT54"/>
  <c r="AT5"/>
  <c r="AT15"/>
  <c r="AT18"/>
  <c r="AT21"/>
  <c r="AT29"/>
  <c r="AT53"/>
  <c r="AT90"/>
  <c r="AT11"/>
  <c r="AT19"/>
  <c r="AT23"/>
  <c r="AT55"/>
  <c r="AT87"/>
  <c r="AT96"/>
  <c r="AT101"/>
  <c r="AT9"/>
  <c r="AT39"/>
  <c r="AT44"/>
  <c r="AT45"/>
  <c r="AT64"/>
  <c r="AT75"/>
  <c r="AT133"/>
  <c r="AT12"/>
  <c r="AT14"/>
  <c r="AT65"/>
  <c r="AT20"/>
  <c r="AT30"/>
  <c r="AT32"/>
  <c r="AT42"/>
  <c r="AT52"/>
  <c r="AT60"/>
  <c r="AT74"/>
  <c r="AT86"/>
  <c r="AT122"/>
  <c r="AT144"/>
  <c r="AT28"/>
  <c r="AT38"/>
  <c r="AT48"/>
  <c r="AT50"/>
  <c r="AT68"/>
  <c r="AT88"/>
  <c r="AT117"/>
  <c r="AT151"/>
  <c r="AT158"/>
  <c r="AT16"/>
  <c r="AT26"/>
  <c r="AT36"/>
  <c r="AT46"/>
  <c r="AT56"/>
  <c r="AT84"/>
  <c r="AT128"/>
  <c r="AT27"/>
  <c r="AT37"/>
  <c r="AT47"/>
  <c r="AT66"/>
  <c r="AT80"/>
  <c r="AT108"/>
  <c r="AT109"/>
  <c r="AT110"/>
  <c r="AT118"/>
  <c r="AT137"/>
  <c r="AT186"/>
  <c r="AT63"/>
  <c r="AT73"/>
  <c r="AT83"/>
  <c r="AT93"/>
  <c r="AT95"/>
  <c r="AT98"/>
  <c r="AT114"/>
  <c r="AT119"/>
  <c r="AT124"/>
  <c r="AT61"/>
  <c r="AT71"/>
  <c r="AT81"/>
  <c r="AT91"/>
  <c r="AT102"/>
  <c r="AT120"/>
  <c r="AT152"/>
  <c r="AT57"/>
  <c r="AT59"/>
  <c r="AT69"/>
  <c r="AT79"/>
  <c r="AT89"/>
  <c r="AT131"/>
  <c r="AT141"/>
  <c r="AT62"/>
  <c r="AT72"/>
  <c r="AT82"/>
  <c r="AT92"/>
  <c r="AT100"/>
  <c r="AT107"/>
  <c r="AT105"/>
  <c r="AT115"/>
  <c r="AT125"/>
  <c r="AT129"/>
  <c r="AT111"/>
  <c r="AT113"/>
  <c r="AT123"/>
  <c r="AT134"/>
  <c r="AT145"/>
  <c r="AT170"/>
  <c r="AT106"/>
  <c r="AT116"/>
  <c r="AT126"/>
  <c r="AT127"/>
  <c r="AT146"/>
  <c r="AT165"/>
  <c r="AT136"/>
  <c r="AT149"/>
  <c r="AT164"/>
  <c r="AT132"/>
  <c r="AT142"/>
  <c r="AT147"/>
  <c r="AT154"/>
  <c r="AT143"/>
  <c r="AT155"/>
  <c r="AT163"/>
  <c r="AT169"/>
  <c r="AT172"/>
  <c r="AT191"/>
  <c r="AT156"/>
  <c r="AT159"/>
  <c r="AT187"/>
  <c r="AT200"/>
  <c r="AT153"/>
  <c r="AT185"/>
  <c r="AT194"/>
  <c r="AT197"/>
  <c r="AT161"/>
  <c r="AT167"/>
  <c r="AT176"/>
  <c r="AT203"/>
  <c r="AT138"/>
  <c r="AT140"/>
  <c r="AT150"/>
  <c r="AT160"/>
  <c r="AT162"/>
  <c r="AT182"/>
  <c r="AT183"/>
  <c r="AT205"/>
  <c r="AT190"/>
  <c r="AT201"/>
  <c r="AT204"/>
  <c r="AT168"/>
  <c r="AT180"/>
  <c r="AT206"/>
  <c r="AT171"/>
  <c r="AT173"/>
  <c r="AT177"/>
  <c r="AT192"/>
  <c r="AT195"/>
  <c r="AT210"/>
  <c r="AT174"/>
  <c r="AT181"/>
  <c r="AT196"/>
  <c r="AT207"/>
  <c r="AT179"/>
  <c r="AT189"/>
  <c r="AT199"/>
  <c r="AT209"/>
  <c r="AT178"/>
  <c r="AT188"/>
  <c r="AT198"/>
  <c r="AT208"/>
  <c r="F128"/>
  <c r="F209"/>
  <c r="F66"/>
  <c r="F63"/>
  <c r="F117"/>
  <c r="F205"/>
  <c r="F137"/>
  <c r="F154"/>
  <c r="F88"/>
  <c r="F98"/>
  <c r="F37"/>
  <c r="F60"/>
  <c r="F86"/>
  <c r="F159"/>
  <c r="F7"/>
  <c r="F188"/>
  <c r="F34"/>
  <c r="F145"/>
  <c r="F200"/>
  <c r="F192"/>
  <c r="F191"/>
  <c r="F45"/>
  <c r="F194"/>
  <c r="F39"/>
  <c r="F38"/>
  <c r="F62"/>
  <c r="F169"/>
  <c r="F99"/>
  <c r="F14"/>
  <c r="F19"/>
  <c r="F36"/>
  <c r="F25"/>
  <c r="F33"/>
  <c r="F124"/>
  <c r="F110"/>
  <c r="F24"/>
  <c r="F53"/>
  <c r="F198"/>
  <c r="F46"/>
  <c r="F160"/>
  <c r="F69"/>
  <c r="F74"/>
  <c r="F106"/>
  <c r="F97"/>
  <c r="F80"/>
  <c r="F96"/>
  <c r="F82"/>
  <c r="F210"/>
  <c r="F153"/>
  <c r="F183"/>
  <c r="F91"/>
  <c r="F180"/>
  <c r="F152"/>
  <c r="F42"/>
  <c r="F185"/>
  <c r="F143"/>
  <c r="F50"/>
  <c r="F87"/>
  <c r="F16"/>
  <c r="F134"/>
  <c r="F204"/>
  <c r="F125"/>
  <c r="F141"/>
  <c r="F201"/>
  <c r="F190"/>
  <c r="F8"/>
  <c r="F208"/>
  <c r="F102"/>
  <c r="F9"/>
  <c r="F179"/>
  <c r="F89"/>
  <c r="F207"/>
  <c r="F122"/>
  <c r="F78"/>
  <c r="F116"/>
  <c r="F164"/>
  <c r="F79"/>
  <c r="F123"/>
  <c r="F72"/>
  <c r="F140"/>
  <c r="F32"/>
  <c r="F146"/>
  <c r="F177"/>
  <c r="F129"/>
  <c r="F68"/>
  <c r="F54"/>
  <c r="F133"/>
  <c r="F115"/>
  <c r="F135"/>
  <c r="F15"/>
  <c r="F113"/>
  <c r="F132"/>
  <c r="F56"/>
  <c r="F6"/>
  <c r="F51"/>
  <c r="F48"/>
  <c r="F144"/>
  <c r="F173"/>
  <c r="F182"/>
  <c r="F151"/>
  <c r="F55"/>
  <c r="F165"/>
  <c r="F28"/>
  <c r="F81"/>
  <c r="F187"/>
  <c r="F73"/>
  <c r="F35"/>
  <c r="F10"/>
  <c r="F168"/>
  <c r="F197"/>
  <c r="F150"/>
  <c r="F178"/>
  <c r="F161"/>
  <c r="F189"/>
  <c r="F195"/>
  <c r="F93"/>
  <c r="F44"/>
  <c r="F71"/>
  <c r="F172"/>
  <c r="F26"/>
  <c r="F171"/>
  <c r="F111"/>
  <c r="F127"/>
  <c r="F70"/>
  <c r="F181"/>
  <c r="F136"/>
  <c r="F142"/>
  <c r="F163"/>
  <c r="F52"/>
  <c r="F20"/>
  <c r="F75"/>
  <c r="F199"/>
  <c r="F105"/>
  <c r="F64"/>
  <c r="F107"/>
  <c r="F114"/>
  <c r="F162"/>
  <c r="F61"/>
  <c r="F57"/>
  <c r="F120"/>
  <c r="F158"/>
  <c r="F109"/>
  <c r="F126"/>
  <c r="F118"/>
  <c r="F138"/>
  <c r="F18"/>
  <c r="F186"/>
  <c r="F108"/>
  <c r="F90"/>
  <c r="F100"/>
  <c r="F170"/>
  <c r="F21"/>
  <c r="F43"/>
  <c r="F92"/>
  <c r="F30"/>
  <c r="F104"/>
  <c r="F27"/>
  <c r="F196"/>
  <c r="F17"/>
  <c r="F147"/>
  <c r="F174"/>
  <c r="F131"/>
  <c r="F95"/>
  <c r="F65"/>
  <c r="F77"/>
  <c r="F203"/>
  <c r="F206"/>
  <c r="F47"/>
  <c r="F176"/>
  <c r="F23"/>
  <c r="F155"/>
  <c r="F149"/>
  <c r="F101"/>
  <c r="F167"/>
  <c r="F12"/>
  <c r="F119"/>
  <c r="F156"/>
  <c r="F11"/>
  <c r="F5"/>
  <c r="F29"/>
  <c r="F83"/>
  <c r="F41"/>
  <c r="F59"/>
  <c r="F84"/>
  <c r="AL142"/>
  <c r="AL34"/>
  <c r="AL68"/>
  <c r="AL25"/>
  <c r="AL18"/>
  <c r="AL64"/>
  <c r="AL66"/>
  <c r="AL107"/>
  <c r="AL6"/>
  <c r="AL7"/>
  <c r="AL117"/>
  <c r="AL167"/>
  <c r="AL23"/>
  <c r="AL24"/>
  <c r="AL10"/>
  <c r="AL128"/>
  <c r="AL156"/>
  <c r="AL129"/>
  <c r="AL8"/>
  <c r="AL35"/>
  <c r="AL75"/>
  <c r="AL43"/>
  <c r="AL98"/>
  <c r="AL102"/>
  <c r="AL122"/>
  <c r="AL5"/>
  <c r="AL15"/>
  <c r="AL19"/>
  <c r="AL39"/>
  <c r="AL44"/>
  <c r="AL45"/>
  <c r="AL77"/>
  <c r="AL80"/>
  <c r="AL11"/>
  <c r="AL33"/>
  <c r="AL51"/>
  <c r="AL9"/>
  <c r="AL17"/>
  <c r="AL29"/>
  <c r="AL53"/>
  <c r="AL87"/>
  <c r="AL88"/>
  <c r="AL96"/>
  <c r="AL12"/>
  <c r="AL14"/>
  <c r="AL21"/>
  <c r="AL41"/>
  <c r="AL54"/>
  <c r="AL120"/>
  <c r="AL134"/>
  <c r="AL20"/>
  <c r="AL30"/>
  <c r="AL32"/>
  <c r="AL42"/>
  <c r="AL52"/>
  <c r="AL56"/>
  <c r="AL84"/>
  <c r="AL101"/>
  <c r="AL28"/>
  <c r="AL38"/>
  <c r="AL48"/>
  <c r="AL50"/>
  <c r="AL65"/>
  <c r="AL78"/>
  <c r="AL109"/>
  <c r="AL110"/>
  <c r="AL162"/>
  <c r="AL165"/>
  <c r="AL16"/>
  <c r="AL26"/>
  <c r="AL36"/>
  <c r="AL46"/>
  <c r="AL60"/>
  <c r="AL74"/>
  <c r="AL86"/>
  <c r="AL27"/>
  <c r="AL37"/>
  <c r="AL47"/>
  <c r="AL55"/>
  <c r="AL70"/>
  <c r="AL90"/>
  <c r="AL63"/>
  <c r="AL73"/>
  <c r="AL83"/>
  <c r="AL93"/>
  <c r="AL95"/>
  <c r="AL104"/>
  <c r="AL131"/>
  <c r="AL61"/>
  <c r="AL71"/>
  <c r="AL81"/>
  <c r="AL91"/>
  <c r="AL99"/>
  <c r="AL136"/>
  <c r="AL169"/>
  <c r="AL173"/>
  <c r="AL57"/>
  <c r="AL59"/>
  <c r="AL69"/>
  <c r="AL79"/>
  <c r="AL89"/>
  <c r="AL100"/>
  <c r="AL118"/>
  <c r="AL144"/>
  <c r="AL62"/>
  <c r="AL72"/>
  <c r="AL82"/>
  <c r="AL92"/>
  <c r="AL97"/>
  <c r="AL108"/>
  <c r="AL114"/>
  <c r="AL119"/>
  <c r="AL124"/>
  <c r="AL105"/>
  <c r="AL115"/>
  <c r="AL125"/>
  <c r="AL141"/>
  <c r="AL158"/>
  <c r="AL111"/>
  <c r="AL113"/>
  <c r="AL123"/>
  <c r="AL127"/>
  <c r="AL143"/>
  <c r="AL149"/>
  <c r="AL151"/>
  <c r="AL106"/>
  <c r="AL116"/>
  <c r="AL126"/>
  <c r="AL133"/>
  <c r="AL180"/>
  <c r="AL147"/>
  <c r="AL154"/>
  <c r="AL132"/>
  <c r="AL137"/>
  <c r="AL155"/>
  <c r="AL159"/>
  <c r="AL190"/>
  <c r="AL201"/>
  <c r="AL145"/>
  <c r="AL152"/>
  <c r="AL170"/>
  <c r="AL135"/>
  <c r="AL146"/>
  <c r="AL172"/>
  <c r="AL195"/>
  <c r="AL153"/>
  <c r="AL163"/>
  <c r="AL192"/>
  <c r="AL204"/>
  <c r="AL161"/>
  <c r="AL164"/>
  <c r="AL183"/>
  <c r="AL206"/>
  <c r="AL187"/>
  <c r="AL210"/>
  <c r="AL138"/>
  <c r="AL140"/>
  <c r="AL150"/>
  <c r="AL160"/>
  <c r="AL177"/>
  <c r="AL176"/>
  <c r="AL191"/>
  <c r="AL194"/>
  <c r="AL205"/>
  <c r="AL168"/>
  <c r="AL174"/>
  <c r="AL181"/>
  <c r="AL196"/>
  <c r="AL207"/>
  <c r="AL171"/>
  <c r="AL185"/>
  <c r="AL200"/>
  <c r="AL203"/>
  <c r="AL182"/>
  <c r="AL186"/>
  <c r="AL197"/>
  <c r="AL179"/>
  <c r="AL189"/>
  <c r="AL199"/>
  <c r="AL209"/>
  <c r="AL178"/>
  <c r="AL188"/>
  <c r="AL198"/>
  <c r="AL208"/>
  <c r="H33"/>
  <c r="H53"/>
  <c r="H12"/>
  <c r="H16"/>
  <c r="H20"/>
  <c r="H5"/>
  <c r="H88"/>
  <c r="H8"/>
  <c r="H43"/>
  <c r="H51"/>
  <c r="H29"/>
  <c r="H137"/>
  <c r="H32"/>
  <c r="H39"/>
  <c r="H52"/>
  <c r="H15"/>
  <c r="H82"/>
  <c r="H14"/>
  <c r="H19"/>
  <c r="H109"/>
  <c r="H110"/>
  <c r="H42"/>
  <c r="H47"/>
  <c r="H68"/>
  <c r="H86"/>
  <c r="H6"/>
  <c r="H62"/>
  <c r="H83"/>
  <c r="H11"/>
  <c r="H27"/>
  <c r="H78"/>
  <c r="H118"/>
  <c r="H134"/>
  <c r="H9"/>
  <c r="H17"/>
  <c r="H21"/>
  <c r="H92"/>
  <c r="H129"/>
  <c r="H7"/>
  <c r="H37"/>
  <c r="H41"/>
  <c r="H102"/>
  <c r="H10"/>
  <c r="H23"/>
  <c r="H30"/>
  <c r="H72"/>
  <c r="H74"/>
  <c r="H154"/>
  <c r="H18"/>
  <c r="H28"/>
  <c r="H38"/>
  <c r="H48"/>
  <c r="H50"/>
  <c r="H64"/>
  <c r="H96"/>
  <c r="H100"/>
  <c r="H160"/>
  <c r="H26"/>
  <c r="H36"/>
  <c r="H46"/>
  <c r="H66"/>
  <c r="H73"/>
  <c r="H93"/>
  <c r="H97"/>
  <c r="H120"/>
  <c r="H138"/>
  <c r="H209"/>
  <c r="H24"/>
  <c r="H34"/>
  <c r="H44"/>
  <c r="H54"/>
  <c r="H106"/>
  <c r="H107"/>
  <c r="H25"/>
  <c r="H35"/>
  <c r="H45"/>
  <c r="H55"/>
  <c r="H56"/>
  <c r="H63"/>
  <c r="H84"/>
  <c r="H95"/>
  <c r="H61"/>
  <c r="H71"/>
  <c r="H81"/>
  <c r="H91"/>
  <c r="H133"/>
  <c r="H150"/>
  <c r="H57"/>
  <c r="H59"/>
  <c r="H69"/>
  <c r="H79"/>
  <c r="H89"/>
  <c r="H98"/>
  <c r="H104"/>
  <c r="H115"/>
  <c r="H125"/>
  <c r="H65"/>
  <c r="H75"/>
  <c r="H77"/>
  <c r="H87"/>
  <c r="H99"/>
  <c r="H108"/>
  <c r="H116"/>
  <c r="H126"/>
  <c r="H191"/>
  <c r="H60"/>
  <c r="H70"/>
  <c r="H80"/>
  <c r="H90"/>
  <c r="H105"/>
  <c r="H117"/>
  <c r="H122"/>
  <c r="H127"/>
  <c r="H143"/>
  <c r="H189"/>
  <c r="H101"/>
  <c r="H111"/>
  <c r="H113"/>
  <c r="H123"/>
  <c r="H131"/>
  <c r="H140"/>
  <c r="H192"/>
  <c r="H119"/>
  <c r="H135"/>
  <c r="H147"/>
  <c r="H114"/>
  <c r="H124"/>
  <c r="H132"/>
  <c r="H142"/>
  <c r="H162"/>
  <c r="H141"/>
  <c r="H144"/>
  <c r="H155"/>
  <c r="H167"/>
  <c r="H194"/>
  <c r="H128"/>
  <c r="H145"/>
  <c r="H152"/>
  <c r="H149"/>
  <c r="H168"/>
  <c r="H173"/>
  <c r="H198"/>
  <c r="H153"/>
  <c r="H181"/>
  <c r="H151"/>
  <c r="H161"/>
  <c r="H170"/>
  <c r="H200"/>
  <c r="H159"/>
  <c r="H163"/>
  <c r="H171"/>
  <c r="H180"/>
  <c r="H205"/>
  <c r="H136"/>
  <c r="H146"/>
  <c r="H156"/>
  <c r="H158"/>
  <c r="H165"/>
  <c r="H185"/>
  <c r="H188"/>
  <c r="H195"/>
  <c r="H199"/>
  <c r="H210"/>
  <c r="H164"/>
  <c r="H178"/>
  <c r="H203"/>
  <c r="H169"/>
  <c r="H182"/>
  <c r="H190"/>
  <c r="H208"/>
  <c r="H172"/>
  <c r="H179"/>
  <c r="H183"/>
  <c r="H201"/>
  <c r="H204"/>
  <c r="H177"/>
  <c r="H187"/>
  <c r="H197"/>
  <c r="H207"/>
  <c r="H174"/>
  <c r="H176"/>
  <c r="H186"/>
  <c r="H196"/>
  <c r="H206"/>
  <c r="AC192"/>
  <c r="AC32"/>
  <c r="AC63"/>
  <c r="AC36"/>
  <c r="AC7"/>
  <c r="AC5"/>
  <c r="AC15"/>
  <c r="AC42"/>
  <c r="AC20"/>
  <c r="AC28"/>
  <c r="AC38"/>
  <c r="AC46"/>
  <c r="AC95"/>
  <c r="AC51"/>
  <c r="AC11"/>
  <c r="AC29"/>
  <c r="AC109"/>
  <c r="AC12"/>
  <c r="AC19"/>
  <c r="AC77"/>
  <c r="AC81"/>
  <c r="AC14"/>
  <c r="AC10"/>
  <c r="AC48"/>
  <c r="AC52"/>
  <c r="AC62"/>
  <c r="AC71"/>
  <c r="AC72"/>
  <c r="AC98"/>
  <c r="AC124"/>
  <c r="AC8"/>
  <c r="AC30"/>
  <c r="AC41"/>
  <c r="AC116"/>
  <c r="AC6"/>
  <c r="AC152"/>
  <c r="AC9"/>
  <c r="AC16"/>
  <c r="AC18"/>
  <c r="AC26"/>
  <c r="AC39"/>
  <c r="AC50"/>
  <c r="AC91"/>
  <c r="AC92"/>
  <c r="AC17"/>
  <c r="AC27"/>
  <c r="AC37"/>
  <c r="AC47"/>
  <c r="AC73"/>
  <c r="AC93"/>
  <c r="AC117"/>
  <c r="AC119"/>
  <c r="AC25"/>
  <c r="AC35"/>
  <c r="AC45"/>
  <c r="AC61"/>
  <c r="AC75"/>
  <c r="AC82"/>
  <c r="AC87"/>
  <c r="AC102"/>
  <c r="AC21"/>
  <c r="AC23"/>
  <c r="AC33"/>
  <c r="AC43"/>
  <c r="AC53"/>
  <c r="AC55"/>
  <c r="AC83"/>
  <c r="AC101"/>
  <c r="AC106"/>
  <c r="AC114"/>
  <c r="AC126"/>
  <c r="AC143"/>
  <c r="AC181"/>
  <c r="AC24"/>
  <c r="AC34"/>
  <c r="AC44"/>
  <c r="AC54"/>
  <c r="AC65"/>
  <c r="AC60"/>
  <c r="AC70"/>
  <c r="AC80"/>
  <c r="AC90"/>
  <c r="AC104"/>
  <c r="AC128"/>
  <c r="AC129"/>
  <c r="AC141"/>
  <c r="AC162"/>
  <c r="AC56"/>
  <c r="AC66"/>
  <c r="AC68"/>
  <c r="AC78"/>
  <c r="AC88"/>
  <c r="AC99"/>
  <c r="AC107"/>
  <c r="AC134"/>
  <c r="AC140"/>
  <c r="AC191"/>
  <c r="AC64"/>
  <c r="AC74"/>
  <c r="AC84"/>
  <c r="AC86"/>
  <c r="AC96"/>
  <c r="AC108"/>
  <c r="AC136"/>
  <c r="AC165"/>
  <c r="AC169"/>
  <c r="AC57"/>
  <c r="AC59"/>
  <c r="AC69"/>
  <c r="AC79"/>
  <c r="AC89"/>
  <c r="AC97"/>
  <c r="AC105"/>
  <c r="AC115"/>
  <c r="AC125"/>
  <c r="AC131"/>
  <c r="AC209"/>
  <c r="AC100"/>
  <c r="AC110"/>
  <c r="AC120"/>
  <c r="AC122"/>
  <c r="AC132"/>
  <c r="AC154"/>
  <c r="AC118"/>
  <c r="AC133"/>
  <c r="AC142"/>
  <c r="AC111"/>
  <c r="AC113"/>
  <c r="AC123"/>
  <c r="AC144"/>
  <c r="AC147"/>
  <c r="AC189"/>
  <c r="AC151"/>
  <c r="AC158"/>
  <c r="AC159"/>
  <c r="AC172"/>
  <c r="AC198"/>
  <c r="AC127"/>
  <c r="AC137"/>
  <c r="AC156"/>
  <c r="AC138"/>
  <c r="AC146"/>
  <c r="AC153"/>
  <c r="AC194"/>
  <c r="AC149"/>
  <c r="AC161"/>
  <c r="AC207"/>
  <c r="AC150"/>
  <c r="AC160"/>
  <c r="AC164"/>
  <c r="AC177"/>
  <c r="AC170"/>
  <c r="AC135"/>
  <c r="AC145"/>
  <c r="AC155"/>
  <c r="AC167"/>
  <c r="AC187"/>
  <c r="AC210"/>
  <c r="AC180"/>
  <c r="AC188"/>
  <c r="AC199"/>
  <c r="AC163"/>
  <c r="AC178"/>
  <c r="AC200"/>
  <c r="AC203"/>
  <c r="AC168"/>
  <c r="AC182"/>
  <c r="AC197"/>
  <c r="AC208"/>
  <c r="AC171"/>
  <c r="AC179"/>
  <c r="AC190"/>
  <c r="AC201"/>
  <c r="AC204"/>
  <c r="AC174"/>
  <c r="AC176"/>
  <c r="AC186"/>
  <c r="AC196"/>
  <c r="AC206"/>
  <c r="AC173"/>
  <c r="AC183"/>
  <c r="AC185"/>
  <c r="AC195"/>
  <c r="AC205"/>
  <c r="AC205" i="2" l="1"/>
  <c r="AC195"/>
  <c r="AC184" i="3"/>
  <c r="AC184" i="2" s="1"/>
  <c r="AC185"/>
  <c r="AC183"/>
  <c r="AC173"/>
  <c r="AC206"/>
  <c r="AC196"/>
  <c r="AC186"/>
  <c r="AC175" i="3"/>
  <c r="AC175" i="2" s="1"/>
  <c r="AC176"/>
  <c r="AC174"/>
  <c r="AC204"/>
  <c r="AC201"/>
  <c r="AC190"/>
  <c r="AC179"/>
  <c r="AC171"/>
  <c r="AC208"/>
  <c r="AC197"/>
  <c r="AC182"/>
  <c r="AC168"/>
  <c r="AC202" i="3"/>
  <c r="AC202" i="2" s="1"/>
  <c r="AC203"/>
  <c r="AC200"/>
  <c r="AC178"/>
  <c r="AC163"/>
  <c r="AC199"/>
  <c r="AC188"/>
  <c r="AC180"/>
  <c r="AC210"/>
  <c r="AC187"/>
  <c r="AC166" i="3"/>
  <c r="AC166" i="2" s="1"/>
  <c r="AC167"/>
  <c r="AC155"/>
  <c r="AC145"/>
  <c r="AC135"/>
  <c r="AC170"/>
  <c r="AC177"/>
  <c r="AC164"/>
  <c r="AC160"/>
  <c r="AC150"/>
  <c r="AC207"/>
  <c r="AC161"/>
  <c r="AC148" i="3"/>
  <c r="AC148" i="2" s="1"/>
  <c r="AC149"/>
  <c r="AC193" i="3"/>
  <c r="AC193" i="2" s="1"/>
  <c r="AC194"/>
  <c r="AC153"/>
  <c r="AC146"/>
  <c r="AC138"/>
  <c r="AC156"/>
  <c r="AC137"/>
  <c r="AC127"/>
  <c r="AC198"/>
  <c r="AC172"/>
  <c r="AC159"/>
  <c r="AC157" i="3"/>
  <c r="AC157" i="2" s="1"/>
  <c r="AC158"/>
  <c r="AC151"/>
  <c r="AC189"/>
  <c r="AC147"/>
  <c r="AC144"/>
  <c r="AC123"/>
  <c r="AC112" i="3"/>
  <c r="AC112" i="2" s="1"/>
  <c r="AC113"/>
  <c r="AC111"/>
  <c r="AC142"/>
  <c r="AC133"/>
  <c r="AC118"/>
  <c r="AC154"/>
  <c r="AC132"/>
  <c r="AC121" i="3"/>
  <c r="AC121" i="2" s="1"/>
  <c r="AC122"/>
  <c r="AC120"/>
  <c r="AC110"/>
  <c r="AC100"/>
  <c r="AC209"/>
  <c r="AC130" i="3"/>
  <c r="AC130" i="2" s="1"/>
  <c r="AC131"/>
  <c r="AC125"/>
  <c r="AC115"/>
  <c r="AC105"/>
  <c r="AC97"/>
  <c r="AC89"/>
  <c r="AC79"/>
  <c r="AC69"/>
  <c r="AC58" i="3"/>
  <c r="AC58" i="2" s="1"/>
  <c r="AC59"/>
  <c r="AC57"/>
  <c r="AC169"/>
  <c r="AC165"/>
  <c r="AC136"/>
  <c r="AC108"/>
  <c r="AC96"/>
  <c r="AC85" i="3"/>
  <c r="AC85" i="2" s="1"/>
  <c r="AC86"/>
  <c r="AC84"/>
  <c r="AC74"/>
  <c r="AC64"/>
  <c r="AC191"/>
  <c r="AC139" i="3"/>
  <c r="AC139" i="2" s="1"/>
  <c r="AC140"/>
  <c r="AC134"/>
  <c r="AC107"/>
  <c r="AC99"/>
  <c r="AC88"/>
  <c r="AC78"/>
  <c r="AC67" i="3"/>
  <c r="AC67" i="2" s="1"/>
  <c r="AC68"/>
  <c r="AC66"/>
  <c r="AC56"/>
  <c r="AC162"/>
  <c r="AC141"/>
  <c r="AC129"/>
  <c r="AC128"/>
  <c r="AC103" i="3"/>
  <c r="AC103" i="2" s="1"/>
  <c r="AC104"/>
  <c r="AC90"/>
  <c r="AC80"/>
  <c r="AC70"/>
  <c r="AC60"/>
  <c r="AC65"/>
  <c r="AC54"/>
  <c r="AC44"/>
  <c r="AC34"/>
  <c r="AC24"/>
  <c r="AC181"/>
  <c r="AC143"/>
  <c r="AC126"/>
  <c r="AC114"/>
  <c r="AC106"/>
  <c r="AC101"/>
  <c r="AC83"/>
  <c r="AC55"/>
  <c r="AC53"/>
  <c r="AC43"/>
  <c r="AC33"/>
  <c r="AC22" i="3"/>
  <c r="AC22" i="2" s="1"/>
  <c r="AC23"/>
  <c r="AC21"/>
  <c r="AC102"/>
  <c r="AC87"/>
  <c r="AC82"/>
  <c r="AC75"/>
  <c r="AC61"/>
  <c r="AC45"/>
  <c r="AC35"/>
  <c r="AC25"/>
  <c r="AC119"/>
  <c r="AC117"/>
  <c r="AC93"/>
  <c r="AC73"/>
  <c r="AC47"/>
  <c r="AC37"/>
  <c r="AC27"/>
  <c r="AC17"/>
  <c r="AC92"/>
  <c r="AC91"/>
  <c r="AC49" i="3"/>
  <c r="AC49" i="2" s="1"/>
  <c r="AC50"/>
  <c r="AC39"/>
  <c r="AC26"/>
  <c r="AC18"/>
  <c r="AC16"/>
  <c r="AC9"/>
  <c r="AC152"/>
  <c r="AC6"/>
  <c r="AC116"/>
  <c r="AC40" i="3"/>
  <c r="AC40" i="2" s="1"/>
  <c r="AC41"/>
  <c r="AC30"/>
  <c r="AC8"/>
  <c r="AC124"/>
  <c r="AC98"/>
  <c r="AC72"/>
  <c r="AC71"/>
  <c r="AC62"/>
  <c r="AC52"/>
  <c r="AC48"/>
  <c r="AC10"/>
  <c r="AC13" i="3"/>
  <c r="AC13" i="2" s="1"/>
  <c r="AC14"/>
  <c r="AC81"/>
  <c r="AC76" i="3"/>
  <c r="AC76" i="2" s="1"/>
  <c r="AC77"/>
  <c r="AC19"/>
  <c r="AC12"/>
  <c r="AC109"/>
  <c r="AC29"/>
  <c r="AC11"/>
  <c r="AC51"/>
  <c r="AC94" i="3"/>
  <c r="AC94" i="2" s="1"/>
  <c r="AC95"/>
  <c r="AC46"/>
  <c r="AC38"/>
  <c r="AC28"/>
  <c r="AC20"/>
  <c r="AC42"/>
  <c r="AC15"/>
  <c r="AC5"/>
  <c r="AC4" i="3"/>
  <c r="AC4" i="2" s="1"/>
  <c r="AC7"/>
  <c r="AC36"/>
  <c r="AC63"/>
  <c r="AC31" i="3"/>
  <c r="AC31" i="2" s="1"/>
  <c r="AC32"/>
  <c r="AC192"/>
  <c r="H206"/>
  <c r="H196"/>
  <c r="H186"/>
  <c r="H175" i="3"/>
  <c r="H175" i="2" s="1"/>
  <c r="H176"/>
  <c r="H174"/>
  <c r="H207"/>
  <c r="H197"/>
  <c r="H187"/>
  <c r="H177"/>
  <c r="H204"/>
  <c r="H201"/>
  <c r="H183"/>
  <c r="H179"/>
  <c r="H172"/>
  <c r="H208"/>
  <c r="H190"/>
  <c r="H182"/>
  <c r="H169"/>
  <c r="H202" i="3"/>
  <c r="H202" i="2" s="1"/>
  <c r="H203"/>
  <c r="H178"/>
  <c r="H164"/>
  <c r="H210"/>
  <c r="H199"/>
  <c r="H195"/>
  <c r="H188"/>
  <c r="H184" i="3"/>
  <c r="H184" i="2" s="1"/>
  <c r="H185"/>
  <c r="H165"/>
  <c r="H157" i="3"/>
  <c r="H157" i="2" s="1"/>
  <c r="H158"/>
  <c r="H156"/>
  <c r="H146"/>
  <c r="H136"/>
  <c r="H205"/>
  <c r="H180"/>
  <c r="H171"/>
  <c r="H163"/>
  <c r="H159"/>
  <c r="H200"/>
  <c r="H170"/>
  <c r="H161"/>
  <c r="H151"/>
  <c r="H181"/>
  <c r="H153"/>
  <c r="H198"/>
  <c r="H173"/>
  <c r="H168"/>
  <c r="H148" i="3"/>
  <c r="H148" i="2" s="1"/>
  <c r="H149"/>
  <c r="H152"/>
  <c r="H145"/>
  <c r="H128"/>
  <c r="H193" i="3"/>
  <c r="H193" i="2" s="1"/>
  <c r="H194"/>
  <c r="H166" i="3"/>
  <c r="H166" i="2" s="1"/>
  <c r="H167"/>
  <c r="H155"/>
  <c r="H144"/>
  <c r="H141"/>
  <c r="H162"/>
  <c r="H142"/>
  <c r="H132"/>
  <c r="H124"/>
  <c r="H114"/>
  <c r="H147"/>
  <c r="H135"/>
  <c r="H119"/>
  <c r="H192"/>
  <c r="H139" i="3"/>
  <c r="H139" i="2" s="1"/>
  <c r="H140"/>
  <c r="H130" i="3"/>
  <c r="H130" i="2" s="1"/>
  <c r="H131"/>
  <c r="H123"/>
  <c r="H112" i="3"/>
  <c r="H112" i="2" s="1"/>
  <c r="H113"/>
  <c r="H111"/>
  <c r="H101"/>
  <c r="H189"/>
  <c r="H143"/>
  <c r="H127"/>
  <c r="H121" i="3"/>
  <c r="H121" i="2" s="1"/>
  <c r="H122"/>
  <c r="H117"/>
  <c r="H105"/>
  <c r="H90"/>
  <c r="H80"/>
  <c r="H70"/>
  <c r="H60"/>
  <c r="H191"/>
  <c r="H126"/>
  <c r="H116"/>
  <c r="H108"/>
  <c r="H99"/>
  <c r="H87"/>
  <c r="H76" i="3"/>
  <c r="H76" i="2" s="1"/>
  <c r="H77"/>
  <c r="H75"/>
  <c r="H65"/>
  <c r="H125"/>
  <c r="H115"/>
  <c r="H103" i="3"/>
  <c r="H103" i="2" s="1"/>
  <c r="H104"/>
  <c r="H98"/>
  <c r="H89"/>
  <c r="H79"/>
  <c r="H69"/>
  <c r="H58" i="3"/>
  <c r="H58" i="2" s="1"/>
  <c r="H59"/>
  <c r="H57"/>
  <c r="H150"/>
  <c r="H133"/>
  <c r="H91"/>
  <c r="H81"/>
  <c r="H71"/>
  <c r="H61"/>
  <c r="H94" i="3"/>
  <c r="H94" i="2" s="1"/>
  <c r="H95"/>
  <c r="H84"/>
  <c r="H63"/>
  <c r="H56"/>
  <c r="H55"/>
  <c r="H45"/>
  <c r="H35"/>
  <c r="H25"/>
  <c r="H107"/>
  <c r="H106"/>
  <c r="H54"/>
  <c r="H44"/>
  <c r="H34"/>
  <c r="H24"/>
  <c r="H209"/>
  <c r="H138"/>
  <c r="H120"/>
  <c r="H97"/>
  <c r="H93"/>
  <c r="H73"/>
  <c r="H66"/>
  <c r="H46"/>
  <c r="H36"/>
  <c r="H26"/>
  <c r="H160"/>
  <c r="H100"/>
  <c r="H96"/>
  <c r="H64"/>
  <c r="H49" i="3"/>
  <c r="H49" i="2" s="1"/>
  <c r="H50"/>
  <c r="H48"/>
  <c r="H38"/>
  <c r="H28"/>
  <c r="H18"/>
  <c r="H154"/>
  <c r="H74"/>
  <c r="H72"/>
  <c r="H30"/>
  <c r="H22" i="3"/>
  <c r="H22" i="2" s="1"/>
  <c r="H23"/>
  <c r="H10"/>
  <c r="H102"/>
  <c r="H40" i="3"/>
  <c r="H40" i="2" s="1"/>
  <c r="H41"/>
  <c r="H37"/>
  <c r="H7"/>
  <c r="H129"/>
  <c r="H92"/>
  <c r="H21"/>
  <c r="H17"/>
  <c r="H9"/>
  <c r="H134"/>
  <c r="H118"/>
  <c r="H78"/>
  <c r="H27"/>
  <c r="H11"/>
  <c r="H83"/>
  <c r="H62"/>
  <c r="H6"/>
  <c r="H85" i="3"/>
  <c r="H85" i="2" s="1"/>
  <c r="H86"/>
  <c r="H67" i="3"/>
  <c r="H67" i="2" s="1"/>
  <c r="H68"/>
  <c r="H47"/>
  <c r="H42"/>
  <c r="H110"/>
  <c r="H109"/>
  <c r="H19"/>
  <c r="H13" i="3"/>
  <c r="H13" i="2" s="1"/>
  <c r="H14"/>
  <c r="H82"/>
  <c r="H15"/>
  <c r="H52"/>
  <c r="H39"/>
  <c r="H31" i="3"/>
  <c r="H31" i="2" s="1"/>
  <c r="H32"/>
  <c r="H137"/>
  <c r="H29"/>
  <c r="H51"/>
  <c r="H43"/>
  <c r="H8"/>
  <c r="H88"/>
  <c r="H4" i="3"/>
  <c r="H4" i="2" s="1"/>
  <c r="H5"/>
  <c r="H20"/>
  <c r="H16"/>
  <c r="H12"/>
  <c r="H53"/>
  <c r="H33"/>
  <c r="AL208"/>
  <c r="AL198"/>
  <c r="AL188"/>
  <c r="AL178"/>
  <c r="AL209"/>
  <c r="AL199"/>
  <c r="AL189"/>
  <c r="AL179"/>
  <c r="AL197"/>
  <c r="AL186"/>
  <c r="AL182"/>
  <c r="AL202" i="3"/>
  <c r="AL202" i="2" s="1"/>
  <c r="AL203"/>
  <c r="AL200"/>
  <c r="AL184" i="3"/>
  <c r="AL184" i="2" s="1"/>
  <c r="AL185"/>
  <c r="AL171"/>
  <c r="AL207"/>
  <c r="AL196"/>
  <c r="AL181"/>
  <c r="AL174"/>
  <c r="AL168"/>
  <c r="AL205"/>
  <c r="AL193" i="3"/>
  <c r="AL193" i="2" s="1"/>
  <c r="AL194"/>
  <c r="AL191"/>
  <c r="AL175" i="3"/>
  <c r="AL175" i="2" s="1"/>
  <c r="AL176"/>
  <c r="AL177"/>
  <c r="AL160"/>
  <c r="AL150"/>
  <c r="AL139" i="3"/>
  <c r="AL139" i="2" s="1"/>
  <c r="AL140"/>
  <c r="AL138"/>
  <c r="AL210"/>
  <c r="AL187"/>
  <c r="AL206"/>
  <c r="AL183"/>
  <c r="AL164"/>
  <c r="AL161"/>
  <c r="AL204"/>
  <c r="AL192"/>
  <c r="AL163"/>
  <c r="AL153"/>
  <c r="AL195"/>
  <c r="AL172"/>
  <c r="AL146"/>
  <c r="AL135"/>
  <c r="AL170"/>
  <c r="AL152"/>
  <c r="AL145"/>
  <c r="AL201"/>
  <c r="AL190"/>
  <c r="AL159"/>
  <c r="AL155"/>
  <c r="AL137"/>
  <c r="AL132"/>
  <c r="AL154"/>
  <c r="AL147"/>
  <c r="AL180"/>
  <c r="AL133"/>
  <c r="AL126"/>
  <c r="AL116"/>
  <c r="AL106"/>
  <c r="AL151"/>
  <c r="AL148" i="3"/>
  <c r="AL148" i="2" s="1"/>
  <c r="AL149"/>
  <c r="AL143"/>
  <c r="AL127"/>
  <c r="AL123"/>
  <c r="AL112" i="3"/>
  <c r="AL112" i="2" s="1"/>
  <c r="AL113"/>
  <c r="AL111"/>
  <c r="AL157" i="3"/>
  <c r="AL157" i="2" s="1"/>
  <c r="AL158"/>
  <c r="AL141"/>
  <c r="AL125"/>
  <c r="AL115"/>
  <c r="AL105"/>
  <c r="AL124"/>
  <c r="AL119"/>
  <c r="AL114"/>
  <c r="AL108"/>
  <c r="AL97"/>
  <c r="AL92"/>
  <c r="AL82"/>
  <c r="AL72"/>
  <c r="AL62"/>
  <c r="AL144"/>
  <c r="AL118"/>
  <c r="AL100"/>
  <c r="AL89"/>
  <c r="AL79"/>
  <c r="AL69"/>
  <c r="AL58" i="3"/>
  <c r="AL58" i="2" s="1"/>
  <c r="AL59"/>
  <c r="AL57"/>
  <c r="AL173"/>
  <c r="AL169"/>
  <c r="AL136"/>
  <c r="AL99"/>
  <c r="AL91"/>
  <c r="AL81"/>
  <c r="AL71"/>
  <c r="AL61"/>
  <c r="AL130" i="3"/>
  <c r="AL130" i="2" s="1"/>
  <c r="AL131"/>
  <c r="AL103" i="3"/>
  <c r="AL103" i="2" s="1"/>
  <c r="AL104"/>
  <c r="AL94" i="3"/>
  <c r="AL94" i="2" s="1"/>
  <c r="AL95"/>
  <c r="AL93"/>
  <c r="AL83"/>
  <c r="AL73"/>
  <c r="AL63"/>
  <c r="AL90"/>
  <c r="AL70"/>
  <c r="AL55"/>
  <c r="AL47"/>
  <c r="AL37"/>
  <c r="AL27"/>
  <c r="AL85" i="3"/>
  <c r="AL85" i="2" s="1"/>
  <c r="AL86"/>
  <c r="AL74"/>
  <c r="AL60"/>
  <c r="AL46"/>
  <c r="AL36"/>
  <c r="AL26"/>
  <c r="AL16"/>
  <c r="AL165"/>
  <c r="AL162"/>
  <c r="AL110"/>
  <c r="AL109"/>
  <c r="AL78"/>
  <c r="AL65"/>
  <c r="AL49" i="3"/>
  <c r="AL49" i="2" s="1"/>
  <c r="AL50"/>
  <c r="AL48"/>
  <c r="AL38"/>
  <c r="AL28"/>
  <c r="AL101"/>
  <c r="AL84"/>
  <c r="AL56"/>
  <c r="AL52"/>
  <c r="AL42"/>
  <c r="AL31" i="3"/>
  <c r="AL31" i="2" s="1"/>
  <c r="AL32"/>
  <c r="AL30"/>
  <c r="AL20"/>
  <c r="AL134"/>
  <c r="AL120"/>
  <c r="AL54"/>
  <c r="AL40" i="3"/>
  <c r="AL40" i="2" s="1"/>
  <c r="AL41"/>
  <c r="AL21"/>
  <c r="AL13" i="3"/>
  <c r="AL13" i="2" s="1"/>
  <c r="AL14"/>
  <c r="AL12"/>
  <c r="AL96"/>
  <c r="AL88"/>
  <c r="AL87"/>
  <c r="AL53"/>
  <c r="AL29"/>
  <c r="AL17"/>
  <c r="AL9"/>
  <c r="AL51"/>
  <c r="AL33"/>
  <c r="AL11"/>
  <c r="AL80"/>
  <c r="AL76" i="3"/>
  <c r="AL76" i="2" s="1"/>
  <c r="AL77"/>
  <c r="AL45"/>
  <c r="AL44"/>
  <c r="AL39"/>
  <c r="AL19"/>
  <c r="AL15"/>
  <c r="AL4" i="3"/>
  <c r="AL4" i="2" s="1"/>
  <c r="AL5"/>
  <c r="AL121" i="3"/>
  <c r="AL121" i="2" s="1"/>
  <c r="AL122"/>
  <c r="AL102"/>
  <c r="AL98"/>
  <c r="AL43"/>
  <c r="AL75"/>
  <c r="AL35"/>
  <c r="AL8"/>
  <c r="AL129"/>
  <c r="AL156"/>
  <c r="AL128"/>
  <c r="AL10"/>
  <c r="AL24"/>
  <c r="AL22" i="3"/>
  <c r="AL22" i="2" s="1"/>
  <c r="AL23"/>
  <c r="AL166" i="3"/>
  <c r="AL166" i="2" s="1"/>
  <c r="AL167"/>
  <c r="AL117"/>
  <c r="AL7"/>
  <c r="AL6"/>
  <c r="AL107"/>
  <c r="AL66"/>
  <c r="AL64"/>
  <c r="AL18"/>
  <c r="AL25"/>
  <c r="AL67" i="3"/>
  <c r="AL67" i="2" s="1"/>
  <c r="AL68"/>
  <c r="AL34"/>
  <c r="AL142"/>
  <c r="F84"/>
  <c r="F58" i="3"/>
  <c r="F58" i="2" s="1"/>
  <c r="F59"/>
  <c r="F40" i="3"/>
  <c r="F40" i="2" s="1"/>
  <c r="F41"/>
  <c r="F83"/>
  <c r="F29"/>
  <c r="F4" i="3"/>
  <c r="F4" i="2" s="1"/>
  <c r="F5"/>
  <c r="F11"/>
  <c r="F156"/>
  <c r="F119"/>
  <c r="F12"/>
  <c r="F166" i="3"/>
  <c r="F166" i="2" s="1"/>
  <c r="F167"/>
  <c r="F101"/>
  <c r="F148" i="3"/>
  <c r="F148" i="2" s="1"/>
  <c r="F149"/>
  <c r="F155"/>
  <c r="F22" i="3"/>
  <c r="F22" i="2" s="1"/>
  <c r="F23"/>
  <c r="F175" i="3"/>
  <c r="F175" i="2" s="1"/>
  <c r="F176"/>
  <c r="F47"/>
  <c r="F206"/>
  <c r="F202" i="3"/>
  <c r="F202" i="2" s="1"/>
  <c r="F203"/>
  <c r="F76" i="3"/>
  <c r="F76" i="2" s="1"/>
  <c r="F77"/>
  <c r="F65"/>
  <c r="F94" i="3"/>
  <c r="F94" i="2" s="1"/>
  <c r="F95"/>
  <c r="F130" i="3"/>
  <c r="F130" i="2" s="1"/>
  <c r="F131"/>
  <c r="F174"/>
  <c r="F147"/>
  <c r="F17"/>
  <c r="F196"/>
  <c r="F27"/>
  <c r="F103" i="3"/>
  <c r="F103" i="2" s="1"/>
  <c r="F104"/>
  <c r="F30"/>
  <c r="F92"/>
  <c r="F43"/>
  <c r="F21"/>
  <c r="F170"/>
  <c r="F100"/>
  <c r="F90"/>
  <c r="F108"/>
  <c r="F186"/>
  <c r="F18"/>
  <c r="F138"/>
  <c r="F118"/>
  <c r="F126"/>
  <c r="F109"/>
  <c r="F157" i="3"/>
  <c r="F157" i="2" s="1"/>
  <c r="F158"/>
  <c r="F120"/>
  <c r="F57"/>
  <c r="F61"/>
  <c r="F162"/>
  <c r="F114"/>
  <c r="F107"/>
  <c r="F64"/>
  <c r="F105"/>
  <c r="F199"/>
  <c r="F75"/>
  <c r="F20"/>
  <c r="F52"/>
  <c r="F163"/>
  <c r="F142"/>
  <c r="F136"/>
  <c r="F181"/>
  <c r="F70"/>
  <c r="F127"/>
  <c r="F111"/>
  <c r="F171"/>
  <c r="F26"/>
  <c r="F172"/>
  <c r="F71"/>
  <c r="F44"/>
  <c r="F93"/>
  <c r="F195"/>
  <c r="F189"/>
  <c r="F161"/>
  <c r="F178"/>
  <c r="F150"/>
  <c r="F197"/>
  <c r="F168"/>
  <c r="F10"/>
  <c r="F35"/>
  <c r="F73"/>
  <c r="F187"/>
  <c r="F81"/>
  <c r="F28"/>
  <c r="F165"/>
  <c r="F55"/>
  <c r="F151"/>
  <c r="F182"/>
  <c r="F173"/>
  <c r="F144"/>
  <c r="F48"/>
  <c r="F51"/>
  <c r="F6"/>
  <c r="F56"/>
  <c r="F132"/>
  <c r="F112" i="3"/>
  <c r="F112" i="2" s="1"/>
  <c r="F113"/>
  <c r="F15"/>
  <c r="F135"/>
  <c r="F115"/>
  <c r="F133"/>
  <c r="F54"/>
  <c r="F67" i="3"/>
  <c r="F67" i="2" s="1"/>
  <c r="F68"/>
  <c r="F129"/>
  <c r="F177"/>
  <c r="F146"/>
  <c r="F31" i="3"/>
  <c r="F31" i="2" s="1"/>
  <c r="F32"/>
  <c r="F139" i="3"/>
  <c r="F139" i="2" s="1"/>
  <c r="F140"/>
  <c r="F72"/>
  <c r="F123"/>
  <c r="F79"/>
  <c r="F164"/>
  <c r="F116"/>
  <c r="F78"/>
  <c r="F121" i="3"/>
  <c r="F121" i="2" s="1"/>
  <c r="F122"/>
  <c r="F207"/>
  <c r="F89"/>
  <c r="F179"/>
  <c r="F9"/>
  <c r="F102"/>
  <c r="F208"/>
  <c r="F8"/>
  <c r="F190"/>
  <c r="F201"/>
  <c r="F141"/>
  <c r="F125"/>
  <c r="F204"/>
  <c r="F134"/>
  <c r="F16"/>
  <c r="F87"/>
  <c r="F49" i="3"/>
  <c r="F49" i="2" s="1"/>
  <c r="F50"/>
  <c r="F143"/>
  <c r="F184" i="3"/>
  <c r="F184" i="2" s="1"/>
  <c r="F185"/>
  <c r="F42"/>
  <c r="F152"/>
  <c r="F180"/>
  <c r="F91"/>
  <c r="F183"/>
  <c r="F153"/>
  <c r="F210"/>
  <c r="F82"/>
  <c r="F96"/>
  <c r="F80"/>
  <c r="F97"/>
  <c r="F106"/>
  <c r="F74"/>
  <c r="F69"/>
  <c r="F160"/>
  <c r="F46"/>
  <c r="F198"/>
  <c r="F53"/>
  <c r="F24"/>
  <c r="F110"/>
  <c r="F124"/>
  <c r="F33"/>
  <c r="F25"/>
  <c r="F36"/>
  <c r="F19"/>
  <c r="F13" i="3"/>
  <c r="F13" i="2" s="1"/>
  <c r="F14"/>
  <c r="F99"/>
  <c r="F169"/>
  <c r="F62"/>
  <c r="F38"/>
  <c r="F39"/>
  <c r="F193" i="3"/>
  <c r="F193" i="2" s="1"/>
  <c r="F194"/>
  <c r="F45"/>
  <c r="F191"/>
  <c r="F192"/>
  <c r="F200"/>
  <c r="F145"/>
  <c r="F34"/>
  <c r="F188"/>
  <c r="F7"/>
  <c r="F159"/>
  <c r="F85" i="3"/>
  <c r="F85" i="2" s="1"/>
  <c r="F86"/>
  <c r="F60"/>
  <c r="F37"/>
  <c r="F98"/>
  <c r="F88"/>
  <c r="F154"/>
  <c r="F137"/>
  <c r="F205"/>
  <c r="F117"/>
  <c r="F63"/>
  <c r="F66"/>
  <c r="F209"/>
  <c r="F128"/>
  <c r="AT208"/>
  <c r="AT198"/>
  <c r="AT188"/>
  <c r="AT178"/>
  <c r="AT209"/>
  <c r="AT199"/>
  <c r="AT189"/>
  <c r="AT179"/>
  <c r="AT207"/>
  <c r="AT196"/>
  <c r="AT181"/>
  <c r="AT174"/>
  <c r="AT210"/>
  <c r="AT195"/>
  <c r="AT192"/>
  <c r="AT177"/>
  <c r="AT173"/>
  <c r="AT171"/>
  <c r="AT206"/>
  <c r="AT180"/>
  <c r="AT168"/>
  <c r="AT204"/>
  <c r="AT201"/>
  <c r="AT190"/>
  <c r="AT205"/>
  <c r="AT183"/>
  <c r="AT182"/>
  <c r="AT162"/>
  <c r="AT160"/>
  <c r="AT150"/>
  <c r="AT139" i="3"/>
  <c r="AT139" i="2" s="1"/>
  <c r="AT140"/>
  <c r="AT138"/>
  <c r="AT202" i="3"/>
  <c r="AT202" i="2" s="1"/>
  <c r="AT203"/>
  <c r="AT175" i="3"/>
  <c r="AT175" i="2" s="1"/>
  <c r="AT176"/>
  <c r="AT166" i="3"/>
  <c r="AT166" i="2" s="1"/>
  <c r="AT167"/>
  <c r="AT161"/>
  <c r="AT197"/>
  <c r="AT193" i="3"/>
  <c r="AT193" i="2" s="1"/>
  <c r="AT194"/>
  <c r="AT184" i="3"/>
  <c r="AT184" i="2" s="1"/>
  <c r="AT185"/>
  <c r="AT153"/>
  <c r="AT200"/>
  <c r="AT187"/>
  <c r="AT159"/>
  <c r="AT156"/>
  <c r="AT191"/>
  <c r="AT172"/>
  <c r="AT169"/>
  <c r="AT163"/>
  <c r="AT155"/>
  <c r="AT143"/>
  <c r="AT154"/>
  <c r="AT147"/>
  <c r="AT142"/>
  <c r="AT132"/>
  <c r="AT164"/>
  <c r="AT148" i="3"/>
  <c r="AT148" i="2" s="1"/>
  <c r="AT149"/>
  <c r="AT136"/>
  <c r="AT165"/>
  <c r="AT146"/>
  <c r="AT127"/>
  <c r="AT126"/>
  <c r="AT116"/>
  <c r="AT106"/>
  <c r="AT170"/>
  <c r="AT145"/>
  <c r="AT134"/>
  <c r="AT123"/>
  <c r="AT112" i="3"/>
  <c r="AT112" i="2" s="1"/>
  <c r="AT113"/>
  <c r="AT111"/>
  <c r="AT129"/>
  <c r="AT125"/>
  <c r="AT115"/>
  <c r="AT105"/>
  <c r="AT107"/>
  <c r="AT100"/>
  <c r="AT92"/>
  <c r="AT82"/>
  <c r="AT72"/>
  <c r="AT62"/>
  <c r="AT141"/>
  <c r="AT130" i="3"/>
  <c r="AT130" i="2" s="1"/>
  <c r="AT131"/>
  <c r="AT89"/>
  <c r="AT79"/>
  <c r="AT69"/>
  <c r="AT58" i="3"/>
  <c r="AT58" i="2" s="1"/>
  <c r="AT59"/>
  <c r="AT57"/>
  <c r="AT152"/>
  <c r="AT120"/>
  <c r="AT102"/>
  <c r="AT91"/>
  <c r="AT81"/>
  <c r="AT71"/>
  <c r="AT61"/>
  <c r="AT124"/>
  <c r="AT119"/>
  <c r="AT114"/>
  <c r="AT98"/>
  <c r="AT94" i="3"/>
  <c r="AT94" i="2" s="1"/>
  <c r="AT95"/>
  <c r="AT93"/>
  <c r="AT83"/>
  <c r="AT73"/>
  <c r="AT63"/>
  <c r="AT186"/>
  <c r="AT137"/>
  <c r="AT118"/>
  <c r="AT110"/>
  <c r="AT109"/>
  <c r="AT108"/>
  <c r="AT80"/>
  <c r="AT66"/>
  <c r="AT47"/>
  <c r="AT37"/>
  <c r="AT27"/>
  <c r="AT128"/>
  <c r="AT84"/>
  <c r="AT56"/>
  <c r="AT46"/>
  <c r="AT36"/>
  <c r="AT26"/>
  <c r="AT16"/>
  <c r="AT157" i="3"/>
  <c r="AT157" i="2" s="1"/>
  <c r="AT158"/>
  <c r="AT151"/>
  <c r="AT117"/>
  <c r="AT88"/>
  <c r="AT67" i="3"/>
  <c r="AT67" i="2" s="1"/>
  <c r="AT68"/>
  <c r="AT49" i="3"/>
  <c r="AT49" i="2" s="1"/>
  <c r="AT50"/>
  <c r="AT48"/>
  <c r="AT38"/>
  <c r="AT28"/>
  <c r="AT144"/>
  <c r="AT121" i="3"/>
  <c r="AT121" i="2" s="1"/>
  <c r="AT122"/>
  <c r="AT85" i="3"/>
  <c r="AT85" i="2" s="1"/>
  <c r="AT86"/>
  <c r="AT74"/>
  <c r="AT60"/>
  <c r="AT52"/>
  <c r="AT42"/>
  <c r="AT31" i="3"/>
  <c r="AT31" i="2" s="1"/>
  <c r="AT32"/>
  <c r="AT30"/>
  <c r="AT20"/>
  <c r="AT65"/>
  <c r="AT13" i="3"/>
  <c r="AT13" i="2" s="1"/>
  <c r="AT14"/>
  <c r="AT12"/>
  <c r="AT133"/>
  <c r="AT75"/>
  <c r="AT64"/>
  <c r="AT45"/>
  <c r="AT44"/>
  <c r="AT39"/>
  <c r="AT9"/>
  <c r="AT101"/>
  <c r="AT96"/>
  <c r="AT87"/>
  <c r="AT55"/>
  <c r="AT22" i="3"/>
  <c r="AT22" i="2" s="1"/>
  <c r="AT23"/>
  <c r="AT19"/>
  <c r="AT11"/>
  <c r="AT90"/>
  <c r="AT53"/>
  <c r="AT29"/>
  <c r="AT21"/>
  <c r="AT18"/>
  <c r="AT15"/>
  <c r="AT4" i="3"/>
  <c r="AT4" i="2" s="1"/>
  <c r="AT5"/>
  <c r="AT54"/>
  <c r="AT51"/>
  <c r="AT24"/>
  <c r="AT10"/>
  <c r="AT135"/>
  <c r="AT99"/>
  <c r="AT25"/>
  <c r="AT103" i="3"/>
  <c r="AT103" i="2" s="1"/>
  <c r="AT104"/>
  <c r="AT43"/>
  <c r="AT8"/>
  <c r="AT33"/>
  <c r="AT7"/>
  <c r="AT6"/>
  <c r="AT76" i="3"/>
  <c r="AT76" i="2" s="1"/>
  <c r="AT77"/>
  <c r="AT34"/>
  <c r="AT97"/>
  <c r="AT78"/>
  <c r="AT40" i="3"/>
  <c r="AT40" i="2" s="1"/>
  <c r="AT41"/>
  <c r="AT70"/>
  <c r="AT17"/>
  <c r="AT35"/>
  <c r="BL206"/>
  <c r="BL196"/>
  <c r="BL186"/>
  <c r="BL175" i="3"/>
  <c r="BL175" i="2" s="1"/>
  <c r="BL176"/>
  <c r="BL174"/>
  <c r="BL207"/>
  <c r="BL197"/>
  <c r="BL187"/>
  <c r="BL177"/>
  <c r="BL193" i="3"/>
  <c r="BL193" i="2" s="1"/>
  <c r="BL194"/>
  <c r="BL191"/>
  <c r="BL180"/>
  <c r="BL172"/>
  <c r="BL209"/>
  <c r="BL205"/>
  <c r="BL198"/>
  <c r="BL169"/>
  <c r="BL204"/>
  <c r="BL201"/>
  <c r="BL183"/>
  <c r="BL179"/>
  <c r="BL164"/>
  <c r="BL200"/>
  <c r="BL189"/>
  <c r="BL184" i="3"/>
  <c r="BL184" i="2" s="1"/>
  <c r="BL185"/>
  <c r="BL181"/>
  <c r="BL171"/>
  <c r="BL162"/>
  <c r="BL157" i="3"/>
  <c r="BL157" i="2" s="1"/>
  <c r="BL158"/>
  <c r="BL156"/>
  <c r="BL146"/>
  <c r="BL136"/>
  <c r="BL208"/>
  <c r="BL199"/>
  <c r="BL173"/>
  <c r="BL168"/>
  <c r="BL165"/>
  <c r="BL159"/>
  <c r="BL195"/>
  <c r="BL166" i="3"/>
  <c r="BL166" i="2" s="1"/>
  <c r="BL167"/>
  <c r="BL161"/>
  <c r="BL151"/>
  <c r="BL192"/>
  <c r="BL190"/>
  <c r="BL188"/>
  <c r="BL143"/>
  <c r="BL139" i="3"/>
  <c r="BL139" i="2" s="1"/>
  <c r="BL140"/>
  <c r="BL163"/>
  <c r="BL154"/>
  <c r="BL150"/>
  <c r="BL147"/>
  <c r="BL160"/>
  <c r="BL148" i="3"/>
  <c r="BL148" i="2" s="1"/>
  <c r="BL149"/>
  <c r="BL142"/>
  <c r="BL128"/>
  <c r="BL210"/>
  <c r="BL152"/>
  <c r="BL145"/>
  <c r="BL132"/>
  <c r="BL155"/>
  <c r="BL127"/>
  <c r="BL124"/>
  <c r="BL114"/>
  <c r="BL153"/>
  <c r="BL135"/>
  <c r="BL119"/>
  <c r="BL129"/>
  <c r="BL123"/>
  <c r="BL112" i="3"/>
  <c r="BL112" i="2" s="1"/>
  <c r="BL113"/>
  <c r="BL111"/>
  <c r="BL101"/>
  <c r="BL106"/>
  <c r="BL100"/>
  <c r="BL90"/>
  <c r="BL80"/>
  <c r="BL70"/>
  <c r="BL60"/>
  <c r="BL178"/>
  <c r="BL144"/>
  <c r="BL134"/>
  <c r="BL118"/>
  <c r="BL109"/>
  <c r="BL87"/>
  <c r="BL76" i="3"/>
  <c r="BL76" i="2" s="1"/>
  <c r="BL77"/>
  <c r="BL75"/>
  <c r="BL65"/>
  <c r="BL55"/>
  <c r="BL170"/>
  <c r="BL130" i="3"/>
  <c r="BL130" i="2" s="1"/>
  <c r="BL131"/>
  <c r="BL121" i="3"/>
  <c r="BL121" i="2" s="1"/>
  <c r="BL122"/>
  <c r="BL117"/>
  <c r="BL108"/>
  <c r="BL102"/>
  <c r="BL89"/>
  <c r="BL79"/>
  <c r="BL69"/>
  <c r="BL58" i="3"/>
  <c r="BL58" i="2" s="1"/>
  <c r="BL59"/>
  <c r="BL57"/>
  <c r="BL91"/>
  <c r="BL81"/>
  <c r="BL71"/>
  <c r="BL61"/>
  <c r="BL107"/>
  <c r="BL85" i="3"/>
  <c r="BL85" i="2" s="1"/>
  <c r="BL86"/>
  <c r="BL74"/>
  <c r="BL45"/>
  <c r="BL35"/>
  <c r="BL25"/>
  <c r="BL137"/>
  <c r="BL64"/>
  <c r="BL54"/>
  <c r="BL44"/>
  <c r="BL34"/>
  <c r="BL24"/>
  <c r="BL138"/>
  <c r="BL126"/>
  <c r="BL83"/>
  <c r="BL62"/>
  <c r="BL46"/>
  <c r="BL36"/>
  <c r="BL26"/>
  <c r="BL182"/>
  <c r="BL141"/>
  <c r="BL120"/>
  <c r="BL110"/>
  <c r="BL49" i="3"/>
  <c r="BL49" i="2" s="1"/>
  <c r="BL50"/>
  <c r="BL48"/>
  <c r="BL38"/>
  <c r="BL28"/>
  <c r="BL18"/>
  <c r="BL116"/>
  <c r="BL103" i="3"/>
  <c r="BL103" i="2" s="1"/>
  <c r="BL104"/>
  <c r="BL88"/>
  <c r="BL51"/>
  <c r="BL47"/>
  <c r="BL33"/>
  <c r="BL31" i="3"/>
  <c r="BL31" i="2" s="1"/>
  <c r="BL32"/>
  <c r="BL21"/>
  <c r="BL19"/>
  <c r="BL10"/>
  <c r="BL93"/>
  <c r="BL92"/>
  <c r="BL27"/>
  <c r="BL7"/>
  <c r="BL133"/>
  <c r="BL78"/>
  <c r="BL43"/>
  <c r="BL42"/>
  <c r="BL9"/>
  <c r="BL67" i="3"/>
  <c r="BL67" i="2" s="1"/>
  <c r="BL68"/>
  <c r="BL66"/>
  <c r="BL63"/>
  <c r="BL40" i="3"/>
  <c r="BL40" i="2" s="1"/>
  <c r="BL41"/>
  <c r="BL37"/>
  <c r="BL17"/>
  <c r="BL11"/>
  <c r="BL84"/>
  <c r="BL73"/>
  <c r="BL72"/>
  <c r="BL15"/>
  <c r="BL20"/>
  <c r="BL13" i="3"/>
  <c r="BL13" i="2" s="1"/>
  <c r="BL14"/>
  <c r="BL115"/>
  <c r="BL53"/>
  <c r="BL29"/>
  <c r="BL4" i="3"/>
  <c r="BL4" i="2" s="1"/>
  <c r="BL5"/>
  <c r="BL99"/>
  <c r="BL96"/>
  <c r="BL22" i="3"/>
  <c r="BL22" i="2" s="1"/>
  <c r="BL23"/>
  <c r="BL6"/>
  <c r="BL39"/>
  <c r="BL12"/>
  <c r="BL94" i="3"/>
  <c r="BL94" i="2" s="1"/>
  <c r="BL95"/>
  <c r="BL30"/>
  <c r="BL82"/>
  <c r="BL56"/>
  <c r="BL52"/>
  <c r="BL105"/>
  <c r="BL98"/>
  <c r="BL125"/>
  <c r="BL202" i="3"/>
  <c r="BL202" i="2" s="1"/>
  <c r="BL203"/>
  <c r="BL16"/>
  <c r="BL8"/>
  <c r="BL97"/>
  <c r="AO209"/>
  <c r="AO199"/>
  <c r="AO189"/>
  <c r="AO179"/>
  <c r="AO210"/>
  <c r="AO200"/>
  <c r="AO190"/>
  <c r="AO180"/>
  <c r="AO205"/>
  <c r="AO198"/>
  <c r="AO187"/>
  <c r="AO166" i="3"/>
  <c r="AO166" i="2" s="1"/>
  <c r="AO167"/>
  <c r="AO165"/>
  <c r="AO204"/>
  <c r="AO201"/>
  <c r="AO183"/>
  <c r="AO208"/>
  <c r="AO197"/>
  <c r="AO186"/>
  <c r="AO182"/>
  <c r="AO169"/>
  <c r="AO192"/>
  <c r="AO177"/>
  <c r="AO202" i="3"/>
  <c r="AO202" i="2" s="1"/>
  <c r="AO203"/>
  <c r="AO172"/>
  <c r="AO161"/>
  <c r="AO151"/>
  <c r="AO141"/>
  <c r="AO188"/>
  <c r="AO160"/>
  <c r="AO184" i="3"/>
  <c r="AO184" i="2" s="1"/>
  <c r="AO185"/>
  <c r="AO181"/>
  <c r="AO168"/>
  <c r="AO164"/>
  <c r="AO154"/>
  <c r="AO191"/>
  <c r="AO173"/>
  <c r="AO150"/>
  <c r="AO147"/>
  <c r="AO136"/>
  <c r="AO195"/>
  <c r="AO153"/>
  <c r="AO146"/>
  <c r="AO207"/>
  <c r="AO170"/>
  <c r="AO156"/>
  <c r="AO138"/>
  <c r="AO135"/>
  <c r="AO133"/>
  <c r="AO159"/>
  <c r="AO157" i="3"/>
  <c r="AO157" i="2" s="1"/>
  <c r="AO158"/>
  <c r="AO134"/>
  <c r="AO162"/>
  <c r="AO131"/>
  <c r="AO130" i="3"/>
  <c r="AO130" i="2" s="1"/>
  <c r="AO117"/>
  <c r="AO107"/>
  <c r="AO193" i="3"/>
  <c r="AO193" i="2" s="1"/>
  <c r="AO194"/>
  <c r="AO139" i="3"/>
  <c r="AO139" i="2" s="1"/>
  <c r="AO140"/>
  <c r="AO128"/>
  <c r="AO124"/>
  <c r="AO114"/>
  <c r="AO174"/>
  <c r="AO171"/>
  <c r="AO126"/>
  <c r="AO116"/>
  <c r="AO106"/>
  <c r="AO196"/>
  <c r="AO163"/>
  <c r="AO125"/>
  <c r="AO115"/>
  <c r="AO109"/>
  <c r="AO103" i="3"/>
  <c r="AO103" i="2" s="1"/>
  <c r="AO104"/>
  <c r="AO98"/>
  <c r="AO94" i="3"/>
  <c r="AO94" i="2" s="1"/>
  <c r="AO95"/>
  <c r="AO93"/>
  <c r="AO83"/>
  <c r="AO73"/>
  <c r="AO63"/>
  <c r="AO143"/>
  <c r="AO142"/>
  <c r="AO127"/>
  <c r="AO120"/>
  <c r="AO119"/>
  <c r="AO105"/>
  <c r="AO101"/>
  <c r="AO90"/>
  <c r="AO80"/>
  <c r="AO70"/>
  <c r="AO60"/>
  <c r="AO206"/>
  <c r="AO137"/>
  <c r="AO123"/>
  <c r="AO118"/>
  <c r="AO112" i="3"/>
  <c r="AO112" i="2" s="1"/>
  <c r="AO113"/>
  <c r="AO97"/>
  <c r="AO92"/>
  <c r="AO82"/>
  <c r="AO72"/>
  <c r="AO62"/>
  <c r="AO148" i="3"/>
  <c r="AO148" i="2" s="1"/>
  <c r="AO149"/>
  <c r="AO129"/>
  <c r="AO121" i="3"/>
  <c r="AO121" i="2" s="1"/>
  <c r="AO122"/>
  <c r="AO96"/>
  <c r="AO85" i="3"/>
  <c r="AO85" i="2" s="1"/>
  <c r="AO86"/>
  <c r="AO84"/>
  <c r="AO74"/>
  <c r="AO64"/>
  <c r="AO91"/>
  <c r="AO71"/>
  <c r="AO57"/>
  <c r="AO49" i="3"/>
  <c r="AO49" i="2" s="1"/>
  <c r="AO50"/>
  <c r="AO48"/>
  <c r="AO38"/>
  <c r="AO28"/>
  <c r="AO102"/>
  <c r="AO88"/>
  <c r="AO87"/>
  <c r="AO75"/>
  <c r="AO67" i="3"/>
  <c r="AO67" i="2" s="1"/>
  <c r="AO68"/>
  <c r="AO61"/>
  <c r="AO47"/>
  <c r="AO37"/>
  <c r="AO27"/>
  <c r="AO17"/>
  <c r="AO152"/>
  <c r="AO100"/>
  <c r="AO58" i="3"/>
  <c r="AO58" i="2" s="1"/>
  <c r="AO59"/>
  <c r="AO51"/>
  <c r="AO40" i="3"/>
  <c r="AO40" i="2" s="1"/>
  <c r="AO41"/>
  <c r="AO39"/>
  <c r="AO29"/>
  <c r="AO175" i="3"/>
  <c r="AO175" i="2" s="1"/>
  <c r="AO176"/>
  <c r="AO145"/>
  <c r="AO110"/>
  <c r="AO78"/>
  <c r="AO76" i="3"/>
  <c r="AO76" i="2" s="1"/>
  <c r="AO77"/>
  <c r="AO53"/>
  <c r="AO43"/>
  <c r="AO33"/>
  <c r="AO22" i="3"/>
  <c r="AO22" i="2" s="1"/>
  <c r="AO23"/>
  <c r="AO21"/>
  <c r="AO155"/>
  <c r="AO69"/>
  <c r="AO66"/>
  <c r="AO42"/>
  <c r="AO24"/>
  <c r="AO15"/>
  <c r="AO4" i="3"/>
  <c r="AO4" i="2" s="1"/>
  <c r="AO5"/>
  <c r="AO132"/>
  <c r="AO111"/>
  <c r="AO56"/>
  <c r="AO55"/>
  <c r="AO30"/>
  <c r="AO18"/>
  <c r="AO10"/>
  <c r="AO108"/>
  <c r="AO89"/>
  <c r="AO52"/>
  <c r="AO35"/>
  <c r="AO14"/>
  <c r="AO13" i="3"/>
  <c r="AO13" i="2" s="1"/>
  <c r="AO12"/>
  <c r="AO99"/>
  <c r="AO81"/>
  <c r="AO79"/>
  <c r="AO46"/>
  <c r="AO31" i="3"/>
  <c r="AO31" i="2" s="1"/>
  <c r="AO32"/>
  <c r="AO20"/>
  <c r="AO6"/>
  <c r="AO25"/>
  <c r="AO45"/>
  <c r="AO34"/>
  <c r="AO178"/>
  <c r="AO36"/>
  <c r="AO16"/>
  <c r="AO11"/>
  <c r="AO19"/>
  <c r="AO54"/>
  <c r="AO9"/>
  <c r="AO144"/>
  <c r="AO44"/>
  <c r="AO8"/>
  <c r="AO7"/>
  <c r="AO26"/>
  <c r="AO65"/>
  <c r="K207"/>
  <c r="K197"/>
  <c r="K187"/>
  <c r="K177"/>
  <c r="K208"/>
  <c r="K198"/>
  <c r="K188"/>
  <c r="K178"/>
  <c r="K206"/>
  <c r="K193" i="3"/>
  <c r="K193" i="2" s="1"/>
  <c r="K194"/>
  <c r="K180"/>
  <c r="K209"/>
  <c r="K205"/>
  <c r="K191"/>
  <c r="K175" i="3"/>
  <c r="K175" i="2" s="1"/>
  <c r="K176"/>
  <c r="K170"/>
  <c r="K204"/>
  <c r="K183"/>
  <c r="K179"/>
  <c r="K166" i="3"/>
  <c r="K166" i="2" s="1"/>
  <c r="K167"/>
  <c r="K165"/>
  <c r="K202" i="3"/>
  <c r="K202" i="2" s="1"/>
  <c r="K203"/>
  <c r="K200"/>
  <c r="K189"/>
  <c r="K184" i="3"/>
  <c r="K184" i="2" s="1"/>
  <c r="K185"/>
  <c r="K173"/>
  <c r="K171"/>
  <c r="K163"/>
  <c r="K159"/>
  <c r="K148" i="3"/>
  <c r="K148" i="2" s="1"/>
  <c r="K149"/>
  <c r="K147"/>
  <c r="K137"/>
  <c r="K196"/>
  <c r="K195"/>
  <c r="K192"/>
  <c r="K172"/>
  <c r="K168"/>
  <c r="K164"/>
  <c r="K160"/>
  <c r="K201"/>
  <c r="K162"/>
  <c r="K152"/>
  <c r="K155"/>
  <c r="K154"/>
  <c r="K181"/>
  <c r="K138"/>
  <c r="K210"/>
  <c r="K153"/>
  <c r="K146"/>
  <c r="K130" i="3"/>
  <c r="K130" i="2" s="1"/>
  <c r="K131"/>
  <c r="K129"/>
  <c r="K199"/>
  <c r="K186"/>
  <c r="K156"/>
  <c r="K142"/>
  <c r="K133"/>
  <c r="K174"/>
  <c r="K144"/>
  <c r="K125"/>
  <c r="K115"/>
  <c r="K105"/>
  <c r="K157" i="3"/>
  <c r="K157" i="2" s="1"/>
  <c r="K158"/>
  <c r="K121" i="3"/>
  <c r="K121" i="2" s="1"/>
  <c r="K122"/>
  <c r="K120"/>
  <c r="K132"/>
  <c r="K124"/>
  <c r="K114"/>
  <c r="K103" i="3"/>
  <c r="K103" i="2" s="1"/>
  <c r="K104"/>
  <c r="K102"/>
  <c r="K182"/>
  <c r="K141"/>
  <c r="K110"/>
  <c r="K106"/>
  <c r="K91"/>
  <c r="K81"/>
  <c r="K71"/>
  <c r="K61"/>
  <c r="K161"/>
  <c r="K143"/>
  <c r="K127"/>
  <c r="K123"/>
  <c r="K118"/>
  <c r="K117"/>
  <c r="K112" i="3"/>
  <c r="K112" i="2" s="1"/>
  <c r="K113"/>
  <c r="K109"/>
  <c r="K97"/>
  <c r="K88"/>
  <c r="K78"/>
  <c r="K67" i="3"/>
  <c r="K67" i="2" s="1"/>
  <c r="K68"/>
  <c r="K66"/>
  <c r="K56"/>
  <c r="K134"/>
  <c r="K128"/>
  <c r="K126"/>
  <c r="K116"/>
  <c r="K99"/>
  <c r="K90"/>
  <c r="K80"/>
  <c r="K70"/>
  <c r="K60"/>
  <c r="K151"/>
  <c r="K135"/>
  <c r="K111"/>
  <c r="K92"/>
  <c r="K82"/>
  <c r="K72"/>
  <c r="K62"/>
  <c r="K100"/>
  <c r="K76" i="3"/>
  <c r="K76" i="2" s="1"/>
  <c r="K77"/>
  <c r="K46"/>
  <c r="K36"/>
  <c r="K26"/>
  <c r="K145"/>
  <c r="K108"/>
  <c r="K101"/>
  <c r="K89"/>
  <c r="K69"/>
  <c r="K45"/>
  <c r="K35"/>
  <c r="K25"/>
  <c r="K47"/>
  <c r="K37"/>
  <c r="K27"/>
  <c r="K79"/>
  <c r="K65"/>
  <c r="K51"/>
  <c r="K40" i="3"/>
  <c r="K40" i="2" s="1"/>
  <c r="K41"/>
  <c r="K39"/>
  <c r="K29"/>
  <c r="K19"/>
  <c r="K139" i="3"/>
  <c r="K139" i="2" s="1"/>
  <c r="K140"/>
  <c r="K119"/>
  <c r="K75"/>
  <c r="K64"/>
  <c r="K44"/>
  <c r="K43"/>
  <c r="K11"/>
  <c r="K98"/>
  <c r="K94" i="3"/>
  <c r="K94" i="2" s="1"/>
  <c r="K95"/>
  <c r="K74"/>
  <c r="K73"/>
  <c r="K58" i="3"/>
  <c r="K58" i="2" s="1"/>
  <c r="K59"/>
  <c r="K57"/>
  <c r="K42"/>
  <c r="K38"/>
  <c r="K24"/>
  <c r="K22" i="3"/>
  <c r="K22" i="2" s="1"/>
  <c r="K23"/>
  <c r="K8"/>
  <c r="K169"/>
  <c r="K136"/>
  <c r="K85" i="3"/>
  <c r="K85" i="2" s="1"/>
  <c r="K86"/>
  <c r="K54"/>
  <c r="K53"/>
  <c r="K18"/>
  <c r="K10"/>
  <c r="K84"/>
  <c r="K83"/>
  <c r="K34"/>
  <c r="K33"/>
  <c r="K28"/>
  <c r="K21"/>
  <c r="K17"/>
  <c r="K13" i="3"/>
  <c r="K13" i="2" s="1"/>
  <c r="K14"/>
  <c r="K12"/>
  <c r="K150"/>
  <c r="K107"/>
  <c r="K63"/>
  <c r="K49" i="3"/>
  <c r="K49" i="2" s="1"/>
  <c r="K50"/>
  <c r="K7"/>
  <c r="K96"/>
  <c r="K93"/>
  <c r="K31" i="3"/>
  <c r="K31" i="2" s="1"/>
  <c r="K32"/>
  <c r="K20"/>
  <c r="K16"/>
  <c r="K15"/>
  <c r="K55"/>
  <c r="K48"/>
  <c r="K52"/>
  <c r="K87"/>
  <c r="K6"/>
  <c r="K4" i="3"/>
  <c r="K4" i="2" s="1"/>
  <c r="K5"/>
  <c r="K30"/>
  <c r="K190"/>
  <c r="K9"/>
  <c r="BK202" i="3"/>
  <c r="BK202" i="2" s="1"/>
  <c r="BK203"/>
  <c r="BK201"/>
  <c r="BK191"/>
  <c r="BK181"/>
  <c r="BK204"/>
  <c r="BK193" i="3"/>
  <c r="BK193" i="2" s="1"/>
  <c r="BK194"/>
  <c r="BK192"/>
  <c r="BK182"/>
  <c r="BK172"/>
  <c r="BK209"/>
  <c r="BK205"/>
  <c r="BK198"/>
  <c r="BK175" i="3"/>
  <c r="BK175" i="2" s="1"/>
  <c r="BK176"/>
  <c r="BK169"/>
  <c r="BK187"/>
  <c r="BK183"/>
  <c r="BK179"/>
  <c r="BK208"/>
  <c r="BK190"/>
  <c r="BK171"/>
  <c r="BK207"/>
  <c r="BK196"/>
  <c r="BK174"/>
  <c r="BK180"/>
  <c r="BK153"/>
  <c r="BK143"/>
  <c r="BK189"/>
  <c r="BK188"/>
  <c r="BK164"/>
  <c r="BK210"/>
  <c r="BK197"/>
  <c r="BK184" i="3"/>
  <c r="BK184" i="2" s="1"/>
  <c r="BK185"/>
  <c r="BK163"/>
  <c r="BK206"/>
  <c r="BK162"/>
  <c r="BK157" i="3"/>
  <c r="BK157" i="2" s="1"/>
  <c r="BK158"/>
  <c r="BK156"/>
  <c r="BK146"/>
  <c r="BK154"/>
  <c r="BK150"/>
  <c r="BK147"/>
  <c r="BK170"/>
  <c r="BK161"/>
  <c r="BK200"/>
  <c r="BK177"/>
  <c r="BK159"/>
  <c r="BK195"/>
  <c r="BK144"/>
  <c r="BK141"/>
  <c r="BK168"/>
  <c r="BK142"/>
  <c r="BK135"/>
  <c r="BK119"/>
  <c r="BK109"/>
  <c r="BK126"/>
  <c r="BK116"/>
  <c r="BK165"/>
  <c r="BK151"/>
  <c r="BK139" i="3"/>
  <c r="BK139" i="2" s="1"/>
  <c r="BK140"/>
  <c r="BK137"/>
  <c r="BK133"/>
  <c r="BK130" i="3"/>
  <c r="BK130" i="2" s="1"/>
  <c r="BK131"/>
  <c r="BK118"/>
  <c r="BK108"/>
  <c r="BK98"/>
  <c r="BK178"/>
  <c r="BK134"/>
  <c r="BK129"/>
  <c r="BK124"/>
  <c r="BK114"/>
  <c r="BK87"/>
  <c r="BK76" i="3"/>
  <c r="BK76" i="2" s="1"/>
  <c r="BK77"/>
  <c r="BK75"/>
  <c r="BK65"/>
  <c r="BK55"/>
  <c r="BK145"/>
  <c r="BK123"/>
  <c r="BK112" i="3"/>
  <c r="BK112" i="2" s="1"/>
  <c r="BK113"/>
  <c r="BK105"/>
  <c r="BK99"/>
  <c r="BK96"/>
  <c r="BK92"/>
  <c r="BK82"/>
  <c r="BK72"/>
  <c r="BK62"/>
  <c r="BK138"/>
  <c r="BK103" i="3"/>
  <c r="BK103" i="2" s="1"/>
  <c r="BK104"/>
  <c r="BK85" i="3"/>
  <c r="BK85" i="2" s="1"/>
  <c r="BK86"/>
  <c r="BK84"/>
  <c r="BK74"/>
  <c r="BK64"/>
  <c r="BK173"/>
  <c r="BK125"/>
  <c r="BK115"/>
  <c r="BK111"/>
  <c r="BK107"/>
  <c r="BK101"/>
  <c r="BK88"/>
  <c r="BK78"/>
  <c r="BK67" i="3"/>
  <c r="BK67" i="2" s="1"/>
  <c r="BK68"/>
  <c r="BK66"/>
  <c r="BK56"/>
  <c r="BK155"/>
  <c r="BK152"/>
  <c r="BK128"/>
  <c r="BK106"/>
  <c r="BK93"/>
  <c r="BK73"/>
  <c r="BK60"/>
  <c r="BK58" i="3"/>
  <c r="BK58" i="2" s="1"/>
  <c r="BK59"/>
  <c r="BK52"/>
  <c r="BK42"/>
  <c r="BK31" i="3"/>
  <c r="BK31" i="2" s="1"/>
  <c r="BK32"/>
  <c r="BK30"/>
  <c r="BK132"/>
  <c r="BK94" i="3"/>
  <c r="BK94" i="2" s="1"/>
  <c r="BK95"/>
  <c r="BK91"/>
  <c r="BK71"/>
  <c r="BK63"/>
  <c r="BK57"/>
  <c r="BK51"/>
  <c r="BK40" i="3"/>
  <c r="BK40" i="2" s="1"/>
  <c r="BK41"/>
  <c r="BK39"/>
  <c r="BK29"/>
  <c r="BK19"/>
  <c r="BK97"/>
  <c r="BK90"/>
  <c r="BK89"/>
  <c r="BK70"/>
  <c r="BK69"/>
  <c r="BK53"/>
  <c r="BK43"/>
  <c r="BK33"/>
  <c r="BK22" i="3"/>
  <c r="BK22" i="2" s="1"/>
  <c r="BK23"/>
  <c r="BK21"/>
  <c r="BK148" i="3"/>
  <c r="BK148" i="2" s="1"/>
  <c r="BK149"/>
  <c r="BK136"/>
  <c r="BK127"/>
  <c r="BK100"/>
  <c r="BK81"/>
  <c r="BK45"/>
  <c r="BK35"/>
  <c r="BK25"/>
  <c r="BK46"/>
  <c r="BK27"/>
  <c r="BK7"/>
  <c r="BK110"/>
  <c r="BK49" i="3"/>
  <c r="BK49" i="2" s="1"/>
  <c r="BK50"/>
  <c r="BK26"/>
  <c r="BK13" i="3"/>
  <c r="BK13" i="2" s="1"/>
  <c r="BK14"/>
  <c r="BK12"/>
  <c r="BK117"/>
  <c r="BK80"/>
  <c r="BK38"/>
  <c r="BK24"/>
  <c r="BK6"/>
  <c r="BK160"/>
  <c r="BK102"/>
  <c r="BK61"/>
  <c r="BK54"/>
  <c r="BK36"/>
  <c r="BK20"/>
  <c r="BK16"/>
  <c r="BK8"/>
  <c r="BK199"/>
  <c r="BK120"/>
  <c r="BK79"/>
  <c r="BK28"/>
  <c r="BK121" i="3"/>
  <c r="BK121" i="2" s="1"/>
  <c r="BK122"/>
  <c r="BK4" i="3"/>
  <c r="BK4" i="2" s="1"/>
  <c r="BK5"/>
  <c r="BK15"/>
  <c r="BK11"/>
  <c r="BK17"/>
  <c r="BK47"/>
  <c r="BK10"/>
  <c r="BK166" i="3"/>
  <c r="BK166" i="2" s="1"/>
  <c r="BK167"/>
  <c r="BK34"/>
  <c r="BK18"/>
  <c r="BK48"/>
  <c r="BK186"/>
  <c r="BK83"/>
  <c r="BK44"/>
  <c r="BK37"/>
  <c r="BK9"/>
  <c r="AU202" i="3"/>
  <c r="AU202" i="2" s="1"/>
  <c r="AU203"/>
  <c r="AU201"/>
  <c r="AU191"/>
  <c r="AU181"/>
  <c r="AU204"/>
  <c r="AU193" i="3"/>
  <c r="AU193" i="2" s="1"/>
  <c r="AU194"/>
  <c r="AU192"/>
  <c r="AU182"/>
  <c r="AU172"/>
  <c r="AU200"/>
  <c r="AU189"/>
  <c r="AU184" i="3"/>
  <c r="AU184" i="2" s="1"/>
  <c r="AU185"/>
  <c r="AU169"/>
  <c r="AU207"/>
  <c r="AU196"/>
  <c r="AU174"/>
  <c r="AU210"/>
  <c r="AU199"/>
  <c r="AU195"/>
  <c r="AU188"/>
  <c r="AU177"/>
  <c r="AU173"/>
  <c r="AU171"/>
  <c r="AU187"/>
  <c r="AU183"/>
  <c r="AU179"/>
  <c r="AU206"/>
  <c r="AU197"/>
  <c r="AU153"/>
  <c r="AU143"/>
  <c r="AU164"/>
  <c r="AU209"/>
  <c r="AU208"/>
  <c r="AU198"/>
  <c r="AU186"/>
  <c r="AU170"/>
  <c r="AU163"/>
  <c r="AU157" i="3"/>
  <c r="AU157" i="2" s="1"/>
  <c r="AU158"/>
  <c r="AU156"/>
  <c r="AU146"/>
  <c r="AU152"/>
  <c r="AU145"/>
  <c r="AU138"/>
  <c r="AU135"/>
  <c r="AU166" i="3"/>
  <c r="AU166" i="2" s="1"/>
  <c r="AU167"/>
  <c r="AU161"/>
  <c r="AU159"/>
  <c r="AU139" i="3"/>
  <c r="AU139" i="2" s="1"/>
  <c r="AU140"/>
  <c r="AU180"/>
  <c r="AU175" i="3"/>
  <c r="AU175" i="2" s="1"/>
  <c r="AU176"/>
  <c r="AU151"/>
  <c r="AU137"/>
  <c r="AU190"/>
  <c r="AU168"/>
  <c r="AU165"/>
  <c r="AU144"/>
  <c r="AU119"/>
  <c r="AU109"/>
  <c r="AU205"/>
  <c r="AU162"/>
  <c r="AU155"/>
  <c r="AU142"/>
  <c r="AU136"/>
  <c r="AU132"/>
  <c r="AU127"/>
  <c r="AU126"/>
  <c r="AU116"/>
  <c r="AU178"/>
  <c r="AU160"/>
  <c r="AU118"/>
  <c r="AU108"/>
  <c r="AU98"/>
  <c r="AU154"/>
  <c r="AU133"/>
  <c r="AU121" i="3"/>
  <c r="AU121" i="2" s="1"/>
  <c r="AU122"/>
  <c r="AU117"/>
  <c r="AU97"/>
  <c r="AU87"/>
  <c r="AU76" i="3"/>
  <c r="AU76" i="2" s="1"/>
  <c r="AU77"/>
  <c r="AU75"/>
  <c r="AU65"/>
  <c r="AU55"/>
  <c r="AU107"/>
  <c r="AU100"/>
  <c r="AU92"/>
  <c r="AU82"/>
  <c r="AU72"/>
  <c r="AU62"/>
  <c r="AU147"/>
  <c r="AU125"/>
  <c r="AU115"/>
  <c r="AU111"/>
  <c r="AU110"/>
  <c r="AU106"/>
  <c r="AU99"/>
  <c r="AU96"/>
  <c r="AU85" i="3"/>
  <c r="AU85" i="2" s="1"/>
  <c r="AU86"/>
  <c r="AU84"/>
  <c r="AU74"/>
  <c r="AU64"/>
  <c r="AU150"/>
  <c r="AU105"/>
  <c r="AU103" i="3"/>
  <c r="AU103" i="2" s="1"/>
  <c r="AU104"/>
  <c r="AU88"/>
  <c r="AU78"/>
  <c r="AU67" i="3"/>
  <c r="AU67" i="2" s="1"/>
  <c r="AU68"/>
  <c r="AU66"/>
  <c r="AU56"/>
  <c r="AU124"/>
  <c r="AU93"/>
  <c r="AU73"/>
  <c r="AU60"/>
  <c r="AU58" i="3"/>
  <c r="AU58" i="2" s="1"/>
  <c r="AU59"/>
  <c r="AU52"/>
  <c r="AU42"/>
  <c r="AU31" i="3"/>
  <c r="AU31" i="2" s="1"/>
  <c r="AU32"/>
  <c r="AU30"/>
  <c r="AU101"/>
  <c r="AU94" i="3"/>
  <c r="AU94" i="2" s="1"/>
  <c r="AU95"/>
  <c r="AU91"/>
  <c r="AU71"/>
  <c r="AU63"/>
  <c r="AU57"/>
  <c r="AU51"/>
  <c r="AU40" i="3"/>
  <c r="AU40" i="2" s="1"/>
  <c r="AU41"/>
  <c r="AU39"/>
  <c r="AU29"/>
  <c r="AU19"/>
  <c r="AU148" i="3"/>
  <c r="AU148" i="2" s="1"/>
  <c r="AU149"/>
  <c r="AU141"/>
  <c r="AU129"/>
  <c r="AU112" i="3"/>
  <c r="AU112" i="2" s="1"/>
  <c r="AU113"/>
  <c r="AU102"/>
  <c r="AU90"/>
  <c r="AU89"/>
  <c r="AU70"/>
  <c r="AU69"/>
  <c r="AU53"/>
  <c r="AU43"/>
  <c r="AU33"/>
  <c r="AU22" i="3"/>
  <c r="AU22" i="2" s="1"/>
  <c r="AU23"/>
  <c r="AU81"/>
  <c r="AU45"/>
  <c r="AU35"/>
  <c r="AU25"/>
  <c r="AU128"/>
  <c r="AU114"/>
  <c r="AU46"/>
  <c r="AU27"/>
  <c r="AU17"/>
  <c r="AU7"/>
  <c r="AU134"/>
  <c r="AU130" i="3"/>
  <c r="AU130" i="2" s="1"/>
  <c r="AU131"/>
  <c r="AU120"/>
  <c r="AU61"/>
  <c r="AU49" i="3"/>
  <c r="AU49" i="2" s="1"/>
  <c r="AU50"/>
  <c r="AU26"/>
  <c r="AU20"/>
  <c r="AU13" i="3"/>
  <c r="AU13" i="2" s="1"/>
  <c r="AU14"/>
  <c r="AU12"/>
  <c r="AU38"/>
  <c r="AU24"/>
  <c r="AU6"/>
  <c r="AU54"/>
  <c r="AU36"/>
  <c r="AU8"/>
  <c r="AU28"/>
  <c r="AU83"/>
  <c r="AU18"/>
  <c r="AU16"/>
  <c r="AU10"/>
  <c r="AU9"/>
  <c r="AU80"/>
  <c r="AU21"/>
  <c r="AU15"/>
  <c r="AU48"/>
  <c r="AU47"/>
  <c r="AU34"/>
  <c r="AU11"/>
  <c r="AU44"/>
  <c r="AU4" i="3"/>
  <c r="AU4" i="2" s="1"/>
  <c r="AU5"/>
  <c r="AU123"/>
  <c r="AU79"/>
  <c r="AU37"/>
  <c r="AF206"/>
  <c r="AF196"/>
  <c r="AF186"/>
  <c r="AF175" i="3"/>
  <c r="AF175" i="2" s="1"/>
  <c r="AF176"/>
  <c r="AF174"/>
  <c r="AF207"/>
  <c r="AF197"/>
  <c r="AF187"/>
  <c r="AF177"/>
  <c r="AF193" i="3"/>
  <c r="AF193" i="2" s="1"/>
  <c r="AF194"/>
  <c r="AF191"/>
  <c r="AF180"/>
  <c r="AF172"/>
  <c r="AF209"/>
  <c r="AF205"/>
  <c r="AF198"/>
  <c r="AF169"/>
  <c r="AF204"/>
  <c r="AF201"/>
  <c r="AF183"/>
  <c r="AF179"/>
  <c r="AF164"/>
  <c r="AF200"/>
  <c r="AF189"/>
  <c r="AF185"/>
  <c r="AF184" i="3"/>
  <c r="AF184" i="2" s="1"/>
  <c r="AF181"/>
  <c r="AF188"/>
  <c r="AF157" i="3"/>
  <c r="AF157" i="2" s="1"/>
  <c r="AF158"/>
  <c r="AF156"/>
  <c r="AF146"/>
  <c r="AF136"/>
  <c r="AF195"/>
  <c r="AF166" i="3"/>
  <c r="AF166" i="2" s="1"/>
  <c r="AF167"/>
  <c r="AF203"/>
  <c r="AF202" i="3"/>
  <c r="AF202" i="2" s="1"/>
  <c r="AF192"/>
  <c r="AF159"/>
  <c r="AF161"/>
  <c r="AF151"/>
  <c r="AF182"/>
  <c r="AF170"/>
  <c r="AF168"/>
  <c r="AF165"/>
  <c r="AF162"/>
  <c r="AF199"/>
  <c r="AF178"/>
  <c r="AF154"/>
  <c r="AF150"/>
  <c r="AF147"/>
  <c r="AF171"/>
  <c r="AF163"/>
  <c r="AF160"/>
  <c r="AF148" i="3"/>
  <c r="AF148" i="2" s="1"/>
  <c r="AF149"/>
  <c r="AF138"/>
  <c r="AF135"/>
  <c r="AF128"/>
  <c r="AF208"/>
  <c r="AF152"/>
  <c r="AF145"/>
  <c r="AF134"/>
  <c r="AF141"/>
  <c r="AF130" i="3"/>
  <c r="AF130" i="2" s="1"/>
  <c r="AF131"/>
  <c r="AF124"/>
  <c r="AF114"/>
  <c r="AF144"/>
  <c r="AF119"/>
  <c r="AF173"/>
  <c r="AF142"/>
  <c r="AF123"/>
  <c r="AF112" i="3"/>
  <c r="AF112" i="2" s="1"/>
  <c r="AF113"/>
  <c r="AF111"/>
  <c r="AF101"/>
  <c r="AF133"/>
  <c r="AF129"/>
  <c r="AF126"/>
  <c r="AF116"/>
  <c r="AF110"/>
  <c r="AF106"/>
  <c r="AF103" i="3"/>
  <c r="AF103" i="2" s="1"/>
  <c r="AF104"/>
  <c r="AF98"/>
  <c r="AF90"/>
  <c r="AF80"/>
  <c r="AF70"/>
  <c r="AF60"/>
  <c r="AF109"/>
  <c r="AF87"/>
  <c r="AF76" i="3"/>
  <c r="AF76" i="2" s="1"/>
  <c r="AF77"/>
  <c r="AF75"/>
  <c r="AF65"/>
  <c r="AF55"/>
  <c r="AF132"/>
  <c r="AF120"/>
  <c r="AF108"/>
  <c r="AF97"/>
  <c r="AF89"/>
  <c r="AF79"/>
  <c r="AF69"/>
  <c r="AF58" i="3"/>
  <c r="AF58" i="2" s="1"/>
  <c r="AF59"/>
  <c r="AF57"/>
  <c r="AF118"/>
  <c r="AF91"/>
  <c r="AF81"/>
  <c r="AF71"/>
  <c r="AF61"/>
  <c r="AF210"/>
  <c r="AF115"/>
  <c r="AF85" i="3"/>
  <c r="AF85" i="2" s="1"/>
  <c r="AF86"/>
  <c r="AF74"/>
  <c r="AF45"/>
  <c r="AF35"/>
  <c r="AF25"/>
  <c r="AF190"/>
  <c r="AF121" i="3"/>
  <c r="AF121" i="2" s="1"/>
  <c r="AF122"/>
  <c r="AF96"/>
  <c r="AF64"/>
  <c r="AF54"/>
  <c r="AF44"/>
  <c r="AF34"/>
  <c r="AF24"/>
  <c r="AF105"/>
  <c r="AF83"/>
  <c r="AF62"/>
  <c r="AF46"/>
  <c r="AF36"/>
  <c r="AF26"/>
  <c r="AF125"/>
  <c r="AF102"/>
  <c r="AF49" i="3"/>
  <c r="AF49" i="2" s="1"/>
  <c r="AF50"/>
  <c r="AF48"/>
  <c r="AF38"/>
  <c r="AF28"/>
  <c r="AF18"/>
  <c r="AF88"/>
  <c r="AF51"/>
  <c r="AF47"/>
  <c r="AF33"/>
  <c r="AF31" i="3"/>
  <c r="AF31" i="2" s="1"/>
  <c r="AF32"/>
  <c r="AF19"/>
  <c r="AF10"/>
  <c r="AF143"/>
  <c r="AF139" i="3"/>
  <c r="AF139" i="2" s="1"/>
  <c r="AF140"/>
  <c r="AF100"/>
  <c r="AF93"/>
  <c r="AF92"/>
  <c r="AF27"/>
  <c r="AF7"/>
  <c r="AF99"/>
  <c r="AF78"/>
  <c r="AF43"/>
  <c r="AF42"/>
  <c r="AF9"/>
  <c r="AF153"/>
  <c r="AF67" i="3"/>
  <c r="AF67" i="2" s="1"/>
  <c r="AF68"/>
  <c r="AF66"/>
  <c r="AF63"/>
  <c r="AF40" i="3"/>
  <c r="AF40" i="2" s="1"/>
  <c r="AF41"/>
  <c r="AF37"/>
  <c r="AF21"/>
  <c r="AF17"/>
  <c r="AF11"/>
  <c r="AF137"/>
  <c r="AF15"/>
  <c r="AF13" i="3"/>
  <c r="AF13" i="2" s="1"/>
  <c r="AF14"/>
  <c r="AF53"/>
  <c r="AF29"/>
  <c r="AF20"/>
  <c r="AF4" i="3"/>
  <c r="AF4" i="2" s="1"/>
  <c r="AF5"/>
  <c r="AF94" i="3"/>
  <c r="AF94" i="2" s="1"/>
  <c r="AF95"/>
  <c r="AF82"/>
  <c r="AF52"/>
  <c r="AF117"/>
  <c r="AF6"/>
  <c r="AF39"/>
  <c r="AF16"/>
  <c r="AF12"/>
  <c r="AF84"/>
  <c r="AF72"/>
  <c r="AF155"/>
  <c r="AF107"/>
  <c r="AF127"/>
  <c r="AF56"/>
  <c r="AF22" i="3"/>
  <c r="AF22" i="2" s="1"/>
  <c r="AF23"/>
  <c r="AF30"/>
  <c r="AF8"/>
  <c r="AF73"/>
  <c r="Y209"/>
  <c r="Y199"/>
  <c r="Y189"/>
  <c r="Y179"/>
  <c r="Y210"/>
  <c r="Y200"/>
  <c r="Y190"/>
  <c r="Y180"/>
  <c r="Y207"/>
  <c r="Y196"/>
  <c r="Y184" i="3"/>
  <c r="Y184" i="2" s="1"/>
  <c r="Y185"/>
  <c r="Y181"/>
  <c r="Y174"/>
  <c r="Y166" i="3"/>
  <c r="Y166" i="2" s="1"/>
  <c r="Y167"/>
  <c r="Y165"/>
  <c r="Y192"/>
  <c r="Y177"/>
  <c r="Y172"/>
  <c r="Y206"/>
  <c r="Y195"/>
  <c r="Y188"/>
  <c r="Y173"/>
  <c r="Y169"/>
  <c r="Y204"/>
  <c r="Y201"/>
  <c r="Y183"/>
  <c r="Y182"/>
  <c r="Y171"/>
  <c r="Y161"/>
  <c r="Y151"/>
  <c r="Y141"/>
  <c r="Y202" i="3"/>
  <c r="Y202" i="2" s="1"/>
  <c r="Y203"/>
  <c r="Y175" i="3"/>
  <c r="Y175" i="2" s="1"/>
  <c r="Y176"/>
  <c r="Y160"/>
  <c r="Y168"/>
  <c r="Y162"/>
  <c r="Y208"/>
  <c r="Y198"/>
  <c r="Y197"/>
  <c r="Y193" i="3"/>
  <c r="Y193" i="2" s="1"/>
  <c r="Y194"/>
  <c r="Y154"/>
  <c r="Y186"/>
  <c r="Y178"/>
  <c r="Y163"/>
  <c r="Y152"/>
  <c r="Y145"/>
  <c r="Y137"/>
  <c r="Y157" i="3"/>
  <c r="Y157" i="2" s="1"/>
  <c r="Y158"/>
  <c r="Y142"/>
  <c r="Y164"/>
  <c r="Y159"/>
  <c r="Y133"/>
  <c r="Y191"/>
  <c r="Y153"/>
  <c r="Y146"/>
  <c r="Y138"/>
  <c r="Y135"/>
  <c r="Y117"/>
  <c r="Y107"/>
  <c r="Y156"/>
  <c r="Y155"/>
  <c r="Y129"/>
  <c r="Y124"/>
  <c r="Y114"/>
  <c r="Y143"/>
  <c r="Y134"/>
  <c r="Y128"/>
  <c r="Y126"/>
  <c r="Y116"/>
  <c r="Y106"/>
  <c r="Y187"/>
  <c r="Y170"/>
  <c r="Y150"/>
  <c r="Y132"/>
  <c r="Y99"/>
  <c r="Y94" i="3"/>
  <c r="Y94" i="2" s="1"/>
  <c r="Y95"/>
  <c r="Y93"/>
  <c r="Y83"/>
  <c r="Y73"/>
  <c r="Y63"/>
  <c r="Y148" i="3"/>
  <c r="Y148" i="2" s="1"/>
  <c r="Y149"/>
  <c r="Y127"/>
  <c r="Y123"/>
  <c r="Y118"/>
  <c r="Y112" i="3"/>
  <c r="Y112" i="2" s="1"/>
  <c r="Y113"/>
  <c r="Y102"/>
  <c r="Y90"/>
  <c r="Y80"/>
  <c r="Y70"/>
  <c r="Y60"/>
  <c r="Y121" i="3"/>
  <c r="Y121" i="2" s="1"/>
  <c r="Y122"/>
  <c r="Y110"/>
  <c r="Y101"/>
  <c r="Y92"/>
  <c r="Y82"/>
  <c r="Y72"/>
  <c r="Y62"/>
  <c r="Y205"/>
  <c r="Y111"/>
  <c r="Y105"/>
  <c r="Y97"/>
  <c r="Y96"/>
  <c r="Y85" i="3"/>
  <c r="Y85" i="2" s="1"/>
  <c r="Y86"/>
  <c r="Y84"/>
  <c r="Y74"/>
  <c r="Y64"/>
  <c r="Y139" i="3"/>
  <c r="Y139" i="2" s="1"/>
  <c r="Y140"/>
  <c r="Y130" i="3"/>
  <c r="Y130" i="2" s="1"/>
  <c r="Y131"/>
  <c r="Y109"/>
  <c r="Y108"/>
  <c r="Y98"/>
  <c r="Y91"/>
  <c r="Y71"/>
  <c r="Y57"/>
  <c r="Y49" i="3"/>
  <c r="Y49" i="2" s="1"/>
  <c r="Y50"/>
  <c r="Y48"/>
  <c r="Y38"/>
  <c r="Y28"/>
  <c r="Y120"/>
  <c r="Y88"/>
  <c r="Y87"/>
  <c r="Y75"/>
  <c r="Y67" i="3"/>
  <c r="Y67" i="2" s="1"/>
  <c r="Y68"/>
  <c r="Y61"/>
  <c r="Y47"/>
  <c r="Y37"/>
  <c r="Y27"/>
  <c r="Y17"/>
  <c r="Y147"/>
  <c r="Y125"/>
  <c r="Y58" i="3"/>
  <c r="Y58" i="2" s="1"/>
  <c r="Y59"/>
  <c r="Y51"/>
  <c r="Y40" i="3"/>
  <c r="Y40" i="2" s="1"/>
  <c r="Y41"/>
  <c r="Y39"/>
  <c r="Y29"/>
  <c r="Y78"/>
  <c r="Y76" i="3"/>
  <c r="Y76" i="2" s="1"/>
  <c r="Y77"/>
  <c r="Y53"/>
  <c r="Y43"/>
  <c r="Y33"/>
  <c r="Y22" i="3"/>
  <c r="Y22" i="2" s="1"/>
  <c r="Y23"/>
  <c r="Y21"/>
  <c r="Y115"/>
  <c r="Y100"/>
  <c r="Y42"/>
  <c r="Y24"/>
  <c r="Y15"/>
  <c r="Y4" i="3"/>
  <c r="Y4" i="2" s="1"/>
  <c r="Y5"/>
  <c r="Y81"/>
  <c r="Y79"/>
  <c r="Y30"/>
  <c r="Y20"/>
  <c r="Y10"/>
  <c r="Y119"/>
  <c r="Y65"/>
  <c r="Y52"/>
  <c r="Y35"/>
  <c r="Y19"/>
  <c r="Y13" i="3"/>
  <c r="Y13" i="2" s="1"/>
  <c r="Y14"/>
  <c r="Y12"/>
  <c r="Y144"/>
  <c r="Y56"/>
  <c r="Y55"/>
  <c r="Y46"/>
  <c r="Y31" i="3"/>
  <c r="Y31" i="2" s="1"/>
  <c r="Y32"/>
  <c r="Y18"/>
  <c r="Y6"/>
  <c r="Y34"/>
  <c r="Y45"/>
  <c r="Y54"/>
  <c r="Y44"/>
  <c r="Y25"/>
  <c r="Y9"/>
  <c r="Y26"/>
  <c r="Y16"/>
  <c r="Y8"/>
  <c r="Y7"/>
  <c r="Y36"/>
  <c r="Y69"/>
  <c r="Y11"/>
  <c r="Y66"/>
  <c r="Y89"/>
  <c r="Y136"/>
  <c r="Y103" i="3"/>
  <c r="Y103" i="2" s="1"/>
  <c r="Y104"/>
  <c r="BD206"/>
  <c r="BD196"/>
  <c r="BD186"/>
  <c r="BD175" i="3"/>
  <c r="BD175" i="2" s="1"/>
  <c r="BD176"/>
  <c r="BD174"/>
  <c r="BD207"/>
  <c r="BD197"/>
  <c r="BD187"/>
  <c r="BD177"/>
  <c r="BD192"/>
  <c r="BD210"/>
  <c r="BD199"/>
  <c r="BD195"/>
  <c r="BD188"/>
  <c r="BD173"/>
  <c r="BD169"/>
  <c r="BD194"/>
  <c r="BD193" i="3"/>
  <c r="BD193" i="2" s="1"/>
  <c r="BD191"/>
  <c r="BD180"/>
  <c r="BD172"/>
  <c r="BD164"/>
  <c r="BD208"/>
  <c r="BD190"/>
  <c r="BD182"/>
  <c r="BD201"/>
  <c r="BD168"/>
  <c r="BD165"/>
  <c r="BD157" i="3"/>
  <c r="BD157" i="2" s="1"/>
  <c r="BD158"/>
  <c r="BD156"/>
  <c r="BD146"/>
  <c r="BD136"/>
  <c r="BD184" i="3"/>
  <c r="BD184" i="2" s="1"/>
  <c r="BD185"/>
  <c r="BD171"/>
  <c r="BD204"/>
  <c r="BD181"/>
  <c r="BD170"/>
  <c r="BD159"/>
  <c r="BD178"/>
  <c r="BD163"/>
  <c r="BD161"/>
  <c r="BD151"/>
  <c r="BD138"/>
  <c r="BD135"/>
  <c r="BD155"/>
  <c r="BD143"/>
  <c r="BD139" i="3"/>
  <c r="BD139" i="2" s="1"/>
  <c r="BD140"/>
  <c r="BD189"/>
  <c r="BD154"/>
  <c r="BD150"/>
  <c r="BD147"/>
  <c r="BD137"/>
  <c r="BD128"/>
  <c r="BD202" i="3"/>
  <c r="BD202" i="2" s="1"/>
  <c r="BD203"/>
  <c r="BD148" i="3"/>
  <c r="BD148" i="2" s="1"/>
  <c r="BD149"/>
  <c r="BD132"/>
  <c r="BD152"/>
  <c r="BD134"/>
  <c r="BD124"/>
  <c r="BD114"/>
  <c r="BD127"/>
  <c r="BD119"/>
  <c r="BD179"/>
  <c r="BD162"/>
  <c r="BD141"/>
  <c r="BD123"/>
  <c r="BD112" i="3"/>
  <c r="BD112" i="2" s="1"/>
  <c r="BD113"/>
  <c r="BD111"/>
  <c r="BD101"/>
  <c r="BD183"/>
  <c r="BD107"/>
  <c r="BD97"/>
  <c r="BD90"/>
  <c r="BD80"/>
  <c r="BD70"/>
  <c r="BD60"/>
  <c r="BD125"/>
  <c r="BD115"/>
  <c r="BD100"/>
  <c r="BD87"/>
  <c r="BD76" i="3"/>
  <c r="BD76" i="2" s="1"/>
  <c r="BD77"/>
  <c r="BD75"/>
  <c r="BD65"/>
  <c r="BD55"/>
  <c r="BD209"/>
  <c r="BD109"/>
  <c r="BD99"/>
  <c r="BD96"/>
  <c r="BD89"/>
  <c r="BD79"/>
  <c r="BD69"/>
  <c r="BD58" i="3"/>
  <c r="BD58" i="2" s="1"/>
  <c r="BD59"/>
  <c r="BD57"/>
  <c r="BD108"/>
  <c r="BD103" i="3"/>
  <c r="BD103" i="2" s="1"/>
  <c r="BD104"/>
  <c r="BD98"/>
  <c r="BD91"/>
  <c r="BD81"/>
  <c r="BD71"/>
  <c r="BD61"/>
  <c r="BD198"/>
  <c r="BD144"/>
  <c r="BD133"/>
  <c r="BD117"/>
  <c r="BD94" i="3"/>
  <c r="BD94" i="2" s="1"/>
  <c r="BD95"/>
  <c r="BD84"/>
  <c r="BD63"/>
  <c r="BD56"/>
  <c r="BD45"/>
  <c r="BD35"/>
  <c r="BD25"/>
  <c r="BD205"/>
  <c r="BD166" i="3"/>
  <c r="BD166" i="2" s="1"/>
  <c r="BD167"/>
  <c r="BD160"/>
  <c r="BD126"/>
  <c r="BD118"/>
  <c r="BD54"/>
  <c r="BD44"/>
  <c r="BD34"/>
  <c r="BD24"/>
  <c r="BD106"/>
  <c r="BD93"/>
  <c r="BD73"/>
  <c r="BD66"/>
  <c r="BD46"/>
  <c r="BD36"/>
  <c r="BD26"/>
  <c r="BD153"/>
  <c r="BD129"/>
  <c r="BD64"/>
  <c r="BD49" i="3"/>
  <c r="BD49" i="2" s="1"/>
  <c r="BD50"/>
  <c r="BD48"/>
  <c r="BD38"/>
  <c r="BD28"/>
  <c r="BD18"/>
  <c r="BD200"/>
  <c r="BD110"/>
  <c r="BD83"/>
  <c r="BD82"/>
  <c r="BD30"/>
  <c r="BD22" i="3"/>
  <c r="BD22" i="2" s="1"/>
  <c r="BD23"/>
  <c r="BD20"/>
  <c r="BD10"/>
  <c r="BD78"/>
  <c r="BD40" i="3"/>
  <c r="BD40" i="2" s="1"/>
  <c r="BD41"/>
  <c r="BD37"/>
  <c r="BD7"/>
  <c r="BD145"/>
  <c r="BD120"/>
  <c r="BD105"/>
  <c r="BD102"/>
  <c r="BD67" i="3"/>
  <c r="BD67" i="2" s="1"/>
  <c r="BD68"/>
  <c r="BD62"/>
  <c r="BD9"/>
  <c r="BD142"/>
  <c r="BD121" i="3"/>
  <c r="BD121" i="2" s="1"/>
  <c r="BD122"/>
  <c r="BD27"/>
  <c r="BD11"/>
  <c r="BD39"/>
  <c r="BD33"/>
  <c r="BD31" i="3"/>
  <c r="BD31" i="2" s="1"/>
  <c r="BD32"/>
  <c r="BD6"/>
  <c r="BD130" i="3"/>
  <c r="BD130" i="2" s="1"/>
  <c r="BD131"/>
  <c r="BD88"/>
  <c r="BD16"/>
  <c r="BD47"/>
  <c r="BD42"/>
  <c r="BD21"/>
  <c r="BD13" i="3"/>
  <c r="BD13" i="2" s="1"/>
  <c r="BD14"/>
  <c r="BD72"/>
  <c r="BD52"/>
  <c r="BD17"/>
  <c r="BD51"/>
  <c r="BD4" i="3"/>
  <c r="BD4" i="2" s="1"/>
  <c r="BD5"/>
  <c r="BD92"/>
  <c r="BD85" i="3"/>
  <c r="BD85" i="2" s="1"/>
  <c r="BD86"/>
  <c r="BD53"/>
  <c r="BD19"/>
  <c r="BD12"/>
  <c r="BD29"/>
  <c r="BD8"/>
  <c r="BD43"/>
  <c r="BD116"/>
  <c r="BD74"/>
  <c r="BD15"/>
  <c r="BB208"/>
  <c r="BB198"/>
  <c r="BB188"/>
  <c r="BB178"/>
  <c r="BB209"/>
  <c r="BB199"/>
  <c r="BB189"/>
  <c r="BB179"/>
  <c r="BB206"/>
  <c r="BB180"/>
  <c r="BB205"/>
  <c r="BB193" i="3"/>
  <c r="BB193" i="2" s="1"/>
  <c r="BB194"/>
  <c r="BB191"/>
  <c r="BB175" i="3"/>
  <c r="BB175" i="2" s="1"/>
  <c r="BB176"/>
  <c r="BB172"/>
  <c r="BB171"/>
  <c r="BB187"/>
  <c r="BB183"/>
  <c r="BB168"/>
  <c r="BB202" i="3"/>
  <c r="BB202" i="2" s="1"/>
  <c r="BB203"/>
  <c r="BB200"/>
  <c r="BB184" i="3"/>
  <c r="BB184" i="2" s="1"/>
  <c r="BB185"/>
  <c r="BB166" i="3"/>
  <c r="BB166" i="2" s="1"/>
  <c r="BB167"/>
  <c r="BB160"/>
  <c r="BB150"/>
  <c r="BB139" i="3"/>
  <c r="BB139" i="2" s="1"/>
  <c r="BB140"/>
  <c r="BB138"/>
  <c r="BB207"/>
  <c r="BB196"/>
  <c r="BB195"/>
  <c r="BB182"/>
  <c r="BB170"/>
  <c r="BB164"/>
  <c r="BB163"/>
  <c r="BB161"/>
  <c r="BB201"/>
  <c r="BB177"/>
  <c r="BB162"/>
  <c r="BB153"/>
  <c r="BB204"/>
  <c r="BB151"/>
  <c r="BB143"/>
  <c r="BB181"/>
  <c r="BB154"/>
  <c r="BB147"/>
  <c r="BB210"/>
  <c r="BB148" i="3"/>
  <c r="BB148" i="2" s="1"/>
  <c r="BB149"/>
  <c r="BB132"/>
  <c r="BB197"/>
  <c r="BB186"/>
  <c r="BB159"/>
  <c r="BB152"/>
  <c r="BB145"/>
  <c r="BB144"/>
  <c r="BB141"/>
  <c r="BB192"/>
  <c r="BB126"/>
  <c r="BB116"/>
  <c r="BB106"/>
  <c r="BB190"/>
  <c r="BB169"/>
  <c r="BB157" i="3"/>
  <c r="BB157" i="2" s="1"/>
  <c r="BB158"/>
  <c r="BB123"/>
  <c r="BB112" i="3"/>
  <c r="BB112" i="2" s="1"/>
  <c r="BB113"/>
  <c r="BB111"/>
  <c r="BB146"/>
  <c r="BB135"/>
  <c r="BB130" i="3"/>
  <c r="BB130" i="2" s="1"/>
  <c r="BB131"/>
  <c r="BB125"/>
  <c r="BB115"/>
  <c r="BB105"/>
  <c r="BB174"/>
  <c r="BB120"/>
  <c r="BB110"/>
  <c r="BB92"/>
  <c r="BB82"/>
  <c r="BB72"/>
  <c r="BB62"/>
  <c r="BB156"/>
  <c r="BB155"/>
  <c r="BB136"/>
  <c r="BB127"/>
  <c r="BB99"/>
  <c r="BB96"/>
  <c r="BB89"/>
  <c r="BB79"/>
  <c r="BB69"/>
  <c r="BB58" i="3"/>
  <c r="BB58" i="2" s="1"/>
  <c r="BB59"/>
  <c r="BB57"/>
  <c r="BB165"/>
  <c r="BB142"/>
  <c r="BB129"/>
  <c r="BB118"/>
  <c r="BB103" i="3"/>
  <c r="BB103" i="2" s="1"/>
  <c r="BB104"/>
  <c r="BB91"/>
  <c r="BB81"/>
  <c r="BB71"/>
  <c r="BB61"/>
  <c r="BB134"/>
  <c r="BB101"/>
  <c r="BB94" i="3"/>
  <c r="BB94" i="2" s="1"/>
  <c r="BB95"/>
  <c r="BB93"/>
  <c r="BB83"/>
  <c r="BB73"/>
  <c r="BB63"/>
  <c r="BB102"/>
  <c r="BB90"/>
  <c r="BB70"/>
  <c r="BB55"/>
  <c r="BB47"/>
  <c r="BB37"/>
  <c r="BB27"/>
  <c r="BB114"/>
  <c r="BB109"/>
  <c r="BB108"/>
  <c r="BB100"/>
  <c r="BB85" i="3"/>
  <c r="BB85" i="2" s="1"/>
  <c r="BB86"/>
  <c r="BB74"/>
  <c r="BB60"/>
  <c r="BB46"/>
  <c r="BB36"/>
  <c r="BB26"/>
  <c r="BB16"/>
  <c r="BB128"/>
  <c r="BB98"/>
  <c r="BB78"/>
  <c r="BB65"/>
  <c r="BB49" i="3"/>
  <c r="BB49" i="2" s="1"/>
  <c r="BB50"/>
  <c r="BB48"/>
  <c r="BB38"/>
  <c r="BB28"/>
  <c r="BB133"/>
  <c r="BB119"/>
  <c r="BB117"/>
  <c r="BB84"/>
  <c r="BB56"/>
  <c r="BB52"/>
  <c r="BB42"/>
  <c r="BB31" i="3"/>
  <c r="BB31" i="2" s="1"/>
  <c r="BB32"/>
  <c r="BB30"/>
  <c r="BB20"/>
  <c r="BB54"/>
  <c r="BB40" i="3"/>
  <c r="BB40" i="2" s="1"/>
  <c r="BB41"/>
  <c r="BB13" i="3"/>
  <c r="BB13" i="2" s="1"/>
  <c r="BB14"/>
  <c r="BB12"/>
  <c r="BB124"/>
  <c r="BB80"/>
  <c r="BB76" i="3"/>
  <c r="BB76" i="2" s="1"/>
  <c r="BB77"/>
  <c r="BB53"/>
  <c r="BB29"/>
  <c r="BB19"/>
  <c r="BB9"/>
  <c r="BB97"/>
  <c r="BB75"/>
  <c r="BB66"/>
  <c r="BB64"/>
  <c r="BB51"/>
  <c r="BB33"/>
  <c r="BB18"/>
  <c r="BB11"/>
  <c r="BB88"/>
  <c r="BB87"/>
  <c r="BB45"/>
  <c r="BB44"/>
  <c r="BB39"/>
  <c r="BB17"/>
  <c r="BB15"/>
  <c r="BB4" i="3"/>
  <c r="BB4" i="2" s="1"/>
  <c r="BB5"/>
  <c r="BB34"/>
  <c r="BB137"/>
  <c r="BB121" i="3"/>
  <c r="BB121" i="2" s="1"/>
  <c r="BB122"/>
  <c r="BB35"/>
  <c r="BB173"/>
  <c r="BB43"/>
  <c r="BB8"/>
  <c r="BB107"/>
  <c r="BB24"/>
  <c r="BB25"/>
  <c r="BB22" i="3"/>
  <c r="BB22" i="2" s="1"/>
  <c r="BB23"/>
  <c r="BB7"/>
  <c r="BB67" i="3"/>
  <c r="BB67" i="2" s="1"/>
  <c r="BB68"/>
  <c r="BB6"/>
  <c r="BB10"/>
  <c r="BB21"/>
  <c r="S207"/>
  <c r="S197"/>
  <c r="S187"/>
  <c r="S177"/>
  <c r="S208"/>
  <c r="S198"/>
  <c r="S188"/>
  <c r="S178"/>
  <c r="S204"/>
  <c r="S183"/>
  <c r="S179"/>
  <c r="S201"/>
  <c r="S190"/>
  <c r="S182"/>
  <c r="S170"/>
  <c r="S186"/>
  <c r="S166" i="3"/>
  <c r="S166" i="2" s="1"/>
  <c r="S167"/>
  <c r="S165"/>
  <c r="S210"/>
  <c r="S199"/>
  <c r="S195"/>
  <c r="S202" i="3"/>
  <c r="S202" i="2" s="1"/>
  <c r="S203"/>
  <c r="S192"/>
  <c r="S159"/>
  <c r="S148" i="3"/>
  <c r="S148" i="2" s="1"/>
  <c r="S149"/>
  <c r="S147"/>
  <c r="S137"/>
  <c r="S200"/>
  <c r="S173"/>
  <c r="S209"/>
  <c r="S193" i="3"/>
  <c r="S193" i="2" s="1"/>
  <c r="S194"/>
  <c r="S171"/>
  <c r="S160"/>
  <c r="S205"/>
  <c r="S181"/>
  <c r="S180"/>
  <c r="S169"/>
  <c r="S163"/>
  <c r="S162"/>
  <c r="S152"/>
  <c r="S174"/>
  <c r="S150"/>
  <c r="S138"/>
  <c r="S135"/>
  <c r="S164"/>
  <c r="S153"/>
  <c r="S146"/>
  <c r="S143"/>
  <c r="S139" i="3"/>
  <c r="S139" i="2" s="1"/>
  <c r="S140"/>
  <c r="S161"/>
  <c r="S156"/>
  <c r="S130" i="3"/>
  <c r="S130" i="2" s="1"/>
  <c r="S131"/>
  <c r="S129"/>
  <c r="S168"/>
  <c r="S157" i="3"/>
  <c r="S157" i="2" s="1"/>
  <c r="S158"/>
  <c r="S151"/>
  <c r="S136"/>
  <c r="S133"/>
  <c r="S125"/>
  <c r="S115"/>
  <c r="S105"/>
  <c r="S172"/>
  <c r="S127"/>
  <c r="S121" i="3"/>
  <c r="S121" i="2" s="1"/>
  <c r="S122"/>
  <c r="S120"/>
  <c r="S144"/>
  <c r="S124"/>
  <c r="S114"/>
  <c r="S103" i="3"/>
  <c r="S103" i="2" s="1"/>
  <c r="S104"/>
  <c r="S102"/>
  <c r="S126"/>
  <c r="S116"/>
  <c r="S97"/>
  <c r="S91"/>
  <c r="S81"/>
  <c r="S71"/>
  <c r="S61"/>
  <c r="S206"/>
  <c r="S189"/>
  <c r="S141"/>
  <c r="S100"/>
  <c r="S88"/>
  <c r="S78"/>
  <c r="S67" i="3"/>
  <c r="S67" i="2" s="1"/>
  <c r="S68"/>
  <c r="S66"/>
  <c r="S56"/>
  <c r="S119"/>
  <c r="S90"/>
  <c r="S80"/>
  <c r="S70"/>
  <c r="S60"/>
  <c r="S184" i="3"/>
  <c r="S184" i="2" s="1"/>
  <c r="S185"/>
  <c r="S175" i="3"/>
  <c r="S175" i="2" s="1"/>
  <c r="S176"/>
  <c r="S98"/>
  <c r="S92"/>
  <c r="S82"/>
  <c r="S72"/>
  <c r="S62"/>
  <c r="S132"/>
  <c r="S118"/>
  <c r="S99"/>
  <c r="S87"/>
  <c r="S75"/>
  <c r="S46"/>
  <c r="S36"/>
  <c r="S26"/>
  <c r="S155"/>
  <c r="S123"/>
  <c r="S79"/>
  <c r="S65"/>
  <c r="S45"/>
  <c r="S35"/>
  <c r="S25"/>
  <c r="S145"/>
  <c r="S111"/>
  <c r="S96"/>
  <c r="S94" i="3"/>
  <c r="S94" i="2" s="1"/>
  <c r="S95"/>
  <c r="S64"/>
  <c r="S63"/>
  <c r="S57"/>
  <c r="S47"/>
  <c r="S37"/>
  <c r="S27"/>
  <c r="S134"/>
  <c r="S107"/>
  <c r="S106"/>
  <c r="S89"/>
  <c r="S69"/>
  <c r="S51"/>
  <c r="S40" i="3"/>
  <c r="S40" i="2" s="1"/>
  <c r="S41"/>
  <c r="S39"/>
  <c r="S29"/>
  <c r="S19"/>
  <c r="S76" i="3"/>
  <c r="S76" i="2" s="1"/>
  <c r="S77"/>
  <c r="S52"/>
  <c r="S48"/>
  <c r="S11"/>
  <c r="S154"/>
  <c r="S112" i="3"/>
  <c r="S112" i="2" s="1"/>
  <c r="S113"/>
  <c r="S110"/>
  <c r="S34"/>
  <c r="S33"/>
  <c r="S28"/>
  <c r="S18"/>
  <c r="S8"/>
  <c r="S74"/>
  <c r="S73"/>
  <c r="S58" i="3"/>
  <c r="S58" i="2" s="1"/>
  <c r="S59"/>
  <c r="S49" i="3"/>
  <c r="S49" i="2" s="1"/>
  <c r="S50"/>
  <c r="S21"/>
  <c r="S17"/>
  <c r="S10"/>
  <c r="S101"/>
  <c r="S85" i="3"/>
  <c r="S85" i="2" s="1"/>
  <c r="S86"/>
  <c r="S42"/>
  <c r="S38"/>
  <c r="S24"/>
  <c r="S22" i="3"/>
  <c r="S22" i="2" s="1"/>
  <c r="S23"/>
  <c r="S13" i="3"/>
  <c r="S13" i="2" s="1"/>
  <c r="S14"/>
  <c r="S12"/>
  <c r="S55"/>
  <c r="S20"/>
  <c r="S128"/>
  <c r="S30"/>
  <c r="S16"/>
  <c r="S15"/>
  <c r="S191"/>
  <c r="S117"/>
  <c r="S142"/>
  <c r="S93"/>
  <c r="S84"/>
  <c r="S53"/>
  <c r="S196"/>
  <c r="S109"/>
  <c r="S44"/>
  <c r="S31" i="3"/>
  <c r="S31" i="2" s="1"/>
  <c r="S32"/>
  <c r="S108"/>
  <c r="S7"/>
  <c r="S9"/>
  <c r="S83"/>
  <c r="S43"/>
  <c r="S6"/>
  <c r="S4" i="3"/>
  <c r="S4" i="2" s="1"/>
  <c r="S5"/>
  <c r="S54"/>
  <c r="J204"/>
  <c r="J193" i="3"/>
  <c r="J193" i="2" s="1"/>
  <c r="J194"/>
  <c r="J192"/>
  <c r="J182"/>
  <c r="J205"/>
  <c r="J195"/>
  <c r="J184" i="3"/>
  <c r="J184" i="2" s="1"/>
  <c r="J185"/>
  <c r="J183"/>
  <c r="J173"/>
  <c r="J209"/>
  <c r="J191"/>
  <c r="J175" i="3"/>
  <c r="J175" i="2" s="1"/>
  <c r="J176"/>
  <c r="J170"/>
  <c r="J198"/>
  <c r="J187"/>
  <c r="J179"/>
  <c r="J166" i="3"/>
  <c r="J166" i="2" s="1"/>
  <c r="J167"/>
  <c r="J165"/>
  <c r="J201"/>
  <c r="J190"/>
  <c r="J172"/>
  <c r="J207"/>
  <c r="J196"/>
  <c r="J181"/>
  <c r="J174"/>
  <c r="J200"/>
  <c r="J199"/>
  <c r="J188"/>
  <c r="J186"/>
  <c r="J154"/>
  <c r="J144"/>
  <c r="J206"/>
  <c r="J202" i="3"/>
  <c r="J202" i="2" s="1"/>
  <c r="J203"/>
  <c r="J189"/>
  <c r="J171"/>
  <c r="J163"/>
  <c r="J159"/>
  <c r="J148" i="3"/>
  <c r="J148" i="2" s="1"/>
  <c r="J149"/>
  <c r="J147"/>
  <c r="J160"/>
  <c r="J138"/>
  <c r="J208"/>
  <c r="J177"/>
  <c r="J150"/>
  <c r="J143"/>
  <c r="J139" i="3"/>
  <c r="J139" i="2" s="1"/>
  <c r="J140"/>
  <c r="J137"/>
  <c r="J180"/>
  <c r="J178"/>
  <c r="J169"/>
  <c r="J164"/>
  <c r="J162"/>
  <c r="J152"/>
  <c r="J145"/>
  <c r="J136"/>
  <c r="J168"/>
  <c r="J157" i="3"/>
  <c r="J157" i="2" s="1"/>
  <c r="J158"/>
  <c r="J121" i="3"/>
  <c r="J121" i="2" s="1"/>
  <c r="J122"/>
  <c r="J120"/>
  <c r="J110"/>
  <c r="J210"/>
  <c r="J161"/>
  <c r="J142"/>
  <c r="J134"/>
  <c r="J127"/>
  <c r="J117"/>
  <c r="J197"/>
  <c r="J156"/>
  <c r="J135"/>
  <c r="J133"/>
  <c r="J119"/>
  <c r="J109"/>
  <c r="J99"/>
  <c r="J123"/>
  <c r="J118"/>
  <c r="J112" i="3"/>
  <c r="J112" i="2" s="1"/>
  <c r="J113"/>
  <c r="J97"/>
  <c r="J88"/>
  <c r="J78"/>
  <c r="J67" i="3"/>
  <c r="J67" i="2" s="1"/>
  <c r="J68"/>
  <c r="J66"/>
  <c r="J56"/>
  <c r="J153"/>
  <c r="J100"/>
  <c r="J94" i="3"/>
  <c r="J94" i="2" s="1"/>
  <c r="J95"/>
  <c r="J93"/>
  <c r="J83"/>
  <c r="J73"/>
  <c r="J63"/>
  <c r="J146"/>
  <c r="J129"/>
  <c r="J108"/>
  <c r="J87"/>
  <c r="J76" i="3"/>
  <c r="J76" i="2" s="1"/>
  <c r="J77"/>
  <c r="J75"/>
  <c r="J65"/>
  <c r="J55"/>
  <c r="J125"/>
  <c r="J115"/>
  <c r="J107"/>
  <c r="J103" i="3"/>
  <c r="J103" i="2" s="1"/>
  <c r="J104"/>
  <c r="J98"/>
  <c r="J89"/>
  <c r="J79"/>
  <c r="J69"/>
  <c r="J58" i="3"/>
  <c r="J58" i="2" s="1"/>
  <c r="J59"/>
  <c r="J57"/>
  <c r="J141"/>
  <c r="J96"/>
  <c r="J64"/>
  <c r="J53"/>
  <c r="J43"/>
  <c r="J33"/>
  <c r="J22" i="3"/>
  <c r="J22" i="2" s="1"/>
  <c r="J23"/>
  <c r="J82"/>
  <c r="J52"/>
  <c r="J42"/>
  <c r="J31" i="3"/>
  <c r="J31" i="2" s="1"/>
  <c r="J32"/>
  <c r="J30"/>
  <c r="J20"/>
  <c r="J116"/>
  <c r="J114"/>
  <c r="J105"/>
  <c r="J102"/>
  <c r="J85" i="3"/>
  <c r="J85" i="2" s="1"/>
  <c r="J86"/>
  <c r="J81"/>
  <c r="J74"/>
  <c r="J60"/>
  <c r="J54"/>
  <c r="J44"/>
  <c r="J34"/>
  <c r="J24"/>
  <c r="J92"/>
  <c r="J72"/>
  <c r="J46"/>
  <c r="J36"/>
  <c r="J26"/>
  <c r="J71"/>
  <c r="J62"/>
  <c r="J61"/>
  <c r="J38"/>
  <c r="J25"/>
  <c r="J19"/>
  <c r="J8"/>
  <c r="J70"/>
  <c r="J15"/>
  <c r="J4" i="3"/>
  <c r="J4" i="2" s="1"/>
  <c r="J5"/>
  <c r="J101"/>
  <c r="J91"/>
  <c r="J48"/>
  <c r="J29"/>
  <c r="J7"/>
  <c r="J132"/>
  <c r="J51"/>
  <c r="J47"/>
  <c r="J9"/>
  <c r="J128"/>
  <c r="J27"/>
  <c r="J17"/>
  <c r="J124"/>
  <c r="J106"/>
  <c r="J84"/>
  <c r="J126"/>
  <c r="J90"/>
  <c r="J39"/>
  <c r="J21"/>
  <c r="J11"/>
  <c r="J151"/>
  <c r="J45"/>
  <c r="J35"/>
  <c r="J12"/>
  <c r="J130" i="3"/>
  <c r="J130" i="2" s="1"/>
  <c r="J131"/>
  <c r="J16"/>
  <c r="J13" i="3"/>
  <c r="J13" i="2" s="1"/>
  <c r="J14"/>
  <c r="J49" i="3"/>
  <c r="J49" i="2" s="1"/>
  <c r="J50"/>
  <c r="J10"/>
  <c r="J18"/>
  <c r="J80"/>
  <c r="J155"/>
  <c r="J111"/>
  <c r="J37"/>
  <c r="J40" i="3"/>
  <c r="J40" i="2" s="1"/>
  <c r="J41"/>
  <c r="J6"/>
  <c r="J28"/>
  <c r="BE209"/>
  <c r="BE199"/>
  <c r="BE189"/>
  <c r="BE179"/>
  <c r="BE210"/>
  <c r="BE200"/>
  <c r="BE190"/>
  <c r="BE180"/>
  <c r="BE207"/>
  <c r="BE196"/>
  <c r="BE184" i="3"/>
  <c r="BE184" i="2" s="1"/>
  <c r="BE185"/>
  <c r="BE181"/>
  <c r="BE174"/>
  <c r="BE166" i="3"/>
  <c r="BE166" i="2" s="1"/>
  <c r="BE167"/>
  <c r="BE165"/>
  <c r="BE192"/>
  <c r="BE177"/>
  <c r="BE206"/>
  <c r="BE195"/>
  <c r="BE188"/>
  <c r="BE173"/>
  <c r="BE169"/>
  <c r="BE204"/>
  <c r="BE201"/>
  <c r="BE183"/>
  <c r="BE178"/>
  <c r="BE163"/>
  <c r="BE161"/>
  <c r="BE151"/>
  <c r="BE141"/>
  <c r="BE208"/>
  <c r="BE198"/>
  <c r="BE197"/>
  <c r="BE193" i="3"/>
  <c r="BE193" i="2" s="1"/>
  <c r="BE194"/>
  <c r="BE160"/>
  <c r="BE205"/>
  <c r="BE164"/>
  <c r="BE202" i="3"/>
  <c r="BE202" i="2" s="1"/>
  <c r="BE203"/>
  <c r="BE175" i="3"/>
  <c r="BE175" i="2" s="1"/>
  <c r="BE176"/>
  <c r="BE154"/>
  <c r="BE170"/>
  <c r="BE168"/>
  <c r="BE157" i="3"/>
  <c r="BE157" i="2" s="1"/>
  <c r="BE158"/>
  <c r="BE152"/>
  <c r="BE145"/>
  <c r="BE144"/>
  <c r="BE138"/>
  <c r="BE191"/>
  <c r="BE171"/>
  <c r="BE162"/>
  <c r="BE134"/>
  <c r="BE133"/>
  <c r="BE182"/>
  <c r="BE153"/>
  <c r="BE146"/>
  <c r="BE142"/>
  <c r="BE150"/>
  <c r="BE148" i="3"/>
  <c r="BE148" i="2" s="1"/>
  <c r="BE149"/>
  <c r="BE139" i="3"/>
  <c r="BE139" i="2" s="1"/>
  <c r="BE140"/>
  <c r="BE137"/>
  <c r="BE132"/>
  <c r="BE117"/>
  <c r="BE107"/>
  <c r="BE143"/>
  <c r="BE124"/>
  <c r="BE114"/>
  <c r="BE147"/>
  <c r="BE126"/>
  <c r="BE116"/>
  <c r="BE106"/>
  <c r="BE96"/>
  <c r="BE130" i="3"/>
  <c r="BE130" i="2" s="1"/>
  <c r="BE131"/>
  <c r="BE94" i="3"/>
  <c r="BE94" i="2" s="1"/>
  <c r="BE95"/>
  <c r="BE93"/>
  <c r="BE83"/>
  <c r="BE73"/>
  <c r="BE63"/>
  <c r="BE111"/>
  <c r="BE97"/>
  <c r="BE90"/>
  <c r="BE80"/>
  <c r="BE70"/>
  <c r="BE60"/>
  <c r="BE120"/>
  <c r="BE119"/>
  <c r="BE110"/>
  <c r="BE92"/>
  <c r="BE82"/>
  <c r="BE72"/>
  <c r="BE62"/>
  <c r="BE186"/>
  <c r="BE135"/>
  <c r="BE129"/>
  <c r="BE123"/>
  <c r="BE118"/>
  <c r="BE112" i="3"/>
  <c r="BE112" i="2" s="1"/>
  <c r="BE113"/>
  <c r="BE105"/>
  <c r="BE102"/>
  <c r="BE85" i="3"/>
  <c r="BE85" i="2" s="1"/>
  <c r="BE86"/>
  <c r="BE84"/>
  <c r="BE74"/>
  <c r="BE64"/>
  <c r="BE156"/>
  <c r="BE115"/>
  <c r="BE91"/>
  <c r="BE71"/>
  <c r="BE57"/>
  <c r="BE49" i="3"/>
  <c r="BE49" i="2" s="1"/>
  <c r="BE50"/>
  <c r="BE48"/>
  <c r="BE38"/>
  <c r="BE28"/>
  <c r="BE187"/>
  <c r="BE121" i="3"/>
  <c r="BE121" i="2" s="1"/>
  <c r="BE122"/>
  <c r="BE88"/>
  <c r="BE87"/>
  <c r="BE75"/>
  <c r="BE67" i="3"/>
  <c r="BE67" i="2" s="1"/>
  <c r="BE68"/>
  <c r="BE61"/>
  <c r="BE47"/>
  <c r="BE37"/>
  <c r="BE27"/>
  <c r="BE17"/>
  <c r="BE127"/>
  <c r="BE58" i="3"/>
  <c r="BE58" i="2" s="1"/>
  <c r="BE59"/>
  <c r="BE51"/>
  <c r="BE40" i="3"/>
  <c r="BE40" i="2" s="1"/>
  <c r="BE41"/>
  <c r="BE39"/>
  <c r="BE29"/>
  <c r="BE172"/>
  <c r="BE155"/>
  <c r="BE125"/>
  <c r="BE103" i="3"/>
  <c r="BE103" i="2" s="1"/>
  <c r="BE104"/>
  <c r="BE101"/>
  <c r="BE78"/>
  <c r="BE76" i="3"/>
  <c r="BE76" i="2" s="1"/>
  <c r="BE77"/>
  <c r="BE53"/>
  <c r="BE43"/>
  <c r="BE33"/>
  <c r="BE22" i="3"/>
  <c r="BE22" i="2" s="1"/>
  <c r="BE23"/>
  <c r="BE21"/>
  <c r="BE99"/>
  <c r="BE42"/>
  <c r="BE24"/>
  <c r="BE16"/>
  <c r="BE15"/>
  <c r="BE4" i="3"/>
  <c r="BE4" i="2" s="1"/>
  <c r="BE5"/>
  <c r="BE159"/>
  <c r="BE128"/>
  <c r="BE81"/>
  <c r="BE79"/>
  <c r="BE30"/>
  <c r="BE20"/>
  <c r="BE10"/>
  <c r="BE109"/>
  <c r="BE98"/>
  <c r="BE65"/>
  <c r="BE52"/>
  <c r="BE35"/>
  <c r="BE19"/>
  <c r="BE13" i="3"/>
  <c r="BE13" i="2" s="1"/>
  <c r="BE14"/>
  <c r="BE12"/>
  <c r="BE56"/>
  <c r="BE55"/>
  <c r="BE46"/>
  <c r="BE31" i="3"/>
  <c r="BE31" i="2" s="1"/>
  <c r="BE32"/>
  <c r="BE18"/>
  <c r="BE6"/>
  <c r="BE34"/>
  <c r="BE136"/>
  <c r="BE45"/>
  <c r="BE100"/>
  <c r="BE66"/>
  <c r="BE54"/>
  <c r="BE44"/>
  <c r="BE25"/>
  <c r="BE8"/>
  <c r="BE7"/>
  <c r="BE11"/>
  <c r="BE89"/>
  <c r="BE36"/>
  <c r="BE108"/>
  <c r="BE26"/>
  <c r="BE9"/>
  <c r="BE69"/>
  <c r="BG207"/>
  <c r="BG197"/>
  <c r="BG187"/>
  <c r="BG177"/>
  <c r="BG208"/>
  <c r="BG198"/>
  <c r="BG188"/>
  <c r="BG178"/>
  <c r="BG186"/>
  <c r="BG202" i="3"/>
  <c r="BG202" i="2" s="1"/>
  <c r="BG203"/>
  <c r="BG200"/>
  <c r="BG189"/>
  <c r="BG184" i="3"/>
  <c r="BG184" i="2" s="1"/>
  <c r="BG185"/>
  <c r="BG170"/>
  <c r="BG196"/>
  <c r="BG192"/>
  <c r="BG181"/>
  <c r="BG174"/>
  <c r="BG166" i="3"/>
  <c r="BG166" i="2" s="1"/>
  <c r="BG167"/>
  <c r="BG165"/>
  <c r="BG209"/>
  <c r="BG205"/>
  <c r="BG191"/>
  <c r="BG175" i="3"/>
  <c r="BG175" i="2" s="1"/>
  <c r="BG176"/>
  <c r="BG169"/>
  <c r="BG159"/>
  <c r="BG148" i="3"/>
  <c r="BG148" i="2" s="1"/>
  <c r="BG149"/>
  <c r="BG147"/>
  <c r="BG137"/>
  <c r="BG210"/>
  <c r="BG168"/>
  <c r="BG162"/>
  <c r="BG206"/>
  <c r="BG183"/>
  <c r="BG182"/>
  <c r="BG160"/>
  <c r="BG179"/>
  <c r="BG172"/>
  <c r="BG164"/>
  <c r="BG152"/>
  <c r="BG136"/>
  <c r="BG204"/>
  <c r="BG156"/>
  <c r="BG144"/>
  <c r="BG141"/>
  <c r="BG173"/>
  <c r="BG151"/>
  <c r="BG138"/>
  <c r="BG135"/>
  <c r="BG130" i="3"/>
  <c r="BG130" i="2" s="1"/>
  <c r="BG131"/>
  <c r="BG129"/>
  <c r="BG133"/>
  <c r="BG153"/>
  <c r="BG125"/>
  <c r="BG115"/>
  <c r="BG105"/>
  <c r="BG150"/>
  <c r="BG139" i="3"/>
  <c r="BG139" i="2" s="1"/>
  <c r="BG140"/>
  <c r="BG134"/>
  <c r="BG128"/>
  <c r="BG121" i="3"/>
  <c r="BG121" i="2" s="1"/>
  <c r="BG122"/>
  <c r="BG120"/>
  <c r="BG110"/>
  <c r="BG201"/>
  <c r="BG193" i="3"/>
  <c r="BG193" i="2" s="1"/>
  <c r="BG194"/>
  <c r="BG124"/>
  <c r="BG114"/>
  <c r="BG103" i="3"/>
  <c r="BG103" i="2" s="1"/>
  <c r="BG104"/>
  <c r="BG102"/>
  <c r="BG145"/>
  <c r="BG132"/>
  <c r="BG108"/>
  <c r="BG98"/>
  <c r="BG91"/>
  <c r="BG81"/>
  <c r="BG71"/>
  <c r="BG61"/>
  <c r="BG180"/>
  <c r="BG161"/>
  <c r="BG126"/>
  <c r="BG116"/>
  <c r="BG101"/>
  <c r="BG88"/>
  <c r="BG78"/>
  <c r="BG67" i="3"/>
  <c r="BG67" i="2" s="1"/>
  <c r="BG68"/>
  <c r="BG66"/>
  <c r="BG56"/>
  <c r="BG195"/>
  <c r="BG155"/>
  <c r="BG154"/>
  <c r="BG127"/>
  <c r="BG111"/>
  <c r="BG97"/>
  <c r="BG90"/>
  <c r="BG80"/>
  <c r="BG70"/>
  <c r="BG60"/>
  <c r="BG109"/>
  <c r="BG99"/>
  <c r="BG96"/>
  <c r="BG92"/>
  <c r="BG82"/>
  <c r="BG72"/>
  <c r="BG62"/>
  <c r="BG123"/>
  <c r="BG119"/>
  <c r="BG76" i="3"/>
  <c r="BG76" i="2" s="1"/>
  <c r="BG77"/>
  <c r="BG46"/>
  <c r="BG36"/>
  <c r="BG26"/>
  <c r="BG199"/>
  <c r="BG171"/>
  <c r="BG163"/>
  <c r="BG89"/>
  <c r="BG69"/>
  <c r="BG45"/>
  <c r="BG35"/>
  <c r="BG25"/>
  <c r="BG118"/>
  <c r="BG100"/>
  <c r="BG47"/>
  <c r="BG37"/>
  <c r="BG27"/>
  <c r="BG143"/>
  <c r="BG142"/>
  <c r="BG79"/>
  <c r="BG65"/>
  <c r="BG51"/>
  <c r="BG40" i="3"/>
  <c r="BG40" i="2" s="1"/>
  <c r="BG41"/>
  <c r="BG39"/>
  <c r="BG29"/>
  <c r="BG19"/>
  <c r="BG93"/>
  <c r="BG44"/>
  <c r="BG43"/>
  <c r="BG11"/>
  <c r="BG84"/>
  <c r="BG83"/>
  <c r="BG42"/>
  <c r="BG38"/>
  <c r="BG24"/>
  <c r="BG22" i="3"/>
  <c r="BG22" i="2" s="1"/>
  <c r="BG23"/>
  <c r="BG17"/>
  <c r="BG8"/>
  <c r="BG107"/>
  <c r="BG63"/>
  <c r="BG54"/>
  <c r="BG53"/>
  <c r="BG10"/>
  <c r="BG190"/>
  <c r="BG157" i="3"/>
  <c r="BG157" i="2" s="1"/>
  <c r="BG158"/>
  <c r="BG94" i="3"/>
  <c r="BG94" i="2" s="1"/>
  <c r="BG95"/>
  <c r="BG74"/>
  <c r="BG73"/>
  <c r="BG58" i="3"/>
  <c r="BG58" i="2" s="1"/>
  <c r="BG59"/>
  <c r="BG57"/>
  <c r="BG34"/>
  <c r="BG33"/>
  <c r="BG28"/>
  <c r="BG21"/>
  <c r="BG13" i="3"/>
  <c r="BG13" i="2" s="1"/>
  <c r="BG14"/>
  <c r="BG12"/>
  <c r="BG146"/>
  <c r="BG117"/>
  <c r="BG87"/>
  <c r="BG85" i="3"/>
  <c r="BG85" i="2" s="1"/>
  <c r="BG86"/>
  <c r="BG7"/>
  <c r="BG112" i="3"/>
  <c r="BG112" i="2" s="1"/>
  <c r="BG113"/>
  <c r="BG31" i="3"/>
  <c r="BG31" i="2" s="1"/>
  <c r="BG32"/>
  <c r="BG55"/>
  <c r="BG15"/>
  <c r="BG52"/>
  <c r="BG48"/>
  <c r="BG18"/>
  <c r="BG9"/>
  <c r="BG106"/>
  <c r="BG30"/>
  <c r="BG75"/>
  <c r="BG4" i="3"/>
  <c r="BG4" i="2" s="1"/>
  <c r="BG5"/>
  <c r="BG49" i="3"/>
  <c r="BG49" i="2" s="1"/>
  <c r="BG50"/>
  <c r="BG6"/>
  <c r="BG64"/>
  <c r="BG16"/>
  <c r="BG20"/>
  <c r="R204"/>
  <c r="R193" i="3"/>
  <c r="R193" i="2" s="1"/>
  <c r="R194"/>
  <c r="R192"/>
  <c r="R182"/>
  <c r="R205"/>
  <c r="R195"/>
  <c r="R184" i="3"/>
  <c r="R184" i="2" s="1"/>
  <c r="R185"/>
  <c r="R183"/>
  <c r="R173"/>
  <c r="R201"/>
  <c r="R190"/>
  <c r="R170"/>
  <c r="R208"/>
  <c r="R197"/>
  <c r="R186"/>
  <c r="R166" i="3"/>
  <c r="R166" i="2" s="1"/>
  <c r="R167"/>
  <c r="R165"/>
  <c r="R202" i="3"/>
  <c r="R202" i="2" s="1"/>
  <c r="R203"/>
  <c r="R200"/>
  <c r="R189"/>
  <c r="R178"/>
  <c r="R172"/>
  <c r="R206"/>
  <c r="R188"/>
  <c r="R180"/>
  <c r="R191"/>
  <c r="R179"/>
  <c r="R154"/>
  <c r="R144"/>
  <c r="R134"/>
  <c r="R199"/>
  <c r="R174"/>
  <c r="R164"/>
  <c r="R207"/>
  <c r="R198"/>
  <c r="R196"/>
  <c r="R159"/>
  <c r="R148" i="3"/>
  <c r="R148" i="2" s="1"/>
  <c r="R149"/>
  <c r="R147"/>
  <c r="R209"/>
  <c r="R169"/>
  <c r="R153"/>
  <c r="R146"/>
  <c r="R143"/>
  <c r="R139" i="3"/>
  <c r="R139" i="2" s="1"/>
  <c r="R140"/>
  <c r="R162"/>
  <c r="R187"/>
  <c r="R152"/>
  <c r="R145"/>
  <c r="R142"/>
  <c r="R175" i="3"/>
  <c r="R175" i="2" s="1"/>
  <c r="R176"/>
  <c r="R163"/>
  <c r="R155"/>
  <c r="R141"/>
  <c r="R171"/>
  <c r="R135"/>
  <c r="R127"/>
  <c r="R121" i="3"/>
  <c r="R121" i="2" s="1"/>
  <c r="R122"/>
  <c r="R120"/>
  <c r="R110"/>
  <c r="R168"/>
  <c r="R151"/>
  <c r="R136"/>
  <c r="R133"/>
  <c r="R132"/>
  <c r="R117"/>
  <c r="R161"/>
  <c r="R157" i="3"/>
  <c r="R157" i="2" s="1"/>
  <c r="R158"/>
  <c r="R138"/>
  <c r="R137"/>
  <c r="R129"/>
  <c r="R119"/>
  <c r="R109"/>
  <c r="R99"/>
  <c r="R105"/>
  <c r="R100"/>
  <c r="R88"/>
  <c r="R78"/>
  <c r="R67" i="3"/>
  <c r="R67" i="2" s="1"/>
  <c r="R68"/>
  <c r="R66"/>
  <c r="R56"/>
  <c r="R156"/>
  <c r="R111"/>
  <c r="R108"/>
  <c r="R94" i="3"/>
  <c r="R94" i="2" s="1"/>
  <c r="R95"/>
  <c r="R93"/>
  <c r="R83"/>
  <c r="R73"/>
  <c r="R63"/>
  <c r="R181"/>
  <c r="R124"/>
  <c r="R114"/>
  <c r="R107"/>
  <c r="R102"/>
  <c r="R87"/>
  <c r="R76" i="3"/>
  <c r="R76" i="2" s="1"/>
  <c r="R77"/>
  <c r="R75"/>
  <c r="R65"/>
  <c r="R55"/>
  <c r="R210"/>
  <c r="R123"/>
  <c r="R118"/>
  <c r="R112" i="3"/>
  <c r="R112" i="2" s="1"/>
  <c r="R113"/>
  <c r="R106"/>
  <c r="R101"/>
  <c r="R89"/>
  <c r="R79"/>
  <c r="R69"/>
  <c r="R58" i="3"/>
  <c r="R58" i="2" s="1"/>
  <c r="R59"/>
  <c r="R57"/>
  <c r="R160"/>
  <c r="R116"/>
  <c r="R61"/>
  <c r="R53"/>
  <c r="R43"/>
  <c r="R33"/>
  <c r="R22" i="3"/>
  <c r="R22" i="2" s="1"/>
  <c r="R23"/>
  <c r="R150"/>
  <c r="R128"/>
  <c r="R125"/>
  <c r="R92"/>
  <c r="R72"/>
  <c r="R52"/>
  <c r="R42"/>
  <c r="R31" i="3"/>
  <c r="R31" i="2" s="1"/>
  <c r="R32"/>
  <c r="R30"/>
  <c r="R20"/>
  <c r="R98"/>
  <c r="R91"/>
  <c r="R84"/>
  <c r="R71"/>
  <c r="R54"/>
  <c r="R44"/>
  <c r="R34"/>
  <c r="R24"/>
  <c r="R126"/>
  <c r="R82"/>
  <c r="R46"/>
  <c r="R36"/>
  <c r="R26"/>
  <c r="R80"/>
  <c r="R35"/>
  <c r="R28"/>
  <c r="R18"/>
  <c r="R8"/>
  <c r="R51"/>
  <c r="R47"/>
  <c r="R15"/>
  <c r="R4" i="3"/>
  <c r="R4" i="2" s="1"/>
  <c r="R5"/>
  <c r="R70"/>
  <c r="R45"/>
  <c r="R39"/>
  <c r="R7"/>
  <c r="R130" i="3"/>
  <c r="R130" i="2" s="1"/>
  <c r="R131"/>
  <c r="R9"/>
  <c r="R81"/>
  <c r="R37"/>
  <c r="R21"/>
  <c r="R16"/>
  <c r="R177"/>
  <c r="R64"/>
  <c r="R62"/>
  <c r="R60"/>
  <c r="R49" i="3"/>
  <c r="R49" i="2" s="1"/>
  <c r="R50"/>
  <c r="R19"/>
  <c r="R6"/>
  <c r="R74"/>
  <c r="R17"/>
  <c r="R38"/>
  <c r="R10"/>
  <c r="R97"/>
  <c r="R90"/>
  <c r="R12"/>
  <c r="R27"/>
  <c r="R96"/>
  <c r="R40" i="3"/>
  <c r="R40" i="2" s="1"/>
  <c r="R41"/>
  <c r="R13" i="3"/>
  <c r="R13" i="2" s="1"/>
  <c r="R14"/>
  <c r="R115"/>
  <c r="R85" i="3"/>
  <c r="R85" i="2" s="1"/>
  <c r="R86"/>
  <c r="R11"/>
  <c r="R48"/>
  <c r="R103" i="3"/>
  <c r="R103" i="2" s="1"/>
  <c r="R104"/>
  <c r="R25"/>
  <c r="R29"/>
  <c r="BA205"/>
  <c r="BA195"/>
  <c r="BA184" i="3"/>
  <c r="BA184" i="2" s="1"/>
  <c r="BA185"/>
  <c r="BA183"/>
  <c r="BA173"/>
  <c r="BA206"/>
  <c r="BA196"/>
  <c r="BA186"/>
  <c r="BA175" i="3"/>
  <c r="BA175" i="2" s="1"/>
  <c r="BA176"/>
  <c r="BA174"/>
  <c r="BA193" i="3"/>
  <c r="BA193" i="2" s="1"/>
  <c r="BA194"/>
  <c r="BA191"/>
  <c r="BA172"/>
  <c r="BA171"/>
  <c r="BA209"/>
  <c r="BA198"/>
  <c r="BA187"/>
  <c r="BA168"/>
  <c r="BA204"/>
  <c r="BA201"/>
  <c r="BA190"/>
  <c r="BA179"/>
  <c r="BA163"/>
  <c r="BA207"/>
  <c r="BA189"/>
  <c r="BA181"/>
  <c r="BA200"/>
  <c r="BA188"/>
  <c r="BA155"/>
  <c r="BA145"/>
  <c r="BA135"/>
  <c r="BA202" i="3"/>
  <c r="BA202" i="2" s="1"/>
  <c r="BA203"/>
  <c r="BA192"/>
  <c r="BA169"/>
  <c r="BA165"/>
  <c r="BA157" i="3"/>
  <c r="BA157" i="2" s="1"/>
  <c r="BA158"/>
  <c r="BA166" i="3"/>
  <c r="BA166" i="2" s="1"/>
  <c r="BA167"/>
  <c r="BA160"/>
  <c r="BA150"/>
  <c r="BA164"/>
  <c r="BA154"/>
  <c r="BA147"/>
  <c r="BA137"/>
  <c r="BA208"/>
  <c r="BA177"/>
  <c r="BA162"/>
  <c r="BA142"/>
  <c r="BA153"/>
  <c r="BA146"/>
  <c r="BA136"/>
  <c r="BA127"/>
  <c r="BA199"/>
  <c r="BA180"/>
  <c r="BA178"/>
  <c r="BA156"/>
  <c r="BA143"/>
  <c r="BA123"/>
  <c r="BA112" i="3"/>
  <c r="BA112" i="2" s="1"/>
  <c r="BA113"/>
  <c r="BA111"/>
  <c r="BA141"/>
  <c r="BA129"/>
  <c r="BA118"/>
  <c r="BA159"/>
  <c r="BA133"/>
  <c r="BA121" i="3"/>
  <c r="BA121" i="2" s="1"/>
  <c r="BA122"/>
  <c r="BA120"/>
  <c r="BA110"/>
  <c r="BA100"/>
  <c r="BA148" i="3"/>
  <c r="BA148" i="2" s="1"/>
  <c r="BA149"/>
  <c r="BA138"/>
  <c r="BA106"/>
  <c r="BA99"/>
  <c r="BA96"/>
  <c r="BA89"/>
  <c r="BA79"/>
  <c r="BA69"/>
  <c r="BA58" i="3"/>
  <c r="BA58" i="2" s="1"/>
  <c r="BA59"/>
  <c r="BA57"/>
  <c r="BA128"/>
  <c r="BA124"/>
  <c r="BA119"/>
  <c r="BA114"/>
  <c r="BA109"/>
  <c r="BA102"/>
  <c r="BA85" i="3"/>
  <c r="BA85" i="2" s="1"/>
  <c r="BA86"/>
  <c r="BA84"/>
  <c r="BA74"/>
  <c r="BA64"/>
  <c r="BA182"/>
  <c r="BA139" i="3"/>
  <c r="BA139" i="2" s="1"/>
  <c r="BA140"/>
  <c r="BA117"/>
  <c r="BA108"/>
  <c r="BA98"/>
  <c r="BA88"/>
  <c r="BA78"/>
  <c r="BA67" i="3"/>
  <c r="BA67" i="2" s="1"/>
  <c r="BA68"/>
  <c r="BA66"/>
  <c r="BA56"/>
  <c r="BA197"/>
  <c r="BA152"/>
  <c r="BA144"/>
  <c r="BA130" i="3"/>
  <c r="BA130" i="2" s="1"/>
  <c r="BA131"/>
  <c r="BA107"/>
  <c r="BA97"/>
  <c r="BA90"/>
  <c r="BA80"/>
  <c r="BA70"/>
  <c r="BA60"/>
  <c r="BA62"/>
  <c r="BA54"/>
  <c r="BA44"/>
  <c r="BA34"/>
  <c r="BA24"/>
  <c r="BA116"/>
  <c r="BA93"/>
  <c r="BA73"/>
  <c r="BA53"/>
  <c r="BA43"/>
  <c r="BA33"/>
  <c r="BA23"/>
  <c r="BA22" i="3"/>
  <c r="BA22" i="2" s="1"/>
  <c r="BA21"/>
  <c r="BA134"/>
  <c r="BA105"/>
  <c r="BA103" i="3"/>
  <c r="BA103" i="2" s="1"/>
  <c r="BA104"/>
  <c r="BA101"/>
  <c r="BA92"/>
  <c r="BA76" i="3"/>
  <c r="BA76" i="2" s="1"/>
  <c r="BA77"/>
  <c r="BA72"/>
  <c r="BA45"/>
  <c r="BA35"/>
  <c r="BA25"/>
  <c r="BA170"/>
  <c r="BA151"/>
  <c r="BA115"/>
  <c r="BA83"/>
  <c r="BA55"/>
  <c r="BA47"/>
  <c r="BA37"/>
  <c r="BA27"/>
  <c r="BA17"/>
  <c r="BA161"/>
  <c r="BA81"/>
  <c r="BA36"/>
  <c r="BA29"/>
  <c r="BA19"/>
  <c r="BA9"/>
  <c r="BA210"/>
  <c r="BA52"/>
  <c r="BA48"/>
  <c r="BA6"/>
  <c r="BA125"/>
  <c r="BA71"/>
  <c r="BA46"/>
  <c r="BA31" i="3"/>
  <c r="BA31" i="2" s="1"/>
  <c r="BA32"/>
  <c r="BA8"/>
  <c r="BA16"/>
  <c r="BA10"/>
  <c r="BA126"/>
  <c r="BA38"/>
  <c r="BA94" i="3"/>
  <c r="BA94" i="2" s="1"/>
  <c r="BA95"/>
  <c r="BA51"/>
  <c r="BA12"/>
  <c r="BA132"/>
  <c r="BA82"/>
  <c r="BA65"/>
  <c r="BA63"/>
  <c r="BA61"/>
  <c r="BA40" i="3"/>
  <c r="BA40" i="2" s="1"/>
  <c r="BA41"/>
  <c r="BA20"/>
  <c r="BA7"/>
  <c r="BA87"/>
  <c r="BA39"/>
  <c r="BA18"/>
  <c r="BA75"/>
  <c r="BA28"/>
  <c r="BA11"/>
  <c r="BA91"/>
  <c r="BA30"/>
  <c r="BA26"/>
  <c r="BA15"/>
  <c r="BA4" i="3"/>
  <c r="BA4" i="2" s="1"/>
  <c r="BA5"/>
  <c r="BA13" i="3"/>
  <c r="BA13" i="2" s="1"/>
  <c r="BA14"/>
  <c r="BA42"/>
  <c r="BA49" i="3"/>
  <c r="BA49" i="2" s="1"/>
  <c r="BA50"/>
  <c r="BC202" i="3"/>
  <c r="BC202" i="2" s="1"/>
  <c r="BC203"/>
  <c r="BC201"/>
  <c r="BC191"/>
  <c r="BC181"/>
  <c r="BC204"/>
  <c r="BC193" i="3"/>
  <c r="BC193" i="2" s="1"/>
  <c r="BC194"/>
  <c r="BC192"/>
  <c r="BC182"/>
  <c r="BC172"/>
  <c r="BC210"/>
  <c r="BC199"/>
  <c r="BC195"/>
  <c r="BC188"/>
  <c r="BC177"/>
  <c r="BC173"/>
  <c r="BC169"/>
  <c r="BC206"/>
  <c r="BC180"/>
  <c r="BC209"/>
  <c r="BC205"/>
  <c r="BC198"/>
  <c r="BC175" i="3"/>
  <c r="BC175" i="2" s="1"/>
  <c r="BC176"/>
  <c r="BC171"/>
  <c r="BC197"/>
  <c r="BC186"/>
  <c r="BC178"/>
  <c r="BC189"/>
  <c r="BC162"/>
  <c r="BC153"/>
  <c r="BC143"/>
  <c r="BC183"/>
  <c r="BC179"/>
  <c r="BC190"/>
  <c r="BC168"/>
  <c r="BC165"/>
  <c r="BC157" i="3"/>
  <c r="BC157" i="2" s="1"/>
  <c r="BC158"/>
  <c r="BC156"/>
  <c r="BC146"/>
  <c r="BC155"/>
  <c r="BC139" i="3"/>
  <c r="BC139" i="2" s="1"/>
  <c r="BC140"/>
  <c r="BC200"/>
  <c r="BC196"/>
  <c r="BC187"/>
  <c r="BC184" i="3"/>
  <c r="BC184" i="2" s="1"/>
  <c r="BC185"/>
  <c r="BC164"/>
  <c r="BC151"/>
  <c r="BC166" i="3"/>
  <c r="BC166" i="2" s="1"/>
  <c r="BC167"/>
  <c r="BC142"/>
  <c r="BC163"/>
  <c r="BC161"/>
  <c r="BC136"/>
  <c r="BC207"/>
  <c r="BC127"/>
  <c r="BC119"/>
  <c r="BC109"/>
  <c r="BC126"/>
  <c r="BC116"/>
  <c r="BC170"/>
  <c r="BC144"/>
  <c r="BC138"/>
  <c r="BC129"/>
  <c r="BC118"/>
  <c r="BC108"/>
  <c r="BC98"/>
  <c r="BC150"/>
  <c r="BC137"/>
  <c r="BC125"/>
  <c r="BC115"/>
  <c r="BC111"/>
  <c r="BC100"/>
  <c r="BC87"/>
  <c r="BC76" i="3"/>
  <c r="BC76" i="2" s="1"/>
  <c r="BC77"/>
  <c r="BC75"/>
  <c r="BC65"/>
  <c r="BC55"/>
  <c r="BC174"/>
  <c r="BC159"/>
  <c r="BC148" i="3"/>
  <c r="BC148" i="2" s="1"/>
  <c r="BC149"/>
  <c r="BC120"/>
  <c r="BC110"/>
  <c r="BC106"/>
  <c r="BC92"/>
  <c r="BC82"/>
  <c r="BC72"/>
  <c r="BC62"/>
  <c r="BC141"/>
  <c r="BC133"/>
  <c r="BC128"/>
  <c r="BC124"/>
  <c r="BC114"/>
  <c r="BC105"/>
  <c r="BC102"/>
  <c r="BC85" i="3"/>
  <c r="BC85" i="2" s="1"/>
  <c r="BC86"/>
  <c r="BC84"/>
  <c r="BC74"/>
  <c r="BC64"/>
  <c r="BC208"/>
  <c r="BC160"/>
  <c r="BC121" i="3"/>
  <c r="BC121" i="2" s="1"/>
  <c r="BC122"/>
  <c r="BC117"/>
  <c r="BC88"/>
  <c r="BC78"/>
  <c r="BC67" i="3"/>
  <c r="BC67" i="2" s="1"/>
  <c r="BC68"/>
  <c r="BC66"/>
  <c r="BC56"/>
  <c r="BC147"/>
  <c r="BC145"/>
  <c r="BC130" i="3"/>
  <c r="BC130" i="2" s="1"/>
  <c r="BC131"/>
  <c r="BC99"/>
  <c r="BC83"/>
  <c r="BC52"/>
  <c r="BC42"/>
  <c r="BC31" i="3"/>
  <c r="BC31" i="2" s="1"/>
  <c r="BC32"/>
  <c r="BC30"/>
  <c r="BC81"/>
  <c r="BC51"/>
  <c r="BC40" i="3"/>
  <c r="BC40" i="2" s="1"/>
  <c r="BC41"/>
  <c r="BC39"/>
  <c r="BC29"/>
  <c r="BC19"/>
  <c r="BC107"/>
  <c r="BC80"/>
  <c r="BC79"/>
  <c r="BC53"/>
  <c r="BC43"/>
  <c r="BC33"/>
  <c r="BC22" i="3"/>
  <c r="BC22" i="2" s="1"/>
  <c r="BC23"/>
  <c r="BC152"/>
  <c r="BC112" i="3"/>
  <c r="BC112" i="2" s="1"/>
  <c r="BC113"/>
  <c r="BC94" i="3"/>
  <c r="BC94" i="2" s="1"/>
  <c r="BC95"/>
  <c r="BC91"/>
  <c r="BC71"/>
  <c r="BC63"/>
  <c r="BC57"/>
  <c r="BC45"/>
  <c r="BC35"/>
  <c r="BC25"/>
  <c r="BC135"/>
  <c r="BC37"/>
  <c r="BC7"/>
  <c r="BC54"/>
  <c r="BC36"/>
  <c r="BC13" i="3"/>
  <c r="BC13" i="2" s="1"/>
  <c r="BC14"/>
  <c r="BC12"/>
  <c r="BC154"/>
  <c r="BC132"/>
  <c r="BC69"/>
  <c r="BC61"/>
  <c r="BC47"/>
  <c r="BC34"/>
  <c r="BC28"/>
  <c r="BC21"/>
  <c r="BC6"/>
  <c r="BC101"/>
  <c r="BC96"/>
  <c r="BC49" i="3"/>
  <c r="BC49" i="2" s="1"/>
  <c r="BC50"/>
  <c r="BC26"/>
  <c r="BC8"/>
  <c r="BC18"/>
  <c r="BC16"/>
  <c r="BC4" i="3"/>
  <c r="BC4" i="2" s="1"/>
  <c r="BC5"/>
  <c r="BC38"/>
  <c r="BC17"/>
  <c r="BC134"/>
  <c r="BC48"/>
  <c r="BC46"/>
  <c r="BC44"/>
  <c r="BC10"/>
  <c r="BC9"/>
  <c r="BC93"/>
  <c r="BC27"/>
  <c r="BC103" i="3"/>
  <c r="BC103" i="2" s="1"/>
  <c r="BC104"/>
  <c r="BC90"/>
  <c r="BC58" i="3"/>
  <c r="BC58" i="2" s="1"/>
  <c r="BC59"/>
  <c r="BC97"/>
  <c r="BC20"/>
  <c r="BC60"/>
  <c r="BC24"/>
  <c r="BC15"/>
  <c r="BC123"/>
  <c r="BC73"/>
  <c r="BC11"/>
  <c r="BC70"/>
  <c r="BC89"/>
  <c r="AN206"/>
  <c r="AN196"/>
  <c r="AN186"/>
  <c r="AN175" i="3"/>
  <c r="AN175" i="2" s="1"/>
  <c r="AN176"/>
  <c r="AN174"/>
  <c r="AN207"/>
  <c r="AN197"/>
  <c r="AN187"/>
  <c r="AN177"/>
  <c r="AN204"/>
  <c r="AN201"/>
  <c r="AN183"/>
  <c r="AN179"/>
  <c r="AN208"/>
  <c r="AN190"/>
  <c r="AN182"/>
  <c r="AN169"/>
  <c r="AN202" i="3"/>
  <c r="AN202" i="2" s="1"/>
  <c r="AN203"/>
  <c r="AN178"/>
  <c r="AN164"/>
  <c r="AN210"/>
  <c r="AN199"/>
  <c r="AN195"/>
  <c r="AN188"/>
  <c r="AN173"/>
  <c r="AN192"/>
  <c r="AN191"/>
  <c r="AN166" i="3"/>
  <c r="AN166" i="2" s="1"/>
  <c r="AN167"/>
  <c r="AN157" i="3"/>
  <c r="AN157" i="2" s="1"/>
  <c r="AN158"/>
  <c r="AN156"/>
  <c r="AN146"/>
  <c r="AN136"/>
  <c r="AN200"/>
  <c r="AN170"/>
  <c r="AN162"/>
  <c r="AN209"/>
  <c r="AN198"/>
  <c r="AN193" i="3"/>
  <c r="AN193" i="2" s="1"/>
  <c r="AN194"/>
  <c r="AN159"/>
  <c r="AN205"/>
  <c r="AN180"/>
  <c r="AN172"/>
  <c r="AN161"/>
  <c r="AN151"/>
  <c r="AN189"/>
  <c r="AN153"/>
  <c r="AN148" i="3"/>
  <c r="AN148" i="2" s="1"/>
  <c r="AN149"/>
  <c r="AN144"/>
  <c r="AN141"/>
  <c r="AN168"/>
  <c r="AN165"/>
  <c r="AN152"/>
  <c r="AN145"/>
  <c r="AN143"/>
  <c r="AN140"/>
  <c r="AN139" i="3"/>
  <c r="AN139" i="2" s="1"/>
  <c r="AN128"/>
  <c r="AN171"/>
  <c r="AN155"/>
  <c r="AN137"/>
  <c r="AN132"/>
  <c r="AN154"/>
  <c r="AN124"/>
  <c r="AN114"/>
  <c r="AN119"/>
  <c r="AN127"/>
  <c r="AN123"/>
  <c r="AN112" i="3"/>
  <c r="AN112" i="2" s="1"/>
  <c r="AN113"/>
  <c r="AN111"/>
  <c r="AN101"/>
  <c r="AN142"/>
  <c r="AN120"/>
  <c r="AN105"/>
  <c r="AN90"/>
  <c r="AN80"/>
  <c r="AN70"/>
  <c r="AN60"/>
  <c r="AN147"/>
  <c r="AN108"/>
  <c r="AN87"/>
  <c r="AN76" i="3"/>
  <c r="AN76" i="2" s="1"/>
  <c r="AN77"/>
  <c r="AN75"/>
  <c r="AN65"/>
  <c r="AN55"/>
  <c r="AN160"/>
  <c r="AN100"/>
  <c r="AN89"/>
  <c r="AN79"/>
  <c r="AN69"/>
  <c r="AN58" i="3"/>
  <c r="AN58" i="2" s="1"/>
  <c r="AN59"/>
  <c r="AN57"/>
  <c r="AN181"/>
  <c r="AN126"/>
  <c r="AN116"/>
  <c r="AN99"/>
  <c r="AN91"/>
  <c r="AN81"/>
  <c r="AN71"/>
  <c r="AN61"/>
  <c r="AN135"/>
  <c r="AN103" i="3"/>
  <c r="AN103" i="2" s="1"/>
  <c r="AN104"/>
  <c r="AN94" i="3"/>
  <c r="AN94" i="2" s="1"/>
  <c r="AN95"/>
  <c r="AN84"/>
  <c r="AN63"/>
  <c r="AN56"/>
  <c r="AN45"/>
  <c r="AN35"/>
  <c r="AN25"/>
  <c r="AN134"/>
  <c r="AN129"/>
  <c r="AN117"/>
  <c r="AN115"/>
  <c r="AN97"/>
  <c r="AN54"/>
  <c r="AN44"/>
  <c r="AN34"/>
  <c r="AN24"/>
  <c r="AN184" i="3"/>
  <c r="AN184" i="2" s="1"/>
  <c r="AN185"/>
  <c r="AN150"/>
  <c r="AN130" i="3"/>
  <c r="AN130" i="2" s="1"/>
  <c r="AN131"/>
  <c r="AN121" i="3"/>
  <c r="AN121" i="2" s="1"/>
  <c r="AN122"/>
  <c r="AN93"/>
  <c r="AN73"/>
  <c r="AN66"/>
  <c r="AN46"/>
  <c r="AN36"/>
  <c r="AN26"/>
  <c r="AN107"/>
  <c r="AN106"/>
  <c r="AN98"/>
  <c r="AN96"/>
  <c r="AN64"/>
  <c r="AN49" i="3"/>
  <c r="AN49" i="2" s="1"/>
  <c r="AN50"/>
  <c r="AN48"/>
  <c r="AN38"/>
  <c r="AN28"/>
  <c r="AN18"/>
  <c r="AN133"/>
  <c r="AN109"/>
  <c r="AN102"/>
  <c r="AN74"/>
  <c r="AN72"/>
  <c r="AN30"/>
  <c r="AN22" i="3"/>
  <c r="AN22" i="2" s="1"/>
  <c r="AN23"/>
  <c r="AN10"/>
  <c r="AN138"/>
  <c r="AN125"/>
  <c r="AN40" i="3"/>
  <c r="AN40" i="2" s="1"/>
  <c r="AN41"/>
  <c r="AN37"/>
  <c r="AN16"/>
  <c r="AN7"/>
  <c r="AN92"/>
  <c r="AN17"/>
  <c r="AN9"/>
  <c r="AN110"/>
  <c r="AN78"/>
  <c r="AN27"/>
  <c r="AN11"/>
  <c r="AN163"/>
  <c r="AN21"/>
  <c r="AN20"/>
  <c r="AN6"/>
  <c r="AN47"/>
  <c r="AN42"/>
  <c r="AN19"/>
  <c r="AN85" i="3"/>
  <c r="AN85" i="2" s="1"/>
  <c r="AN86"/>
  <c r="AN67" i="3"/>
  <c r="AN67" i="2" s="1"/>
  <c r="AN68"/>
  <c r="AN13" i="3"/>
  <c r="AN13" i="2" s="1"/>
  <c r="AN14"/>
  <c r="AN83"/>
  <c r="AN62"/>
  <c r="AN33"/>
  <c r="AN53"/>
  <c r="AN12"/>
  <c r="AN88"/>
  <c r="AN29"/>
  <c r="AN82"/>
  <c r="AN8"/>
  <c r="AN52"/>
  <c r="AN51"/>
  <c r="AN31" i="3"/>
  <c r="AN31" i="2" s="1"/>
  <c r="AN32"/>
  <c r="AN43"/>
  <c r="AN15"/>
  <c r="AN4" i="3"/>
  <c r="AN4" i="2" s="1"/>
  <c r="AN5"/>
  <c r="AN39"/>
  <c r="AN118"/>
  <c r="BM209"/>
  <c r="BM199"/>
  <c r="BM189"/>
  <c r="BM179"/>
  <c r="BM210"/>
  <c r="BM200"/>
  <c r="BM190"/>
  <c r="BM180"/>
  <c r="BM206"/>
  <c r="BM195"/>
  <c r="BM188"/>
  <c r="BM173"/>
  <c r="BM166" i="3"/>
  <c r="BM166" i="2" s="1"/>
  <c r="BM167"/>
  <c r="BM165"/>
  <c r="BM193" i="3"/>
  <c r="BM193" i="2" s="1"/>
  <c r="BM194"/>
  <c r="BM191"/>
  <c r="BM175" i="3"/>
  <c r="BM175" i="2" s="1"/>
  <c r="BM176"/>
  <c r="BM172"/>
  <c r="BM205"/>
  <c r="BM198"/>
  <c r="BM187"/>
  <c r="BM169"/>
  <c r="BM202" i="3"/>
  <c r="BM202" i="2" s="1"/>
  <c r="BM203"/>
  <c r="BM178"/>
  <c r="BM204"/>
  <c r="BM181"/>
  <c r="BM161"/>
  <c r="BM151"/>
  <c r="BM141"/>
  <c r="BM201"/>
  <c r="BM177"/>
  <c r="BM170"/>
  <c r="BM160"/>
  <c r="BM186"/>
  <c r="BM174"/>
  <c r="BM207"/>
  <c r="BM196"/>
  <c r="BM183"/>
  <c r="BM182"/>
  <c r="BM163"/>
  <c r="BM154"/>
  <c r="BM155"/>
  <c r="BM138"/>
  <c r="BM135"/>
  <c r="BM192"/>
  <c r="BM143"/>
  <c r="BM139" i="3"/>
  <c r="BM139" i="2" s="1"/>
  <c r="BM140"/>
  <c r="BM184" i="3"/>
  <c r="BM184" i="2" s="1"/>
  <c r="BM185"/>
  <c r="BM168"/>
  <c r="BM153"/>
  <c r="BM146"/>
  <c r="BM137"/>
  <c r="BM133"/>
  <c r="BM171"/>
  <c r="BM164"/>
  <c r="BM157" i="3"/>
  <c r="BM157" i="2" s="1"/>
  <c r="BM158"/>
  <c r="BM156"/>
  <c r="BM136"/>
  <c r="BM208"/>
  <c r="BM145"/>
  <c r="BM144"/>
  <c r="BM117"/>
  <c r="BM107"/>
  <c r="BM197"/>
  <c r="BM142"/>
  <c r="BM127"/>
  <c r="BM124"/>
  <c r="BM114"/>
  <c r="BM152"/>
  <c r="BM150"/>
  <c r="BM148" i="3"/>
  <c r="BM148" i="2" s="1"/>
  <c r="BM149"/>
  <c r="BM126"/>
  <c r="BM116"/>
  <c r="BM106"/>
  <c r="BM96"/>
  <c r="BM128"/>
  <c r="BM120"/>
  <c r="BM119"/>
  <c r="BM110"/>
  <c r="BM97"/>
  <c r="BM94" i="3"/>
  <c r="BM94" i="2" s="1"/>
  <c r="BM95"/>
  <c r="BM93"/>
  <c r="BM83"/>
  <c r="BM73"/>
  <c r="BM63"/>
  <c r="BM129"/>
  <c r="BM100"/>
  <c r="BM90"/>
  <c r="BM80"/>
  <c r="BM70"/>
  <c r="BM60"/>
  <c r="BM132"/>
  <c r="BM105"/>
  <c r="BM99"/>
  <c r="BM92"/>
  <c r="BM82"/>
  <c r="BM72"/>
  <c r="BM62"/>
  <c r="BM103" i="3"/>
  <c r="BM103" i="2" s="1"/>
  <c r="BM104"/>
  <c r="BM98"/>
  <c r="BM85" i="3"/>
  <c r="BM85" i="2" s="1"/>
  <c r="BM86"/>
  <c r="BM84"/>
  <c r="BM74"/>
  <c r="BM64"/>
  <c r="BM134"/>
  <c r="BM81"/>
  <c r="BM49" i="3"/>
  <c r="BM49" i="2" s="1"/>
  <c r="BM50"/>
  <c r="BM48"/>
  <c r="BM38"/>
  <c r="BM28"/>
  <c r="BM131"/>
  <c r="BM130" i="3"/>
  <c r="BM130" i="2" s="1"/>
  <c r="BM115"/>
  <c r="BM111"/>
  <c r="BM78"/>
  <c r="BM76" i="3"/>
  <c r="BM76" i="2" s="1"/>
  <c r="BM77"/>
  <c r="BM47"/>
  <c r="BM37"/>
  <c r="BM27"/>
  <c r="BM17"/>
  <c r="BM159"/>
  <c r="BM121" i="3"/>
  <c r="BM121" i="2" s="1"/>
  <c r="BM122"/>
  <c r="BM102"/>
  <c r="BM56"/>
  <c r="BM55"/>
  <c r="BM51"/>
  <c r="BM40" i="3"/>
  <c r="BM40" i="2" s="1"/>
  <c r="BM41"/>
  <c r="BM39"/>
  <c r="BM29"/>
  <c r="BM109"/>
  <c r="BM108"/>
  <c r="BM88"/>
  <c r="BM87"/>
  <c r="BM75"/>
  <c r="BM67" i="3"/>
  <c r="BM67" i="2" s="1"/>
  <c r="BM68"/>
  <c r="BM61"/>
  <c r="BM53"/>
  <c r="BM43"/>
  <c r="BM33"/>
  <c r="BM22" i="3"/>
  <c r="BM22" i="2" s="1"/>
  <c r="BM23"/>
  <c r="BM21"/>
  <c r="BM123"/>
  <c r="BM112" i="3"/>
  <c r="BM112" i="2" s="1"/>
  <c r="BM113"/>
  <c r="BM34"/>
  <c r="BM15"/>
  <c r="BM4" i="3"/>
  <c r="BM4" i="2" s="1"/>
  <c r="BM5"/>
  <c r="BM91"/>
  <c r="BM89"/>
  <c r="BM46"/>
  <c r="BM31" i="3"/>
  <c r="BM31" i="2" s="1"/>
  <c r="BM32"/>
  <c r="BM19"/>
  <c r="BM10"/>
  <c r="BM162"/>
  <c r="BM79"/>
  <c r="BM44"/>
  <c r="BM25"/>
  <c r="BM18"/>
  <c r="BM13" i="3"/>
  <c r="BM13" i="2" s="1"/>
  <c r="BM14"/>
  <c r="BM12"/>
  <c r="BM125"/>
  <c r="BM65"/>
  <c r="BM30"/>
  <c r="BM6"/>
  <c r="BM71"/>
  <c r="BM69"/>
  <c r="BM57"/>
  <c r="BM11"/>
  <c r="BM54"/>
  <c r="BM52"/>
  <c r="BM26"/>
  <c r="BM24"/>
  <c r="BM16"/>
  <c r="BM42"/>
  <c r="BM8"/>
  <c r="BM7"/>
  <c r="BM45"/>
  <c r="BM35"/>
  <c r="BM147"/>
  <c r="BM101"/>
  <c r="BM36"/>
  <c r="BM20"/>
  <c r="BM66"/>
  <c r="BM9"/>
  <c r="BM58" i="3"/>
  <c r="BM58" i="2" s="1"/>
  <c r="BM59"/>
  <c r="BM118"/>
  <c r="L210"/>
  <c r="L200"/>
  <c r="L190"/>
  <c r="L180"/>
  <c r="L202" i="3"/>
  <c r="L202" i="2" s="1"/>
  <c r="L203"/>
  <c r="L201"/>
  <c r="L191"/>
  <c r="L181"/>
  <c r="L199"/>
  <c r="L195"/>
  <c r="L188"/>
  <c r="L173"/>
  <c r="L168"/>
  <c r="L206"/>
  <c r="L193" i="3"/>
  <c r="L193" i="2" s="1"/>
  <c r="L194"/>
  <c r="L209"/>
  <c r="L205"/>
  <c r="L198"/>
  <c r="L187"/>
  <c r="L175" i="3"/>
  <c r="L175" i="2" s="1"/>
  <c r="L176"/>
  <c r="L170"/>
  <c r="L186"/>
  <c r="L178"/>
  <c r="L189"/>
  <c r="L162"/>
  <c r="L152"/>
  <c r="L142"/>
  <c r="L207"/>
  <c r="L183"/>
  <c r="L182"/>
  <c r="L169"/>
  <c r="L161"/>
  <c r="L179"/>
  <c r="L166" i="3"/>
  <c r="L166" i="2" s="1"/>
  <c r="L167"/>
  <c r="L177"/>
  <c r="L155"/>
  <c r="L145"/>
  <c r="L204"/>
  <c r="L172"/>
  <c r="L157" i="3"/>
  <c r="L157" i="2" s="1"/>
  <c r="L158"/>
  <c r="L151"/>
  <c r="L144"/>
  <c r="L141"/>
  <c r="L196"/>
  <c r="L184" i="3"/>
  <c r="L184" i="2" s="1"/>
  <c r="L185"/>
  <c r="L165"/>
  <c r="L160"/>
  <c r="L154"/>
  <c r="L147"/>
  <c r="L150"/>
  <c r="L148" i="3"/>
  <c r="L148" i="2" s="1"/>
  <c r="L149"/>
  <c r="L143"/>
  <c r="L139" i="3"/>
  <c r="L139" i="2" s="1"/>
  <c r="L140"/>
  <c r="L134"/>
  <c r="L197"/>
  <c r="L171"/>
  <c r="L138"/>
  <c r="L128"/>
  <c r="L118"/>
  <c r="L108"/>
  <c r="L174"/>
  <c r="L125"/>
  <c r="L115"/>
  <c r="L208"/>
  <c r="L146"/>
  <c r="L127"/>
  <c r="L117"/>
  <c r="L107"/>
  <c r="L97"/>
  <c r="L132"/>
  <c r="L101"/>
  <c r="L96"/>
  <c r="L85" i="3"/>
  <c r="L85" i="2" s="1"/>
  <c r="L86"/>
  <c r="L84"/>
  <c r="L74"/>
  <c r="L64"/>
  <c r="L159"/>
  <c r="L137"/>
  <c r="L110"/>
  <c r="L106"/>
  <c r="L91"/>
  <c r="L81"/>
  <c r="L71"/>
  <c r="L61"/>
  <c r="L136"/>
  <c r="L105"/>
  <c r="L100"/>
  <c r="L94" i="3"/>
  <c r="L94" i="2" s="1"/>
  <c r="L95"/>
  <c r="L93"/>
  <c r="L83"/>
  <c r="L73"/>
  <c r="L63"/>
  <c r="L164"/>
  <c r="L102"/>
  <c r="L87"/>
  <c r="L76" i="3"/>
  <c r="L76" i="2" s="1"/>
  <c r="L77"/>
  <c r="L75"/>
  <c r="L65"/>
  <c r="L55"/>
  <c r="L163"/>
  <c r="L92"/>
  <c r="L79"/>
  <c r="L78"/>
  <c r="L72"/>
  <c r="L51"/>
  <c r="L40" i="3"/>
  <c r="L40" i="2" s="1"/>
  <c r="L41"/>
  <c r="L39"/>
  <c r="L29"/>
  <c r="L156"/>
  <c r="L135"/>
  <c r="L129"/>
  <c r="L111"/>
  <c r="L109"/>
  <c r="L103" i="3"/>
  <c r="L103" i="2" s="1"/>
  <c r="L104"/>
  <c r="L98"/>
  <c r="L90"/>
  <c r="L70"/>
  <c r="L62"/>
  <c r="L49" i="3"/>
  <c r="L49" i="2" s="1"/>
  <c r="L50"/>
  <c r="L48"/>
  <c r="L38"/>
  <c r="L28"/>
  <c r="L18"/>
  <c r="L133"/>
  <c r="L130" i="3"/>
  <c r="L130" i="2" s="1"/>
  <c r="L131"/>
  <c r="L126"/>
  <c r="L124"/>
  <c r="L99"/>
  <c r="L52"/>
  <c r="L42"/>
  <c r="L31" i="3"/>
  <c r="L31" i="2" s="1"/>
  <c r="L32"/>
  <c r="L30"/>
  <c r="L80"/>
  <c r="L66"/>
  <c r="L58" i="3"/>
  <c r="L58" i="2" s="1"/>
  <c r="L59"/>
  <c r="L54"/>
  <c r="L44"/>
  <c r="L34"/>
  <c r="L24"/>
  <c r="L123"/>
  <c r="L116"/>
  <c r="L112" i="3"/>
  <c r="L112" i="2" s="1"/>
  <c r="L113"/>
  <c r="L67" i="3"/>
  <c r="L67" i="2" s="1"/>
  <c r="L68"/>
  <c r="L45"/>
  <c r="L16"/>
  <c r="L6"/>
  <c r="L192"/>
  <c r="L119"/>
  <c r="L69"/>
  <c r="L60"/>
  <c r="L43"/>
  <c r="L25"/>
  <c r="L19"/>
  <c r="L11"/>
  <c r="L114"/>
  <c r="L88"/>
  <c r="L37"/>
  <c r="L36"/>
  <c r="L15"/>
  <c r="L4" i="3"/>
  <c r="L4" i="2" s="1"/>
  <c r="L5"/>
  <c r="L82"/>
  <c r="L35"/>
  <c r="L7"/>
  <c r="L56"/>
  <c r="L53"/>
  <c r="L26"/>
  <c r="L9"/>
  <c r="L8"/>
  <c r="L153"/>
  <c r="L57"/>
  <c r="L27"/>
  <c r="L17"/>
  <c r="L120"/>
  <c r="L89"/>
  <c r="L33"/>
  <c r="L22" i="3"/>
  <c r="L22" i="2" s="1"/>
  <c r="L23"/>
  <c r="L12"/>
  <c r="L21"/>
  <c r="L10"/>
  <c r="L46"/>
  <c r="L13" i="3"/>
  <c r="L13" i="2" s="1"/>
  <c r="L14"/>
  <c r="L47"/>
  <c r="L121" i="3"/>
  <c r="L121" i="2" s="1"/>
  <c r="L122"/>
  <c r="L20"/>
  <c r="U205"/>
  <c r="U195"/>
  <c r="U184" i="3"/>
  <c r="U184" i="2" s="1"/>
  <c r="U185"/>
  <c r="U183"/>
  <c r="U173"/>
  <c r="U206"/>
  <c r="U196"/>
  <c r="U186"/>
  <c r="U175" i="3"/>
  <c r="U175" i="2" s="1"/>
  <c r="U176"/>
  <c r="U174"/>
  <c r="U193" i="3"/>
  <c r="U193" i="2" s="1"/>
  <c r="U194"/>
  <c r="U191"/>
  <c r="U171"/>
  <c r="U209"/>
  <c r="U198"/>
  <c r="U187"/>
  <c r="U168"/>
  <c r="U204"/>
  <c r="U201"/>
  <c r="U190"/>
  <c r="U179"/>
  <c r="U163"/>
  <c r="U207"/>
  <c r="U189"/>
  <c r="U181"/>
  <c r="U180"/>
  <c r="U155"/>
  <c r="U145"/>
  <c r="U135"/>
  <c r="U166" i="3"/>
  <c r="U166" i="2" s="1"/>
  <c r="U167"/>
  <c r="U210"/>
  <c r="U208"/>
  <c r="U199"/>
  <c r="U197"/>
  <c r="U160"/>
  <c r="U150"/>
  <c r="U192"/>
  <c r="U188"/>
  <c r="U159"/>
  <c r="U154"/>
  <c r="U147"/>
  <c r="U144"/>
  <c r="U141"/>
  <c r="U169"/>
  <c r="U200"/>
  <c r="U177"/>
  <c r="U172"/>
  <c r="U153"/>
  <c r="U146"/>
  <c r="U143"/>
  <c r="U139" i="3"/>
  <c r="U139" i="2" s="1"/>
  <c r="U140"/>
  <c r="U134"/>
  <c r="U127"/>
  <c r="U156"/>
  <c r="U142"/>
  <c r="U128"/>
  <c r="U123"/>
  <c r="U112" i="3"/>
  <c r="U112" i="2" s="1"/>
  <c r="U113"/>
  <c r="U111"/>
  <c r="U178"/>
  <c r="U118"/>
  <c r="U202" i="3"/>
  <c r="U202" i="2" s="1"/>
  <c r="U203"/>
  <c r="U182"/>
  <c r="U162"/>
  <c r="U151"/>
  <c r="U136"/>
  <c r="U133"/>
  <c r="U121" i="3"/>
  <c r="U121" i="2" s="1"/>
  <c r="U122"/>
  <c r="U120"/>
  <c r="U110"/>
  <c r="U100"/>
  <c r="U148" i="3"/>
  <c r="U148" i="2" s="1"/>
  <c r="U149"/>
  <c r="U106"/>
  <c r="U101"/>
  <c r="U89"/>
  <c r="U79"/>
  <c r="U69"/>
  <c r="U58" i="3"/>
  <c r="U58" i="2" s="1"/>
  <c r="U59"/>
  <c r="U57"/>
  <c r="U129"/>
  <c r="U109"/>
  <c r="U97"/>
  <c r="U96"/>
  <c r="U85" i="3"/>
  <c r="U85" i="2" s="1"/>
  <c r="U86"/>
  <c r="U84"/>
  <c r="U74"/>
  <c r="U64"/>
  <c r="U137"/>
  <c r="U125"/>
  <c r="U115"/>
  <c r="U108"/>
  <c r="U88"/>
  <c r="U78"/>
  <c r="U67" i="3"/>
  <c r="U67" i="2" s="1"/>
  <c r="U68"/>
  <c r="U66"/>
  <c r="U56"/>
  <c r="U152"/>
  <c r="U132"/>
  <c r="U124"/>
  <c r="U119"/>
  <c r="U114"/>
  <c r="U107"/>
  <c r="U102"/>
  <c r="U90"/>
  <c r="U80"/>
  <c r="U70"/>
  <c r="U60"/>
  <c r="U126"/>
  <c r="U62"/>
  <c r="U54"/>
  <c r="U44"/>
  <c r="U34"/>
  <c r="U24"/>
  <c r="U93"/>
  <c r="U73"/>
  <c r="U53"/>
  <c r="U43"/>
  <c r="U33"/>
  <c r="U22" i="3"/>
  <c r="U22" i="2" s="1"/>
  <c r="U23"/>
  <c r="U21"/>
  <c r="U117"/>
  <c r="U92"/>
  <c r="U76" i="3"/>
  <c r="U76" i="2" s="1"/>
  <c r="U77"/>
  <c r="U72"/>
  <c r="U45"/>
  <c r="U35"/>
  <c r="U25"/>
  <c r="U164"/>
  <c r="U138"/>
  <c r="U130" i="3"/>
  <c r="U130" i="2" s="1"/>
  <c r="U131"/>
  <c r="U103" i="3"/>
  <c r="U103" i="2" s="1"/>
  <c r="U104"/>
  <c r="U98"/>
  <c r="U83"/>
  <c r="U55"/>
  <c r="U47"/>
  <c r="U37"/>
  <c r="U27"/>
  <c r="U17"/>
  <c r="U99"/>
  <c r="U81"/>
  <c r="U36"/>
  <c r="U29"/>
  <c r="U19"/>
  <c r="U9"/>
  <c r="U116"/>
  <c r="U52"/>
  <c r="U48"/>
  <c r="U16"/>
  <c r="U6"/>
  <c r="U165"/>
  <c r="U157" i="3"/>
  <c r="U157" i="2" s="1"/>
  <c r="U158"/>
  <c r="U71"/>
  <c r="U46"/>
  <c r="U31" i="3"/>
  <c r="U31" i="2" s="1"/>
  <c r="U32"/>
  <c r="U8"/>
  <c r="U10"/>
  <c r="U38"/>
  <c r="U170"/>
  <c r="U82"/>
  <c r="U65"/>
  <c r="U63"/>
  <c r="U61"/>
  <c r="U51"/>
  <c r="U20"/>
  <c r="U12"/>
  <c r="U94" i="3"/>
  <c r="U94" i="2" s="1"/>
  <c r="U95"/>
  <c r="U40" i="3"/>
  <c r="U40" i="2" s="1"/>
  <c r="U41"/>
  <c r="U7"/>
  <c r="U30"/>
  <c r="U26"/>
  <c r="U18"/>
  <c r="U4" i="3"/>
  <c r="U4" i="2" s="1"/>
  <c r="U5"/>
  <c r="U42"/>
  <c r="U13" i="3"/>
  <c r="U13" i="2" s="1"/>
  <c r="U14"/>
  <c r="U161"/>
  <c r="U87"/>
  <c r="U49" i="3"/>
  <c r="U49" i="2" s="1"/>
  <c r="U50"/>
  <c r="U11"/>
  <c r="U39"/>
  <c r="U28"/>
  <c r="U75"/>
  <c r="U91"/>
  <c r="U105"/>
  <c r="U15"/>
  <c r="I209"/>
  <c r="I199"/>
  <c r="I189"/>
  <c r="I179"/>
  <c r="I210"/>
  <c r="I200"/>
  <c r="I190"/>
  <c r="I180"/>
  <c r="I205"/>
  <c r="I198"/>
  <c r="I187"/>
  <c r="I166" i="3"/>
  <c r="I166" i="2" s="1"/>
  <c r="I167"/>
  <c r="I204"/>
  <c r="I201"/>
  <c r="I183"/>
  <c r="I172"/>
  <c r="I208"/>
  <c r="I197"/>
  <c r="I186"/>
  <c r="I182"/>
  <c r="I169"/>
  <c r="I192"/>
  <c r="I177"/>
  <c r="I174"/>
  <c r="I170"/>
  <c r="I161"/>
  <c r="I151"/>
  <c r="I141"/>
  <c r="I181"/>
  <c r="I168"/>
  <c r="I164"/>
  <c r="I160"/>
  <c r="I191"/>
  <c r="I178"/>
  <c r="I162"/>
  <c r="I188"/>
  <c r="I173"/>
  <c r="I154"/>
  <c r="I206"/>
  <c r="I196"/>
  <c r="I184" i="3"/>
  <c r="I184" i="2" s="1"/>
  <c r="I185"/>
  <c r="I165"/>
  <c r="I150"/>
  <c r="I147"/>
  <c r="I143"/>
  <c r="I139" i="3"/>
  <c r="I139" i="2" s="1"/>
  <c r="I140"/>
  <c r="I163"/>
  <c r="I159"/>
  <c r="I153"/>
  <c r="I146"/>
  <c r="I195"/>
  <c r="I156"/>
  <c r="I142"/>
  <c r="I133"/>
  <c r="I207"/>
  <c r="I157" i="3"/>
  <c r="I157" i="2" s="1"/>
  <c r="I158"/>
  <c r="I134"/>
  <c r="I127"/>
  <c r="I117"/>
  <c r="I107"/>
  <c r="I132"/>
  <c r="I124"/>
  <c r="I114"/>
  <c r="I175" i="3"/>
  <c r="I175" i="2" s="1"/>
  <c r="I176"/>
  <c r="I155"/>
  <c r="I145"/>
  <c r="I129"/>
  <c r="I126"/>
  <c r="I116"/>
  <c r="I106"/>
  <c r="I137"/>
  <c r="I109"/>
  <c r="I100"/>
  <c r="I94" i="3"/>
  <c r="I94" i="2" s="1"/>
  <c r="I95"/>
  <c r="I93"/>
  <c r="I83"/>
  <c r="I73"/>
  <c r="I63"/>
  <c r="I136"/>
  <c r="I128"/>
  <c r="I121" i="3"/>
  <c r="I121" i="2" s="1"/>
  <c r="I122"/>
  <c r="I105"/>
  <c r="I90"/>
  <c r="I80"/>
  <c r="I70"/>
  <c r="I60"/>
  <c r="I202" i="3"/>
  <c r="I202" i="2" s="1"/>
  <c r="I203"/>
  <c r="I152"/>
  <c r="I111"/>
  <c r="I102"/>
  <c r="I92"/>
  <c r="I82"/>
  <c r="I72"/>
  <c r="I62"/>
  <c r="I171"/>
  <c r="I138"/>
  <c r="I130" i="3"/>
  <c r="I130" i="2" s="1"/>
  <c r="I131"/>
  <c r="I120"/>
  <c r="I119"/>
  <c r="I101"/>
  <c r="I96"/>
  <c r="I85" i="3"/>
  <c r="I85" i="2" s="1"/>
  <c r="I86"/>
  <c r="I84"/>
  <c r="I74"/>
  <c r="I64"/>
  <c r="I125"/>
  <c r="I123"/>
  <c r="I91"/>
  <c r="I71"/>
  <c r="I57"/>
  <c r="I49" i="3"/>
  <c r="I49" i="2" s="1"/>
  <c r="I50"/>
  <c r="I48"/>
  <c r="I38"/>
  <c r="I28"/>
  <c r="I110"/>
  <c r="I88"/>
  <c r="I87"/>
  <c r="I75"/>
  <c r="I67" i="3"/>
  <c r="I67" i="2" s="1"/>
  <c r="I68"/>
  <c r="I61"/>
  <c r="I47"/>
  <c r="I37"/>
  <c r="I27"/>
  <c r="I17"/>
  <c r="I118"/>
  <c r="I58" i="3"/>
  <c r="I58" i="2" s="1"/>
  <c r="I59"/>
  <c r="I51"/>
  <c r="I40" i="3"/>
  <c r="I40" i="2" s="1"/>
  <c r="I41"/>
  <c r="I39"/>
  <c r="I29"/>
  <c r="I78"/>
  <c r="I76" i="3"/>
  <c r="I76" i="2" s="1"/>
  <c r="I77"/>
  <c r="I53"/>
  <c r="I43"/>
  <c r="I33"/>
  <c r="I22" i="3"/>
  <c r="I22" i="2" s="1"/>
  <c r="I23"/>
  <c r="I21"/>
  <c r="I148" i="3"/>
  <c r="I148" i="2" s="1"/>
  <c r="I149"/>
  <c r="I98"/>
  <c r="I69"/>
  <c r="I66"/>
  <c r="I42"/>
  <c r="I24"/>
  <c r="I15"/>
  <c r="I4" i="3"/>
  <c r="I4" i="2" s="1"/>
  <c r="I5"/>
  <c r="I56"/>
  <c r="I55"/>
  <c r="I30"/>
  <c r="I18"/>
  <c r="I10"/>
  <c r="I89"/>
  <c r="I52"/>
  <c r="I35"/>
  <c r="I13" i="3"/>
  <c r="I13" i="2" s="1"/>
  <c r="I14"/>
  <c r="I12"/>
  <c r="I115"/>
  <c r="I108"/>
  <c r="I81"/>
  <c r="I79"/>
  <c r="I46"/>
  <c r="I31" i="3"/>
  <c r="I31" i="2" s="1"/>
  <c r="I32"/>
  <c r="I20"/>
  <c r="I16"/>
  <c r="I6"/>
  <c r="I65"/>
  <c r="I25"/>
  <c r="I193" i="3"/>
  <c r="I193" i="2" s="1"/>
  <c r="I194"/>
  <c r="I144"/>
  <c r="I45"/>
  <c r="I112" i="3"/>
  <c r="I112" i="2" s="1"/>
  <c r="I113"/>
  <c r="I99"/>
  <c r="I34"/>
  <c r="I135"/>
  <c r="I11"/>
  <c r="I103" i="3"/>
  <c r="I103" i="2" s="1"/>
  <c r="I104"/>
  <c r="I44"/>
  <c r="I9"/>
  <c r="I26"/>
  <c r="I97"/>
  <c r="I54"/>
  <c r="I19"/>
  <c r="I7"/>
  <c r="I8"/>
  <c r="I36"/>
  <c r="BF204"/>
  <c r="BF193" i="3"/>
  <c r="BF193" i="2" s="1"/>
  <c r="BF194"/>
  <c r="BF192"/>
  <c r="BF182"/>
  <c r="BF172"/>
  <c r="BF205"/>
  <c r="BF195"/>
  <c r="BF184" i="3"/>
  <c r="BF184" i="2" s="1"/>
  <c r="BF185"/>
  <c r="BF183"/>
  <c r="BF173"/>
  <c r="BF202" i="3"/>
  <c r="BF202" i="2" s="1"/>
  <c r="BF203"/>
  <c r="BF200"/>
  <c r="BF189"/>
  <c r="BF178"/>
  <c r="BF170"/>
  <c r="BF207"/>
  <c r="BF196"/>
  <c r="BF181"/>
  <c r="BF174"/>
  <c r="BF166" i="3"/>
  <c r="BF166" i="2" s="1"/>
  <c r="BF167"/>
  <c r="BF165"/>
  <c r="BF210"/>
  <c r="BF199"/>
  <c r="BF177"/>
  <c r="BF162"/>
  <c r="BF198"/>
  <c r="BF187"/>
  <c r="BF179"/>
  <c r="BF190"/>
  <c r="BF175" i="3"/>
  <c r="BF175" i="2" s="1"/>
  <c r="BF176"/>
  <c r="BF154"/>
  <c r="BF144"/>
  <c r="BF134"/>
  <c r="BF209"/>
  <c r="BF186"/>
  <c r="BF180"/>
  <c r="BF171"/>
  <c r="BF191"/>
  <c r="BF169"/>
  <c r="BF159"/>
  <c r="BF148" i="3"/>
  <c r="BF148" i="2" s="1"/>
  <c r="BF149"/>
  <c r="BF147"/>
  <c r="BF160"/>
  <c r="BF156"/>
  <c r="BF141"/>
  <c r="BF206"/>
  <c r="BF168"/>
  <c r="BF157" i="3"/>
  <c r="BF157" i="2" s="1"/>
  <c r="BF158"/>
  <c r="BF152"/>
  <c r="BF145"/>
  <c r="BF208"/>
  <c r="BF155"/>
  <c r="BF143"/>
  <c r="BF139" i="3"/>
  <c r="BF139" i="2" s="1"/>
  <c r="BF140"/>
  <c r="BF150"/>
  <c r="BF137"/>
  <c r="BF197"/>
  <c r="BF151"/>
  <c r="BF128"/>
  <c r="BF121" i="3"/>
  <c r="BF121" i="2" s="1"/>
  <c r="BF122"/>
  <c r="BF120"/>
  <c r="BF110"/>
  <c r="BF163"/>
  <c r="BF132"/>
  <c r="BF117"/>
  <c r="BF188"/>
  <c r="BF127"/>
  <c r="BF119"/>
  <c r="BF109"/>
  <c r="BF99"/>
  <c r="BF161"/>
  <c r="BF126"/>
  <c r="BF116"/>
  <c r="BF101"/>
  <c r="BF88"/>
  <c r="BF78"/>
  <c r="BF67" i="3"/>
  <c r="BF67" i="2" s="1"/>
  <c r="BF68"/>
  <c r="BF66"/>
  <c r="BF56"/>
  <c r="BF138"/>
  <c r="BF130" i="3"/>
  <c r="BF130" i="2" s="1"/>
  <c r="BF131"/>
  <c r="BF107"/>
  <c r="BF94" i="3"/>
  <c r="BF94" i="2" s="1"/>
  <c r="BF95"/>
  <c r="BF93"/>
  <c r="BF83"/>
  <c r="BF73"/>
  <c r="BF63"/>
  <c r="BF136"/>
  <c r="BF125"/>
  <c r="BF115"/>
  <c r="BF106"/>
  <c r="BF100"/>
  <c r="BF87"/>
  <c r="BF76" i="3"/>
  <c r="BF76" i="2" s="1"/>
  <c r="BF77"/>
  <c r="BF75"/>
  <c r="BF65"/>
  <c r="BF55"/>
  <c r="BF153"/>
  <c r="BF142"/>
  <c r="BF133"/>
  <c r="BF89"/>
  <c r="BF79"/>
  <c r="BF69"/>
  <c r="BF58" i="3"/>
  <c r="BF58" i="2" s="1"/>
  <c r="BF59"/>
  <c r="BF57"/>
  <c r="BF146"/>
  <c r="BF129"/>
  <c r="BF112" i="3"/>
  <c r="BF112" i="2" s="1"/>
  <c r="BF113"/>
  <c r="BF103" i="3"/>
  <c r="BF103" i="2" s="1"/>
  <c r="BF104"/>
  <c r="BF64"/>
  <c r="BF53"/>
  <c r="BF43"/>
  <c r="BF33"/>
  <c r="BF22" i="3"/>
  <c r="BF22" i="2" s="1"/>
  <c r="BF23"/>
  <c r="BF21"/>
  <c r="BF135"/>
  <c r="BF124"/>
  <c r="BF97"/>
  <c r="BF82"/>
  <c r="BF52"/>
  <c r="BF42"/>
  <c r="BF31" i="3"/>
  <c r="BF31" i="2" s="1"/>
  <c r="BF32"/>
  <c r="BF30"/>
  <c r="BF20"/>
  <c r="BF108"/>
  <c r="BF85" i="3"/>
  <c r="BF85" i="2" s="1"/>
  <c r="BF86"/>
  <c r="BF81"/>
  <c r="BF74"/>
  <c r="BF60"/>
  <c r="BF54"/>
  <c r="BF44"/>
  <c r="BF34"/>
  <c r="BF24"/>
  <c r="BF123"/>
  <c r="BF105"/>
  <c r="BF98"/>
  <c r="BF96"/>
  <c r="BF92"/>
  <c r="BF72"/>
  <c r="BF46"/>
  <c r="BF36"/>
  <c r="BF26"/>
  <c r="BF90"/>
  <c r="BF84"/>
  <c r="BF38"/>
  <c r="BF25"/>
  <c r="BF17"/>
  <c r="BF8"/>
  <c r="BF164"/>
  <c r="BF16"/>
  <c r="BF15"/>
  <c r="BF4" i="3"/>
  <c r="BF4" i="2" s="1"/>
  <c r="BF5"/>
  <c r="BF111"/>
  <c r="BF48"/>
  <c r="BF29"/>
  <c r="BF7"/>
  <c r="BF118"/>
  <c r="BF70"/>
  <c r="BF51"/>
  <c r="BF47"/>
  <c r="BF9"/>
  <c r="BF19"/>
  <c r="BF39"/>
  <c r="BF18"/>
  <c r="BF80"/>
  <c r="BF11"/>
  <c r="BF102"/>
  <c r="BF45"/>
  <c r="BF62"/>
  <c r="BF27"/>
  <c r="BF201"/>
  <c r="BF37"/>
  <c r="BF6"/>
  <c r="BF114"/>
  <c r="BF35"/>
  <c r="BF12"/>
  <c r="BF28"/>
  <c r="BF91"/>
  <c r="BF61"/>
  <c r="BF10"/>
  <c r="BF71"/>
  <c r="BF13" i="3"/>
  <c r="BF13" i="2" s="1"/>
  <c r="BF14"/>
  <c r="BF49" i="3"/>
  <c r="BF49" i="2" s="1"/>
  <c r="BF50"/>
  <c r="BF40" i="3"/>
  <c r="BF40" i="2" s="1"/>
  <c r="BF41"/>
  <c r="N208"/>
  <c r="N198"/>
  <c r="N188"/>
  <c r="N178"/>
  <c r="N209"/>
  <c r="N199"/>
  <c r="N189"/>
  <c r="N179"/>
  <c r="N207"/>
  <c r="N196"/>
  <c r="N181"/>
  <c r="N174"/>
  <c r="N210"/>
  <c r="N195"/>
  <c r="N192"/>
  <c r="N177"/>
  <c r="N173"/>
  <c r="N171"/>
  <c r="N206"/>
  <c r="N180"/>
  <c r="N168"/>
  <c r="N204"/>
  <c r="N201"/>
  <c r="N190"/>
  <c r="N172"/>
  <c r="N164"/>
  <c r="N160"/>
  <c r="N150"/>
  <c r="N139" i="3"/>
  <c r="N139" i="2" s="1"/>
  <c r="N140"/>
  <c r="N138"/>
  <c r="N197"/>
  <c r="N193" i="3"/>
  <c r="N193" i="2" s="1"/>
  <c r="N194"/>
  <c r="N184" i="3"/>
  <c r="N184" i="2" s="1"/>
  <c r="N185"/>
  <c r="N169"/>
  <c r="N161"/>
  <c r="N202" i="3"/>
  <c r="N202" i="2" s="1"/>
  <c r="N203"/>
  <c r="N175" i="3"/>
  <c r="N175" i="2" s="1"/>
  <c r="N176"/>
  <c r="N166" i="3"/>
  <c r="N166" i="2" s="1"/>
  <c r="N167"/>
  <c r="N153"/>
  <c r="N156"/>
  <c r="N155"/>
  <c r="N191"/>
  <c r="N163"/>
  <c r="N154"/>
  <c r="N147"/>
  <c r="N135"/>
  <c r="N132"/>
  <c r="N182"/>
  <c r="N148" i="3"/>
  <c r="N148" i="2" s="1"/>
  <c r="N149"/>
  <c r="N143"/>
  <c r="N134"/>
  <c r="N200"/>
  <c r="N152"/>
  <c r="N151"/>
  <c r="N141"/>
  <c r="N137"/>
  <c r="N130" i="3"/>
  <c r="N130" i="2" s="1"/>
  <c r="N131"/>
  <c r="N126"/>
  <c r="N116"/>
  <c r="N106"/>
  <c r="N187"/>
  <c r="N183"/>
  <c r="N144"/>
  <c r="N123"/>
  <c r="N112" i="3"/>
  <c r="N112" i="2" s="1"/>
  <c r="N113"/>
  <c r="N111"/>
  <c r="N165"/>
  <c r="N142"/>
  <c r="N125"/>
  <c r="N115"/>
  <c r="N105"/>
  <c r="N133"/>
  <c r="N107"/>
  <c r="N103" i="3"/>
  <c r="N103" i="2" s="1"/>
  <c r="N104"/>
  <c r="N92"/>
  <c r="N82"/>
  <c r="N72"/>
  <c r="N62"/>
  <c r="N124"/>
  <c r="N119"/>
  <c r="N114"/>
  <c r="N98"/>
  <c r="N89"/>
  <c r="N79"/>
  <c r="N69"/>
  <c r="N58" i="3"/>
  <c r="N58" i="2" s="1"/>
  <c r="N59"/>
  <c r="N57"/>
  <c r="N162"/>
  <c r="N121" i="3"/>
  <c r="N121" i="2" s="1"/>
  <c r="N122"/>
  <c r="N117"/>
  <c r="N97"/>
  <c r="N91"/>
  <c r="N81"/>
  <c r="N71"/>
  <c r="N61"/>
  <c r="N145"/>
  <c r="N94" i="3"/>
  <c r="N94" i="2" s="1"/>
  <c r="N95"/>
  <c r="N93"/>
  <c r="N83"/>
  <c r="N73"/>
  <c r="N63"/>
  <c r="N159"/>
  <c r="N80"/>
  <c r="N66"/>
  <c r="N47"/>
  <c r="N37"/>
  <c r="N27"/>
  <c r="N146"/>
  <c r="N84"/>
  <c r="N56"/>
  <c r="N46"/>
  <c r="N36"/>
  <c r="N26"/>
  <c r="N170"/>
  <c r="N88"/>
  <c r="N67" i="3"/>
  <c r="N67" i="2" s="1"/>
  <c r="N68"/>
  <c r="N49" i="3"/>
  <c r="N49" i="2" s="1"/>
  <c r="N50"/>
  <c r="N48"/>
  <c r="N38"/>
  <c r="N28"/>
  <c r="N186"/>
  <c r="N136"/>
  <c r="N120"/>
  <c r="N102"/>
  <c r="N85" i="3"/>
  <c r="N85" i="2" s="1"/>
  <c r="N86"/>
  <c r="N74"/>
  <c r="N60"/>
  <c r="N52"/>
  <c r="N42"/>
  <c r="N31" i="3"/>
  <c r="N31" i="2" s="1"/>
  <c r="N32"/>
  <c r="N30"/>
  <c r="N20"/>
  <c r="N110"/>
  <c r="N65"/>
  <c r="N13" i="3"/>
  <c r="N13" i="2" s="1"/>
  <c r="N14"/>
  <c r="N12"/>
  <c r="N205"/>
  <c r="N127"/>
  <c r="N75"/>
  <c r="N64"/>
  <c r="N45"/>
  <c r="N44"/>
  <c r="N39"/>
  <c r="N9"/>
  <c r="N128"/>
  <c r="N109"/>
  <c r="N96"/>
  <c r="N87"/>
  <c r="N55"/>
  <c r="N22" i="3"/>
  <c r="N22" i="2" s="1"/>
  <c r="N23"/>
  <c r="N19"/>
  <c r="N11"/>
  <c r="N100"/>
  <c r="N90"/>
  <c r="N53"/>
  <c r="N29"/>
  <c r="N18"/>
  <c r="N15"/>
  <c r="N4" i="3"/>
  <c r="N4" i="2" s="1"/>
  <c r="N5"/>
  <c r="N76" i="3"/>
  <c r="N76" i="2" s="1"/>
  <c r="N77"/>
  <c r="N54"/>
  <c r="N51"/>
  <c r="N24"/>
  <c r="N10"/>
  <c r="N25"/>
  <c r="N157" i="3"/>
  <c r="N157" i="2" s="1"/>
  <c r="N158"/>
  <c r="N129"/>
  <c r="N70"/>
  <c r="N118"/>
  <c r="N35"/>
  <c r="N99"/>
  <c r="N40" i="3"/>
  <c r="N40" i="2" s="1"/>
  <c r="N41"/>
  <c r="N7"/>
  <c r="N6"/>
  <c r="N43"/>
  <c r="N21"/>
  <c r="N8"/>
  <c r="N108"/>
  <c r="N101"/>
  <c r="N17"/>
  <c r="N16"/>
  <c r="N78"/>
  <c r="N34"/>
  <c r="N33"/>
  <c r="AH204"/>
  <c r="AH193" i="3"/>
  <c r="AH193" i="2" s="1"/>
  <c r="AH194"/>
  <c r="AH192"/>
  <c r="AH182"/>
  <c r="AH172"/>
  <c r="AH205"/>
  <c r="AH195"/>
  <c r="AH184" i="3"/>
  <c r="AH184" i="2" s="1"/>
  <c r="AH185"/>
  <c r="AH183"/>
  <c r="AH173"/>
  <c r="AH210"/>
  <c r="AH199"/>
  <c r="AH177"/>
  <c r="AH170"/>
  <c r="AH206"/>
  <c r="AH188"/>
  <c r="AH180"/>
  <c r="AH166" i="3"/>
  <c r="AH166" i="2" s="1"/>
  <c r="AH167"/>
  <c r="AH165"/>
  <c r="AH209"/>
  <c r="AH191"/>
  <c r="AH175" i="3"/>
  <c r="AH175" i="2" s="1"/>
  <c r="AH176"/>
  <c r="AH162"/>
  <c r="AH208"/>
  <c r="AH197"/>
  <c r="AH186"/>
  <c r="AH201"/>
  <c r="AH189"/>
  <c r="AH169"/>
  <c r="AH154"/>
  <c r="AH144"/>
  <c r="AH134"/>
  <c r="AH168"/>
  <c r="AH181"/>
  <c r="AH179"/>
  <c r="AH190"/>
  <c r="AH178"/>
  <c r="AH159"/>
  <c r="AH148" i="3"/>
  <c r="AH148" i="2" s="1"/>
  <c r="AH149"/>
  <c r="AH147"/>
  <c r="AH157" i="3"/>
  <c r="AH157" i="2" s="1"/>
  <c r="AH158"/>
  <c r="AH151"/>
  <c r="AH137"/>
  <c r="AH202" i="3"/>
  <c r="AH202" i="2" s="1"/>
  <c r="AH203"/>
  <c r="AH155"/>
  <c r="AH142"/>
  <c r="AH174"/>
  <c r="AH150"/>
  <c r="AH141"/>
  <c r="AH200"/>
  <c r="AH196"/>
  <c r="AH187"/>
  <c r="AH138"/>
  <c r="AH135"/>
  <c r="AH160"/>
  <c r="AH152"/>
  <c r="AH121" i="3"/>
  <c r="AH121" i="2" s="1"/>
  <c r="AH122"/>
  <c r="AH120"/>
  <c r="AH110"/>
  <c r="AH129"/>
  <c r="AH117"/>
  <c r="AH146"/>
  <c r="AH128"/>
  <c r="AH119"/>
  <c r="AH109"/>
  <c r="AH99"/>
  <c r="AH198"/>
  <c r="AH164"/>
  <c r="AH143"/>
  <c r="AH88"/>
  <c r="AH78"/>
  <c r="AH67" i="3"/>
  <c r="AH67" i="2" s="1"/>
  <c r="AH68"/>
  <c r="AH66"/>
  <c r="AH56"/>
  <c r="AH133"/>
  <c r="AH126"/>
  <c r="AH116"/>
  <c r="AH106"/>
  <c r="AH102"/>
  <c r="AH94" i="3"/>
  <c r="AH94" i="2" s="1"/>
  <c r="AH95"/>
  <c r="AH93"/>
  <c r="AH83"/>
  <c r="AH73"/>
  <c r="AH63"/>
  <c r="AH130" i="3"/>
  <c r="AH130" i="2" s="1"/>
  <c r="AH131"/>
  <c r="AH111"/>
  <c r="AH101"/>
  <c r="AH87"/>
  <c r="AH76" i="3"/>
  <c r="AH76" i="2" s="1"/>
  <c r="AH77"/>
  <c r="AH75"/>
  <c r="AH65"/>
  <c r="AH55"/>
  <c r="AH161"/>
  <c r="AH139" i="3"/>
  <c r="AH139" i="2" s="1"/>
  <c r="AH140"/>
  <c r="AH132"/>
  <c r="AH124"/>
  <c r="AH114"/>
  <c r="AH108"/>
  <c r="AH97"/>
  <c r="AH89"/>
  <c r="AH79"/>
  <c r="AH69"/>
  <c r="AH58" i="3"/>
  <c r="AH58" i="2" s="1"/>
  <c r="AH59"/>
  <c r="AH57"/>
  <c r="AH207"/>
  <c r="AH125"/>
  <c r="AH123"/>
  <c r="AH61"/>
  <c r="AH53"/>
  <c r="AH43"/>
  <c r="AH33"/>
  <c r="AH22" i="3"/>
  <c r="AH22" i="2" s="1"/>
  <c r="AH23"/>
  <c r="AH21"/>
  <c r="AH92"/>
  <c r="AH72"/>
  <c r="AH52"/>
  <c r="AH42"/>
  <c r="AH31" i="3"/>
  <c r="AH31" i="2" s="1"/>
  <c r="AH32"/>
  <c r="AH30"/>
  <c r="AH20"/>
  <c r="AH156"/>
  <c r="AH153"/>
  <c r="AH118"/>
  <c r="AH107"/>
  <c r="AH103" i="3"/>
  <c r="AH103" i="2" s="1"/>
  <c r="AH104"/>
  <c r="AH91"/>
  <c r="AH84"/>
  <c r="AH71"/>
  <c r="AH54"/>
  <c r="AH44"/>
  <c r="AH34"/>
  <c r="AH24"/>
  <c r="AH127"/>
  <c r="AH82"/>
  <c r="AH46"/>
  <c r="AH36"/>
  <c r="AH26"/>
  <c r="AH96"/>
  <c r="AH85" i="3"/>
  <c r="AH85" i="2" s="1"/>
  <c r="AH86"/>
  <c r="AH35"/>
  <c r="AH28"/>
  <c r="AH8"/>
  <c r="AH171"/>
  <c r="AH115"/>
  <c r="AH51"/>
  <c r="AH47"/>
  <c r="AH15"/>
  <c r="AH4" i="3"/>
  <c r="AH4" i="2" s="1"/>
  <c r="AH5"/>
  <c r="AH112" i="3"/>
  <c r="AH112" i="2" s="1"/>
  <c r="AH113"/>
  <c r="AH81"/>
  <c r="AH45"/>
  <c r="AH39"/>
  <c r="AH7"/>
  <c r="AH163"/>
  <c r="AH136"/>
  <c r="AH9"/>
  <c r="AH100"/>
  <c r="AH98"/>
  <c r="AH90"/>
  <c r="AH48"/>
  <c r="AH40" i="3"/>
  <c r="AH40" i="2" s="1"/>
  <c r="AH41"/>
  <c r="AH18"/>
  <c r="AH17"/>
  <c r="AH145"/>
  <c r="AH105"/>
  <c r="AH70"/>
  <c r="AH49" i="3"/>
  <c r="AH49" i="2" s="1"/>
  <c r="AH50"/>
  <c r="AH6"/>
  <c r="AH12"/>
  <c r="AH64"/>
  <c r="AH29"/>
  <c r="AH25"/>
  <c r="AH60"/>
  <c r="AH27"/>
  <c r="AH62"/>
  <c r="AH13" i="3"/>
  <c r="AH13" i="2" s="1"/>
  <c r="AH14"/>
  <c r="AH80"/>
  <c r="AH38"/>
  <c r="AH16"/>
  <c r="AH19"/>
  <c r="AH74"/>
  <c r="AH11"/>
  <c r="AH37"/>
  <c r="AH10"/>
  <c r="AR210"/>
  <c r="AR200"/>
  <c r="AR190"/>
  <c r="AR180"/>
  <c r="AR202" i="3"/>
  <c r="AR202" i="2" s="1"/>
  <c r="AR203"/>
  <c r="AR201"/>
  <c r="AR191"/>
  <c r="AR181"/>
  <c r="AR199"/>
  <c r="AR195"/>
  <c r="AR188"/>
  <c r="AR173"/>
  <c r="AR168"/>
  <c r="AR206"/>
  <c r="AR193" i="3"/>
  <c r="AR193" i="2" s="1"/>
  <c r="AR194"/>
  <c r="AR172"/>
  <c r="AR209"/>
  <c r="AR205"/>
  <c r="AR198"/>
  <c r="AR187"/>
  <c r="AR175" i="3"/>
  <c r="AR175" i="2" s="1"/>
  <c r="AR176"/>
  <c r="AR170"/>
  <c r="AR186"/>
  <c r="AR178"/>
  <c r="AR204"/>
  <c r="AR196"/>
  <c r="AR152"/>
  <c r="AR142"/>
  <c r="AR177"/>
  <c r="AR161"/>
  <c r="AR171"/>
  <c r="AR163"/>
  <c r="AR207"/>
  <c r="AR183"/>
  <c r="AR182"/>
  <c r="AR169"/>
  <c r="AR165"/>
  <c r="AR155"/>
  <c r="AR145"/>
  <c r="AR208"/>
  <c r="AR157" i="3"/>
  <c r="AR157" i="2" s="1"/>
  <c r="AR158"/>
  <c r="AR151"/>
  <c r="AR137"/>
  <c r="AR189"/>
  <c r="AR160"/>
  <c r="AR154"/>
  <c r="AR147"/>
  <c r="AR197"/>
  <c r="AR150"/>
  <c r="AR148" i="3"/>
  <c r="AR148" i="2" s="1"/>
  <c r="AR149"/>
  <c r="AR136"/>
  <c r="AR192"/>
  <c r="AR174"/>
  <c r="AR162"/>
  <c r="AR159"/>
  <c r="AR156"/>
  <c r="AR118"/>
  <c r="AR108"/>
  <c r="AR129"/>
  <c r="AR125"/>
  <c r="AR115"/>
  <c r="AR166" i="3"/>
  <c r="AR166" i="2" s="1"/>
  <c r="AR167"/>
  <c r="AR139" i="3"/>
  <c r="AR139" i="2" s="1"/>
  <c r="AR140"/>
  <c r="AR117"/>
  <c r="AR107"/>
  <c r="AR97"/>
  <c r="AR184" i="3"/>
  <c r="AR184" i="2" s="1"/>
  <c r="AR185"/>
  <c r="AR141"/>
  <c r="AR130" i="3"/>
  <c r="AR130" i="2" s="1"/>
  <c r="AR131"/>
  <c r="AR126"/>
  <c r="AR116"/>
  <c r="AR99"/>
  <c r="AR96"/>
  <c r="AR85" i="3"/>
  <c r="AR85" i="2" s="1"/>
  <c r="AR86"/>
  <c r="AR84"/>
  <c r="AR74"/>
  <c r="AR64"/>
  <c r="AR164"/>
  <c r="AR153"/>
  <c r="AR135"/>
  <c r="AR134"/>
  <c r="AR110"/>
  <c r="AR106"/>
  <c r="AR102"/>
  <c r="AR91"/>
  <c r="AR81"/>
  <c r="AR71"/>
  <c r="AR61"/>
  <c r="AR144"/>
  <c r="AR124"/>
  <c r="AR119"/>
  <c r="AR114"/>
  <c r="AR105"/>
  <c r="AR98"/>
  <c r="AR94" i="3"/>
  <c r="AR94" i="2" s="1"/>
  <c r="AR95"/>
  <c r="AR93"/>
  <c r="AR83"/>
  <c r="AR73"/>
  <c r="AR63"/>
  <c r="AR133"/>
  <c r="AR87"/>
  <c r="AR76" i="3"/>
  <c r="AR76" i="2" s="1"/>
  <c r="AR77"/>
  <c r="AR75"/>
  <c r="AR65"/>
  <c r="AR55"/>
  <c r="AR120"/>
  <c r="AR92"/>
  <c r="AR79"/>
  <c r="AR78"/>
  <c r="AR72"/>
  <c r="AR51"/>
  <c r="AR40" i="3"/>
  <c r="AR40" i="2" s="1"/>
  <c r="AR41"/>
  <c r="AR39"/>
  <c r="AR29"/>
  <c r="AR123"/>
  <c r="AR90"/>
  <c r="AR70"/>
  <c r="AR62"/>
  <c r="AR49" i="3"/>
  <c r="AR49" i="2" s="1"/>
  <c r="AR50"/>
  <c r="AR48"/>
  <c r="AR38"/>
  <c r="AR28"/>
  <c r="AR18"/>
  <c r="AR143"/>
  <c r="AR111"/>
  <c r="AR52"/>
  <c r="AR42"/>
  <c r="AR31" i="3"/>
  <c r="AR31" i="2" s="1"/>
  <c r="AR32"/>
  <c r="AR30"/>
  <c r="AR146"/>
  <c r="AR132"/>
  <c r="AR109"/>
  <c r="AR100"/>
  <c r="AR80"/>
  <c r="AR66"/>
  <c r="AR58" i="3"/>
  <c r="AR58" i="2" s="1"/>
  <c r="AR59"/>
  <c r="AR54"/>
  <c r="AR44"/>
  <c r="AR34"/>
  <c r="AR24"/>
  <c r="AR67" i="3"/>
  <c r="AR67" i="2" s="1"/>
  <c r="AR68"/>
  <c r="AR45"/>
  <c r="AR6"/>
  <c r="AR179"/>
  <c r="AR69"/>
  <c r="AR60"/>
  <c r="AR43"/>
  <c r="AR25"/>
  <c r="AR19"/>
  <c r="AR11"/>
  <c r="AR121" i="3"/>
  <c r="AR121" i="2" s="1"/>
  <c r="AR122"/>
  <c r="AR103" i="3"/>
  <c r="AR103" i="2" s="1"/>
  <c r="AR104"/>
  <c r="AR88"/>
  <c r="AR37"/>
  <c r="AR36"/>
  <c r="AR15"/>
  <c r="AR4" i="3"/>
  <c r="AR4" i="2" s="1"/>
  <c r="AR5"/>
  <c r="AR112" i="3"/>
  <c r="AR112" i="2" s="1"/>
  <c r="AR113"/>
  <c r="AR82"/>
  <c r="AR35"/>
  <c r="AR16"/>
  <c r="AR7"/>
  <c r="AR53"/>
  <c r="AR26"/>
  <c r="AR9"/>
  <c r="AR8"/>
  <c r="AR101"/>
  <c r="AR89"/>
  <c r="AR27"/>
  <c r="AR21"/>
  <c r="AR127"/>
  <c r="AR57"/>
  <c r="AR33"/>
  <c r="AR17"/>
  <c r="AR56"/>
  <c r="AR46"/>
  <c r="AR13" i="3"/>
  <c r="AR13" i="2" s="1"/>
  <c r="AR14"/>
  <c r="AR22" i="3"/>
  <c r="AR22" i="2" s="1"/>
  <c r="AR23"/>
  <c r="AR47"/>
  <c r="AR138"/>
  <c r="AR20"/>
  <c r="AR10"/>
  <c r="AR128"/>
  <c r="AR12"/>
  <c r="BI205"/>
  <c r="BI195"/>
  <c r="BI184" i="3"/>
  <c r="BI184" i="2" s="1"/>
  <c r="BI185"/>
  <c r="BI183"/>
  <c r="BI173"/>
  <c r="BI206"/>
  <c r="BI196"/>
  <c r="BI186"/>
  <c r="BI175" i="3"/>
  <c r="BI175" i="2" s="1"/>
  <c r="BI176"/>
  <c r="BI174"/>
  <c r="BI204"/>
  <c r="BI201"/>
  <c r="BI190"/>
  <c r="BI179"/>
  <c r="BI171"/>
  <c r="BI208"/>
  <c r="BI197"/>
  <c r="BI182"/>
  <c r="BI168"/>
  <c r="BI202" i="3"/>
  <c r="BI202" i="2" s="1"/>
  <c r="BI203"/>
  <c r="BI200"/>
  <c r="BI178"/>
  <c r="BI163"/>
  <c r="BI199"/>
  <c r="BI188"/>
  <c r="BI180"/>
  <c r="BI192"/>
  <c r="BI191"/>
  <c r="BI155"/>
  <c r="BI145"/>
  <c r="BI135"/>
  <c r="BI209"/>
  <c r="BI207"/>
  <c r="BI198"/>
  <c r="BI193" i="3"/>
  <c r="BI193" i="2" s="1"/>
  <c r="BI194"/>
  <c r="BI162"/>
  <c r="BI157" i="3"/>
  <c r="BI157" i="2" s="1"/>
  <c r="BI158"/>
  <c r="BI170"/>
  <c r="BI160"/>
  <c r="BI150"/>
  <c r="BI161"/>
  <c r="BI148" i="3"/>
  <c r="BI148" i="2" s="1"/>
  <c r="BI149"/>
  <c r="BI142"/>
  <c r="BI165"/>
  <c r="BI159"/>
  <c r="BI153"/>
  <c r="BI146"/>
  <c r="BI187"/>
  <c r="BI164"/>
  <c r="BI156"/>
  <c r="BI144"/>
  <c r="BI141"/>
  <c r="BI127"/>
  <c r="BI172"/>
  <c r="BI166" i="3"/>
  <c r="BI166" i="2" s="1"/>
  <c r="BI167"/>
  <c r="BI151"/>
  <c r="BI138"/>
  <c r="BI181"/>
  <c r="BI129"/>
  <c r="BI123"/>
  <c r="BI112" i="3"/>
  <c r="BI112" i="2" s="1"/>
  <c r="BI113"/>
  <c r="BI111"/>
  <c r="BI152"/>
  <c r="BI136"/>
  <c r="BI133"/>
  <c r="BI130" i="3"/>
  <c r="BI130" i="2" s="1"/>
  <c r="BI131"/>
  <c r="BI118"/>
  <c r="BI189"/>
  <c r="BI143"/>
  <c r="BI128"/>
  <c r="BI121" i="3"/>
  <c r="BI121" i="2" s="1"/>
  <c r="BI122"/>
  <c r="BI120"/>
  <c r="BI110"/>
  <c r="BI100"/>
  <c r="BI210"/>
  <c r="BI117"/>
  <c r="BI105"/>
  <c r="BI102"/>
  <c r="BI89"/>
  <c r="BI79"/>
  <c r="BI69"/>
  <c r="BI58" i="3"/>
  <c r="BI58" i="2" s="1"/>
  <c r="BI59"/>
  <c r="BI57"/>
  <c r="BI137"/>
  <c r="BI132"/>
  <c r="BI108"/>
  <c r="BI103" i="3"/>
  <c r="BI103" i="2" s="1"/>
  <c r="BI104"/>
  <c r="BI85" i="3"/>
  <c r="BI85" i="2" s="1"/>
  <c r="BI86"/>
  <c r="BI84"/>
  <c r="BI74"/>
  <c r="BI64"/>
  <c r="BI126"/>
  <c r="BI116"/>
  <c r="BI107"/>
  <c r="BI101"/>
  <c r="BI88"/>
  <c r="BI78"/>
  <c r="BI67" i="3"/>
  <c r="BI67" i="2" s="1"/>
  <c r="BI68"/>
  <c r="BI66"/>
  <c r="BI56"/>
  <c r="BI177"/>
  <c r="BI147"/>
  <c r="BI90"/>
  <c r="BI80"/>
  <c r="BI70"/>
  <c r="BI60"/>
  <c r="BI125"/>
  <c r="BI98"/>
  <c r="BI65"/>
  <c r="BI54"/>
  <c r="BI44"/>
  <c r="BI34"/>
  <c r="BI24"/>
  <c r="BI169"/>
  <c r="BI99"/>
  <c r="BI83"/>
  <c r="BI55"/>
  <c r="BI53"/>
  <c r="BI43"/>
  <c r="BI33"/>
  <c r="BI22" i="3"/>
  <c r="BI22" i="2" s="1"/>
  <c r="BI23"/>
  <c r="BI21"/>
  <c r="BI139" i="3"/>
  <c r="BI139" i="2" s="1"/>
  <c r="BI140"/>
  <c r="BI114"/>
  <c r="BI87"/>
  <c r="BI82"/>
  <c r="BI75"/>
  <c r="BI61"/>
  <c r="BI45"/>
  <c r="BI35"/>
  <c r="BI25"/>
  <c r="BI154"/>
  <c r="BI134"/>
  <c r="BI106"/>
  <c r="BI93"/>
  <c r="BI73"/>
  <c r="BI47"/>
  <c r="BI37"/>
  <c r="BI27"/>
  <c r="BI17"/>
  <c r="BI119"/>
  <c r="BI92"/>
  <c r="BI91"/>
  <c r="BI49" i="3"/>
  <c r="BI49" i="2" s="1"/>
  <c r="BI50"/>
  <c r="BI39"/>
  <c r="BI26"/>
  <c r="BI18"/>
  <c r="BI9"/>
  <c r="BI6"/>
  <c r="BI40" i="3"/>
  <c r="BI40" i="2" s="1"/>
  <c r="BI41"/>
  <c r="BI30"/>
  <c r="BI8"/>
  <c r="BI115"/>
  <c r="BI97"/>
  <c r="BI72"/>
  <c r="BI71"/>
  <c r="BI62"/>
  <c r="BI52"/>
  <c r="BI48"/>
  <c r="BI10"/>
  <c r="BI20"/>
  <c r="BI13" i="3"/>
  <c r="BI13" i="2" s="1"/>
  <c r="BI14"/>
  <c r="BI19"/>
  <c r="BI124"/>
  <c r="BI81"/>
  <c r="BI76" i="3"/>
  <c r="BI76" i="2" s="1"/>
  <c r="BI77"/>
  <c r="BI12"/>
  <c r="BI15"/>
  <c r="BI109"/>
  <c r="BI94" i="3"/>
  <c r="BI94" i="2" s="1"/>
  <c r="BI95"/>
  <c r="BI31" i="3"/>
  <c r="BI31" i="2" s="1"/>
  <c r="BI32"/>
  <c r="BI29"/>
  <c r="BI46"/>
  <c r="BI36"/>
  <c r="BI11"/>
  <c r="BI16"/>
  <c r="BI4" i="3"/>
  <c r="BI4" i="2" s="1"/>
  <c r="BI5"/>
  <c r="BI38"/>
  <c r="BI51"/>
  <c r="BI42"/>
  <c r="BI96"/>
  <c r="BI28"/>
  <c r="BI63"/>
  <c r="BI7"/>
  <c r="AX204"/>
  <c r="AX193" i="3"/>
  <c r="AX193" i="2" s="1"/>
  <c r="AX194"/>
  <c r="AX192"/>
  <c r="AX182"/>
  <c r="AX172"/>
  <c r="AX205"/>
  <c r="AX195"/>
  <c r="AX184" i="3"/>
  <c r="AX184" i="2" s="1"/>
  <c r="AX185"/>
  <c r="AX183"/>
  <c r="AX173"/>
  <c r="AX201"/>
  <c r="AX190"/>
  <c r="AX170"/>
  <c r="AX208"/>
  <c r="AX197"/>
  <c r="AX186"/>
  <c r="AX166" i="3"/>
  <c r="AX166" i="2" s="1"/>
  <c r="AX167"/>
  <c r="AX165"/>
  <c r="AX202" i="3"/>
  <c r="AX202" i="2" s="1"/>
  <c r="AX203"/>
  <c r="AX200"/>
  <c r="AX189"/>
  <c r="AX178"/>
  <c r="AX162"/>
  <c r="AX206"/>
  <c r="AX188"/>
  <c r="AX180"/>
  <c r="AX210"/>
  <c r="AX209"/>
  <c r="AX187"/>
  <c r="AX171"/>
  <c r="AX154"/>
  <c r="AX144"/>
  <c r="AX134"/>
  <c r="AX177"/>
  <c r="AX175" i="3"/>
  <c r="AX175" i="2" s="1"/>
  <c r="AX176"/>
  <c r="AX168"/>
  <c r="AX199"/>
  <c r="AX174"/>
  <c r="AX164"/>
  <c r="AX159"/>
  <c r="AX148" i="3"/>
  <c r="AX148" i="2" s="1"/>
  <c r="AX149"/>
  <c r="AX147"/>
  <c r="AX181"/>
  <c r="AX153"/>
  <c r="AX146"/>
  <c r="AX136"/>
  <c r="AX198"/>
  <c r="AX179"/>
  <c r="AX141"/>
  <c r="AX163"/>
  <c r="AX152"/>
  <c r="AX145"/>
  <c r="AX138"/>
  <c r="AX135"/>
  <c r="AX155"/>
  <c r="AX196"/>
  <c r="AX191"/>
  <c r="AX169"/>
  <c r="AX130" i="3"/>
  <c r="AX130" i="2" s="1"/>
  <c r="AX131"/>
  <c r="AX121" i="3"/>
  <c r="AX121" i="2" s="1"/>
  <c r="AX122"/>
  <c r="AX120"/>
  <c r="AX110"/>
  <c r="AX133"/>
  <c r="AX128"/>
  <c r="AX117"/>
  <c r="AX161"/>
  <c r="AX142"/>
  <c r="AX132"/>
  <c r="AX119"/>
  <c r="AX109"/>
  <c r="AX99"/>
  <c r="AX207"/>
  <c r="AX156"/>
  <c r="AX105"/>
  <c r="AX103" i="3"/>
  <c r="AX103" i="2" s="1"/>
  <c r="AX104"/>
  <c r="AX98"/>
  <c r="AX88"/>
  <c r="AX78"/>
  <c r="AX67" i="3"/>
  <c r="AX67" i="2" s="1"/>
  <c r="AX68"/>
  <c r="AX66"/>
  <c r="AX56"/>
  <c r="AX139" i="3"/>
  <c r="AX139" i="2" s="1"/>
  <c r="AX140"/>
  <c r="AX123"/>
  <c r="AX118"/>
  <c r="AX112" i="3"/>
  <c r="AX112" i="2" s="1"/>
  <c r="AX113"/>
  <c r="AX108"/>
  <c r="AX101"/>
  <c r="AX94" i="3"/>
  <c r="AX94" i="2" s="1"/>
  <c r="AX95"/>
  <c r="AX93"/>
  <c r="AX83"/>
  <c r="AX73"/>
  <c r="AX63"/>
  <c r="AX126"/>
  <c r="AX116"/>
  <c r="AX107"/>
  <c r="AX97"/>
  <c r="AX87"/>
  <c r="AX76" i="3"/>
  <c r="AX76" i="2" s="1"/>
  <c r="AX77"/>
  <c r="AX75"/>
  <c r="AX65"/>
  <c r="AX55"/>
  <c r="AX157" i="3"/>
  <c r="AX157" i="2" s="1"/>
  <c r="AX158"/>
  <c r="AX151"/>
  <c r="AX137"/>
  <c r="AX111"/>
  <c r="AX106"/>
  <c r="AX96"/>
  <c r="AX89"/>
  <c r="AX79"/>
  <c r="AX69"/>
  <c r="AX58" i="3"/>
  <c r="AX58" i="2" s="1"/>
  <c r="AX59"/>
  <c r="AX57"/>
  <c r="AX61"/>
  <c r="AX53"/>
  <c r="AX43"/>
  <c r="AX33"/>
  <c r="AX22" i="3"/>
  <c r="AX22" i="2" s="1"/>
  <c r="AX23"/>
  <c r="AX21"/>
  <c r="AX127"/>
  <c r="AX92"/>
  <c r="AX72"/>
  <c r="AX52"/>
  <c r="AX42"/>
  <c r="AX31" i="3"/>
  <c r="AX31" i="2" s="1"/>
  <c r="AX32"/>
  <c r="AX30"/>
  <c r="AX20"/>
  <c r="AX125"/>
  <c r="AX91"/>
  <c r="AX84"/>
  <c r="AX71"/>
  <c r="AX54"/>
  <c r="AX44"/>
  <c r="AX34"/>
  <c r="AX24"/>
  <c r="AX150"/>
  <c r="AX102"/>
  <c r="AX82"/>
  <c r="AX46"/>
  <c r="AX36"/>
  <c r="AX26"/>
  <c r="AX124"/>
  <c r="AX80"/>
  <c r="AX35"/>
  <c r="AX28"/>
  <c r="AX18"/>
  <c r="AX8"/>
  <c r="AX129"/>
  <c r="AX114"/>
  <c r="AX51"/>
  <c r="AX47"/>
  <c r="AX15"/>
  <c r="AX4" i="3"/>
  <c r="AX4" i="2" s="1"/>
  <c r="AX5"/>
  <c r="AX70"/>
  <c r="AX45"/>
  <c r="AX39"/>
  <c r="AX7"/>
  <c r="AX100"/>
  <c r="AX9"/>
  <c r="AX37"/>
  <c r="AX49" i="3"/>
  <c r="AX49" i="2" s="1"/>
  <c r="AX50"/>
  <c r="AX64"/>
  <c r="AX62"/>
  <c r="AX60"/>
  <c r="AX19"/>
  <c r="AX6"/>
  <c r="AX115"/>
  <c r="AX90"/>
  <c r="AX48"/>
  <c r="AX17"/>
  <c r="AX16"/>
  <c r="AX11"/>
  <c r="AX143"/>
  <c r="AX85" i="3"/>
  <c r="AX85" i="2" s="1"/>
  <c r="AX86"/>
  <c r="AX13" i="3"/>
  <c r="AX13" i="2" s="1"/>
  <c r="AX14"/>
  <c r="AX10"/>
  <c r="AX12"/>
  <c r="AX29"/>
  <c r="AX81"/>
  <c r="AX38"/>
  <c r="AX27"/>
  <c r="AX74"/>
  <c r="AX25"/>
  <c r="AX160"/>
  <c r="AX40" i="3"/>
  <c r="AX40" i="2" s="1"/>
  <c r="AX41"/>
  <c r="X206"/>
  <c r="X196"/>
  <c r="X186"/>
  <c r="X175" i="3"/>
  <c r="X175" i="2" s="1"/>
  <c r="X176"/>
  <c r="X174"/>
  <c r="X207"/>
  <c r="X197"/>
  <c r="X187"/>
  <c r="X177"/>
  <c r="X192"/>
  <c r="X172"/>
  <c r="X210"/>
  <c r="X199"/>
  <c r="X195"/>
  <c r="X188"/>
  <c r="X173"/>
  <c r="X169"/>
  <c r="X193" i="3"/>
  <c r="X193" i="2" s="1"/>
  <c r="X194"/>
  <c r="X191"/>
  <c r="X180"/>
  <c r="X164"/>
  <c r="X208"/>
  <c r="X190"/>
  <c r="X182"/>
  <c r="X205"/>
  <c r="X183"/>
  <c r="X157" i="3"/>
  <c r="X157" i="2" s="1"/>
  <c r="X158"/>
  <c r="X156"/>
  <c r="X146"/>
  <c r="X136"/>
  <c r="X178"/>
  <c r="X163"/>
  <c r="X189"/>
  <c r="X159"/>
  <c r="X184" i="3"/>
  <c r="X184" i="2" s="1"/>
  <c r="X185"/>
  <c r="X171"/>
  <c r="X161"/>
  <c r="X151"/>
  <c r="X201"/>
  <c r="X142"/>
  <c r="X209"/>
  <c r="X155"/>
  <c r="X181"/>
  <c r="X154"/>
  <c r="X150"/>
  <c r="X147"/>
  <c r="X144"/>
  <c r="X141"/>
  <c r="X128"/>
  <c r="X170"/>
  <c r="X148" i="3"/>
  <c r="X148" i="2" s="1"/>
  <c r="X149"/>
  <c r="X143"/>
  <c r="X139" i="3"/>
  <c r="X139" i="2" s="1"/>
  <c r="X140"/>
  <c r="X179"/>
  <c r="X166" i="3"/>
  <c r="X166" i="2" s="1"/>
  <c r="X167"/>
  <c r="X129"/>
  <c r="X124"/>
  <c r="X114"/>
  <c r="X204"/>
  <c r="X200"/>
  <c r="X145"/>
  <c r="X130" i="3"/>
  <c r="X130" i="2" s="1"/>
  <c r="X131"/>
  <c r="X119"/>
  <c r="X135"/>
  <c r="X123"/>
  <c r="X112" i="3"/>
  <c r="X112" i="2" s="1"/>
  <c r="X113"/>
  <c r="X111"/>
  <c r="X101"/>
  <c r="X165"/>
  <c r="X138"/>
  <c r="X134"/>
  <c r="X127"/>
  <c r="X118"/>
  <c r="X107"/>
  <c r="X102"/>
  <c r="X90"/>
  <c r="X80"/>
  <c r="X70"/>
  <c r="X60"/>
  <c r="X168"/>
  <c r="X160"/>
  <c r="X103" i="3"/>
  <c r="X103" i="2" s="1"/>
  <c r="X104"/>
  <c r="X98"/>
  <c r="X87"/>
  <c r="X76" i="3"/>
  <c r="X76" i="2" s="1"/>
  <c r="X77"/>
  <c r="X75"/>
  <c r="X65"/>
  <c r="X55"/>
  <c r="X126"/>
  <c r="X116"/>
  <c r="X109"/>
  <c r="X89"/>
  <c r="X79"/>
  <c r="X69"/>
  <c r="X58" i="3"/>
  <c r="X58" i="2" s="1"/>
  <c r="X59"/>
  <c r="X57"/>
  <c r="X137"/>
  <c r="X133"/>
  <c r="X125"/>
  <c r="X115"/>
  <c r="X108"/>
  <c r="X100"/>
  <c r="X91"/>
  <c r="X81"/>
  <c r="X71"/>
  <c r="X61"/>
  <c r="X121" i="3"/>
  <c r="X121" i="2" s="1"/>
  <c r="X122"/>
  <c r="X110"/>
  <c r="X94" i="3"/>
  <c r="X94" i="2" s="1"/>
  <c r="X95"/>
  <c r="X84"/>
  <c r="X63"/>
  <c r="X56"/>
  <c r="X45"/>
  <c r="X35"/>
  <c r="X25"/>
  <c r="X162"/>
  <c r="X153"/>
  <c r="X152"/>
  <c r="X99"/>
  <c r="X54"/>
  <c r="X44"/>
  <c r="X34"/>
  <c r="X24"/>
  <c r="X93"/>
  <c r="X73"/>
  <c r="X66"/>
  <c r="X46"/>
  <c r="X36"/>
  <c r="X26"/>
  <c r="X198"/>
  <c r="X96"/>
  <c r="X64"/>
  <c r="X49" i="3"/>
  <c r="X49" i="2" s="1"/>
  <c r="X50"/>
  <c r="X48"/>
  <c r="X38"/>
  <c r="X28"/>
  <c r="X18"/>
  <c r="X106"/>
  <c r="X83"/>
  <c r="X82"/>
  <c r="X30"/>
  <c r="X22" i="3"/>
  <c r="X22" i="2" s="1"/>
  <c r="X23"/>
  <c r="X20"/>
  <c r="X10"/>
  <c r="X78"/>
  <c r="X40" i="3"/>
  <c r="X40" i="2" s="1"/>
  <c r="X41"/>
  <c r="X37"/>
  <c r="X7"/>
  <c r="X67" i="3"/>
  <c r="X67" i="2" s="1"/>
  <c r="X68"/>
  <c r="X62"/>
  <c r="X16"/>
  <c r="X9"/>
  <c r="X202" i="3"/>
  <c r="X202" i="2" s="1"/>
  <c r="X203"/>
  <c r="X117"/>
  <c r="X105"/>
  <c r="X97"/>
  <c r="X27"/>
  <c r="X11"/>
  <c r="X39"/>
  <c r="X33"/>
  <c r="X31" i="3"/>
  <c r="X31" i="2" s="1"/>
  <c r="X32"/>
  <c r="X6"/>
  <c r="X88"/>
  <c r="X47"/>
  <c r="X42"/>
  <c r="X13" i="3"/>
  <c r="X13" i="2" s="1"/>
  <c r="X14"/>
  <c r="X51"/>
  <c r="X8"/>
  <c r="X132"/>
  <c r="X120"/>
  <c r="X92"/>
  <c r="X74"/>
  <c r="X4" i="3"/>
  <c r="X4" i="2" s="1"/>
  <c r="X5"/>
  <c r="X72"/>
  <c r="X43"/>
  <c r="X21"/>
  <c r="X15"/>
  <c r="X85" i="3"/>
  <c r="X85" i="2" s="1"/>
  <c r="X86"/>
  <c r="X53"/>
  <c r="X52"/>
  <c r="X12"/>
  <c r="X17"/>
  <c r="X29"/>
  <c r="X19"/>
  <c r="AW209"/>
  <c r="AW199"/>
  <c r="AW189"/>
  <c r="AW179"/>
  <c r="AW210"/>
  <c r="AW200"/>
  <c r="AW190"/>
  <c r="AW180"/>
  <c r="AW208"/>
  <c r="AW197"/>
  <c r="AW186"/>
  <c r="AW182"/>
  <c r="AW166" i="3"/>
  <c r="AW166" i="2" s="1"/>
  <c r="AW167"/>
  <c r="AW165"/>
  <c r="AW202" i="3"/>
  <c r="AW202" i="2" s="1"/>
  <c r="AW203"/>
  <c r="AW178"/>
  <c r="AW207"/>
  <c r="AW196"/>
  <c r="AW184" i="3"/>
  <c r="AW184" i="2" s="1"/>
  <c r="AW185"/>
  <c r="AW181"/>
  <c r="AW174"/>
  <c r="AW169"/>
  <c r="AW193" i="3"/>
  <c r="AW193" i="2" s="1"/>
  <c r="AW194"/>
  <c r="AW191"/>
  <c r="AW175" i="3"/>
  <c r="AW175" i="2" s="1"/>
  <c r="AW176"/>
  <c r="AW198"/>
  <c r="AW161"/>
  <c r="AW151"/>
  <c r="AW141"/>
  <c r="AW204"/>
  <c r="AW192"/>
  <c r="AW172"/>
  <c r="AW162"/>
  <c r="AW160"/>
  <c r="AW187"/>
  <c r="AW173"/>
  <c r="AW171"/>
  <c r="AW154"/>
  <c r="AW177"/>
  <c r="AW148" i="3"/>
  <c r="AW148" i="2" s="1"/>
  <c r="AW149"/>
  <c r="AW183"/>
  <c r="AW156"/>
  <c r="AW144"/>
  <c r="AW205"/>
  <c r="AW157" i="3"/>
  <c r="AW157" i="2" s="1"/>
  <c r="AW158"/>
  <c r="AW143"/>
  <c r="AW139" i="3"/>
  <c r="AW139" i="2" s="1"/>
  <c r="AW140"/>
  <c r="AW133"/>
  <c r="AW201"/>
  <c r="AW188"/>
  <c r="AW170"/>
  <c r="AW137"/>
  <c r="AW206"/>
  <c r="AW147"/>
  <c r="AW138"/>
  <c r="AW128"/>
  <c r="AW117"/>
  <c r="AW107"/>
  <c r="AW195"/>
  <c r="AW146"/>
  <c r="AW135"/>
  <c r="AW124"/>
  <c r="AW114"/>
  <c r="AW134"/>
  <c r="AW127"/>
  <c r="AW126"/>
  <c r="AW116"/>
  <c r="AW106"/>
  <c r="AW96"/>
  <c r="AW159"/>
  <c r="AW155"/>
  <c r="AW123"/>
  <c r="AW118"/>
  <c r="AW112" i="3"/>
  <c r="AW112" i="2" s="1"/>
  <c r="AW113"/>
  <c r="AW108"/>
  <c r="AW101"/>
  <c r="AW94" i="3"/>
  <c r="AW94" i="2" s="1"/>
  <c r="AW95"/>
  <c r="AW93"/>
  <c r="AW83"/>
  <c r="AW73"/>
  <c r="AW63"/>
  <c r="AW163"/>
  <c r="AW129"/>
  <c r="AW90"/>
  <c r="AW80"/>
  <c r="AW70"/>
  <c r="AW60"/>
  <c r="AW132"/>
  <c r="AW100"/>
  <c r="AW92"/>
  <c r="AW82"/>
  <c r="AW72"/>
  <c r="AW62"/>
  <c r="AW145"/>
  <c r="AW125"/>
  <c r="AW115"/>
  <c r="AW110"/>
  <c r="AW99"/>
  <c r="AW85" i="3"/>
  <c r="AW85" i="2" s="1"/>
  <c r="AW86"/>
  <c r="AW84"/>
  <c r="AW74"/>
  <c r="AW64"/>
  <c r="AW164"/>
  <c r="AW121" i="3"/>
  <c r="AW121" i="2" s="1"/>
  <c r="AW122"/>
  <c r="AW81"/>
  <c r="AW49" i="3"/>
  <c r="AW49" i="2" s="1"/>
  <c r="AW50"/>
  <c r="AW48"/>
  <c r="AW38"/>
  <c r="AW28"/>
  <c r="AW98"/>
  <c r="AW78"/>
  <c r="AW76" i="3"/>
  <c r="AW76" i="2" s="1"/>
  <c r="AW77"/>
  <c r="AW47"/>
  <c r="AW37"/>
  <c r="AW27"/>
  <c r="AW17"/>
  <c r="AW142"/>
  <c r="AW136"/>
  <c r="AW119"/>
  <c r="AW56"/>
  <c r="AW55"/>
  <c r="AW51"/>
  <c r="AW40" i="3"/>
  <c r="AW40" i="2" s="1"/>
  <c r="AW41"/>
  <c r="AW39"/>
  <c r="AW29"/>
  <c r="AW168"/>
  <c r="AW130" i="3"/>
  <c r="AW130" i="2" s="1"/>
  <c r="AW131"/>
  <c r="AW97"/>
  <c r="AW88"/>
  <c r="AW87"/>
  <c r="AW75"/>
  <c r="AW67" i="3"/>
  <c r="AW67" i="2" s="1"/>
  <c r="AW68"/>
  <c r="AW61"/>
  <c r="AW53"/>
  <c r="AW43"/>
  <c r="AW33"/>
  <c r="AW22" i="3"/>
  <c r="AW22" i="2" s="1"/>
  <c r="AW23"/>
  <c r="AW21"/>
  <c r="AW150"/>
  <c r="AW34"/>
  <c r="AW15"/>
  <c r="AW4" i="3"/>
  <c r="AW4" i="2" s="1"/>
  <c r="AW5"/>
  <c r="AW109"/>
  <c r="AW65"/>
  <c r="AW46"/>
  <c r="AW31" i="3"/>
  <c r="AW31" i="2" s="1"/>
  <c r="AW32"/>
  <c r="AW16"/>
  <c r="AW10"/>
  <c r="AW57"/>
  <c r="AW44"/>
  <c r="AW25"/>
  <c r="AW20"/>
  <c r="AW13" i="3"/>
  <c r="AW13" i="2" s="1"/>
  <c r="AW14"/>
  <c r="AW12"/>
  <c r="AW103" i="3"/>
  <c r="AW103" i="2" s="1"/>
  <c r="AW104"/>
  <c r="AW91"/>
  <c r="AW89"/>
  <c r="AW30"/>
  <c r="AW19"/>
  <c r="AW6"/>
  <c r="AW120"/>
  <c r="AW36"/>
  <c r="AW35"/>
  <c r="AW11"/>
  <c r="AW54"/>
  <c r="AW52"/>
  <c r="AW26"/>
  <c r="AW24"/>
  <c r="AW66"/>
  <c r="AW58" i="3"/>
  <c r="AW58" i="2" s="1"/>
  <c r="AW59"/>
  <c r="AW111"/>
  <c r="AW71"/>
  <c r="AW9"/>
  <c r="AW69"/>
  <c r="AW42"/>
  <c r="AW79"/>
  <c r="AW153"/>
  <c r="AW18"/>
  <c r="AW105"/>
  <c r="AW102"/>
  <c r="AW8"/>
  <c r="AW7"/>
  <c r="AW45"/>
  <c r="AW152"/>
  <c r="Q209"/>
  <c r="Q199"/>
  <c r="Q189"/>
  <c r="Q179"/>
  <c r="Q210"/>
  <c r="Q200"/>
  <c r="Q190"/>
  <c r="Q180"/>
  <c r="Q208"/>
  <c r="Q197"/>
  <c r="Q186"/>
  <c r="Q182"/>
  <c r="Q166" i="3"/>
  <c r="Q166" i="2" s="1"/>
  <c r="Q167"/>
  <c r="Q202" i="3"/>
  <c r="Q202" i="2" s="1"/>
  <c r="Q203"/>
  <c r="Q178"/>
  <c r="Q172"/>
  <c r="Q207"/>
  <c r="Q196"/>
  <c r="Q184" i="3"/>
  <c r="Q184" i="2" s="1"/>
  <c r="Q185"/>
  <c r="Q181"/>
  <c r="Q174"/>
  <c r="Q169"/>
  <c r="Q193" i="3"/>
  <c r="Q193" i="2" s="1"/>
  <c r="Q194"/>
  <c r="Q191"/>
  <c r="Q175" i="3"/>
  <c r="Q175" i="2" s="1"/>
  <c r="Q176"/>
  <c r="Q177"/>
  <c r="Q168"/>
  <c r="Q161"/>
  <c r="Q151"/>
  <c r="Q141"/>
  <c r="Q187"/>
  <c r="Q171"/>
  <c r="Q160"/>
  <c r="Q206"/>
  <c r="Q195"/>
  <c r="Q170"/>
  <c r="Q163"/>
  <c r="Q162"/>
  <c r="Q204"/>
  <c r="Q192"/>
  <c r="Q165"/>
  <c r="Q154"/>
  <c r="Q164"/>
  <c r="Q148" i="3"/>
  <c r="Q148" i="2" s="1"/>
  <c r="Q149"/>
  <c r="Q156"/>
  <c r="Q198"/>
  <c r="Q183"/>
  <c r="Q173"/>
  <c r="Q157" i="3"/>
  <c r="Q157" i="2" s="1"/>
  <c r="Q158"/>
  <c r="Q136"/>
  <c r="Q133"/>
  <c r="Q205"/>
  <c r="Q144"/>
  <c r="Q188"/>
  <c r="Q159"/>
  <c r="Q153"/>
  <c r="Q143"/>
  <c r="Q132"/>
  <c r="Q117"/>
  <c r="Q107"/>
  <c r="Q152"/>
  <c r="Q150"/>
  <c r="Q124"/>
  <c r="Q114"/>
  <c r="Q130" i="3"/>
  <c r="Q130" i="2" s="1"/>
  <c r="Q131"/>
  <c r="Q126"/>
  <c r="Q116"/>
  <c r="Q106"/>
  <c r="Q135"/>
  <c r="Q111"/>
  <c r="Q108"/>
  <c r="Q94" i="3"/>
  <c r="Q94" i="2" s="1"/>
  <c r="Q95"/>
  <c r="Q93"/>
  <c r="Q83"/>
  <c r="Q73"/>
  <c r="Q63"/>
  <c r="Q155"/>
  <c r="Q142"/>
  <c r="Q139" i="3"/>
  <c r="Q139" i="2" s="1"/>
  <c r="Q140"/>
  <c r="Q125"/>
  <c r="Q115"/>
  <c r="Q99"/>
  <c r="Q90"/>
  <c r="Q80"/>
  <c r="Q70"/>
  <c r="Q60"/>
  <c r="Q147"/>
  <c r="Q103" i="3"/>
  <c r="Q103" i="2" s="1"/>
  <c r="Q104"/>
  <c r="Q98"/>
  <c r="Q92"/>
  <c r="Q82"/>
  <c r="Q72"/>
  <c r="Q62"/>
  <c r="Q201"/>
  <c r="Q146"/>
  <c r="Q128"/>
  <c r="Q127"/>
  <c r="Q110"/>
  <c r="Q96"/>
  <c r="Q85" i="3"/>
  <c r="Q85" i="2" s="1"/>
  <c r="Q86"/>
  <c r="Q84"/>
  <c r="Q74"/>
  <c r="Q64"/>
  <c r="Q120"/>
  <c r="Q105"/>
  <c r="Q102"/>
  <c r="Q81"/>
  <c r="Q49" i="3"/>
  <c r="Q49" i="2" s="1"/>
  <c r="Q50"/>
  <c r="Q48"/>
  <c r="Q38"/>
  <c r="Q28"/>
  <c r="Q137"/>
  <c r="Q119"/>
  <c r="Q112" i="3"/>
  <c r="Q112" i="2" s="1"/>
  <c r="Q113"/>
  <c r="Q100"/>
  <c r="Q78"/>
  <c r="Q76" i="3"/>
  <c r="Q76" i="2" s="1"/>
  <c r="Q77"/>
  <c r="Q47"/>
  <c r="Q37"/>
  <c r="Q27"/>
  <c r="Q17"/>
  <c r="Q129"/>
  <c r="Q109"/>
  <c r="Q101"/>
  <c r="Q56"/>
  <c r="Q55"/>
  <c r="Q51"/>
  <c r="Q40" i="3"/>
  <c r="Q40" i="2" s="1"/>
  <c r="Q41"/>
  <c r="Q39"/>
  <c r="Q29"/>
  <c r="Q118"/>
  <c r="Q88"/>
  <c r="Q87"/>
  <c r="Q75"/>
  <c r="Q67" i="3"/>
  <c r="Q67" i="2" s="1"/>
  <c r="Q68"/>
  <c r="Q61"/>
  <c r="Q53"/>
  <c r="Q43"/>
  <c r="Q33"/>
  <c r="Q22" i="3"/>
  <c r="Q22" i="2" s="1"/>
  <c r="Q23"/>
  <c r="Q21"/>
  <c r="Q138"/>
  <c r="Q34"/>
  <c r="Q15"/>
  <c r="Q4" i="3"/>
  <c r="Q4" i="2" s="1"/>
  <c r="Q5"/>
  <c r="Q145"/>
  <c r="Q123"/>
  <c r="Q65"/>
  <c r="Q46"/>
  <c r="Q31" i="3"/>
  <c r="Q31" i="2" s="1"/>
  <c r="Q32"/>
  <c r="Q10"/>
  <c r="Q97"/>
  <c r="Q57"/>
  <c r="Q44"/>
  <c r="Q25"/>
  <c r="Q20"/>
  <c r="Q13" i="3"/>
  <c r="Q13" i="2" s="1"/>
  <c r="Q14"/>
  <c r="Q12"/>
  <c r="Q91"/>
  <c r="Q89"/>
  <c r="Q30"/>
  <c r="Q19"/>
  <c r="Q16"/>
  <c r="Q6"/>
  <c r="Q79"/>
  <c r="Q36"/>
  <c r="Q35"/>
  <c r="Q11"/>
  <c r="Q66"/>
  <c r="Q58" i="3"/>
  <c r="Q58" i="2" s="1"/>
  <c r="Q59"/>
  <c r="Q54"/>
  <c r="Q52"/>
  <c r="Q26"/>
  <c r="Q24"/>
  <c r="Q42"/>
  <c r="Q45"/>
  <c r="Q134"/>
  <c r="Q9"/>
  <c r="Q71"/>
  <c r="Q7"/>
  <c r="Q69"/>
  <c r="Q18"/>
  <c r="Q8"/>
  <c r="Q121" i="3"/>
  <c r="Q121" i="2" s="1"/>
  <c r="Q122"/>
  <c r="AV206"/>
  <c r="AV196"/>
  <c r="AV186"/>
  <c r="AV175" i="3"/>
  <c r="AV175" i="2" s="1"/>
  <c r="AV176"/>
  <c r="AV174"/>
  <c r="AV207"/>
  <c r="AV197"/>
  <c r="AV187"/>
  <c r="AV177"/>
  <c r="AV202" i="3"/>
  <c r="AV202" i="2" s="1"/>
  <c r="AV203"/>
  <c r="AV178"/>
  <c r="AV200"/>
  <c r="AV189"/>
  <c r="AV184" i="3"/>
  <c r="AV184" i="2" s="1"/>
  <c r="AV185"/>
  <c r="AV181"/>
  <c r="AV169"/>
  <c r="AV192"/>
  <c r="AV164"/>
  <c r="AV209"/>
  <c r="AV205"/>
  <c r="AV198"/>
  <c r="AV208"/>
  <c r="AV195"/>
  <c r="AV193" i="3"/>
  <c r="AV193" i="2" s="1"/>
  <c r="AV194"/>
  <c r="AV170"/>
  <c r="AV163"/>
  <c r="AV157" i="3"/>
  <c r="AV157" i="2" s="1"/>
  <c r="AV158"/>
  <c r="AV156"/>
  <c r="AV146"/>
  <c r="AV136"/>
  <c r="AV191"/>
  <c r="AV179"/>
  <c r="AV168"/>
  <c r="AV165"/>
  <c r="AV201"/>
  <c r="AV190"/>
  <c r="AV188"/>
  <c r="AV166" i="3"/>
  <c r="AV166" i="2" s="1"/>
  <c r="AV167"/>
  <c r="AV159"/>
  <c r="AV210"/>
  <c r="AV161"/>
  <c r="AV151"/>
  <c r="AV183"/>
  <c r="AV171"/>
  <c r="AV144"/>
  <c r="AV141"/>
  <c r="AV173"/>
  <c r="AV152"/>
  <c r="AV145"/>
  <c r="AV138"/>
  <c r="AV182"/>
  <c r="AV160"/>
  <c r="AV155"/>
  <c r="AV134"/>
  <c r="AV128"/>
  <c r="AV154"/>
  <c r="AV150"/>
  <c r="AV147"/>
  <c r="AV142"/>
  <c r="AV132"/>
  <c r="AV135"/>
  <c r="AV133"/>
  <c r="AV124"/>
  <c r="AV114"/>
  <c r="AV180"/>
  <c r="AV119"/>
  <c r="AV153"/>
  <c r="AV137"/>
  <c r="AV123"/>
  <c r="AV112" i="3"/>
  <c r="AV112" i="2" s="1"/>
  <c r="AV113"/>
  <c r="AV111"/>
  <c r="AV101"/>
  <c r="AV162"/>
  <c r="AV139" i="3"/>
  <c r="AV139" i="2" s="1"/>
  <c r="AV140"/>
  <c r="AV129"/>
  <c r="AV90"/>
  <c r="AV80"/>
  <c r="AV70"/>
  <c r="AV60"/>
  <c r="AV121" i="3"/>
  <c r="AV121" i="2" s="1"/>
  <c r="AV122"/>
  <c r="AV117"/>
  <c r="AV97"/>
  <c r="AV87"/>
  <c r="AV76" i="3"/>
  <c r="AV76" i="2" s="1"/>
  <c r="AV77"/>
  <c r="AV75"/>
  <c r="AV65"/>
  <c r="AV55"/>
  <c r="AV143"/>
  <c r="AV130" i="3"/>
  <c r="AV130" i="2" s="1"/>
  <c r="AV131"/>
  <c r="AV89"/>
  <c r="AV79"/>
  <c r="AV69"/>
  <c r="AV58" i="3"/>
  <c r="AV58" i="2" s="1"/>
  <c r="AV59"/>
  <c r="AV57"/>
  <c r="AV199"/>
  <c r="AV127"/>
  <c r="AV120"/>
  <c r="AV109"/>
  <c r="AV102"/>
  <c r="AV91"/>
  <c r="AV81"/>
  <c r="AV71"/>
  <c r="AV61"/>
  <c r="AV204"/>
  <c r="AV126"/>
  <c r="AV100"/>
  <c r="AV85" i="3"/>
  <c r="AV85" i="2" s="1"/>
  <c r="AV86"/>
  <c r="AV74"/>
  <c r="AV45"/>
  <c r="AV35"/>
  <c r="AV25"/>
  <c r="AV105"/>
  <c r="AV103" i="3"/>
  <c r="AV103" i="2" s="1"/>
  <c r="AV104"/>
  <c r="AV96"/>
  <c r="AV64"/>
  <c r="AV54"/>
  <c r="AV44"/>
  <c r="AV34"/>
  <c r="AV24"/>
  <c r="AV115"/>
  <c r="AV99"/>
  <c r="AV83"/>
  <c r="AV62"/>
  <c r="AV46"/>
  <c r="AV36"/>
  <c r="AV26"/>
  <c r="AV49" i="3"/>
  <c r="AV49" i="2" s="1"/>
  <c r="AV50"/>
  <c r="AV48"/>
  <c r="AV38"/>
  <c r="AV28"/>
  <c r="AV18"/>
  <c r="AV51"/>
  <c r="AV47"/>
  <c r="AV33"/>
  <c r="AV31" i="3"/>
  <c r="AV31" i="2" s="1"/>
  <c r="AV32"/>
  <c r="AV16"/>
  <c r="AV10"/>
  <c r="AV107"/>
  <c r="AV98"/>
  <c r="AV67" i="3"/>
  <c r="AV67" i="2" s="1"/>
  <c r="AV68"/>
  <c r="AV66"/>
  <c r="AV63"/>
  <c r="AV27"/>
  <c r="AV17"/>
  <c r="AV7"/>
  <c r="AV172"/>
  <c r="AV148" i="3"/>
  <c r="AV148" i="2" s="1"/>
  <c r="AV149"/>
  <c r="AV118"/>
  <c r="AV94" i="3"/>
  <c r="AV94" i="2" s="1"/>
  <c r="AV95"/>
  <c r="AV56"/>
  <c r="AV43"/>
  <c r="AV42"/>
  <c r="AV9"/>
  <c r="AV116"/>
  <c r="AV106"/>
  <c r="AV93"/>
  <c r="AV92"/>
  <c r="AV40" i="3"/>
  <c r="AV40" i="2" s="1"/>
  <c r="AV41"/>
  <c r="AV37"/>
  <c r="AV11"/>
  <c r="AV110"/>
  <c r="AV88"/>
  <c r="AV52"/>
  <c r="AV30"/>
  <c r="AV22" i="3"/>
  <c r="AV22" i="2" s="1"/>
  <c r="AV23"/>
  <c r="AV15"/>
  <c r="AV108"/>
  <c r="AV53"/>
  <c r="AV29"/>
  <c r="AV13" i="3"/>
  <c r="AV13" i="2" s="1"/>
  <c r="AV14"/>
  <c r="AV4" i="3"/>
  <c r="AV4" i="2" s="1"/>
  <c r="AV5"/>
  <c r="AV8"/>
  <c r="AV73"/>
  <c r="AV19"/>
  <c r="AV125"/>
  <c r="AV84"/>
  <c r="AV39"/>
  <c r="AV20"/>
  <c r="AV6"/>
  <c r="AV72"/>
  <c r="AV12"/>
  <c r="AV82"/>
  <c r="AV78"/>
  <c r="AV21"/>
  <c r="P206"/>
  <c r="P196"/>
  <c r="P186"/>
  <c r="P175" i="3"/>
  <c r="P175" i="2" s="1"/>
  <c r="P176"/>
  <c r="P174"/>
  <c r="P207"/>
  <c r="P197"/>
  <c r="P187"/>
  <c r="P177"/>
  <c r="P202" i="3"/>
  <c r="P202" i="2" s="1"/>
  <c r="P203"/>
  <c r="P178"/>
  <c r="P172"/>
  <c r="P200"/>
  <c r="P189"/>
  <c r="P184" i="3"/>
  <c r="P184" i="2" s="1"/>
  <c r="P185"/>
  <c r="P181"/>
  <c r="P169"/>
  <c r="P192"/>
  <c r="P164"/>
  <c r="P209"/>
  <c r="P205"/>
  <c r="P198"/>
  <c r="P157" i="3"/>
  <c r="P157" i="2" s="1"/>
  <c r="P158"/>
  <c r="P156"/>
  <c r="P146"/>
  <c r="P136"/>
  <c r="P210"/>
  <c r="P183"/>
  <c r="P182"/>
  <c r="P159"/>
  <c r="P191"/>
  <c r="P179"/>
  <c r="P168"/>
  <c r="P161"/>
  <c r="P151"/>
  <c r="P162"/>
  <c r="P137"/>
  <c r="P204"/>
  <c r="P152"/>
  <c r="P145"/>
  <c r="P142"/>
  <c r="P208"/>
  <c r="P170"/>
  <c r="P165"/>
  <c r="P160"/>
  <c r="P155"/>
  <c r="P128"/>
  <c r="P154"/>
  <c r="P150"/>
  <c r="P147"/>
  <c r="P138"/>
  <c r="P135"/>
  <c r="P163"/>
  <c r="P133"/>
  <c r="P124"/>
  <c r="P114"/>
  <c r="P199"/>
  <c r="P173"/>
  <c r="P148" i="3"/>
  <c r="P148" i="2" s="1"/>
  <c r="P149"/>
  <c r="P141"/>
  <c r="P129"/>
  <c r="P119"/>
  <c r="P123"/>
  <c r="P112" i="3"/>
  <c r="P112" i="2" s="1"/>
  <c r="P113"/>
  <c r="P111"/>
  <c r="P101"/>
  <c r="P139" i="3"/>
  <c r="P139" i="2" s="1"/>
  <c r="P140"/>
  <c r="P125"/>
  <c r="P115"/>
  <c r="P99"/>
  <c r="P90"/>
  <c r="P80"/>
  <c r="P70"/>
  <c r="P60"/>
  <c r="P195"/>
  <c r="P130" i="3"/>
  <c r="P130" i="2" s="1"/>
  <c r="P131"/>
  <c r="P120"/>
  <c r="P102"/>
  <c r="P87"/>
  <c r="P76" i="3"/>
  <c r="P76" i="2" s="1"/>
  <c r="P77"/>
  <c r="P75"/>
  <c r="P65"/>
  <c r="P55"/>
  <c r="P166" i="3"/>
  <c r="P166" i="2" s="1"/>
  <c r="P167"/>
  <c r="P153"/>
  <c r="P144"/>
  <c r="P143"/>
  <c r="P132"/>
  <c r="P118"/>
  <c r="P89"/>
  <c r="P79"/>
  <c r="P69"/>
  <c r="P58" i="3"/>
  <c r="P58" i="2" s="1"/>
  <c r="P59"/>
  <c r="P57"/>
  <c r="P193" i="3"/>
  <c r="P193" i="2" s="1"/>
  <c r="P194"/>
  <c r="P190"/>
  <c r="P134"/>
  <c r="P121" i="3"/>
  <c r="P121" i="2" s="1"/>
  <c r="P122"/>
  <c r="P117"/>
  <c r="P109"/>
  <c r="P97"/>
  <c r="P91"/>
  <c r="P81"/>
  <c r="P71"/>
  <c r="P61"/>
  <c r="P201"/>
  <c r="P85" i="3"/>
  <c r="P85" i="2" s="1"/>
  <c r="P86"/>
  <c r="P74"/>
  <c r="P45"/>
  <c r="P35"/>
  <c r="P25"/>
  <c r="P96"/>
  <c r="P64"/>
  <c r="P54"/>
  <c r="P44"/>
  <c r="P34"/>
  <c r="P24"/>
  <c r="P188"/>
  <c r="P110"/>
  <c r="P108"/>
  <c r="P103" i="3"/>
  <c r="P103" i="2" s="1"/>
  <c r="P104"/>
  <c r="P83"/>
  <c r="P62"/>
  <c r="P46"/>
  <c r="P36"/>
  <c r="P26"/>
  <c r="P116"/>
  <c r="P105"/>
  <c r="P49" i="3"/>
  <c r="P49" i="2" s="1"/>
  <c r="P50"/>
  <c r="P48"/>
  <c r="P38"/>
  <c r="P28"/>
  <c r="P18"/>
  <c r="P171"/>
  <c r="P126"/>
  <c r="P51"/>
  <c r="P47"/>
  <c r="P33"/>
  <c r="P31" i="3"/>
  <c r="P31" i="2" s="1"/>
  <c r="P32"/>
  <c r="P10"/>
  <c r="P67" i="3"/>
  <c r="P67" i="2" s="1"/>
  <c r="P68"/>
  <c r="P66"/>
  <c r="P63"/>
  <c r="P27"/>
  <c r="P21"/>
  <c r="P17"/>
  <c r="P7"/>
  <c r="P180"/>
  <c r="P107"/>
  <c r="P94" i="3"/>
  <c r="P94" i="2" s="1"/>
  <c r="P95"/>
  <c r="P56"/>
  <c r="P43"/>
  <c r="P42"/>
  <c r="P9"/>
  <c r="P93"/>
  <c r="P92"/>
  <c r="P40" i="3"/>
  <c r="P40" i="2" s="1"/>
  <c r="P41"/>
  <c r="P37"/>
  <c r="P11"/>
  <c r="P82"/>
  <c r="P78"/>
  <c r="P52"/>
  <c r="P30"/>
  <c r="P22" i="3"/>
  <c r="P22" i="2" s="1"/>
  <c r="P23"/>
  <c r="P19"/>
  <c r="P15"/>
  <c r="P53"/>
  <c r="P29"/>
  <c r="P13" i="3"/>
  <c r="P13" i="2" s="1"/>
  <c r="P14"/>
  <c r="P4" i="3"/>
  <c r="P4" i="2" s="1"/>
  <c r="P5"/>
  <c r="P98"/>
  <c r="P127"/>
  <c r="P106"/>
  <c r="P8"/>
  <c r="P88"/>
  <c r="P73"/>
  <c r="P84"/>
  <c r="P16"/>
  <c r="P72"/>
  <c r="P12"/>
  <c r="P39"/>
  <c r="P20"/>
  <c r="P6"/>
  <c r="P100"/>
  <c r="BJ208"/>
  <c r="BJ198"/>
  <c r="BJ188"/>
  <c r="BJ178"/>
  <c r="BJ209"/>
  <c r="BJ199"/>
  <c r="BJ189"/>
  <c r="BJ179"/>
  <c r="BJ187"/>
  <c r="BJ183"/>
  <c r="BJ204"/>
  <c r="BJ201"/>
  <c r="BJ190"/>
  <c r="BJ171"/>
  <c r="BJ197"/>
  <c r="BJ186"/>
  <c r="BJ182"/>
  <c r="BJ168"/>
  <c r="BJ210"/>
  <c r="BJ195"/>
  <c r="BJ192"/>
  <c r="BJ177"/>
  <c r="BJ173"/>
  <c r="BJ202" i="3"/>
  <c r="BJ202" i="2" s="1"/>
  <c r="BJ203"/>
  <c r="BJ170"/>
  <c r="BJ160"/>
  <c r="BJ150"/>
  <c r="BJ139" i="3"/>
  <c r="BJ139" i="2" s="1"/>
  <c r="BJ140"/>
  <c r="BJ138"/>
  <c r="BJ200"/>
  <c r="BJ169"/>
  <c r="BJ165"/>
  <c r="BJ166" i="3"/>
  <c r="BJ166" i="2" s="1"/>
  <c r="BJ167"/>
  <c r="BJ161"/>
  <c r="BJ205"/>
  <c r="BJ181"/>
  <c r="BJ180"/>
  <c r="BJ153"/>
  <c r="BJ193" i="3"/>
  <c r="BJ193" i="2" s="1"/>
  <c r="BJ194"/>
  <c r="BJ174"/>
  <c r="BJ163"/>
  <c r="BJ137"/>
  <c r="BJ148" i="3"/>
  <c r="BJ148" i="2" s="1"/>
  <c r="BJ149"/>
  <c r="BJ142"/>
  <c r="BJ152"/>
  <c r="BJ145"/>
  <c r="BJ136"/>
  <c r="BJ132"/>
  <c r="BJ162"/>
  <c r="BJ155"/>
  <c r="BJ135"/>
  <c r="BJ184" i="3"/>
  <c r="BJ184" i="2" s="1"/>
  <c r="BJ185"/>
  <c r="BJ175" i="3"/>
  <c r="BJ175" i="2" s="1"/>
  <c r="BJ176"/>
  <c r="BJ164"/>
  <c r="BJ154"/>
  <c r="BJ126"/>
  <c r="BJ116"/>
  <c r="BJ106"/>
  <c r="BJ207"/>
  <c r="BJ206"/>
  <c r="BJ196"/>
  <c r="BJ191"/>
  <c r="BJ129"/>
  <c r="BJ123"/>
  <c r="BJ112" i="3"/>
  <c r="BJ112" i="2" s="1"/>
  <c r="BJ113"/>
  <c r="BJ111"/>
  <c r="BJ157" i="3"/>
  <c r="BJ157" i="2" s="1"/>
  <c r="BJ158"/>
  <c r="BJ134"/>
  <c r="BJ125"/>
  <c r="BJ115"/>
  <c r="BJ105"/>
  <c r="BJ172"/>
  <c r="BJ151"/>
  <c r="BJ146"/>
  <c r="BJ144"/>
  <c r="BJ118"/>
  <c r="BJ109"/>
  <c r="BJ99"/>
  <c r="BJ96"/>
  <c r="BJ92"/>
  <c r="BJ82"/>
  <c r="BJ72"/>
  <c r="BJ62"/>
  <c r="BJ121" i="3"/>
  <c r="BJ121" i="2" s="1"/>
  <c r="BJ122"/>
  <c r="BJ117"/>
  <c r="BJ102"/>
  <c r="BJ89"/>
  <c r="BJ79"/>
  <c r="BJ69"/>
  <c r="BJ58" i="3"/>
  <c r="BJ58" i="2" s="1"/>
  <c r="BJ59"/>
  <c r="BJ57"/>
  <c r="BJ159"/>
  <c r="BJ98"/>
  <c r="BJ91"/>
  <c r="BJ81"/>
  <c r="BJ71"/>
  <c r="BJ61"/>
  <c r="BJ141"/>
  <c r="BJ127"/>
  <c r="BJ120"/>
  <c r="BJ110"/>
  <c r="BJ97"/>
  <c r="BJ94" i="3"/>
  <c r="BJ94" i="2" s="1"/>
  <c r="BJ95"/>
  <c r="BJ93"/>
  <c r="BJ83"/>
  <c r="BJ73"/>
  <c r="BJ63"/>
  <c r="BJ143"/>
  <c r="BJ80"/>
  <c r="BJ66"/>
  <c r="BJ47"/>
  <c r="BJ37"/>
  <c r="BJ27"/>
  <c r="BJ84"/>
  <c r="BJ56"/>
  <c r="BJ46"/>
  <c r="BJ36"/>
  <c r="BJ26"/>
  <c r="BJ16"/>
  <c r="BJ124"/>
  <c r="BJ88"/>
  <c r="BJ67" i="3"/>
  <c r="BJ67" i="2" s="1"/>
  <c r="BJ68"/>
  <c r="BJ49" i="3"/>
  <c r="BJ49" i="2" s="1"/>
  <c r="BJ50"/>
  <c r="BJ48"/>
  <c r="BJ38"/>
  <c r="BJ28"/>
  <c r="BJ128"/>
  <c r="BJ107"/>
  <c r="BJ85" i="3"/>
  <c r="BJ85" i="2" s="1"/>
  <c r="BJ86"/>
  <c r="BJ74"/>
  <c r="BJ60"/>
  <c r="BJ52"/>
  <c r="BJ42"/>
  <c r="BJ31" i="3"/>
  <c r="BJ31" i="2" s="1"/>
  <c r="BJ32"/>
  <c r="BJ30"/>
  <c r="BJ20"/>
  <c r="BJ100"/>
  <c r="BJ13" i="3"/>
  <c r="BJ13" i="2" s="1"/>
  <c r="BJ14"/>
  <c r="BJ12"/>
  <c r="BJ119"/>
  <c r="BJ90"/>
  <c r="BJ45"/>
  <c r="BJ44"/>
  <c r="BJ39"/>
  <c r="BJ18"/>
  <c r="BJ9"/>
  <c r="BJ147"/>
  <c r="BJ130" i="3"/>
  <c r="BJ130" i="2" s="1"/>
  <c r="BJ131"/>
  <c r="BJ114"/>
  <c r="BJ76" i="3"/>
  <c r="BJ76" i="2" s="1"/>
  <c r="BJ77"/>
  <c r="BJ22" i="3"/>
  <c r="BJ22" i="2" s="1"/>
  <c r="BJ23"/>
  <c r="BJ17"/>
  <c r="BJ11"/>
  <c r="BJ156"/>
  <c r="BJ75"/>
  <c r="BJ64"/>
  <c r="BJ53"/>
  <c r="BJ29"/>
  <c r="BJ15"/>
  <c r="BJ4" i="3"/>
  <c r="BJ4" i="2" s="1"/>
  <c r="BJ5"/>
  <c r="BJ103" i="3"/>
  <c r="BJ103" i="2" s="1"/>
  <c r="BJ104"/>
  <c r="BJ70"/>
  <c r="BJ10"/>
  <c r="BJ133"/>
  <c r="BJ87"/>
  <c r="BJ78"/>
  <c r="BJ25"/>
  <c r="BJ65"/>
  <c r="BJ35"/>
  <c r="BJ19"/>
  <c r="BJ108"/>
  <c r="BJ40" i="3"/>
  <c r="BJ40" i="2" s="1"/>
  <c r="BJ41"/>
  <c r="BJ34"/>
  <c r="BJ21"/>
  <c r="BJ54"/>
  <c r="BJ33"/>
  <c r="BJ43"/>
  <c r="BJ7"/>
  <c r="BJ101"/>
  <c r="BJ51"/>
  <c r="BJ24"/>
  <c r="BJ8"/>
  <c r="BJ55"/>
  <c r="BJ6"/>
  <c r="AY207"/>
  <c r="AY197"/>
  <c r="AY187"/>
  <c r="AY177"/>
  <c r="AY208"/>
  <c r="AY198"/>
  <c r="AY188"/>
  <c r="AY178"/>
  <c r="AY204"/>
  <c r="AY183"/>
  <c r="AY179"/>
  <c r="AY201"/>
  <c r="AY190"/>
  <c r="AY182"/>
  <c r="AY170"/>
  <c r="AY186"/>
  <c r="AY166" i="3"/>
  <c r="AY166" i="2" s="1"/>
  <c r="AY167"/>
  <c r="AY165"/>
  <c r="AY210"/>
  <c r="AY199"/>
  <c r="AY195"/>
  <c r="AY173"/>
  <c r="AY184" i="3"/>
  <c r="AY184" i="2" s="1"/>
  <c r="AY185"/>
  <c r="AY174"/>
  <c r="AY164"/>
  <c r="AY159"/>
  <c r="AY148" i="3"/>
  <c r="AY148" i="2" s="1"/>
  <c r="AY149"/>
  <c r="AY147"/>
  <c r="AY137"/>
  <c r="AY205"/>
  <c r="AY181"/>
  <c r="AY180"/>
  <c r="AY169"/>
  <c r="AY163"/>
  <c r="AY191"/>
  <c r="AY160"/>
  <c r="AY200"/>
  <c r="AY152"/>
  <c r="AY206"/>
  <c r="AY196"/>
  <c r="AY162"/>
  <c r="AY150"/>
  <c r="AY142"/>
  <c r="AY171"/>
  <c r="AY153"/>
  <c r="AY146"/>
  <c r="AY172"/>
  <c r="AY161"/>
  <c r="AY156"/>
  <c r="AY130" i="3"/>
  <c r="AY130" i="2" s="1"/>
  <c r="AY131"/>
  <c r="AY129"/>
  <c r="AY193" i="3"/>
  <c r="AY193" i="2" s="1"/>
  <c r="AY194"/>
  <c r="AY157" i="3"/>
  <c r="AY157" i="2" s="1"/>
  <c r="AY158"/>
  <c r="AY151"/>
  <c r="AY143"/>
  <c r="AY139" i="3"/>
  <c r="AY139" i="2" s="1"/>
  <c r="AY140"/>
  <c r="AY134"/>
  <c r="AY133"/>
  <c r="AY141"/>
  <c r="AY125"/>
  <c r="AY115"/>
  <c r="AY105"/>
  <c r="AY144"/>
  <c r="AY138"/>
  <c r="AY121" i="3"/>
  <c r="AY121" i="2" s="1"/>
  <c r="AY122"/>
  <c r="AY120"/>
  <c r="AY155"/>
  <c r="AY154"/>
  <c r="AY145"/>
  <c r="AY136"/>
  <c r="AY124"/>
  <c r="AY114"/>
  <c r="AY103" i="3"/>
  <c r="AY103" i="2" s="1"/>
  <c r="AY104"/>
  <c r="AY102"/>
  <c r="AY175" i="3"/>
  <c r="AY175" i="2" s="1"/>
  <c r="AY176"/>
  <c r="AY128"/>
  <c r="AY91"/>
  <c r="AY81"/>
  <c r="AY71"/>
  <c r="AY61"/>
  <c r="AY192"/>
  <c r="AY98"/>
  <c r="AY88"/>
  <c r="AY78"/>
  <c r="AY67" i="3"/>
  <c r="AY67" i="2" s="1"/>
  <c r="AY68"/>
  <c r="AY66"/>
  <c r="AY56"/>
  <c r="AY135"/>
  <c r="AY90"/>
  <c r="AY80"/>
  <c r="AY70"/>
  <c r="AY60"/>
  <c r="AY168"/>
  <c r="AY100"/>
  <c r="AY92"/>
  <c r="AY82"/>
  <c r="AY72"/>
  <c r="AY62"/>
  <c r="AY189"/>
  <c r="AY132"/>
  <c r="AY97"/>
  <c r="AY87"/>
  <c r="AY75"/>
  <c r="AY46"/>
  <c r="AY36"/>
  <c r="AY26"/>
  <c r="AY107"/>
  <c r="AY106"/>
  <c r="AY79"/>
  <c r="AY65"/>
  <c r="AY45"/>
  <c r="AY35"/>
  <c r="AY25"/>
  <c r="AY202" i="3"/>
  <c r="AY202" i="2" s="1"/>
  <c r="AY203"/>
  <c r="AY123"/>
  <c r="AY94" i="3"/>
  <c r="AY94" i="2" s="1"/>
  <c r="AY95"/>
  <c r="AY64"/>
  <c r="AY63"/>
  <c r="AY57"/>
  <c r="AY47"/>
  <c r="AY37"/>
  <c r="AY27"/>
  <c r="AY111"/>
  <c r="AY89"/>
  <c r="AY69"/>
  <c r="AY51"/>
  <c r="AY40" i="3"/>
  <c r="AY40" i="2" s="1"/>
  <c r="AY41"/>
  <c r="AY39"/>
  <c r="AY29"/>
  <c r="AY19"/>
  <c r="AY76" i="3"/>
  <c r="AY76" i="2" s="1"/>
  <c r="AY77"/>
  <c r="AY52"/>
  <c r="AY48"/>
  <c r="AY21"/>
  <c r="AY11"/>
  <c r="AY117"/>
  <c r="AY34"/>
  <c r="AY33"/>
  <c r="AY28"/>
  <c r="AY18"/>
  <c r="AY8"/>
  <c r="AY74"/>
  <c r="AY73"/>
  <c r="AY58" i="3"/>
  <c r="AY58" i="2" s="1"/>
  <c r="AY59"/>
  <c r="AY49" i="3"/>
  <c r="AY49" i="2" s="1"/>
  <c r="AY50"/>
  <c r="AY17"/>
  <c r="AY16"/>
  <c r="AY10"/>
  <c r="AY126"/>
  <c r="AY108"/>
  <c r="AY85" i="3"/>
  <c r="AY85" i="2" s="1"/>
  <c r="AY86"/>
  <c r="AY42"/>
  <c r="AY38"/>
  <c r="AY24"/>
  <c r="AY22" i="3"/>
  <c r="AY22" i="2" s="1"/>
  <c r="AY23"/>
  <c r="AY13" i="3"/>
  <c r="AY13" i="2" s="1"/>
  <c r="AY14"/>
  <c r="AY12"/>
  <c r="AY112" i="3"/>
  <c r="AY112" i="2" s="1"/>
  <c r="AY113"/>
  <c r="AY116"/>
  <c r="AY110"/>
  <c r="AY109"/>
  <c r="AY30"/>
  <c r="AY15"/>
  <c r="AY209"/>
  <c r="AY118"/>
  <c r="AY84"/>
  <c r="AY31" i="3"/>
  <c r="AY31" i="2" s="1"/>
  <c r="AY32"/>
  <c r="AY101"/>
  <c r="AY83"/>
  <c r="AY43"/>
  <c r="AY127"/>
  <c r="AY119"/>
  <c r="AY99"/>
  <c r="AY93"/>
  <c r="AY9"/>
  <c r="AY54"/>
  <c r="AY20"/>
  <c r="AY4" i="3"/>
  <c r="AY4" i="2" s="1"/>
  <c r="AY5"/>
  <c r="AY53"/>
  <c r="AY7"/>
  <c r="AY6"/>
  <c r="AY44"/>
  <c r="AY96"/>
  <c r="AY55"/>
  <c r="O202" i="3"/>
  <c r="O202" i="2" s="1"/>
  <c r="O203"/>
  <c r="O201"/>
  <c r="O191"/>
  <c r="O181"/>
  <c r="O204"/>
  <c r="O193" i="3"/>
  <c r="O193" i="2" s="1"/>
  <c r="O194"/>
  <c r="O192"/>
  <c r="O182"/>
  <c r="O200"/>
  <c r="O189"/>
  <c r="O184" i="3"/>
  <c r="O184" i="2" s="1"/>
  <c r="O185"/>
  <c r="O169"/>
  <c r="O207"/>
  <c r="O196"/>
  <c r="O174"/>
  <c r="O210"/>
  <c r="O199"/>
  <c r="O195"/>
  <c r="O188"/>
  <c r="O177"/>
  <c r="O173"/>
  <c r="O171"/>
  <c r="O187"/>
  <c r="O183"/>
  <c r="O179"/>
  <c r="O190"/>
  <c r="O178"/>
  <c r="O175" i="3"/>
  <c r="O175" i="2" s="1"/>
  <c r="O176"/>
  <c r="O166" i="3"/>
  <c r="O166" i="2" s="1"/>
  <c r="O167"/>
  <c r="O153"/>
  <c r="O143"/>
  <c r="O209"/>
  <c r="O208"/>
  <c r="O198"/>
  <c r="O186"/>
  <c r="O170"/>
  <c r="O163"/>
  <c r="O162"/>
  <c r="O205"/>
  <c r="O180"/>
  <c r="O165"/>
  <c r="O157" i="3"/>
  <c r="O157" i="2" s="1"/>
  <c r="O158"/>
  <c r="O156"/>
  <c r="O146"/>
  <c r="O152"/>
  <c r="O145"/>
  <c r="O142"/>
  <c r="O206"/>
  <c r="O172"/>
  <c r="O161"/>
  <c r="O168"/>
  <c r="O151"/>
  <c r="O144"/>
  <c r="O141"/>
  <c r="O159"/>
  <c r="O139" i="3"/>
  <c r="O139" i="2" s="1"/>
  <c r="O140"/>
  <c r="O150"/>
  <c r="O148" i="3"/>
  <c r="O148" i="2" s="1"/>
  <c r="O149"/>
  <c r="O136"/>
  <c r="O129"/>
  <c r="O119"/>
  <c r="O109"/>
  <c r="O138"/>
  <c r="O137"/>
  <c r="O130" i="3"/>
  <c r="O130" i="2" s="1"/>
  <c r="O131"/>
  <c r="O126"/>
  <c r="O116"/>
  <c r="O160"/>
  <c r="O147"/>
  <c r="O128"/>
  <c r="O118"/>
  <c r="O108"/>
  <c r="O98"/>
  <c r="O155"/>
  <c r="O120"/>
  <c r="O102"/>
  <c r="O87"/>
  <c r="O76" i="3"/>
  <c r="O76" i="2" s="1"/>
  <c r="O77"/>
  <c r="O75"/>
  <c r="O65"/>
  <c r="O55"/>
  <c r="O154"/>
  <c r="O133"/>
  <c r="O107"/>
  <c r="O103" i="3"/>
  <c r="O103" i="2" s="1"/>
  <c r="O104"/>
  <c r="O92"/>
  <c r="O82"/>
  <c r="O72"/>
  <c r="O62"/>
  <c r="O127"/>
  <c r="O123"/>
  <c r="O112" i="3"/>
  <c r="O112" i="2" s="1"/>
  <c r="O113"/>
  <c r="O110"/>
  <c r="O106"/>
  <c r="O101"/>
  <c r="O96"/>
  <c r="O85" i="3"/>
  <c r="O85" i="2" s="1"/>
  <c r="O86"/>
  <c r="O84"/>
  <c r="O74"/>
  <c r="O64"/>
  <c r="O105"/>
  <c r="O100"/>
  <c r="O88"/>
  <c r="O78"/>
  <c r="O67" i="3"/>
  <c r="O67" i="2" s="1"/>
  <c r="O68"/>
  <c r="O66"/>
  <c r="O56"/>
  <c r="O97"/>
  <c r="O93"/>
  <c r="O73"/>
  <c r="O60"/>
  <c r="O58" i="3"/>
  <c r="O58" i="2" s="1"/>
  <c r="O59"/>
  <c r="O52"/>
  <c r="O42"/>
  <c r="O31" i="3"/>
  <c r="O31" i="2" s="1"/>
  <c r="O32"/>
  <c r="O30"/>
  <c r="O117"/>
  <c r="O115"/>
  <c r="O94" i="3"/>
  <c r="O94" i="2" s="1"/>
  <c r="O95"/>
  <c r="O91"/>
  <c r="O71"/>
  <c r="O63"/>
  <c r="O57"/>
  <c r="O51"/>
  <c r="O40" i="3"/>
  <c r="O40" i="2" s="1"/>
  <c r="O41"/>
  <c r="O39"/>
  <c r="O29"/>
  <c r="O19"/>
  <c r="O134"/>
  <c r="O121" i="3"/>
  <c r="O121" i="2" s="1"/>
  <c r="O122"/>
  <c r="O90"/>
  <c r="O89"/>
  <c r="O70"/>
  <c r="O69"/>
  <c r="O53"/>
  <c r="O43"/>
  <c r="O33"/>
  <c r="O22" i="3"/>
  <c r="O22" i="2" s="1"/>
  <c r="O23"/>
  <c r="O132"/>
  <c r="O114"/>
  <c r="O99"/>
  <c r="O81"/>
  <c r="O45"/>
  <c r="O35"/>
  <c r="O25"/>
  <c r="O164"/>
  <c r="O46"/>
  <c r="O27"/>
  <c r="O21"/>
  <c r="O17"/>
  <c r="O7"/>
  <c r="O61"/>
  <c r="O49" i="3"/>
  <c r="O49" i="2" s="1"/>
  <c r="O50"/>
  <c r="O26"/>
  <c r="O20"/>
  <c r="O13" i="3"/>
  <c r="O13" i="2" s="1"/>
  <c r="O14"/>
  <c r="O12"/>
  <c r="O124"/>
  <c r="O38"/>
  <c r="O24"/>
  <c r="O16"/>
  <c r="O6"/>
  <c r="O135"/>
  <c r="O125"/>
  <c r="O111"/>
  <c r="O54"/>
  <c r="O36"/>
  <c r="O8"/>
  <c r="O80"/>
  <c r="O83"/>
  <c r="O28"/>
  <c r="O18"/>
  <c r="O197"/>
  <c r="O79"/>
  <c r="O44"/>
  <c r="O15"/>
  <c r="O11"/>
  <c r="O37"/>
  <c r="O10"/>
  <c r="O9"/>
  <c r="O47"/>
  <c r="O34"/>
  <c r="O4" i="3"/>
  <c r="O4" i="2" s="1"/>
  <c r="O5"/>
  <c r="O48"/>
  <c r="G202" i="3"/>
  <c r="G202" i="2" s="1"/>
  <c r="G203"/>
  <c r="G201"/>
  <c r="G191"/>
  <c r="G181"/>
  <c r="G204"/>
  <c r="G193" i="3"/>
  <c r="G193" i="2" s="1"/>
  <c r="G194"/>
  <c r="G192"/>
  <c r="G182"/>
  <c r="G208"/>
  <c r="G190"/>
  <c r="G169"/>
  <c r="G197"/>
  <c r="G186"/>
  <c r="G178"/>
  <c r="G200"/>
  <c r="G189"/>
  <c r="G184" i="3"/>
  <c r="G184" i="2" s="1"/>
  <c r="G185"/>
  <c r="G171"/>
  <c r="G206"/>
  <c r="G180"/>
  <c r="G210"/>
  <c r="G209"/>
  <c r="G198"/>
  <c r="G187"/>
  <c r="G153"/>
  <c r="G143"/>
  <c r="G166" i="3"/>
  <c r="G166" i="2" s="1"/>
  <c r="G167"/>
  <c r="G162"/>
  <c r="G177"/>
  <c r="G175" i="3"/>
  <c r="G175" i="2" s="1"/>
  <c r="G176"/>
  <c r="G173"/>
  <c r="G199"/>
  <c r="G174"/>
  <c r="G165"/>
  <c r="G157" i="3"/>
  <c r="G157" i="2" s="1"/>
  <c r="G158"/>
  <c r="G156"/>
  <c r="G146"/>
  <c r="G170"/>
  <c r="G168"/>
  <c r="G163"/>
  <c r="G159"/>
  <c r="G148" i="3"/>
  <c r="G148" i="2" s="1"/>
  <c r="G149"/>
  <c r="G137"/>
  <c r="G183"/>
  <c r="G179"/>
  <c r="G142"/>
  <c r="G205"/>
  <c r="G136"/>
  <c r="G188"/>
  <c r="G161"/>
  <c r="G151"/>
  <c r="G138"/>
  <c r="G135"/>
  <c r="G172"/>
  <c r="G147"/>
  <c r="G119"/>
  <c r="G109"/>
  <c r="G160"/>
  <c r="G133"/>
  <c r="G129"/>
  <c r="G126"/>
  <c r="G116"/>
  <c r="G207"/>
  <c r="G154"/>
  <c r="G118"/>
  <c r="G108"/>
  <c r="G98"/>
  <c r="G195"/>
  <c r="G128"/>
  <c r="G99"/>
  <c r="G87"/>
  <c r="G76" i="3"/>
  <c r="G76" i="2" s="1"/>
  <c r="G77"/>
  <c r="G75"/>
  <c r="G65"/>
  <c r="G144"/>
  <c r="G134"/>
  <c r="G102"/>
  <c r="G92"/>
  <c r="G82"/>
  <c r="G72"/>
  <c r="G62"/>
  <c r="G145"/>
  <c r="G120"/>
  <c r="G107"/>
  <c r="G96"/>
  <c r="G85" i="3"/>
  <c r="G85" i="2" s="1"/>
  <c r="G86"/>
  <c r="G84"/>
  <c r="G74"/>
  <c r="G64"/>
  <c r="G196"/>
  <c r="G139" i="3"/>
  <c r="G139" i="2" s="1"/>
  <c r="G140"/>
  <c r="G124"/>
  <c r="G114"/>
  <c r="G110"/>
  <c r="G106"/>
  <c r="G97"/>
  <c r="G88"/>
  <c r="G78"/>
  <c r="G67" i="3"/>
  <c r="G67" i="2" s="1"/>
  <c r="G68"/>
  <c r="G66"/>
  <c r="G56"/>
  <c r="G127"/>
  <c r="G115"/>
  <c r="G112" i="3"/>
  <c r="G112" i="2" s="1"/>
  <c r="G113"/>
  <c r="G83"/>
  <c r="G52"/>
  <c r="G42"/>
  <c r="G31" i="3"/>
  <c r="G31" i="2" s="1"/>
  <c r="G32"/>
  <c r="G30"/>
  <c r="G130" i="3"/>
  <c r="G130" i="2" s="1"/>
  <c r="G131"/>
  <c r="G121" i="3"/>
  <c r="G121" i="2" s="1"/>
  <c r="G122"/>
  <c r="G81"/>
  <c r="G51"/>
  <c r="G40" i="3"/>
  <c r="G40" i="2" s="1"/>
  <c r="G41"/>
  <c r="G39"/>
  <c r="G29"/>
  <c r="G19"/>
  <c r="G164"/>
  <c r="G132"/>
  <c r="G80"/>
  <c r="G79"/>
  <c r="G53"/>
  <c r="G43"/>
  <c r="G33"/>
  <c r="G22" i="3"/>
  <c r="G22" i="2" s="1"/>
  <c r="G23"/>
  <c r="G141"/>
  <c r="G125"/>
  <c r="G123"/>
  <c r="G94" i="3"/>
  <c r="G94" i="2" s="1"/>
  <c r="G95"/>
  <c r="G91"/>
  <c r="G71"/>
  <c r="G63"/>
  <c r="G57"/>
  <c r="G55"/>
  <c r="G45"/>
  <c r="G35"/>
  <c r="G25"/>
  <c r="G73"/>
  <c r="G70"/>
  <c r="G60"/>
  <c r="G58" i="3"/>
  <c r="G58" i="2" s="1"/>
  <c r="G59"/>
  <c r="G37"/>
  <c r="G18"/>
  <c r="G7"/>
  <c r="G54"/>
  <c r="G36"/>
  <c r="G13" i="3"/>
  <c r="G13" i="2" s="1"/>
  <c r="G14"/>
  <c r="G12"/>
  <c r="G111"/>
  <c r="G103" i="3"/>
  <c r="G103" i="2" s="1"/>
  <c r="G104"/>
  <c r="G93"/>
  <c r="G90"/>
  <c r="G47"/>
  <c r="G34"/>
  <c r="G28"/>
  <c r="G20"/>
  <c r="G16"/>
  <c r="G6"/>
  <c r="G155"/>
  <c r="G150"/>
  <c r="G49" i="3"/>
  <c r="G49" i="2" s="1"/>
  <c r="G50"/>
  <c r="G26"/>
  <c r="G8"/>
  <c r="G61"/>
  <c r="G4" i="3"/>
  <c r="G4" i="2" s="1"/>
  <c r="G5"/>
  <c r="G69"/>
  <c r="G48"/>
  <c r="G46"/>
  <c r="G44"/>
  <c r="G101"/>
  <c r="G100"/>
  <c r="G38"/>
  <c r="G10"/>
  <c r="G9"/>
  <c r="G89"/>
  <c r="G11"/>
  <c r="G27"/>
  <c r="G21"/>
  <c r="G117"/>
  <c r="G15"/>
  <c r="G105"/>
  <c r="G17"/>
  <c r="G152"/>
  <c r="G24"/>
  <c r="AG209"/>
  <c r="AG199"/>
  <c r="AG189"/>
  <c r="AG179"/>
  <c r="AG210"/>
  <c r="AG200"/>
  <c r="AG190"/>
  <c r="AG180"/>
  <c r="AG206"/>
  <c r="AG195"/>
  <c r="AG188"/>
  <c r="AG173"/>
  <c r="AG166" i="3"/>
  <c r="AG166" i="2" s="1"/>
  <c r="AG167"/>
  <c r="AG165"/>
  <c r="AG193" i="3"/>
  <c r="AG193" i="2" s="1"/>
  <c r="AG194"/>
  <c r="AG191"/>
  <c r="AG175" i="3"/>
  <c r="AG175" i="2" s="1"/>
  <c r="AG176"/>
  <c r="AG172"/>
  <c r="AG205"/>
  <c r="AG198"/>
  <c r="AG187"/>
  <c r="AG169"/>
  <c r="AG202" i="3"/>
  <c r="AG202" i="2" s="1"/>
  <c r="AG203"/>
  <c r="AG178"/>
  <c r="AG164"/>
  <c r="AG161"/>
  <c r="AG151"/>
  <c r="AG141"/>
  <c r="AG207"/>
  <c r="AG196"/>
  <c r="AG183"/>
  <c r="AG182"/>
  <c r="AG163"/>
  <c r="AG160"/>
  <c r="AG171"/>
  <c r="AG162"/>
  <c r="AG201"/>
  <c r="AG177"/>
  <c r="AG170"/>
  <c r="AG154"/>
  <c r="AG159"/>
  <c r="AG155"/>
  <c r="AG142"/>
  <c r="AG197"/>
  <c r="AG186"/>
  <c r="AG168"/>
  <c r="AG192"/>
  <c r="AG153"/>
  <c r="AG146"/>
  <c r="AG144"/>
  <c r="AG133"/>
  <c r="AG184" i="3"/>
  <c r="AG184" i="2" s="1"/>
  <c r="AG185"/>
  <c r="AG181"/>
  <c r="AG156"/>
  <c r="AG143"/>
  <c r="AG139" i="3"/>
  <c r="AG139" i="2" s="1"/>
  <c r="AG140"/>
  <c r="AG135"/>
  <c r="AG134"/>
  <c r="AG129"/>
  <c r="AG117"/>
  <c r="AG107"/>
  <c r="AG157" i="3"/>
  <c r="AG157" i="2" s="1"/>
  <c r="AG158"/>
  <c r="AG138"/>
  <c r="AG136"/>
  <c r="AG130" i="3"/>
  <c r="AG130" i="2" s="1"/>
  <c r="AG131"/>
  <c r="AG124"/>
  <c r="AG114"/>
  <c r="AG137"/>
  <c r="AG126"/>
  <c r="AG116"/>
  <c r="AG106"/>
  <c r="AG121" i="3"/>
  <c r="AG121" i="2" s="1"/>
  <c r="AG122"/>
  <c r="AG102"/>
  <c r="AG94" i="3"/>
  <c r="AG94" i="2" s="1"/>
  <c r="AG95"/>
  <c r="AG93"/>
  <c r="AG83"/>
  <c r="AG73"/>
  <c r="AG63"/>
  <c r="AG204"/>
  <c r="AG152"/>
  <c r="AG145"/>
  <c r="AG110"/>
  <c r="AG103" i="3"/>
  <c r="AG103" i="2" s="1"/>
  <c r="AG104"/>
  <c r="AG98"/>
  <c r="AG90"/>
  <c r="AG80"/>
  <c r="AG70"/>
  <c r="AG60"/>
  <c r="AG208"/>
  <c r="AG150"/>
  <c r="AG125"/>
  <c r="AG115"/>
  <c r="AG105"/>
  <c r="AG92"/>
  <c r="AG82"/>
  <c r="AG72"/>
  <c r="AG62"/>
  <c r="AG127"/>
  <c r="AG100"/>
  <c r="AG96"/>
  <c r="AG85" i="3"/>
  <c r="AG85" i="2" s="1"/>
  <c r="AG86"/>
  <c r="AG84"/>
  <c r="AG74"/>
  <c r="AG64"/>
  <c r="AG119"/>
  <c r="AG112" i="3"/>
  <c r="AG112" i="2" s="1"/>
  <c r="AG113"/>
  <c r="AG97"/>
  <c r="AG81"/>
  <c r="AG49" i="3"/>
  <c r="AG49" i="2" s="1"/>
  <c r="AG50"/>
  <c r="AG48"/>
  <c r="AG38"/>
  <c r="AG28"/>
  <c r="AG109"/>
  <c r="AG108"/>
  <c r="AG78"/>
  <c r="AG76" i="3"/>
  <c r="AG76" i="2" s="1"/>
  <c r="AG77"/>
  <c r="AG47"/>
  <c r="AG37"/>
  <c r="AG27"/>
  <c r="AG17"/>
  <c r="AG120"/>
  <c r="AG56"/>
  <c r="AG55"/>
  <c r="AG51"/>
  <c r="AG40" i="3"/>
  <c r="AG40" i="2" s="1"/>
  <c r="AG41"/>
  <c r="AG39"/>
  <c r="AG29"/>
  <c r="AG128"/>
  <c r="AG123"/>
  <c r="AG99"/>
  <c r="AG88"/>
  <c r="AG87"/>
  <c r="AG75"/>
  <c r="AG67" i="3"/>
  <c r="AG67" i="2" s="1"/>
  <c r="AG68"/>
  <c r="AG61"/>
  <c r="AG53"/>
  <c r="AG43"/>
  <c r="AG33"/>
  <c r="AG22" i="3"/>
  <c r="AG22" i="2" s="1"/>
  <c r="AG23"/>
  <c r="AG21"/>
  <c r="AG174"/>
  <c r="AG132"/>
  <c r="AG101"/>
  <c r="AG34"/>
  <c r="AG15"/>
  <c r="AG4" i="3"/>
  <c r="AG4" i="2" s="1"/>
  <c r="AG5"/>
  <c r="AG118"/>
  <c r="AG91"/>
  <c r="AG89"/>
  <c r="AG46"/>
  <c r="AG31" i="3"/>
  <c r="AG31" i="2" s="1"/>
  <c r="AG32"/>
  <c r="AG19"/>
  <c r="AG10"/>
  <c r="AG79"/>
  <c r="AG44"/>
  <c r="AG25"/>
  <c r="AG18"/>
  <c r="AG16"/>
  <c r="AG13" i="3"/>
  <c r="AG13" i="2" s="1"/>
  <c r="AG14"/>
  <c r="AG12"/>
  <c r="AG65"/>
  <c r="AG30"/>
  <c r="AG6"/>
  <c r="AG11"/>
  <c r="AG111"/>
  <c r="AG54"/>
  <c r="AG52"/>
  <c r="AG26"/>
  <c r="AG24"/>
  <c r="AG71"/>
  <c r="AG20"/>
  <c r="AG147"/>
  <c r="AG148" i="3"/>
  <c r="AG148" i="2" s="1"/>
  <c r="AG149"/>
  <c r="AG8"/>
  <c r="AG7"/>
  <c r="AG69"/>
  <c r="AG45"/>
  <c r="AG42"/>
  <c r="AG57"/>
  <c r="AG35"/>
  <c r="AG9"/>
  <c r="AG58" i="3"/>
  <c r="AG58" i="2" s="1"/>
  <c r="AG59"/>
  <c r="AG36"/>
  <c r="AG66"/>
  <c r="W202" i="3"/>
  <c r="W202" i="2" s="1"/>
  <c r="W203"/>
  <c r="W201"/>
  <c r="W191"/>
  <c r="W181"/>
  <c r="W204"/>
  <c r="W193" i="3"/>
  <c r="W193" i="2" s="1"/>
  <c r="W194"/>
  <c r="W192"/>
  <c r="W182"/>
  <c r="W210"/>
  <c r="W199"/>
  <c r="W195"/>
  <c r="W188"/>
  <c r="W177"/>
  <c r="W173"/>
  <c r="W169"/>
  <c r="W206"/>
  <c r="W180"/>
  <c r="W209"/>
  <c r="W205"/>
  <c r="W198"/>
  <c r="W175" i="3"/>
  <c r="W175" i="2" s="1"/>
  <c r="W176"/>
  <c r="W171"/>
  <c r="W197"/>
  <c r="W186"/>
  <c r="W178"/>
  <c r="W207"/>
  <c r="W196"/>
  <c r="W170"/>
  <c r="W164"/>
  <c r="W153"/>
  <c r="W143"/>
  <c r="W190"/>
  <c r="W168"/>
  <c r="W165"/>
  <c r="W162"/>
  <c r="W200"/>
  <c r="W187"/>
  <c r="W166" i="3"/>
  <c r="W166" i="2" s="1"/>
  <c r="W167"/>
  <c r="W183"/>
  <c r="W157" i="3"/>
  <c r="W157" i="2" s="1"/>
  <c r="W158"/>
  <c r="W156"/>
  <c r="W146"/>
  <c r="W155"/>
  <c r="W174"/>
  <c r="W151"/>
  <c r="W184" i="3"/>
  <c r="W184" i="2" s="1"/>
  <c r="W185"/>
  <c r="W179"/>
  <c r="W138"/>
  <c r="W135"/>
  <c r="W189"/>
  <c r="W161"/>
  <c r="W134"/>
  <c r="W145"/>
  <c r="W130" i="3"/>
  <c r="W130" i="2" s="1"/>
  <c r="W131"/>
  <c r="W119"/>
  <c r="W109"/>
  <c r="W154"/>
  <c r="W139" i="3"/>
  <c r="W139" i="2" s="1"/>
  <c r="W140"/>
  <c r="W126"/>
  <c r="W116"/>
  <c r="W152"/>
  <c r="W150"/>
  <c r="W148" i="3"/>
  <c r="W148" i="2" s="1"/>
  <c r="W149"/>
  <c r="W118"/>
  <c r="W108"/>
  <c r="W98"/>
  <c r="W160"/>
  <c r="W123"/>
  <c r="W112" i="3"/>
  <c r="W112" i="2" s="1"/>
  <c r="W113"/>
  <c r="W103" i="3"/>
  <c r="W103" i="2" s="1"/>
  <c r="W104"/>
  <c r="W87"/>
  <c r="W76" i="3"/>
  <c r="W76" i="2" s="1"/>
  <c r="W77"/>
  <c r="W75"/>
  <c r="W65"/>
  <c r="W55"/>
  <c r="W128"/>
  <c r="W121" i="3"/>
  <c r="W121" i="2" s="1"/>
  <c r="W122"/>
  <c r="W117"/>
  <c r="W110"/>
  <c r="W106"/>
  <c r="W92"/>
  <c r="W82"/>
  <c r="W72"/>
  <c r="W62"/>
  <c r="W159"/>
  <c r="W129"/>
  <c r="W105"/>
  <c r="W97"/>
  <c r="W96"/>
  <c r="W85" i="3"/>
  <c r="W85" i="2" s="1"/>
  <c r="W86"/>
  <c r="W84"/>
  <c r="W74"/>
  <c r="W64"/>
  <c r="W163"/>
  <c r="W147"/>
  <c r="W144"/>
  <c r="W120"/>
  <c r="W88"/>
  <c r="W78"/>
  <c r="W67" i="3"/>
  <c r="W67" i="2" s="1"/>
  <c r="W68"/>
  <c r="W66"/>
  <c r="W56"/>
  <c r="W136"/>
  <c r="W133"/>
  <c r="W101"/>
  <c r="W83"/>
  <c r="W52"/>
  <c r="W42"/>
  <c r="W31" i="3"/>
  <c r="W31" i="2" s="1"/>
  <c r="W32"/>
  <c r="W30"/>
  <c r="W102"/>
  <c r="W81"/>
  <c r="W51"/>
  <c r="W40" i="3"/>
  <c r="W40" i="2" s="1"/>
  <c r="W41"/>
  <c r="W39"/>
  <c r="W29"/>
  <c r="W19"/>
  <c r="W172"/>
  <c r="W115"/>
  <c r="W100"/>
  <c r="W80"/>
  <c r="W79"/>
  <c r="W53"/>
  <c r="W43"/>
  <c r="W33"/>
  <c r="W22" i="3"/>
  <c r="W22" i="2" s="1"/>
  <c r="W23"/>
  <c r="W94" i="3"/>
  <c r="W94" i="2" s="1"/>
  <c r="W95"/>
  <c r="W91"/>
  <c r="W71"/>
  <c r="W63"/>
  <c r="W57"/>
  <c r="W45"/>
  <c r="W35"/>
  <c r="W25"/>
  <c r="W37"/>
  <c r="W7"/>
  <c r="W99"/>
  <c r="W54"/>
  <c r="W36"/>
  <c r="W13" i="3"/>
  <c r="W13" i="2" s="1"/>
  <c r="W14"/>
  <c r="W12"/>
  <c r="W142"/>
  <c r="W137"/>
  <c r="W127"/>
  <c r="W69"/>
  <c r="W61"/>
  <c r="W47"/>
  <c r="W34"/>
  <c r="W28"/>
  <c r="W6"/>
  <c r="W208"/>
  <c r="W141"/>
  <c r="W114"/>
  <c r="W50"/>
  <c r="W49" i="3"/>
  <c r="W49" i="2" s="1"/>
  <c r="W26"/>
  <c r="W8"/>
  <c r="W125"/>
  <c r="W4" i="3"/>
  <c r="W4" i="2" s="1"/>
  <c r="W5"/>
  <c r="W107"/>
  <c r="W38"/>
  <c r="W48"/>
  <c r="W46"/>
  <c r="W44"/>
  <c r="W17"/>
  <c r="W10"/>
  <c r="W9"/>
  <c r="W132"/>
  <c r="W111"/>
  <c r="W16"/>
  <c r="W89"/>
  <c r="W70"/>
  <c r="W18"/>
  <c r="W24"/>
  <c r="W20"/>
  <c r="W90"/>
  <c r="W73"/>
  <c r="W58" i="3"/>
  <c r="W58" i="2" s="1"/>
  <c r="W59"/>
  <c r="W15"/>
  <c r="W11"/>
  <c r="W124"/>
  <c r="W27"/>
  <c r="W21"/>
  <c r="W93"/>
  <c r="W60"/>
  <c r="AZ210"/>
  <c r="AZ200"/>
  <c r="AZ190"/>
  <c r="AZ180"/>
  <c r="AZ202" i="3"/>
  <c r="AZ202" i="2" s="1"/>
  <c r="AZ203"/>
  <c r="AZ201"/>
  <c r="AZ191"/>
  <c r="AZ181"/>
  <c r="AZ209"/>
  <c r="AZ205"/>
  <c r="AZ198"/>
  <c r="AZ187"/>
  <c r="AZ175" i="3"/>
  <c r="AZ175" i="2" s="1"/>
  <c r="AZ176"/>
  <c r="AZ168"/>
  <c r="AZ204"/>
  <c r="AZ183"/>
  <c r="AZ179"/>
  <c r="AZ208"/>
  <c r="AZ197"/>
  <c r="AZ182"/>
  <c r="AZ170"/>
  <c r="AZ196"/>
  <c r="AZ192"/>
  <c r="AZ177"/>
  <c r="AZ174"/>
  <c r="AZ199"/>
  <c r="AZ186"/>
  <c r="AZ173"/>
  <c r="AZ152"/>
  <c r="AZ142"/>
  <c r="AZ206"/>
  <c r="AZ161"/>
  <c r="AZ178"/>
  <c r="AZ172"/>
  <c r="AZ162"/>
  <c r="AZ189"/>
  <c r="AZ188"/>
  <c r="AZ155"/>
  <c r="AZ145"/>
  <c r="AZ184" i="3"/>
  <c r="AZ184" i="2" s="1"/>
  <c r="AZ185"/>
  <c r="AZ150"/>
  <c r="AZ148" i="3"/>
  <c r="AZ148" i="2" s="1"/>
  <c r="AZ149"/>
  <c r="AZ195"/>
  <c r="AZ169"/>
  <c r="AZ159"/>
  <c r="AZ144"/>
  <c r="AZ141"/>
  <c r="AZ207"/>
  <c r="AZ160"/>
  <c r="AZ138"/>
  <c r="AZ135"/>
  <c r="AZ163"/>
  <c r="AZ157" i="3"/>
  <c r="AZ157" i="2" s="1"/>
  <c r="AZ158"/>
  <c r="AZ129"/>
  <c r="AZ118"/>
  <c r="AZ108"/>
  <c r="AZ165"/>
  <c r="AZ147"/>
  <c r="AZ130" i="3"/>
  <c r="AZ130" i="2" s="1"/>
  <c r="AZ131"/>
  <c r="AZ125"/>
  <c r="AZ115"/>
  <c r="AZ156"/>
  <c r="AZ128"/>
  <c r="AZ117"/>
  <c r="AZ107"/>
  <c r="AZ97"/>
  <c r="AZ136"/>
  <c r="AZ127"/>
  <c r="AZ124"/>
  <c r="AZ119"/>
  <c r="AZ114"/>
  <c r="AZ109"/>
  <c r="AZ102"/>
  <c r="AZ85" i="3"/>
  <c r="AZ85" i="2" s="1"/>
  <c r="AZ86"/>
  <c r="AZ84"/>
  <c r="AZ74"/>
  <c r="AZ64"/>
  <c r="AZ171"/>
  <c r="AZ154"/>
  <c r="AZ133"/>
  <c r="AZ105"/>
  <c r="AZ103" i="3"/>
  <c r="AZ103" i="2" s="1"/>
  <c r="AZ104"/>
  <c r="AZ91"/>
  <c r="AZ81"/>
  <c r="AZ71"/>
  <c r="AZ61"/>
  <c r="AZ164"/>
  <c r="AZ153"/>
  <c r="AZ134"/>
  <c r="AZ123"/>
  <c r="AZ122"/>
  <c r="AZ121" i="3"/>
  <c r="AZ121" i="2" s="1"/>
  <c r="AZ112" i="3"/>
  <c r="AZ112" i="2" s="1"/>
  <c r="AZ113"/>
  <c r="AZ101"/>
  <c r="AZ94" i="3"/>
  <c r="AZ94" i="2" s="1"/>
  <c r="AZ95"/>
  <c r="AZ93"/>
  <c r="AZ83"/>
  <c r="AZ73"/>
  <c r="AZ63"/>
  <c r="AZ166" i="3"/>
  <c r="AZ166" i="2" s="1"/>
  <c r="AZ167"/>
  <c r="AZ146"/>
  <c r="AZ143"/>
  <c r="AZ132"/>
  <c r="AZ126"/>
  <c r="AZ116"/>
  <c r="AZ87"/>
  <c r="AZ76" i="3"/>
  <c r="AZ76" i="2" s="1"/>
  <c r="AZ77"/>
  <c r="AZ75"/>
  <c r="AZ65"/>
  <c r="AZ55"/>
  <c r="AZ111"/>
  <c r="AZ89"/>
  <c r="AZ88"/>
  <c r="AZ82"/>
  <c r="AZ69"/>
  <c r="AZ67" i="3"/>
  <c r="AZ67" i="2" s="1"/>
  <c r="AZ68"/>
  <c r="AZ51"/>
  <c r="AZ40" i="3"/>
  <c r="AZ40" i="2" s="1"/>
  <c r="AZ41"/>
  <c r="AZ39"/>
  <c r="AZ29"/>
  <c r="AZ120"/>
  <c r="AZ110"/>
  <c r="AZ80"/>
  <c r="AZ66"/>
  <c r="AZ58" i="3"/>
  <c r="AZ58" i="2" s="1"/>
  <c r="AZ59"/>
  <c r="AZ49" i="3"/>
  <c r="AZ49" i="2" s="1"/>
  <c r="AZ50"/>
  <c r="AZ48"/>
  <c r="AZ38"/>
  <c r="AZ28"/>
  <c r="AZ18"/>
  <c r="AZ193" i="3"/>
  <c r="AZ193" i="2" s="1"/>
  <c r="AZ194"/>
  <c r="AZ96"/>
  <c r="AZ52"/>
  <c r="AZ42"/>
  <c r="AZ31" i="3"/>
  <c r="AZ31" i="2" s="1"/>
  <c r="AZ32"/>
  <c r="AZ30"/>
  <c r="AZ99"/>
  <c r="AZ90"/>
  <c r="AZ70"/>
  <c r="AZ62"/>
  <c r="AZ54"/>
  <c r="AZ44"/>
  <c r="AZ34"/>
  <c r="AZ24"/>
  <c r="AZ79"/>
  <c r="AZ78"/>
  <c r="AZ53"/>
  <c r="AZ6"/>
  <c r="AZ35"/>
  <c r="AZ21"/>
  <c r="AZ11"/>
  <c r="AZ139" i="3"/>
  <c r="AZ139" i="2" s="1"/>
  <c r="AZ140"/>
  <c r="AZ72"/>
  <c r="AZ60"/>
  <c r="AZ27"/>
  <c r="AZ26"/>
  <c r="AZ15"/>
  <c r="AZ4" i="3"/>
  <c r="AZ4" i="2" s="1"/>
  <c r="AZ5"/>
  <c r="AZ151"/>
  <c r="AZ137"/>
  <c r="AZ43"/>
  <c r="AZ25"/>
  <c r="AZ20"/>
  <c r="AZ7"/>
  <c r="AZ17"/>
  <c r="AZ12"/>
  <c r="AZ37"/>
  <c r="AZ36"/>
  <c r="AZ22" i="3"/>
  <c r="AZ22" i="2" s="1"/>
  <c r="AZ23"/>
  <c r="AZ106"/>
  <c r="AZ56"/>
  <c r="AZ16"/>
  <c r="AZ47"/>
  <c r="AZ46"/>
  <c r="AZ45"/>
  <c r="AZ10"/>
  <c r="AZ98"/>
  <c r="AZ33"/>
  <c r="AZ19"/>
  <c r="AZ8"/>
  <c r="AZ9"/>
  <c r="AZ100"/>
  <c r="AZ92"/>
  <c r="AZ57"/>
  <c r="AZ13" i="3"/>
  <c r="AZ13" i="2" s="1"/>
  <c r="AZ14"/>
  <c r="AD208"/>
  <c r="AD198"/>
  <c r="AD188"/>
  <c r="AD178"/>
  <c r="AD209"/>
  <c r="AD199"/>
  <c r="AD189"/>
  <c r="AD179"/>
  <c r="AD187"/>
  <c r="AD183"/>
  <c r="AD204"/>
  <c r="AD201"/>
  <c r="AD190"/>
  <c r="AD171"/>
  <c r="AD197"/>
  <c r="AD186"/>
  <c r="AD182"/>
  <c r="AD168"/>
  <c r="AD210"/>
  <c r="AD195"/>
  <c r="AD192"/>
  <c r="AD177"/>
  <c r="AD173"/>
  <c r="AD184" i="3"/>
  <c r="AD184" i="2" s="1"/>
  <c r="AD185"/>
  <c r="AD174"/>
  <c r="AD163"/>
  <c r="AD160"/>
  <c r="AD150"/>
  <c r="AD139" i="3"/>
  <c r="AD139" i="2" s="1"/>
  <c r="AD140"/>
  <c r="AD138"/>
  <c r="AD205"/>
  <c r="AD181"/>
  <c r="AD180"/>
  <c r="AD191"/>
  <c r="AD161"/>
  <c r="AD200"/>
  <c r="AD169"/>
  <c r="AD165"/>
  <c r="AD153"/>
  <c r="AD202" i="3"/>
  <c r="AD202" i="2" s="1"/>
  <c r="AD203"/>
  <c r="AD175" i="3"/>
  <c r="AD175" i="2" s="1"/>
  <c r="AD176"/>
  <c r="AD144"/>
  <c r="AD141"/>
  <c r="AD207"/>
  <c r="AD148" i="3"/>
  <c r="AD148" i="2" s="1"/>
  <c r="AD149"/>
  <c r="AD166" i="3"/>
  <c r="AD166" i="2" s="1"/>
  <c r="AD167"/>
  <c r="AD152"/>
  <c r="AD145"/>
  <c r="AD143"/>
  <c r="AD134"/>
  <c r="AD132"/>
  <c r="AD155"/>
  <c r="AD142"/>
  <c r="AD193" i="3"/>
  <c r="AD193" i="2" s="1"/>
  <c r="AD194"/>
  <c r="AD157" i="3"/>
  <c r="AD157" i="2" s="1"/>
  <c r="AD158"/>
  <c r="AD136"/>
  <c r="AD128"/>
  <c r="AD126"/>
  <c r="AD116"/>
  <c r="AD106"/>
  <c r="AD164"/>
  <c r="AD147"/>
  <c r="AD137"/>
  <c r="AD123"/>
  <c r="AD112" i="3"/>
  <c r="AD112" i="2" s="1"/>
  <c r="AD113"/>
  <c r="AD111"/>
  <c r="AD172"/>
  <c r="AD156"/>
  <c r="AD125"/>
  <c r="AD115"/>
  <c r="AD105"/>
  <c r="AD146"/>
  <c r="AD109"/>
  <c r="AD101"/>
  <c r="AD92"/>
  <c r="AD82"/>
  <c r="AD72"/>
  <c r="AD62"/>
  <c r="AD170"/>
  <c r="AD151"/>
  <c r="AD130" i="3"/>
  <c r="AD130" i="2" s="1"/>
  <c r="AD131"/>
  <c r="AD120"/>
  <c r="AD97"/>
  <c r="AD89"/>
  <c r="AD79"/>
  <c r="AD69"/>
  <c r="AD58" i="3"/>
  <c r="AD58" i="2" s="1"/>
  <c r="AD59"/>
  <c r="AD57"/>
  <c r="AD127"/>
  <c r="AD124"/>
  <c r="AD119"/>
  <c r="AD114"/>
  <c r="AD91"/>
  <c r="AD81"/>
  <c r="AD71"/>
  <c r="AD61"/>
  <c r="AD121" i="3"/>
  <c r="AD121" i="2" s="1"/>
  <c r="AD122"/>
  <c r="AD117"/>
  <c r="AD102"/>
  <c r="AD94" i="3"/>
  <c r="AD94" i="2" s="1"/>
  <c r="AD95"/>
  <c r="AD93"/>
  <c r="AD83"/>
  <c r="AD73"/>
  <c r="AD63"/>
  <c r="AD129"/>
  <c r="AD100"/>
  <c r="AD80"/>
  <c r="AD66"/>
  <c r="AD47"/>
  <c r="AD37"/>
  <c r="AD27"/>
  <c r="AD154"/>
  <c r="AD118"/>
  <c r="AD107"/>
  <c r="AD103" i="3"/>
  <c r="AD103" i="2" s="1"/>
  <c r="AD104"/>
  <c r="AD98"/>
  <c r="AD84"/>
  <c r="AD56"/>
  <c r="AD46"/>
  <c r="AD36"/>
  <c r="AD26"/>
  <c r="AD16"/>
  <c r="AD206"/>
  <c r="AD99"/>
  <c r="AD88"/>
  <c r="AD67" i="3"/>
  <c r="AD67" i="2" s="1"/>
  <c r="AD68"/>
  <c r="AD49" i="3"/>
  <c r="AD49" i="2" s="1"/>
  <c r="AD50"/>
  <c r="AD48"/>
  <c r="AD38"/>
  <c r="AD28"/>
  <c r="AD85" i="3"/>
  <c r="AD85" i="2" s="1"/>
  <c r="AD86"/>
  <c r="AD74"/>
  <c r="AD60"/>
  <c r="AD52"/>
  <c r="AD42"/>
  <c r="AD31" i="3"/>
  <c r="AD31" i="2" s="1"/>
  <c r="AD32"/>
  <c r="AD30"/>
  <c r="AD20"/>
  <c r="AD196"/>
  <c r="AD13" i="3"/>
  <c r="AD13" i="2" s="1"/>
  <c r="AD14"/>
  <c r="AD12"/>
  <c r="AD108"/>
  <c r="AD90"/>
  <c r="AD45"/>
  <c r="AD44"/>
  <c r="AD39"/>
  <c r="AD18"/>
  <c r="AD9"/>
  <c r="AD110"/>
  <c r="AD76" i="3"/>
  <c r="AD76" i="2" s="1"/>
  <c r="AD77"/>
  <c r="AD22" i="3"/>
  <c r="AD22" i="2" s="1"/>
  <c r="AD23"/>
  <c r="AD21"/>
  <c r="AD17"/>
  <c r="AD11"/>
  <c r="AD75"/>
  <c r="AD64"/>
  <c r="AD53"/>
  <c r="AD29"/>
  <c r="AD15"/>
  <c r="AD4" i="3"/>
  <c r="AD4" i="2" s="1"/>
  <c r="AD5"/>
  <c r="AD159"/>
  <c r="AD135"/>
  <c r="AD133"/>
  <c r="AD96"/>
  <c r="AD10"/>
  <c r="AD78"/>
  <c r="AD87"/>
  <c r="AD25"/>
  <c r="AD40" i="3"/>
  <c r="AD40" i="2" s="1"/>
  <c r="AD41"/>
  <c r="AD34"/>
  <c r="AD55"/>
  <c r="AD54"/>
  <c r="AD19"/>
  <c r="AD65"/>
  <c r="AD33"/>
  <c r="AD43"/>
  <c r="AD35"/>
  <c r="AD6"/>
  <c r="AD70"/>
  <c r="AD51"/>
  <c r="AD24"/>
  <c r="AD7"/>
  <c r="AD162"/>
  <c r="AD8"/>
  <c r="AM202" i="3"/>
  <c r="AM202" i="2" s="1"/>
  <c r="AM203"/>
  <c r="AM201"/>
  <c r="AM191"/>
  <c r="AM181"/>
  <c r="AM204"/>
  <c r="AM193" i="3"/>
  <c r="AM193" i="2" s="1"/>
  <c r="AM194"/>
  <c r="AM192"/>
  <c r="AM182"/>
  <c r="AM172"/>
  <c r="AM208"/>
  <c r="AM190"/>
  <c r="AM169"/>
  <c r="AM197"/>
  <c r="AM186"/>
  <c r="AM178"/>
  <c r="AM200"/>
  <c r="AM189"/>
  <c r="AM184" i="3"/>
  <c r="AM184" i="2" s="1"/>
  <c r="AM185"/>
  <c r="AM171"/>
  <c r="AM206"/>
  <c r="AM180"/>
  <c r="AM179"/>
  <c r="AM163"/>
  <c r="AM153"/>
  <c r="AM143"/>
  <c r="AM199"/>
  <c r="AM174"/>
  <c r="AM173"/>
  <c r="AM207"/>
  <c r="AM196"/>
  <c r="AM195"/>
  <c r="AM168"/>
  <c r="AM165"/>
  <c r="AM166" i="3"/>
  <c r="AM166" i="2" s="1"/>
  <c r="AM167"/>
  <c r="AM157" i="3"/>
  <c r="AM157" i="2" s="1"/>
  <c r="AM158"/>
  <c r="AM156"/>
  <c r="AM146"/>
  <c r="AM210"/>
  <c r="AM148" i="3"/>
  <c r="AM148" i="2" s="1"/>
  <c r="AM149"/>
  <c r="AM144"/>
  <c r="AM141"/>
  <c r="AM205"/>
  <c r="AM175" i="3"/>
  <c r="AM175" i="2" s="1"/>
  <c r="AM176"/>
  <c r="AM138"/>
  <c r="AM188"/>
  <c r="AM162"/>
  <c r="AM134"/>
  <c r="AM161"/>
  <c r="AM151"/>
  <c r="AM142"/>
  <c r="AM170"/>
  <c r="AM139" i="3"/>
  <c r="AM139" i="2" s="1"/>
  <c r="AM140"/>
  <c r="AM128"/>
  <c r="AM119"/>
  <c r="AM109"/>
  <c r="AM160"/>
  <c r="AM152"/>
  <c r="AM150"/>
  <c r="AM133"/>
  <c r="AM126"/>
  <c r="AM116"/>
  <c r="AM164"/>
  <c r="AM135"/>
  <c r="AM132"/>
  <c r="AM118"/>
  <c r="AM108"/>
  <c r="AM98"/>
  <c r="AM147"/>
  <c r="AM127"/>
  <c r="AM101"/>
  <c r="AM87"/>
  <c r="AM76" i="3"/>
  <c r="AM76" i="2" s="1"/>
  <c r="AM77"/>
  <c r="AM75"/>
  <c r="AM65"/>
  <c r="AM55"/>
  <c r="AM209"/>
  <c r="AM198"/>
  <c r="AM187"/>
  <c r="AM124"/>
  <c r="AM114"/>
  <c r="AM97"/>
  <c r="AM92"/>
  <c r="AM82"/>
  <c r="AM72"/>
  <c r="AM62"/>
  <c r="AM177"/>
  <c r="AM145"/>
  <c r="AM129"/>
  <c r="AM121" i="3"/>
  <c r="AM121" i="2" s="1"/>
  <c r="AM122"/>
  <c r="AM117"/>
  <c r="AM107"/>
  <c r="AM96"/>
  <c r="AM85" i="3"/>
  <c r="AM85" i="2" s="1"/>
  <c r="AM86"/>
  <c r="AM84"/>
  <c r="AM74"/>
  <c r="AM64"/>
  <c r="AM110"/>
  <c r="AM106"/>
  <c r="AM102"/>
  <c r="AM88"/>
  <c r="AM78"/>
  <c r="AM67" i="3"/>
  <c r="AM67" i="2" s="1"/>
  <c r="AM68"/>
  <c r="AM66"/>
  <c r="AM56"/>
  <c r="AM105"/>
  <c r="AM83"/>
  <c r="AM52"/>
  <c r="AM42"/>
  <c r="AM31" i="3"/>
  <c r="AM31" i="2" s="1"/>
  <c r="AM32"/>
  <c r="AM30"/>
  <c r="AM159"/>
  <c r="AM136"/>
  <c r="AM111"/>
  <c r="AM81"/>
  <c r="AM51"/>
  <c r="AM41"/>
  <c r="AM40" i="3"/>
  <c r="AM40" i="2" s="1"/>
  <c r="AM39"/>
  <c r="AM29"/>
  <c r="AM19"/>
  <c r="AM155"/>
  <c r="AM154"/>
  <c r="AM80"/>
  <c r="AM79"/>
  <c r="AM53"/>
  <c r="AM43"/>
  <c r="AM33"/>
  <c r="AM22" i="3"/>
  <c r="AM22" i="2" s="1"/>
  <c r="AM23"/>
  <c r="AM137"/>
  <c r="AM120"/>
  <c r="AM103" i="3"/>
  <c r="AM103" i="2" s="1"/>
  <c r="AM104"/>
  <c r="AM94" i="3"/>
  <c r="AM94" i="2" s="1"/>
  <c r="AM95"/>
  <c r="AM91"/>
  <c r="AM71"/>
  <c r="AM63"/>
  <c r="AM57"/>
  <c r="AM45"/>
  <c r="AM35"/>
  <c r="AM25"/>
  <c r="AM130" i="3"/>
  <c r="AM130" i="2" s="1"/>
  <c r="AM131"/>
  <c r="AM125"/>
  <c r="AM73"/>
  <c r="AM70"/>
  <c r="AM60"/>
  <c r="AM58" i="3"/>
  <c r="AM58" i="2" s="1"/>
  <c r="AM59"/>
  <c r="AM37"/>
  <c r="AM18"/>
  <c r="AM16"/>
  <c r="AM7"/>
  <c r="AM54"/>
  <c r="AM36"/>
  <c r="AM21"/>
  <c r="AM13" i="3"/>
  <c r="AM13" i="2" s="1"/>
  <c r="AM14"/>
  <c r="AM12"/>
  <c r="AM100"/>
  <c r="AM93"/>
  <c r="AM90"/>
  <c r="AM47"/>
  <c r="AM34"/>
  <c r="AM28"/>
  <c r="AM20"/>
  <c r="AM6"/>
  <c r="AM49" i="3"/>
  <c r="AM49" i="2" s="1"/>
  <c r="AM50"/>
  <c r="AM26"/>
  <c r="AM8"/>
  <c r="AM99"/>
  <c r="AM89"/>
  <c r="AM4" i="3"/>
  <c r="AM4" i="2" s="1"/>
  <c r="AM5"/>
  <c r="AM48"/>
  <c r="AM46"/>
  <c r="AM44"/>
  <c r="AM123"/>
  <c r="AM69"/>
  <c r="AM38"/>
  <c r="AM10"/>
  <c r="AM9"/>
  <c r="AM24"/>
  <c r="AM15"/>
  <c r="AM17"/>
  <c r="AM115"/>
  <c r="AM27"/>
  <c r="AM61"/>
  <c r="AM183"/>
  <c r="AM112" i="3"/>
  <c r="AM112" i="2" s="1"/>
  <c r="AM113"/>
  <c r="AM11"/>
  <c r="AQ207"/>
  <c r="AQ197"/>
  <c r="AQ187"/>
  <c r="AQ177"/>
  <c r="AQ208"/>
  <c r="AQ198"/>
  <c r="AQ188"/>
  <c r="AQ178"/>
  <c r="AQ206"/>
  <c r="AQ193" i="3"/>
  <c r="AQ193" i="2" s="1"/>
  <c r="AQ194"/>
  <c r="AQ180"/>
  <c r="AQ172"/>
  <c r="AQ209"/>
  <c r="AQ205"/>
  <c r="AQ191"/>
  <c r="AQ175" i="3"/>
  <c r="AQ175" i="2" s="1"/>
  <c r="AQ176"/>
  <c r="AQ170"/>
  <c r="AQ204"/>
  <c r="AQ183"/>
  <c r="AQ179"/>
  <c r="AQ166" i="3"/>
  <c r="AQ166" i="2" s="1"/>
  <c r="AQ167"/>
  <c r="AQ165"/>
  <c r="AQ202" i="3"/>
  <c r="AQ202" i="2" s="1"/>
  <c r="AQ203"/>
  <c r="AQ200"/>
  <c r="AQ189"/>
  <c r="AQ184" i="3"/>
  <c r="AQ184" i="2" s="1"/>
  <c r="AQ185"/>
  <c r="AQ181"/>
  <c r="AQ159"/>
  <c r="AQ148" i="3"/>
  <c r="AQ148" i="2" s="1"/>
  <c r="AQ149"/>
  <c r="AQ147"/>
  <c r="AQ137"/>
  <c r="AQ201"/>
  <c r="AQ199"/>
  <c r="AQ186"/>
  <c r="AQ174"/>
  <c r="AQ173"/>
  <c r="AQ162"/>
  <c r="AQ160"/>
  <c r="AQ196"/>
  <c r="AQ195"/>
  <c r="AQ152"/>
  <c r="AQ169"/>
  <c r="AQ163"/>
  <c r="AQ155"/>
  <c r="AQ154"/>
  <c r="AQ210"/>
  <c r="AQ142"/>
  <c r="AQ164"/>
  <c r="AQ153"/>
  <c r="AQ146"/>
  <c r="AQ144"/>
  <c r="AQ141"/>
  <c r="AQ130" i="3"/>
  <c r="AQ130" i="2" s="1"/>
  <c r="AQ131"/>
  <c r="AQ129"/>
  <c r="AQ156"/>
  <c r="AQ138"/>
  <c r="AQ135"/>
  <c r="AQ133"/>
  <c r="AQ190"/>
  <c r="AQ145"/>
  <c r="AQ125"/>
  <c r="AQ115"/>
  <c r="AQ105"/>
  <c r="AQ121" i="3"/>
  <c r="AQ121" i="2" s="1"/>
  <c r="AQ122"/>
  <c r="AQ120"/>
  <c r="AQ151"/>
  <c r="AQ150"/>
  <c r="AQ143"/>
  <c r="AQ128"/>
  <c r="AQ124"/>
  <c r="AQ114"/>
  <c r="AQ103" i="3"/>
  <c r="AQ103" i="2" s="1"/>
  <c r="AQ104"/>
  <c r="AQ102"/>
  <c r="AQ192"/>
  <c r="AQ171"/>
  <c r="AQ134"/>
  <c r="AQ110"/>
  <c r="AQ106"/>
  <c r="AQ91"/>
  <c r="AQ81"/>
  <c r="AQ71"/>
  <c r="AQ61"/>
  <c r="AQ132"/>
  <c r="AQ111"/>
  <c r="AQ109"/>
  <c r="AQ88"/>
  <c r="AQ78"/>
  <c r="AQ67" i="3"/>
  <c r="AQ67" i="2" s="1"/>
  <c r="AQ68"/>
  <c r="AQ66"/>
  <c r="AQ56"/>
  <c r="AQ168"/>
  <c r="AQ157" i="3"/>
  <c r="AQ157" i="2" s="1"/>
  <c r="AQ158"/>
  <c r="AQ127"/>
  <c r="AQ101"/>
  <c r="AQ90"/>
  <c r="AQ80"/>
  <c r="AQ70"/>
  <c r="AQ60"/>
  <c r="AQ123"/>
  <c r="AQ118"/>
  <c r="AQ117"/>
  <c r="AQ112" i="3"/>
  <c r="AQ112" i="2" s="1"/>
  <c r="AQ113"/>
  <c r="AQ97"/>
  <c r="AQ92"/>
  <c r="AQ82"/>
  <c r="AQ72"/>
  <c r="AQ62"/>
  <c r="AQ161"/>
  <c r="AQ116"/>
  <c r="AQ107"/>
  <c r="AQ98"/>
  <c r="AQ76" i="3"/>
  <c r="AQ76" i="2" s="1"/>
  <c r="AQ77"/>
  <c r="AQ46"/>
  <c r="AQ36"/>
  <c r="AQ26"/>
  <c r="AQ139" i="3"/>
  <c r="AQ139" i="2" s="1"/>
  <c r="AQ140"/>
  <c r="AQ119"/>
  <c r="AQ99"/>
  <c r="AQ89"/>
  <c r="AQ69"/>
  <c r="AQ45"/>
  <c r="AQ35"/>
  <c r="AQ25"/>
  <c r="AQ47"/>
  <c r="AQ37"/>
  <c r="AQ27"/>
  <c r="AQ126"/>
  <c r="AQ108"/>
  <c r="AQ79"/>
  <c r="AQ65"/>
  <c r="AQ51"/>
  <c r="AQ40" i="3"/>
  <c r="AQ40" i="2" s="1"/>
  <c r="AQ41"/>
  <c r="AQ39"/>
  <c r="AQ29"/>
  <c r="AQ19"/>
  <c r="AQ75"/>
  <c r="AQ64"/>
  <c r="AQ44"/>
  <c r="AQ43"/>
  <c r="AQ11"/>
  <c r="AQ94" i="3"/>
  <c r="AQ94" i="2" s="1"/>
  <c r="AQ95"/>
  <c r="AQ74"/>
  <c r="AQ73"/>
  <c r="AQ58" i="3"/>
  <c r="AQ58" i="2" s="1"/>
  <c r="AQ59"/>
  <c r="AQ57"/>
  <c r="AQ42"/>
  <c r="AQ38"/>
  <c r="AQ24"/>
  <c r="AQ22" i="3"/>
  <c r="AQ22" i="2" s="1"/>
  <c r="AQ23"/>
  <c r="AQ8"/>
  <c r="AQ85" i="3"/>
  <c r="AQ85" i="2" s="1"/>
  <c r="AQ86"/>
  <c r="AQ54"/>
  <c r="AQ53"/>
  <c r="AQ21"/>
  <c r="AQ18"/>
  <c r="AQ10"/>
  <c r="AQ84"/>
  <c r="AQ83"/>
  <c r="AQ34"/>
  <c r="AQ33"/>
  <c r="AQ28"/>
  <c r="AQ17"/>
  <c r="AQ13" i="3"/>
  <c r="AQ13" i="2" s="1"/>
  <c r="AQ14"/>
  <c r="AQ12"/>
  <c r="AQ182"/>
  <c r="AQ49" i="3"/>
  <c r="AQ49" i="2" s="1"/>
  <c r="AQ50"/>
  <c r="AQ7"/>
  <c r="AQ100"/>
  <c r="AQ96"/>
  <c r="AQ93"/>
  <c r="AQ20"/>
  <c r="AQ31" i="3"/>
  <c r="AQ31" i="2" s="1"/>
  <c r="AQ32"/>
  <c r="AQ15"/>
  <c r="AQ6"/>
  <c r="AQ4" i="3"/>
  <c r="AQ4" i="2" s="1"/>
  <c r="AQ5"/>
  <c r="AQ63"/>
  <c r="AQ48"/>
  <c r="AQ16"/>
  <c r="AQ136"/>
  <c r="AQ55"/>
  <c r="AQ30"/>
  <c r="AQ87"/>
  <c r="AQ9"/>
  <c r="AQ52"/>
  <c r="V208"/>
  <c r="V198"/>
  <c r="V188"/>
  <c r="V178"/>
  <c r="V209"/>
  <c r="V199"/>
  <c r="V189"/>
  <c r="V179"/>
  <c r="V206"/>
  <c r="V180"/>
  <c r="V205"/>
  <c r="V193" i="3"/>
  <c r="V193" i="2" s="1"/>
  <c r="V194"/>
  <c r="V191"/>
  <c r="V175" i="3"/>
  <c r="V175" i="2" s="1"/>
  <c r="V176"/>
  <c r="V171"/>
  <c r="V187"/>
  <c r="V183"/>
  <c r="V168"/>
  <c r="V203"/>
  <c r="V202" i="3"/>
  <c r="V202" i="2" s="1"/>
  <c r="V200"/>
  <c r="V184" i="3"/>
  <c r="V184" i="2" s="1"/>
  <c r="V185"/>
  <c r="V204"/>
  <c r="V181"/>
  <c r="V160"/>
  <c r="V150"/>
  <c r="V139" i="3"/>
  <c r="V139" i="2" s="1"/>
  <c r="V140"/>
  <c r="V138"/>
  <c r="V201"/>
  <c r="V177"/>
  <c r="V186"/>
  <c r="V174"/>
  <c r="V173"/>
  <c r="V172"/>
  <c r="V161"/>
  <c r="V207"/>
  <c r="V196"/>
  <c r="V195"/>
  <c r="V182"/>
  <c r="V170"/>
  <c r="V164"/>
  <c r="V153"/>
  <c r="V190"/>
  <c r="V157" i="3"/>
  <c r="V157" i="2" s="1"/>
  <c r="V158"/>
  <c r="V151"/>
  <c r="V136"/>
  <c r="V192"/>
  <c r="V166" i="3"/>
  <c r="V166" i="2" s="1"/>
  <c r="V167"/>
  <c r="V159"/>
  <c r="V154"/>
  <c r="V147"/>
  <c r="V144"/>
  <c r="V141"/>
  <c r="V162"/>
  <c r="V148" i="3"/>
  <c r="V148" i="2" s="1"/>
  <c r="V149"/>
  <c r="V132"/>
  <c r="V210"/>
  <c r="V165"/>
  <c r="V152"/>
  <c r="V145"/>
  <c r="V137"/>
  <c r="V156"/>
  <c r="V155"/>
  <c r="V126"/>
  <c r="V116"/>
  <c r="V106"/>
  <c r="V163"/>
  <c r="V134"/>
  <c r="V128"/>
  <c r="V123"/>
  <c r="V112" i="3"/>
  <c r="V112" i="2" s="1"/>
  <c r="V113"/>
  <c r="V111"/>
  <c r="V127"/>
  <c r="V125"/>
  <c r="V115"/>
  <c r="V105"/>
  <c r="V169"/>
  <c r="V121" i="3"/>
  <c r="V121" i="2" s="1"/>
  <c r="V122"/>
  <c r="V117"/>
  <c r="V110"/>
  <c r="V98"/>
  <c r="V92"/>
  <c r="V82"/>
  <c r="V72"/>
  <c r="V62"/>
  <c r="V135"/>
  <c r="V101"/>
  <c r="V89"/>
  <c r="V79"/>
  <c r="V69"/>
  <c r="V58" i="3"/>
  <c r="V58" i="2" s="1"/>
  <c r="V59"/>
  <c r="V57"/>
  <c r="V197"/>
  <c r="V142"/>
  <c r="V133"/>
  <c r="V100"/>
  <c r="V91"/>
  <c r="V81"/>
  <c r="V71"/>
  <c r="V61"/>
  <c r="V130" i="3"/>
  <c r="V130" i="2" s="1"/>
  <c r="V131"/>
  <c r="V99"/>
  <c r="V94" i="3"/>
  <c r="V94" i="2" s="1"/>
  <c r="V95"/>
  <c r="V93"/>
  <c r="V83"/>
  <c r="V73"/>
  <c r="V63"/>
  <c r="V124"/>
  <c r="V107"/>
  <c r="V103" i="3"/>
  <c r="V103" i="2" s="1"/>
  <c r="V104"/>
  <c r="V90"/>
  <c r="V70"/>
  <c r="V55"/>
  <c r="V47"/>
  <c r="V37"/>
  <c r="V27"/>
  <c r="V97"/>
  <c r="V85" i="3"/>
  <c r="V85" i="2" s="1"/>
  <c r="V86"/>
  <c r="V74"/>
  <c r="V60"/>
  <c r="V46"/>
  <c r="V36"/>
  <c r="V26"/>
  <c r="V16"/>
  <c r="V146"/>
  <c r="V119"/>
  <c r="V78"/>
  <c r="V65"/>
  <c r="V49" i="3"/>
  <c r="V49" i="2" s="1"/>
  <c r="V50"/>
  <c r="V48"/>
  <c r="V38"/>
  <c r="V28"/>
  <c r="V109"/>
  <c r="V108"/>
  <c r="V84"/>
  <c r="V56"/>
  <c r="V52"/>
  <c r="V42"/>
  <c r="V31" i="3"/>
  <c r="V31" i="2" s="1"/>
  <c r="V32"/>
  <c r="V30"/>
  <c r="V20"/>
  <c r="V143"/>
  <c r="V54"/>
  <c r="V40" i="3"/>
  <c r="V40" i="2" s="1"/>
  <c r="V41"/>
  <c r="V13" i="3"/>
  <c r="V13" i="2" s="1"/>
  <c r="V14"/>
  <c r="V12"/>
  <c r="V80"/>
  <c r="V76" i="3"/>
  <c r="V76" i="2" s="1"/>
  <c r="V77"/>
  <c r="V53"/>
  <c r="V29"/>
  <c r="V19"/>
  <c r="V9"/>
  <c r="V75"/>
  <c r="V66"/>
  <c r="V64"/>
  <c r="V51"/>
  <c r="V33"/>
  <c r="V18"/>
  <c r="V11"/>
  <c r="V129"/>
  <c r="V120"/>
  <c r="V96"/>
  <c r="V88"/>
  <c r="V87"/>
  <c r="V45"/>
  <c r="V44"/>
  <c r="V39"/>
  <c r="V21"/>
  <c r="V17"/>
  <c r="V15"/>
  <c r="V4" i="3"/>
  <c r="V4" i="2" s="1"/>
  <c r="V5"/>
  <c r="V34"/>
  <c r="V35"/>
  <c r="V43"/>
  <c r="V8"/>
  <c r="V7"/>
  <c r="V6"/>
  <c r="V22" i="3"/>
  <c r="V22" i="2" s="1"/>
  <c r="V23"/>
  <c r="V118"/>
  <c r="V67" i="3"/>
  <c r="V67" i="2" s="1"/>
  <c r="V68"/>
  <c r="V24"/>
  <c r="V10"/>
  <c r="V25"/>
  <c r="V114"/>
  <c r="V102"/>
  <c r="AS205"/>
  <c r="AS195"/>
  <c r="AS184" i="3"/>
  <c r="AS184" i="2" s="1"/>
  <c r="AS185"/>
  <c r="AS183"/>
  <c r="AS173"/>
  <c r="AS206"/>
  <c r="AS196"/>
  <c r="AS186"/>
  <c r="AS175" i="3"/>
  <c r="AS175" i="2" s="1"/>
  <c r="AS176"/>
  <c r="AS174"/>
  <c r="AS210"/>
  <c r="AS192"/>
  <c r="AS177"/>
  <c r="AS171"/>
  <c r="AS199"/>
  <c r="AS188"/>
  <c r="AS180"/>
  <c r="AS168"/>
  <c r="AS193" i="3"/>
  <c r="AS193" i="2" s="1"/>
  <c r="AS194"/>
  <c r="AS191"/>
  <c r="AS172"/>
  <c r="AS163"/>
  <c r="AS208"/>
  <c r="AS197"/>
  <c r="AS182"/>
  <c r="AS207"/>
  <c r="AS169"/>
  <c r="AS165"/>
  <c r="AS155"/>
  <c r="AS145"/>
  <c r="AS135"/>
  <c r="AS190"/>
  <c r="AS178"/>
  <c r="AS164"/>
  <c r="AS200"/>
  <c r="AS189"/>
  <c r="AS187"/>
  <c r="AS170"/>
  <c r="AS162"/>
  <c r="AS160"/>
  <c r="AS150"/>
  <c r="AS198"/>
  <c r="AS179"/>
  <c r="AS166" i="3"/>
  <c r="AS166" i="2" s="1"/>
  <c r="AS167"/>
  <c r="AS161"/>
  <c r="AS143"/>
  <c r="AS139" i="3"/>
  <c r="AS139" i="2" s="1"/>
  <c r="AS140"/>
  <c r="AS157" i="3"/>
  <c r="AS157" i="2" s="1"/>
  <c r="AS158"/>
  <c r="AS151"/>
  <c r="AS202" i="3"/>
  <c r="AS202" i="2" s="1"/>
  <c r="AS203"/>
  <c r="AS127"/>
  <c r="AS209"/>
  <c r="AS153"/>
  <c r="AS146"/>
  <c r="AS144"/>
  <c r="AS141"/>
  <c r="AS142"/>
  <c r="AS136"/>
  <c r="AS134"/>
  <c r="AS132"/>
  <c r="AS123"/>
  <c r="AS112" i="3"/>
  <c r="AS112" i="2" s="1"/>
  <c r="AS113"/>
  <c r="AS111"/>
  <c r="AS201"/>
  <c r="AS159"/>
  <c r="AS156"/>
  <c r="AS154"/>
  <c r="AS137"/>
  <c r="AS118"/>
  <c r="AS204"/>
  <c r="AS152"/>
  <c r="AS148" i="3"/>
  <c r="AS148" i="2" s="1"/>
  <c r="AS149"/>
  <c r="AS130" i="3"/>
  <c r="AS130" i="2" s="1"/>
  <c r="AS131"/>
  <c r="AS121" i="3"/>
  <c r="AS121" i="2" s="1"/>
  <c r="AS122"/>
  <c r="AS120"/>
  <c r="AS110"/>
  <c r="AS100"/>
  <c r="AS89"/>
  <c r="AS79"/>
  <c r="AS69"/>
  <c r="AS58" i="3"/>
  <c r="AS58" i="2" s="1"/>
  <c r="AS59"/>
  <c r="AS57"/>
  <c r="AS126"/>
  <c r="AS116"/>
  <c r="AS99"/>
  <c r="AS96"/>
  <c r="AS85" i="3"/>
  <c r="AS85" i="2" s="1"/>
  <c r="AS86"/>
  <c r="AS84"/>
  <c r="AS74"/>
  <c r="AS64"/>
  <c r="AS109"/>
  <c r="AS103" i="3"/>
  <c r="AS103" i="2" s="1"/>
  <c r="AS104"/>
  <c r="AS88"/>
  <c r="AS78"/>
  <c r="AS67" i="3"/>
  <c r="AS67" i="2" s="1"/>
  <c r="AS68"/>
  <c r="AS66"/>
  <c r="AS56"/>
  <c r="AS128"/>
  <c r="AS108"/>
  <c r="AS101"/>
  <c r="AS90"/>
  <c r="AS80"/>
  <c r="AS70"/>
  <c r="AS60"/>
  <c r="AS114"/>
  <c r="AS65"/>
  <c r="AS54"/>
  <c r="AS44"/>
  <c r="AS34"/>
  <c r="AS24"/>
  <c r="AS138"/>
  <c r="AS125"/>
  <c r="AS83"/>
  <c r="AS55"/>
  <c r="AS53"/>
  <c r="AS43"/>
  <c r="AS33"/>
  <c r="AS22" i="3"/>
  <c r="AS22" i="2" s="1"/>
  <c r="AS23"/>
  <c r="AS21"/>
  <c r="AS133"/>
  <c r="AS97"/>
  <c r="AS87"/>
  <c r="AS82"/>
  <c r="AS75"/>
  <c r="AS61"/>
  <c r="AS45"/>
  <c r="AS35"/>
  <c r="AS25"/>
  <c r="AS147"/>
  <c r="AS124"/>
  <c r="AS93"/>
  <c r="AS73"/>
  <c r="AS47"/>
  <c r="AS37"/>
  <c r="AS27"/>
  <c r="AS17"/>
  <c r="AS129"/>
  <c r="AS117"/>
  <c r="AS107"/>
  <c r="AS98"/>
  <c r="AS63"/>
  <c r="AS49" i="3"/>
  <c r="AS49" i="2" s="1"/>
  <c r="AS50"/>
  <c r="AS39"/>
  <c r="AS26"/>
  <c r="AS20"/>
  <c r="AS9"/>
  <c r="AS105"/>
  <c r="AS102"/>
  <c r="AS72"/>
  <c r="AS71"/>
  <c r="AS62"/>
  <c r="AS6"/>
  <c r="AS115"/>
  <c r="AS40" i="3"/>
  <c r="AS40" i="2" s="1"/>
  <c r="AS41"/>
  <c r="AS30"/>
  <c r="AS8"/>
  <c r="AS181"/>
  <c r="AS52"/>
  <c r="AS48"/>
  <c r="AS10"/>
  <c r="AS94" i="3"/>
  <c r="AS94" i="2" s="1"/>
  <c r="AS95"/>
  <c r="AS29"/>
  <c r="AS28"/>
  <c r="AS13" i="3"/>
  <c r="AS13" i="2" s="1"/>
  <c r="AS14"/>
  <c r="AS92"/>
  <c r="AS91"/>
  <c r="AS12"/>
  <c r="AS7"/>
  <c r="AS76" i="3"/>
  <c r="AS76" i="2" s="1"/>
  <c r="AS77"/>
  <c r="AS46"/>
  <c r="AS36"/>
  <c r="AS4" i="3"/>
  <c r="AS4" i="2" s="1"/>
  <c r="AS5"/>
  <c r="AS81"/>
  <c r="AS38"/>
  <c r="AS18"/>
  <c r="AS11"/>
  <c r="AS19"/>
  <c r="AS119"/>
  <c r="AS42"/>
  <c r="AS15"/>
  <c r="AS31" i="3"/>
  <c r="AS31" i="2" s="1"/>
  <c r="AS32"/>
  <c r="AS51"/>
  <c r="AS16"/>
  <c r="AS106"/>
  <c r="AJ210"/>
  <c r="AJ200"/>
  <c r="AJ190"/>
  <c r="AJ180"/>
  <c r="AJ202" i="3"/>
  <c r="AJ202" i="2" s="1"/>
  <c r="AJ203"/>
  <c r="AJ201"/>
  <c r="AJ191"/>
  <c r="AJ181"/>
  <c r="AJ207"/>
  <c r="AJ189"/>
  <c r="AJ184" i="3"/>
  <c r="AJ184" i="2" s="1"/>
  <c r="AJ185"/>
  <c r="AJ168"/>
  <c r="AJ196"/>
  <c r="AJ192"/>
  <c r="AJ177"/>
  <c r="AJ174"/>
  <c r="AJ199"/>
  <c r="AJ195"/>
  <c r="AJ188"/>
  <c r="AJ173"/>
  <c r="AJ170"/>
  <c r="AJ204"/>
  <c r="AJ183"/>
  <c r="AJ179"/>
  <c r="AJ178"/>
  <c r="AJ175" i="3"/>
  <c r="AJ175" i="2" s="1"/>
  <c r="AJ176"/>
  <c r="AJ171"/>
  <c r="AJ152"/>
  <c r="AJ142"/>
  <c r="AJ209"/>
  <c r="AJ208"/>
  <c r="AJ198"/>
  <c r="AJ197"/>
  <c r="AJ193" i="3"/>
  <c r="AJ193" i="2" s="1"/>
  <c r="AJ194"/>
  <c r="AJ186"/>
  <c r="AJ164"/>
  <c r="AJ161"/>
  <c r="AJ205"/>
  <c r="AJ162"/>
  <c r="AJ155"/>
  <c r="AJ145"/>
  <c r="AJ156"/>
  <c r="AJ143"/>
  <c r="AJ139" i="3"/>
  <c r="AJ139" i="2" s="1"/>
  <c r="AJ140"/>
  <c r="AJ182"/>
  <c r="AJ165"/>
  <c r="AJ159"/>
  <c r="AJ154"/>
  <c r="AJ147"/>
  <c r="AJ206"/>
  <c r="AJ166" i="3"/>
  <c r="AJ166" i="2" s="1"/>
  <c r="AJ167"/>
  <c r="AJ163"/>
  <c r="AJ160"/>
  <c r="AJ150"/>
  <c r="AJ148" i="3"/>
  <c r="AJ148" i="2" s="1"/>
  <c r="AJ149"/>
  <c r="AJ144"/>
  <c r="AJ141"/>
  <c r="AJ151"/>
  <c r="AJ127"/>
  <c r="AJ118"/>
  <c r="AJ108"/>
  <c r="AJ132"/>
  <c r="AJ125"/>
  <c r="AJ115"/>
  <c r="AJ187"/>
  <c r="AJ138"/>
  <c r="AJ136"/>
  <c r="AJ130" i="3"/>
  <c r="AJ130" i="2" s="1"/>
  <c r="AJ131"/>
  <c r="AJ117"/>
  <c r="AJ107"/>
  <c r="AJ97"/>
  <c r="AJ153"/>
  <c r="AJ137"/>
  <c r="AJ128"/>
  <c r="AJ100"/>
  <c r="AJ96"/>
  <c r="AJ85" i="3"/>
  <c r="AJ85" i="2" s="1"/>
  <c r="AJ86"/>
  <c r="AJ84"/>
  <c r="AJ74"/>
  <c r="AJ64"/>
  <c r="AJ157" i="3"/>
  <c r="AJ157" i="2" s="1"/>
  <c r="AJ158"/>
  <c r="AJ146"/>
  <c r="AJ129"/>
  <c r="AJ123"/>
  <c r="AJ121" i="3"/>
  <c r="AJ121" i="2" s="1"/>
  <c r="AJ122"/>
  <c r="AJ112" i="3"/>
  <c r="AJ112" i="2" s="1"/>
  <c r="AJ113"/>
  <c r="AJ99"/>
  <c r="AJ91"/>
  <c r="AJ81"/>
  <c r="AJ71"/>
  <c r="AJ61"/>
  <c r="AJ126"/>
  <c r="AJ116"/>
  <c r="AJ110"/>
  <c r="AJ106"/>
  <c r="AJ103" i="3"/>
  <c r="AJ103" i="2" s="1"/>
  <c r="AJ104"/>
  <c r="AJ94" i="3"/>
  <c r="AJ94" i="2" s="1"/>
  <c r="AJ95"/>
  <c r="AJ93"/>
  <c r="AJ83"/>
  <c r="AJ73"/>
  <c r="AJ63"/>
  <c r="AJ172"/>
  <c r="AJ134"/>
  <c r="AJ120"/>
  <c r="AJ111"/>
  <c r="AJ105"/>
  <c r="AJ101"/>
  <c r="AJ87"/>
  <c r="AJ76" i="3"/>
  <c r="AJ76" i="2" s="1"/>
  <c r="AJ77"/>
  <c r="AJ75"/>
  <c r="AJ65"/>
  <c r="AJ55"/>
  <c r="AJ102"/>
  <c r="AJ89"/>
  <c r="AJ88"/>
  <c r="AJ82"/>
  <c r="AJ69"/>
  <c r="AJ67" i="3"/>
  <c r="AJ67" i="2" s="1"/>
  <c r="AJ68"/>
  <c r="AJ51"/>
  <c r="AJ40" i="3"/>
  <c r="AJ40" i="2" s="1"/>
  <c r="AJ41"/>
  <c r="AJ39"/>
  <c r="AJ29"/>
  <c r="AJ133"/>
  <c r="AJ80"/>
  <c r="AJ66"/>
  <c r="AJ58" i="3"/>
  <c r="AJ58" i="2" s="1"/>
  <c r="AJ59"/>
  <c r="AJ49" i="3"/>
  <c r="AJ49" i="2" s="1"/>
  <c r="AJ50"/>
  <c r="AJ48"/>
  <c r="AJ38"/>
  <c r="AJ28"/>
  <c r="AJ18"/>
  <c r="AJ114"/>
  <c r="AJ98"/>
  <c r="AJ52"/>
  <c r="AJ42"/>
  <c r="AJ31" i="3"/>
  <c r="AJ31" i="2" s="1"/>
  <c r="AJ32"/>
  <c r="AJ30"/>
  <c r="AJ135"/>
  <c r="AJ90"/>
  <c r="AJ70"/>
  <c r="AJ62"/>
  <c r="AJ54"/>
  <c r="AJ44"/>
  <c r="AJ34"/>
  <c r="AJ24"/>
  <c r="AJ57"/>
  <c r="AJ56"/>
  <c r="AJ53"/>
  <c r="AJ17"/>
  <c r="AJ6"/>
  <c r="AJ35"/>
  <c r="AJ20"/>
  <c r="AJ11"/>
  <c r="AJ27"/>
  <c r="AJ26"/>
  <c r="AJ19"/>
  <c r="AJ15"/>
  <c r="AJ4" i="3"/>
  <c r="AJ4" i="2" s="1"/>
  <c r="AJ5"/>
  <c r="AJ43"/>
  <c r="AJ25"/>
  <c r="AJ7"/>
  <c r="AJ109"/>
  <c r="AJ92"/>
  <c r="AJ47"/>
  <c r="AJ46"/>
  <c r="AJ45"/>
  <c r="AJ16"/>
  <c r="AJ12"/>
  <c r="AJ119"/>
  <c r="AJ72"/>
  <c r="AJ37"/>
  <c r="AJ36"/>
  <c r="AJ22" i="3"/>
  <c r="AJ22" i="2" s="1"/>
  <c r="AJ23"/>
  <c r="AJ21"/>
  <c r="AJ78"/>
  <c r="AJ13" i="3"/>
  <c r="AJ13" i="2" s="1"/>
  <c r="AJ14"/>
  <c r="AJ9"/>
  <c r="AJ8"/>
  <c r="AJ60"/>
  <c r="AJ10"/>
  <c r="AJ33"/>
  <c r="AJ79"/>
  <c r="AJ124"/>
  <c r="AJ169"/>
  <c r="AB210"/>
  <c r="AB200"/>
  <c r="AB190"/>
  <c r="AB180"/>
  <c r="AB202" i="3"/>
  <c r="AB202" i="2" s="1"/>
  <c r="AB203"/>
  <c r="AB201"/>
  <c r="AB191"/>
  <c r="AB181"/>
  <c r="AB208"/>
  <c r="AB197"/>
  <c r="AB182"/>
  <c r="AB168"/>
  <c r="AB186"/>
  <c r="AB178"/>
  <c r="AB207"/>
  <c r="AB189"/>
  <c r="AB184" i="3"/>
  <c r="AB184" i="2" s="1"/>
  <c r="AB185"/>
  <c r="AB170"/>
  <c r="AB206"/>
  <c r="AB193" i="3"/>
  <c r="AB193" i="2" s="1"/>
  <c r="AB194"/>
  <c r="AB209"/>
  <c r="AB198"/>
  <c r="AB172"/>
  <c r="AB162"/>
  <c r="AB152"/>
  <c r="AB142"/>
  <c r="AB204"/>
  <c r="AB192"/>
  <c r="AB171"/>
  <c r="AB161"/>
  <c r="AB175" i="3"/>
  <c r="AB175" i="2" s="1"/>
  <c r="AB176"/>
  <c r="AB169"/>
  <c r="AB165"/>
  <c r="AB199"/>
  <c r="AB187"/>
  <c r="AB174"/>
  <c r="AB173"/>
  <c r="AB166" i="3"/>
  <c r="AB166" i="2" s="1"/>
  <c r="AB167"/>
  <c r="AB163"/>
  <c r="AB155"/>
  <c r="AB145"/>
  <c r="AB153"/>
  <c r="AB146"/>
  <c r="AB138"/>
  <c r="AB135"/>
  <c r="AB188"/>
  <c r="AB160"/>
  <c r="AB143"/>
  <c r="AB139" i="3"/>
  <c r="AB139" i="2" s="1"/>
  <c r="AB140"/>
  <c r="AB196"/>
  <c r="AB183"/>
  <c r="AB179"/>
  <c r="AB164"/>
  <c r="AB154"/>
  <c r="AB147"/>
  <c r="AB136"/>
  <c r="AB205"/>
  <c r="AB137"/>
  <c r="AB133"/>
  <c r="AB118"/>
  <c r="AB108"/>
  <c r="AB127"/>
  <c r="AB125"/>
  <c r="AB115"/>
  <c r="AB177"/>
  <c r="AB159"/>
  <c r="AB129"/>
  <c r="AB117"/>
  <c r="AB107"/>
  <c r="AB97"/>
  <c r="AB157" i="3"/>
  <c r="AB157" i="2" s="1"/>
  <c r="AB158"/>
  <c r="AB151"/>
  <c r="AB120"/>
  <c r="AB111"/>
  <c r="AB96"/>
  <c r="AB85" i="3"/>
  <c r="AB85" i="2" s="1"/>
  <c r="AB86"/>
  <c r="AB84"/>
  <c r="AB74"/>
  <c r="AB64"/>
  <c r="AB132"/>
  <c r="AB124"/>
  <c r="AB119"/>
  <c r="AB114"/>
  <c r="AB100"/>
  <c r="AB91"/>
  <c r="AB81"/>
  <c r="AB71"/>
  <c r="AB61"/>
  <c r="AB156"/>
  <c r="AB102"/>
  <c r="AB94" i="3"/>
  <c r="AB94" i="2" s="1"/>
  <c r="AB95"/>
  <c r="AB93"/>
  <c r="AB83"/>
  <c r="AB73"/>
  <c r="AB63"/>
  <c r="AB110"/>
  <c r="AB106"/>
  <c r="AB98"/>
  <c r="AB87"/>
  <c r="AB76" i="3"/>
  <c r="AB76" i="2" s="1"/>
  <c r="AB77"/>
  <c r="AB75"/>
  <c r="AB65"/>
  <c r="AB55"/>
  <c r="AB134"/>
  <c r="AB92"/>
  <c r="AB79"/>
  <c r="AB78"/>
  <c r="AB72"/>
  <c r="AB51"/>
  <c r="AB40" i="3"/>
  <c r="AB40" i="2" s="1"/>
  <c r="AB41"/>
  <c r="AB39"/>
  <c r="AB29"/>
  <c r="AB148" i="3"/>
  <c r="AB148" i="2" s="1"/>
  <c r="AB149"/>
  <c r="AB116"/>
  <c r="AB90"/>
  <c r="AB70"/>
  <c r="AB62"/>
  <c r="AB49" i="3"/>
  <c r="AB49" i="2" s="1"/>
  <c r="AB50"/>
  <c r="AB48"/>
  <c r="AB38"/>
  <c r="AB28"/>
  <c r="AB18"/>
  <c r="AB144"/>
  <c r="AB52"/>
  <c r="AB42"/>
  <c r="AB31" i="3"/>
  <c r="AB31" i="2" s="1"/>
  <c r="AB32"/>
  <c r="AB30"/>
  <c r="AB195"/>
  <c r="AB112" i="3"/>
  <c r="AB112" i="2" s="1"/>
  <c r="AB113"/>
  <c r="AB80"/>
  <c r="AB66"/>
  <c r="AB58" i="3"/>
  <c r="AB58" i="2" s="1"/>
  <c r="AB59"/>
  <c r="AB54"/>
  <c r="AB44"/>
  <c r="AB34"/>
  <c r="AB24"/>
  <c r="AB121" i="3"/>
  <c r="AB121" i="2" s="1"/>
  <c r="AB122"/>
  <c r="AB103" i="3"/>
  <c r="AB103" i="2" s="1"/>
  <c r="AB104"/>
  <c r="AB89"/>
  <c r="AB45"/>
  <c r="AB6"/>
  <c r="AB82"/>
  <c r="AB43"/>
  <c r="AB25"/>
  <c r="AB11"/>
  <c r="AB123"/>
  <c r="AB37"/>
  <c r="AB36"/>
  <c r="AB20"/>
  <c r="AB15"/>
  <c r="AB4" i="3"/>
  <c r="AB4" i="2" s="1"/>
  <c r="AB5"/>
  <c r="AB128"/>
  <c r="AB109"/>
  <c r="AB69"/>
  <c r="AB60"/>
  <c r="AB35"/>
  <c r="AB19"/>
  <c r="AB7"/>
  <c r="AB141"/>
  <c r="AB101"/>
  <c r="AB9"/>
  <c r="AB8"/>
  <c r="AB150"/>
  <c r="AB33"/>
  <c r="AB27"/>
  <c r="AB16"/>
  <c r="AB47"/>
  <c r="AB10"/>
  <c r="AB105"/>
  <c r="AB67" i="3"/>
  <c r="AB67" i="2" s="1"/>
  <c r="AB68"/>
  <c r="AB57"/>
  <c r="AB13" i="3"/>
  <c r="AB13" i="2" s="1"/>
  <c r="AB14"/>
  <c r="AB88"/>
  <c r="AB56"/>
  <c r="AB53"/>
  <c r="AB26"/>
  <c r="AB21"/>
  <c r="AB17"/>
  <c r="AB12"/>
  <c r="AB46"/>
  <c r="AB130" i="3"/>
  <c r="AB130" i="2" s="1"/>
  <c r="AB131"/>
  <c r="AB99"/>
  <c r="AB22" i="3"/>
  <c r="AB22" i="2" s="1"/>
  <c r="AB23"/>
  <c r="AB126"/>
  <c r="Z204"/>
  <c r="Z193" i="3"/>
  <c r="Z193" i="2" s="1"/>
  <c r="Z194"/>
  <c r="Z192"/>
  <c r="Z182"/>
  <c r="Z205"/>
  <c r="Z195"/>
  <c r="Z184" i="3"/>
  <c r="Z184" i="2" s="1"/>
  <c r="Z185"/>
  <c r="Z183"/>
  <c r="Z173"/>
  <c r="Z202" i="3"/>
  <c r="Z202" i="2" s="1"/>
  <c r="Z203"/>
  <c r="Z200"/>
  <c r="Z189"/>
  <c r="Z178"/>
  <c r="Z170"/>
  <c r="Z207"/>
  <c r="Z196"/>
  <c r="Z181"/>
  <c r="Z174"/>
  <c r="Z166" i="3"/>
  <c r="Z166" i="2" s="1"/>
  <c r="Z167"/>
  <c r="Z165"/>
  <c r="Z210"/>
  <c r="Z199"/>
  <c r="Z177"/>
  <c r="Z172"/>
  <c r="Z198"/>
  <c r="Z187"/>
  <c r="Z179"/>
  <c r="Z208"/>
  <c r="Z206"/>
  <c r="Z197"/>
  <c r="Z154"/>
  <c r="Z144"/>
  <c r="Z134"/>
  <c r="Z191"/>
  <c r="Z169"/>
  <c r="Z201"/>
  <c r="Z188"/>
  <c r="Z163"/>
  <c r="Z209"/>
  <c r="Z186"/>
  <c r="Z159"/>
  <c r="Z148" i="3"/>
  <c r="Z148" i="2" s="1"/>
  <c r="Z149"/>
  <c r="Z147"/>
  <c r="Z160"/>
  <c r="Z156"/>
  <c r="Z190"/>
  <c r="Z171"/>
  <c r="Z152"/>
  <c r="Z145"/>
  <c r="Z155"/>
  <c r="Z136"/>
  <c r="Z162"/>
  <c r="Z150"/>
  <c r="Z164"/>
  <c r="Z146"/>
  <c r="Z142"/>
  <c r="Z132"/>
  <c r="Z121" i="3"/>
  <c r="Z121" i="2" s="1"/>
  <c r="Z122"/>
  <c r="Z120"/>
  <c r="Z110"/>
  <c r="Z117"/>
  <c r="Z168"/>
  <c r="Z153"/>
  <c r="Z139" i="3"/>
  <c r="Z139" i="2" s="1"/>
  <c r="Z140"/>
  <c r="Z130" i="3"/>
  <c r="Z130" i="2" s="1"/>
  <c r="Z131"/>
  <c r="Z119"/>
  <c r="Z109"/>
  <c r="Z99"/>
  <c r="Z180"/>
  <c r="Z124"/>
  <c r="Z114"/>
  <c r="Z88"/>
  <c r="Z78"/>
  <c r="Z67" i="3"/>
  <c r="Z67" i="2" s="1"/>
  <c r="Z68"/>
  <c r="Z66"/>
  <c r="Z56"/>
  <c r="Z138"/>
  <c r="Z107"/>
  <c r="Z94" i="3"/>
  <c r="Z94" i="2" s="1"/>
  <c r="Z95"/>
  <c r="Z93"/>
  <c r="Z83"/>
  <c r="Z73"/>
  <c r="Z63"/>
  <c r="Z161"/>
  <c r="Z141"/>
  <c r="Z106"/>
  <c r="Z103" i="3"/>
  <c r="Z103" i="2" s="1"/>
  <c r="Z104"/>
  <c r="Z98"/>
  <c r="Z87"/>
  <c r="Z76" i="3"/>
  <c r="Z76" i="2" s="1"/>
  <c r="Z77"/>
  <c r="Z75"/>
  <c r="Z65"/>
  <c r="Z55"/>
  <c r="Z143"/>
  <c r="Z89"/>
  <c r="Z79"/>
  <c r="Z69"/>
  <c r="Z58" i="3"/>
  <c r="Z58" i="2" s="1"/>
  <c r="Z59"/>
  <c r="Z57"/>
  <c r="Z96"/>
  <c r="Z64"/>
  <c r="Z53"/>
  <c r="Z43"/>
  <c r="Z33"/>
  <c r="Z22" i="3"/>
  <c r="Z22" i="2" s="1"/>
  <c r="Z23"/>
  <c r="Z157" i="3"/>
  <c r="Z157" i="2" s="1"/>
  <c r="Z158"/>
  <c r="Z151"/>
  <c r="Z105"/>
  <c r="Z82"/>
  <c r="Z52"/>
  <c r="Z42"/>
  <c r="Z31" i="3"/>
  <c r="Z31" i="2" s="1"/>
  <c r="Z32"/>
  <c r="Z30"/>
  <c r="Z20"/>
  <c r="Z137"/>
  <c r="Z135"/>
  <c r="Z128"/>
  <c r="Z127"/>
  <c r="Z123"/>
  <c r="Z97"/>
  <c r="Z85" i="3"/>
  <c r="Z85" i="2" s="1"/>
  <c r="Z86"/>
  <c r="Z81"/>
  <c r="Z74"/>
  <c r="Z60"/>
  <c r="Z54"/>
  <c r="Z44"/>
  <c r="Z34"/>
  <c r="Z24"/>
  <c r="Z129"/>
  <c r="Z115"/>
  <c r="Z111"/>
  <c r="Z100"/>
  <c r="Z92"/>
  <c r="Z72"/>
  <c r="Z46"/>
  <c r="Z36"/>
  <c r="Z26"/>
  <c r="Z118"/>
  <c r="Z108"/>
  <c r="Z90"/>
  <c r="Z84"/>
  <c r="Z38"/>
  <c r="Z25"/>
  <c r="Z21"/>
  <c r="Z17"/>
  <c r="Z8"/>
  <c r="Z126"/>
  <c r="Z15"/>
  <c r="Z4" i="3"/>
  <c r="Z4" i="2" s="1"/>
  <c r="Z5"/>
  <c r="Z48"/>
  <c r="Z29"/>
  <c r="Z7"/>
  <c r="Z102"/>
  <c r="Z70"/>
  <c r="Z51"/>
  <c r="Z47"/>
  <c r="Z16"/>
  <c r="Z9"/>
  <c r="Z125"/>
  <c r="Z80"/>
  <c r="Z39"/>
  <c r="Z18"/>
  <c r="Z11"/>
  <c r="Z101"/>
  <c r="Z37"/>
  <c r="Z19"/>
  <c r="Z10"/>
  <c r="Z61"/>
  <c r="Z6"/>
  <c r="Z175" i="3"/>
  <c r="Z175" i="2" s="1"/>
  <c r="Z176"/>
  <c r="Z28"/>
  <c r="Z12"/>
  <c r="Z45"/>
  <c r="Z133"/>
  <c r="Z71"/>
  <c r="Z112" i="3"/>
  <c r="Z112" i="2" s="1"/>
  <c r="Z113"/>
  <c r="Z27"/>
  <c r="Z91"/>
  <c r="Z116"/>
  <c r="Z13" i="3"/>
  <c r="Z13" i="2" s="1"/>
  <c r="Z14"/>
  <c r="Z49" i="3"/>
  <c r="Z49" i="2" s="1"/>
  <c r="Z50"/>
  <c r="Z40" i="3"/>
  <c r="Z40" i="2" s="1"/>
  <c r="Z41"/>
  <c r="Z35"/>
  <c r="Z62"/>
  <c r="AA207"/>
  <c r="AA197"/>
  <c r="AA187"/>
  <c r="AA177"/>
  <c r="AA208"/>
  <c r="AA198"/>
  <c r="AA188"/>
  <c r="AA178"/>
  <c r="AA186"/>
  <c r="AA202" i="3"/>
  <c r="AA202" i="2" s="1"/>
  <c r="AA203"/>
  <c r="AA200"/>
  <c r="AA189"/>
  <c r="AA184" i="3"/>
  <c r="AA184" i="2" s="1"/>
  <c r="AA185"/>
  <c r="AA170"/>
  <c r="AA196"/>
  <c r="AA192"/>
  <c r="AA181"/>
  <c r="AA174"/>
  <c r="AA166" i="3"/>
  <c r="AA166" i="2" s="1"/>
  <c r="AA167"/>
  <c r="AA165"/>
  <c r="AA209"/>
  <c r="AA205"/>
  <c r="AA191"/>
  <c r="AA175" i="3"/>
  <c r="AA175" i="2" s="1"/>
  <c r="AA176"/>
  <c r="AA195"/>
  <c r="AA193" i="3"/>
  <c r="AA193" i="2" s="1"/>
  <c r="AA194"/>
  <c r="AA159"/>
  <c r="AA148" i="3"/>
  <c r="AA148" i="2" s="1"/>
  <c r="AA149"/>
  <c r="AA147"/>
  <c r="AA137"/>
  <c r="AA179"/>
  <c r="AA164"/>
  <c r="AA190"/>
  <c r="AA160"/>
  <c r="AA210"/>
  <c r="AA172"/>
  <c r="AA168"/>
  <c r="AA162"/>
  <c r="AA152"/>
  <c r="AA199"/>
  <c r="AA180"/>
  <c r="AA143"/>
  <c r="AA139" i="3"/>
  <c r="AA139" i="2" s="1"/>
  <c r="AA140"/>
  <c r="AA201"/>
  <c r="AA163"/>
  <c r="AA156"/>
  <c r="AA206"/>
  <c r="AA204"/>
  <c r="AA169"/>
  <c r="AA157" i="3"/>
  <c r="AA157" i="2" s="1"/>
  <c r="AA158"/>
  <c r="AA151"/>
  <c r="AA142"/>
  <c r="AA130" i="3"/>
  <c r="AA130" i="2" s="1"/>
  <c r="AA131"/>
  <c r="AA129"/>
  <c r="AA173"/>
  <c r="AA144"/>
  <c r="AA141"/>
  <c r="AA133"/>
  <c r="AA127"/>
  <c r="AA125"/>
  <c r="AA115"/>
  <c r="AA105"/>
  <c r="AA171"/>
  <c r="AA146"/>
  <c r="AA132"/>
  <c r="AA122"/>
  <c r="AA121" i="3"/>
  <c r="AA121" i="2" s="1"/>
  <c r="AA120"/>
  <c r="AA124"/>
  <c r="AA114"/>
  <c r="AA103" i="3"/>
  <c r="AA103" i="2" s="1"/>
  <c r="AA104"/>
  <c r="AA102"/>
  <c r="AA145"/>
  <c r="AA136"/>
  <c r="AA119"/>
  <c r="AA108"/>
  <c r="AA100"/>
  <c r="AA91"/>
  <c r="AA81"/>
  <c r="AA71"/>
  <c r="AA61"/>
  <c r="AA182"/>
  <c r="AA150"/>
  <c r="AA134"/>
  <c r="AA99"/>
  <c r="AA88"/>
  <c r="AA78"/>
  <c r="AA67" i="3"/>
  <c r="AA67" i="2" s="1"/>
  <c r="AA68"/>
  <c r="AA66"/>
  <c r="AA56"/>
  <c r="AA155"/>
  <c r="AA154"/>
  <c r="AA135"/>
  <c r="AA128"/>
  <c r="AA123"/>
  <c r="AA118"/>
  <c r="AA117"/>
  <c r="AA112" i="3"/>
  <c r="AA112" i="2" s="1"/>
  <c r="AA113"/>
  <c r="AA90"/>
  <c r="AA80"/>
  <c r="AA70"/>
  <c r="AA60"/>
  <c r="AA153"/>
  <c r="AA126"/>
  <c r="AA116"/>
  <c r="AA109"/>
  <c r="AA101"/>
  <c r="AA92"/>
  <c r="AA82"/>
  <c r="AA72"/>
  <c r="AA62"/>
  <c r="AA138"/>
  <c r="AA111"/>
  <c r="AA76" i="3"/>
  <c r="AA76" i="2" s="1"/>
  <c r="AA77"/>
  <c r="AA46"/>
  <c r="AA36"/>
  <c r="AA26"/>
  <c r="AA89"/>
  <c r="AA69"/>
  <c r="AA45"/>
  <c r="AA35"/>
  <c r="AA25"/>
  <c r="AA47"/>
  <c r="AA37"/>
  <c r="AA27"/>
  <c r="AA161"/>
  <c r="AA79"/>
  <c r="AA65"/>
  <c r="AA51"/>
  <c r="AA40" i="3"/>
  <c r="AA40" i="2" s="1"/>
  <c r="AA41"/>
  <c r="AA39"/>
  <c r="AA29"/>
  <c r="AA19"/>
  <c r="AA93"/>
  <c r="AA44"/>
  <c r="AA43"/>
  <c r="AA11"/>
  <c r="AA183"/>
  <c r="AA106"/>
  <c r="AA84"/>
  <c r="AA83"/>
  <c r="AA42"/>
  <c r="AA38"/>
  <c r="AA24"/>
  <c r="AA22" i="3"/>
  <c r="AA22" i="2" s="1"/>
  <c r="AA23"/>
  <c r="AA21"/>
  <c r="AA17"/>
  <c r="AA8"/>
  <c r="AA63"/>
  <c r="AA54"/>
  <c r="AA53"/>
  <c r="AA10"/>
  <c r="AA107"/>
  <c r="AA94" i="3"/>
  <c r="AA94" i="2" s="1"/>
  <c r="AA95"/>
  <c r="AA74"/>
  <c r="AA73"/>
  <c r="AA58" i="3"/>
  <c r="AA58" i="2" s="1"/>
  <c r="AA59"/>
  <c r="AA57"/>
  <c r="AA34"/>
  <c r="AA33"/>
  <c r="AA28"/>
  <c r="AA13" i="3"/>
  <c r="AA13" i="2" s="1"/>
  <c r="AA14"/>
  <c r="AA12"/>
  <c r="AA97"/>
  <c r="AA7"/>
  <c r="AA55"/>
  <c r="AA31" i="3"/>
  <c r="AA31" i="2" s="1"/>
  <c r="AA32"/>
  <c r="AA15"/>
  <c r="AA85" i="3"/>
  <c r="AA85" i="2" s="1"/>
  <c r="AA86"/>
  <c r="AA64"/>
  <c r="AA98"/>
  <c r="AA30"/>
  <c r="AA9"/>
  <c r="AA96"/>
  <c r="AA20"/>
  <c r="AA16"/>
  <c r="AA49" i="3"/>
  <c r="AA49" i="2" s="1"/>
  <c r="AA50"/>
  <c r="AA75"/>
  <c r="AA110"/>
  <c r="AA18"/>
  <c r="AA6"/>
  <c r="AA48"/>
  <c r="AA4" i="3"/>
  <c r="AA4" i="2" s="1"/>
  <c r="AA5"/>
  <c r="AA87"/>
  <c r="AA52"/>
  <c r="AI207"/>
  <c r="AI197"/>
  <c r="AI187"/>
  <c r="AI177"/>
  <c r="AI208"/>
  <c r="AI198"/>
  <c r="AI188"/>
  <c r="AI178"/>
  <c r="AI196"/>
  <c r="AI192"/>
  <c r="AI181"/>
  <c r="AI174"/>
  <c r="AI210"/>
  <c r="AI199"/>
  <c r="AI195"/>
  <c r="AI173"/>
  <c r="AI170"/>
  <c r="AI206"/>
  <c r="AI193" i="3"/>
  <c r="AI193" i="2" s="1"/>
  <c r="AI194"/>
  <c r="AI180"/>
  <c r="AI172"/>
  <c r="AI166" i="3"/>
  <c r="AI166" i="2" s="1"/>
  <c r="AI167"/>
  <c r="AI165"/>
  <c r="AI201"/>
  <c r="AI190"/>
  <c r="AI182"/>
  <c r="AI159"/>
  <c r="AI148" i="3"/>
  <c r="AI148" i="2" s="1"/>
  <c r="AI149"/>
  <c r="AI147"/>
  <c r="AI137"/>
  <c r="AI184" i="3"/>
  <c r="AI184" i="2" s="1"/>
  <c r="AI185"/>
  <c r="AI204"/>
  <c r="AI163"/>
  <c r="AI160"/>
  <c r="AI202" i="3"/>
  <c r="AI202" i="2" s="1"/>
  <c r="AI203"/>
  <c r="AI175" i="3"/>
  <c r="AI175" i="2" s="1"/>
  <c r="AI176"/>
  <c r="AI171"/>
  <c r="AI152"/>
  <c r="AI205"/>
  <c r="AI164"/>
  <c r="AI145"/>
  <c r="AI162"/>
  <c r="AI157" i="3"/>
  <c r="AI157" i="2" s="1"/>
  <c r="AI158"/>
  <c r="AI151"/>
  <c r="AI209"/>
  <c r="AI161"/>
  <c r="AI136"/>
  <c r="AI130" i="3"/>
  <c r="AI130" i="2" s="1"/>
  <c r="AI131"/>
  <c r="AI129"/>
  <c r="AI169"/>
  <c r="AI153"/>
  <c r="AI146"/>
  <c r="AI133"/>
  <c r="AI150"/>
  <c r="AI143"/>
  <c r="AI132"/>
  <c r="AI125"/>
  <c r="AI115"/>
  <c r="AI105"/>
  <c r="AI189"/>
  <c r="AI179"/>
  <c r="AI141"/>
  <c r="AI135"/>
  <c r="AI134"/>
  <c r="AI121" i="3"/>
  <c r="AI121" i="2" s="1"/>
  <c r="AI122"/>
  <c r="AI120"/>
  <c r="AI183"/>
  <c r="AI124"/>
  <c r="AI114"/>
  <c r="AI103" i="3"/>
  <c r="AI103" i="2" s="1"/>
  <c r="AI104"/>
  <c r="AI102"/>
  <c r="AI144"/>
  <c r="AI123"/>
  <c r="AI118"/>
  <c r="AI117"/>
  <c r="AI112" i="3"/>
  <c r="AI112" i="2" s="1"/>
  <c r="AI113"/>
  <c r="AI107"/>
  <c r="AI99"/>
  <c r="AI91"/>
  <c r="AI81"/>
  <c r="AI71"/>
  <c r="AI61"/>
  <c r="AI200"/>
  <c r="AI88"/>
  <c r="AI78"/>
  <c r="AI67" i="3"/>
  <c r="AI67" i="2" s="1"/>
  <c r="AI68"/>
  <c r="AI66"/>
  <c r="AI56"/>
  <c r="AI186"/>
  <c r="AI138"/>
  <c r="AI109"/>
  <c r="AI98"/>
  <c r="AI90"/>
  <c r="AI80"/>
  <c r="AI70"/>
  <c r="AI60"/>
  <c r="AI156"/>
  <c r="AI155"/>
  <c r="AI154"/>
  <c r="AI119"/>
  <c r="AI92"/>
  <c r="AI82"/>
  <c r="AI72"/>
  <c r="AI62"/>
  <c r="AI128"/>
  <c r="AI127"/>
  <c r="AI87"/>
  <c r="AI75"/>
  <c r="AI46"/>
  <c r="AI36"/>
  <c r="AI26"/>
  <c r="AI142"/>
  <c r="AI100"/>
  <c r="AI79"/>
  <c r="AI65"/>
  <c r="AI45"/>
  <c r="AI35"/>
  <c r="AI25"/>
  <c r="AI116"/>
  <c r="AI106"/>
  <c r="AI101"/>
  <c r="AI96"/>
  <c r="AI94" i="3"/>
  <c r="AI94" i="2" s="1"/>
  <c r="AI95"/>
  <c r="AI64"/>
  <c r="AI63"/>
  <c r="AI57"/>
  <c r="AI47"/>
  <c r="AI37"/>
  <c r="AI27"/>
  <c r="AI191"/>
  <c r="AI89"/>
  <c r="AI69"/>
  <c r="AI51"/>
  <c r="AI40" i="3"/>
  <c r="AI40" i="2" s="1"/>
  <c r="AI41"/>
  <c r="AI39"/>
  <c r="AI29"/>
  <c r="AI19"/>
  <c r="AI111"/>
  <c r="AI55"/>
  <c r="AI52"/>
  <c r="AI48"/>
  <c r="AI20"/>
  <c r="AI11"/>
  <c r="AI168"/>
  <c r="AI85" i="3"/>
  <c r="AI85" i="2" s="1"/>
  <c r="AI86"/>
  <c r="AI34"/>
  <c r="AI33"/>
  <c r="AI28"/>
  <c r="AI8"/>
  <c r="AI126"/>
  <c r="AI84"/>
  <c r="AI83"/>
  <c r="AI49" i="3"/>
  <c r="AI49" i="2" s="1"/>
  <c r="AI50"/>
  <c r="AI10"/>
  <c r="AI42"/>
  <c r="AI38"/>
  <c r="AI24"/>
  <c r="AI22" i="3"/>
  <c r="AI22" i="2" s="1"/>
  <c r="AI23"/>
  <c r="AI18"/>
  <c r="AI16"/>
  <c r="AI13" i="3"/>
  <c r="AI13" i="2" s="1"/>
  <c r="AI14"/>
  <c r="AI12"/>
  <c r="AI108"/>
  <c r="AI93"/>
  <c r="AI44"/>
  <c r="AI43"/>
  <c r="AI97"/>
  <c r="AI15"/>
  <c r="AI74"/>
  <c r="AI73"/>
  <c r="AI30"/>
  <c r="AI76" i="3"/>
  <c r="AI76" i="2" s="1"/>
  <c r="AI77"/>
  <c r="AI58" i="3"/>
  <c r="AI58" i="2" s="1"/>
  <c r="AI59"/>
  <c r="AI53"/>
  <c r="AI110"/>
  <c r="AI31" i="3"/>
  <c r="AI31" i="2" s="1"/>
  <c r="AI32"/>
  <c r="AI7"/>
  <c r="AI6"/>
  <c r="AI4" i="3"/>
  <c r="AI4" i="2" s="1"/>
  <c r="AI5"/>
  <c r="AI54"/>
  <c r="AI9"/>
  <c r="AI21"/>
  <c r="AI17"/>
  <c r="AI139" i="3"/>
  <c r="AI139" i="2" s="1"/>
  <c r="AI140"/>
  <c r="BH210"/>
  <c r="BH200"/>
  <c r="BH190"/>
  <c r="BH180"/>
  <c r="BH202" i="3"/>
  <c r="BH202" i="2" s="1"/>
  <c r="BH203"/>
  <c r="BH201"/>
  <c r="BH191"/>
  <c r="BH181"/>
  <c r="BH208"/>
  <c r="BH197"/>
  <c r="BH182"/>
  <c r="BH168"/>
  <c r="BH186"/>
  <c r="BH178"/>
  <c r="BH207"/>
  <c r="BH189"/>
  <c r="BH184" i="3"/>
  <c r="BH184" i="2" s="1"/>
  <c r="BH185"/>
  <c r="BH170"/>
  <c r="BH206"/>
  <c r="BH193" i="3"/>
  <c r="BH193" i="2" s="1"/>
  <c r="BH194"/>
  <c r="BH179"/>
  <c r="BH177"/>
  <c r="BH172"/>
  <c r="BH164"/>
  <c r="BH152"/>
  <c r="BH142"/>
  <c r="BH199"/>
  <c r="BH187"/>
  <c r="BH174"/>
  <c r="BH173"/>
  <c r="BH166" i="3"/>
  <c r="BH166" i="2" s="1"/>
  <c r="BH167"/>
  <c r="BH163"/>
  <c r="BH161"/>
  <c r="BH196"/>
  <c r="BH195"/>
  <c r="BH204"/>
  <c r="BH192"/>
  <c r="BH171"/>
  <c r="BH155"/>
  <c r="BH145"/>
  <c r="BH209"/>
  <c r="BH165"/>
  <c r="BH159"/>
  <c r="BH153"/>
  <c r="BH146"/>
  <c r="BH160"/>
  <c r="BH198"/>
  <c r="BH183"/>
  <c r="BH157" i="3"/>
  <c r="BH157" i="2" s="1"/>
  <c r="BH158"/>
  <c r="BH205"/>
  <c r="BH175" i="3"/>
  <c r="BH175" i="2" s="1"/>
  <c r="BH176"/>
  <c r="BH169"/>
  <c r="BH154"/>
  <c r="BH147"/>
  <c r="BH143"/>
  <c r="BH139" i="3"/>
  <c r="BH139" i="2" s="1"/>
  <c r="BH140"/>
  <c r="BH134"/>
  <c r="BH136"/>
  <c r="BH133"/>
  <c r="BH130" i="3"/>
  <c r="BH130" i="2" s="1"/>
  <c r="BH131"/>
  <c r="BH118"/>
  <c r="BH108"/>
  <c r="BH151"/>
  <c r="BH148" i="3"/>
  <c r="BH148" i="2" s="1"/>
  <c r="BH149"/>
  <c r="BH137"/>
  <c r="BH125"/>
  <c r="BH115"/>
  <c r="BH132"/>
  <c r="BH117"/>
  <c r="BH107"/>
  <c r="BH97"/>
  <c r="BH123"/>
  <c r="BH121" i="3"/>
  <c r="BH121" i="2" s="1"/>
  <c r="BH122"/>
  <c r="BH112" i="3"/>
  <c r="BH112" i="2" s="1"/>
  <c r="BH113"/>
  <c r="BH103" i="3"/>
  <c r="BH103" i="2" s="1"/>
  <c r="BH104"/>
  <c r="BH85" i="3"/>
  <c r="BH85" i="2" s="1"/>
  <c r="BH86"/>
  <c r="BH84"/>
  <c r="BH74"/>
  <c r="BH64"/>
  <c r="BH162"/>
  <c r="BH150"/>
  <c r="BH98"/>
  <c r="BH91"/>
  <c r="BH81"/>
  <c r="BH71"/>
  <c r="BH61"/>
  <c r="BH156"/>
  <c r="BH94" i="3"/>
  <c r="BH94" i="2" s="1"/>
  <c r="BH95"/>
  <c r="BH93"/>
  <c r="BH83"/>
  <c r="BH73"/>
  <c r="BH63"/>
  <c r="BH128"/>
  <c r="BH124"/>
  <c r="BH119"/>
  <c r="BH114"/>
  <c r="BH106"/>
  <c r="BH100"/>
  <c r="BH87"/>
  <c r="BH76" i="3"/>
  <c r="BH76" i="2" s="1"/>
  <c r="BH77"/>
  <c r="BH75"/>
  <c r="BH65"/>
  <c r="BH55"/>
  <c r="BH105"/>
  <c r="BH101"/>
  <c r="BH96"/>
  <c r="BH92"/>
  <c r="BH79"/>
  <c r="BH78"/>
  <c r="BH72"/>
  <c r="BH51"/>
  <c r="BH40" i="3"/>
  <c r="BH40" i="2" s="1"/>
  <c r="BH41"/>
  <c r="BH39"/>
  <c r="BH29"/>
  <c r="BH102"/>
  <c r="BH90"/>
  <c r="BH70"/>
  <c r="BH62"/>
  <c r="BH49" i="3"/>
  <c r="BH49" i="2" s="1"/>
  <c r="BH50"/>
  <c r="BH48"/>
  <c r="BH38"/>
  <c r="BH28"/>
  <c r="BH18"/>
  <c r="BH120"/>
  <c r="BH116"/>
  <c r="BH110"/>
  <c r="BH109"/>
  <c r="BH52"/>
  <c r="BH42"/>
  <c r="BH31" i="3"/>
  <c r="BH31" i="2" s="1"/>
  <c r="BH32"/>
  <c r="BH30"/>
  <c r="BH80"/>
  <c r="BH66"/>
  <c r="BH58" i="3"/>
  <c r="BH58" i="2" s="1"/>
  <c r="BH59"/>
  <c r="BH54"/>
  <c r="BH44"/>
  <c r="BH34"/>
  <c r="BH24"/>
  <c r="BH141"/>
  <c r="BH127"/>
  <c r="BH89"/>
  <c r="BH45"/>
  <c r="BH6"/>
  <c r="BH188"/>
  <c r="BH135"/>
  <c r="BH99"/>
  <c r="BH82"/>
  <c r="BH43"/>
  <c r="BH25"/>
  <c r="BH11"/>
  <c r="BH138"/>
  <c r="BH37"/>
  <c r="BH36"/>
  <c r="BH20"/>
  <c r="BH16"/>
  <c r="BH15"/>
  <c r="BH4" i="3"/>
  <c r="BH4" i="2" s="1"/>
  <c r="BH5"/>
  <c r="BH69"/>
  <c r="BH60"/>
  <c r="BH35"/>
  <c r="BH19"/>
  <c r="BH7"/>
  <c r="BH129"/>
  <c r="BH9"/>
  <c r="BH8"/>
  <c r="BH126"/>
  <c r="BH33"/>
  <c r="BH27"/>
  <c r="BH67" i="3"/>
  <c r="BH67" i="2" s="1"/>
  <c r="BH68"/>
  <c r="BH57"/>
  <c r="BH12"/>
  <c r="BH56"/>
  <c r="BH13" i="3"/>
  <c r="BH13" i="2" s="1"/>
  <c r="BH14"/>
  <c r="BH10"/>
  <c r="BH17"/>
  <c r="BH144"/>
  <c r="BH111"/>
  <c r="BH88"/>
  <c r="BH47"/>
  <c r="BH22" i="3"/>
  <c r="BH22" i="2" s="1"/>
  <c r="BH23"/>
  <c r="BH21"/>
  <c r="BH53"/>
  <c r="BH26"/>
  <c r="BH46"/>
  <c r="AE202" i="3"/>
  <c r="AE202" i="2" s="1"/>
  <c r="AE203"/>
  <c r="AE201"/>
  <c r="AE191"/>
  <c r="AE181"/>
  <c r="AE204"/>
  <c r="AE193" i="3"/>
  <c r="AE193" i="2" s="1"/>
  <c r="AE194"/>
  <c r="AE192"/>
  <c r="AE182"/>
  <c r="AE209"/>
  <c r="AE205"/>
  <c r="AE198"/>
  <c r="AE175" i="3"/>
  <c r="AE175" i="2" s="1"/>
  <c r="AE176"/>
  <c r="AE169"/>
  <c r="AE187"/>
  <c r="AE183"/>
  <c r="AE179"/>
  <c r="AE208"/>
  <c r="AE190"/>
  <c r="AE171"/>
  <c r="AE207"/>
  <c r="AE196"/>
  <c r="AE174"/>
  <c r="AE200"/>
  <c r="AE199"/>
  <c r="AE186"/>
  <c r="AE173"/>
  <c r="AE168"/>
  <c r="AE165"/>
  <c r="AE153"/>
  <c r="AE143"/>
  <c r="AE206"/>
  <c r="AE172"/>
  <c r="AE162"/>
  <c r="AE178"/>
  <c r="AE170"/>
  <c r="AE189"/>
  <c r="AE188"/>
  <c r="AE164"/>
  <c r="AE157" i="3"/>
  <c r="AE157" i="2" s="1"/>
  <c r="AE158"/>
  <c r="AE156"/>
  <c r="AE146"/>
  <c r="AE197"/>
  <c r="AE154"/>
  <c r="AE150"/>
  <c r="AE147"/>
  <c r="AE136"/>
  <c r="AE180"/>
  <c r="AE161"/>
  <c r="AE144"/>
  <c r="AE141"/>
  <c r="AE139" i="3"/>
  <c r="AE139" i="2" s="1"/>
  <c r="AE140"/>
  <c r="AE177"/>
  <c r="AE137"/>
  <c r="AE195"/>
  <c r="AE138"/>
  <c r="AE119"/>
  <c r="AE109"/>
  <c r="AE166" i="3"/>
  <c r="AE166" i="2" s="1"/>
  <c r="AE167"/>
  <c r="AE128"/>
  <c r="AE126"/>
  <c r="AE116"/>
  <c r="AE210"/>
  <c r="AE163"/>
  <c r="AE155"/>
  <c r="AE145"/>
  <c r="AE133"/>
  <c r="AE127"/>
  <c r="AE118"/>
  <c r="AE108"/>
  <c r="AE98"/>
  <c r="AE152"/>
  <c r="AE87"/>
  <c r="AE76" i="3"/>
  <c r="AE76" i="2" s="1"/>
  <c r="AE77"/>
  <c r="AE75"/>
  <c r="AE65"/>
  <c r="AE55"/>
  <c r="AE125"/>
  <c r="AE115"/>
  <c r="AE111"/>
  <c r="AE105"/>
  <c r="AE101"/>
  <c r="AE92"/>
  <c r="AE82"/>
  <c r="AE72"/>
  <c r="AE62"/>
  <c r="AE148" i="3"/>
  <c r="AE148" i="2" s="1"/>
  <c r="AE149"/>
  <c r="AE100"/>
  <c r="AE96"/>
  <c r="AE85" i="3"/>
  <c r="AE85" i="2" s="1"/>
  <c r="AE86"/>
  <c r="AE84"/>
  <c r="AE74"/>
  <c r="AE64"/>
  <c r="AE159"/>
  <c r="AE142"/>
  <c r="AE135"/>
  <c r="AE123"/>
  <c r="AE112" i="3"/>
  <c r="AE112" i="2" s="1"/>
  <c r="AE113"/>
  <c r="AE107"/>
  <c r="AE99"/>
  <c r="AE88"/>
  <c r="AE78"/>
  <c r="AE67" i="3"/>
  <c r="AE67" i="2" s="1"/>
  <c r="AE68"/>
  <c r="AE66"/>
  <c r="AE56"/>
  <c r="AE117"/>
  <c r="AE93"/>
  <c r="AE73"/>
  <c r="AE60"/>
  <c r="AE58" i="3"/>
  <c r="AE58" i="2" s="1"/>
  <c r="AE59"/>
  <c r="AE52"/>
  <c r="AE42"/>
  <c r="AE31" i="3"/>
  <c r="AE31" i="2" s="1"/>
  <c r="AE32"/>
  <c r="AE30"/>
  <c r="AE132"/>
  <c r="AE124"/>
  <c r="AE110"/>
  <c r="AE94" i="3"/>
  <c r="AE94" i="2" s="1"/>
  <c r="AE95"/>
  <c r="AE91"/>
  <c r="AE71"/>
  <c r="AE63"/>
  <c r="AE57"/>
  <c r="AE51"/>
  <c r="AE40" i="3"/>
  <c r="AE40" i="2" s="1"/>
  <c r="AE41"/>
  <c r="AE39"/>
  <c r="AE29"/>
  <c r="AE19"/>
  <c r="AE90"/>
  <c r="AE89"/>
  <c r="AE70"/>
  <c r="AE69"/>
  <c r="AE53"/>
  <c r="AE43"/>
  <c r="AE33"/>
  <c r="AE22" i="3"/>
  <c r="AE22" i="2" s="1"/>
  <c r="AE23"/>
  <c r="AE97"/>
  <c r="AE81"/>
  <c r="AE45"/>
  <c r="AE35"/>
  <c r="AE25"/>
  <c r="AE46"/>
  <c r="AE27"/>
  <c r="AE7"/>
  <c r="AE121" i="3"/>
  <c r="AE121" i="2" s="1"/>
  <c r="AE122"/>
  <c r="AE103" i="3"/>
  <c r="AE103" i="2" s="1"/>
  <c r="AE104"/>
  <c r="AE49" i="3"/>
  <c r="AE49" i="2" s="1"/>
  <c r="AE50"/>
  <c r="AE26"/>
  <c r="AE16"/>
  <c r="AE13" i="3"/>
  <c r="AE13" i="2" s="1"/>
  <c r="AE14"/>
  <c r="AE12"/>
  <c r="AE160"/>
  <c r="AE80"/>
  <c r="AE38"/>
  <c r="AE24"/>
  <c r="AE6"/>
  <c r="AE61"/>
  <c r="AE54"/>
  <c r="AE36"/>
  <c r="AE20"/>
  <c r="AE8"/>
  <c r="AE130" i="3"/>
  <c r="AE130" i="2" s="1"/>
  <c r="AE131"/>
  <c r="AE102"/>
  <c r="AE17"/>
  <c r="AE79"/>
  <c r="AE114"/>
  <c r="AE28"/>
  <c r="AE21"/>
  <c r="AE184" i="3"/>
  <c r="AE184" i="2" s="1"/>
  <c r="AE185"/>
  <c r="AE129"/>
  <c r="AE151"/>
  <c r="AE44"/>
  <c r="AE37"/>
  <c r="AE34"/>
  <c r="AE11"/>
  <c r="AE48"/>
  <c r="AE4" i="3"/>
  <c r="AE4" i="2" s="1"/>
  <c r="AE5"/>
  <c r="AE134"/>
  <c r="AE47"/>
  <c r="AE18"/>
  <c r="AE9"/>
  <c r="AE15"/>
  <c r="AE106"/>
  <c r="AE83"/>
  <c r="AE120"/>
  <c r="AE10"/>
  <c r="M205"/>
  <c r="M195"/>
  <c r="M184" i="3"/>
  <c r="M184" i="2" s="1"/>
  <c r="M185"/>
  <c r="M183"/>
  <c r="M173"/>
  <c r="M206"/>
  <c r="M196"/>
  <c r="M186"/>
  <c r="M175" i="3"/>
  <c r="M175" i="2" s="1"/>
  <c r="M176"/>
  <c r="M174"/>
  <c r="M210"/>
  <c r="M192"/>
  <c r="M177"/>
  <c r="M171"/>
  <c r="M199"/>
  <c r="M188"/>
  <c r="M180"/>
  <c r="M168"/>
  <c r="M193" i="3"/>
  <c r="M193" i="2" s="1"/>
  <c r="M194"/>
  <c r="M191"/>
  <c r="M163"/>
  <c r="M208"/>
  <c r="M197"/>
  <c r="M182"/>
  <c r="M201"/>
  <c r="M155"/>
  <c r="M145"/>
  <c r="M135"/>
  <c r="M165"/>
  <c r="M204"/>
  <c r="M181"/>
  <c r="M190"/>
  <c r="M178"/>
  <c r="M172"/>
  <c r="M164"/>
  <c r="M160"/>
  <c r="M150"/>
  <c r="M161"/>
  <c r="M136"/>
  <c r="M200"/>
  <c r="M187"/>
  <c r="M170"/>
  <c r="M157" i="3"/>
  <c r="M157" i="2" s="1"/>
  <c r="M158"/>
  <c r="M151"/>
  <c r="M144"/>
  <c r="M141"/>
  <c r="M189"/>
  <c r="M159"/>
  <c r="M138"/>
  <c r="M127"/>
  <c r="M202" i="3"/>
  <c r="M202" i="2" s="1"/>
  <c r="M203"/>
  <c r="M153"/>
  <c r="M146"/>
  <c r="M137"/>
  <c r="M123"/>
  <c r="M112" i="3"/>
  <c r="M112" i="2" s="1"/>
  <c r="M113"/>
  <c r="M111"/>
  <c r="M162"/>
  <c r="M128"/>
  <c r="M118"/>
  <c r="M209"/>
  <c r="M198"/>
  <c r="M169"/>
  <c r="M134"/>
  <c r="M121" i="3"/>
  <c r="M121" i="2" s="1"/>
  <c r="M122"/>
  <c r="M120"/>
  <c r="M110"/>
  <c r="M100"/>
  <c r="M156"/>
  <c r="M154"/>
  <c r="M142"/>
  <c r="M130" i="3"/>
  <c r="M130" i="2" s="1"/>
  <c r="M131"/>
  <c r="M124"/>
  <c r="M119"/>
  <c r="M114"/>
  <c r="M98"/>
  <c r="M89"/>
  <c r="M79"/>
  <c r="M69"/>
  <c r="M58" i="3"/>
  <c r="M58" i="2" s="1"/>
  <c r="M59"/>
  <c r="M57"/>
  <c r="M132"/>
  <c r="M101"/>
  <c r="M96"/>
  <c r="M85" i="3"/>
  <c r="M85" i="2" s="1"/>
  <c r="M86"/>
  <c r="M84"/>
  <c r="M74"/>
  <c r="M64"/>
  <c r="M179"/>
  <c r="M109"/>
  <c r="M88"/>
  <c r="M78"/>
  <c r="M67" i="3"/>
  <c r="M67" i="2" s="1"/>
  <c r="M68"/>
  <c r="M66"/>
  <c r="M56"/>
  <c r="M207"/>
  <c r="M129"/>
  <c r="M126"/>
  <c r="M116"/>
  <c r="M108"/>
  <c r="M99"/>
  <c r="M90"/>
  <c r="M80"/>
  <c r="M70"/>
  <c r="M60"/>
  <c r="M65"/>
  <c r="M54"/>
  <c r="M44"/>
  <c r="M34"/>
  <c r="M24"/>
  <c r="M147"/>
  <c r="M83"/>
  <c r="M55"/>
  <c r="M53"/>
  <c r="M43"/>
  <c r="M33"/>
  <c r="M22" i="3"/>
  <c r="M22" i="2" s="1"/>
  <c r="M23"/>
  <c r="M21"/>
  <c r="M107"/>
  <c r="M106"/>
  <c r="M87"/>
  <c r="M82"/>
  <c r="M75"/>
  <c r="M61"/>
  <c r="M45"/>
  <c r="M35"/>
  <c r="M25"/>
  <c r="M139" i="3"/>
  <c r="M139" i="2" s="1"/>
  <c r="M140"/>
  <c r="M97"/>
  <c r="M93"/>
  <c r="M73"/>
  <c r="M47"/>
  <c r="M37"/>
  <c r="M27"/>
  <c r="M17"/>
  <c r="M152"/>
  <c r="M63"/>
  <c r="M49" i="3"/>
  <c r="M49" i="2" s="1"/>
  <c r="M50"/>
  <c r="M39"/>
  <c r="M26"/>
  <c r="M20"/>
  <c r="M9"/>
  <c r="M148" i="3"/>
  <c r="M148" i="2" s="1"/>
  <c r="M149"/>
  <c r="M72"/>
  <c r="M71"/>
  <c r="M62"/>
  <c r="M16"/>
  <c r="M6"/>
  <c r="M117"/>
  <c r="M105"/>
  <c r="M40" i="3"/>
  <c r="M40" i="2" s="1"/>
  <c r="M41"/>
  <c r="M30"/>
  <c r="M8"/>
  <c r="M166" i="3"/>
  <c r="M166" i="2" s="1"/>
  <c r="M167"/>
  <c r="M133"/>
  <c r="M103" i="3"/>
  <c r="M103" i="2" s="1"/>
  <c r="M104"/>
  <c r="M52"/>
  <c r="M48"/>
  <c r="M10"/>
  <c r="M29"/>
  <c r="M28"/>
  <c r="M18"/>
  <c r="M13" i="3"/>
  <c r="M13" i="2" s="1"/>
  <c r="M14"/>
  <c r="M115"/>
  <c r="M92"/>
  <c r="M91"/>
  <c r="M12"/>
  <c r="M143"/>
  <c r="M38"/>
  <c r="M15"/>
  <c r="M102"/>
  <c r="M19"/>
  <c r="M4" i="3"/>
  <c r="M4" i="2" s="1"/>
  <c r="M5"/>
  <c r="M125"/>
  <c r="M31" i="3"/>
  <c r="M31" i="2" s="1"/>
  <c r="M32"/>
  <c r="M11"/>
  <c r="M51"/>
  <c r="M42"/>
  <c r="M36"/>
  <c r="M7"/>
  <c r="M94" i="3"/>
  <c r="M94" i="2" s="1"/>
  <c r="M95"/>
  <c r="M76" i="3"/>
  <c r="M76" i="2" s="1"/>
  <c r="M77"/>
  <c r="M46"/>
  <c r="M81"/>
  <c r="AK205"/>
  <c r="AK195"/>
  <c r="AK184" i="3"/>
  <c r="AK184" i="2" s="1"/>
  <c r="AK185"/>
  <c r="AK183"/>
  <c r="AK173"/>
  <c r="AK206"/>
  <c r="AK196"/>
  <c r="AK186"/>
  <c r="AK175" i="3"/>
  <c r="AK175" i="2" s="1"/>
  <c r="AK176"/>
  <c r="AK174"/>
  <c r="AK202" i="3"/>
  <c r="AK202" i="2" s="1"/>
  <c r="AK203"/>
  <c r="AK200"/>
  <c r="AK178"/>
  <c r="AK171"/>
  <c r="AK207"/>
  <c r="AK189"/>
  <c r="AK181"/>
  <c r="AK168"/>
  <c r="AK210"/>
  <c r="AK192"/>
  <c r="AK177"/>
  <c r="AK163"/>
  <c r="AK209"/>
  <c r="AK198"/>
  <c r="AK187"/>
  <c r="AK190"/>
  <c r="AK170"/>
  <c r="AK162"/>
  <c r="AK155"/>
  <c r="AK145"/>
  <c r="AK135"/>
  <c r="AK169"/>
  <c r="AK165"/>
  <c r="AK182"/>
  <c r="AK180"/>
  <c r="AK172"/>
  <c r="AK166" i="3"/>
  <c r="AK166" i="2" s="1"/>
  <c r="AK167"/>
  <c r="AK191"/>
  <c r="AK179"/>
  <c r="AK160"/>
  <c r="AK150"/>
  <c r="AK152"/>
  <c r="AK138"/>
  <c r="AK164"/>
  <c r="AK156"/>
  <c r="AK143"/>
  <c r="AK139" i="3"/>
  <c r="AK139" i="2" s="1"/>
  <c r="AK140"/>
  <c r="AK193" i="3"/>
  <c r="AK193" i="2" s="1"/>
  <c r="AK194"/>
  <c r="AK157" i="3"/>
  <c r="AK157" i="2" s="1"/>
  <c r="AK158"/>
  <c r="AK151"/>
  <c r="AK142"/>
  <c r="AK127"/>
  <c r="AK204"/>
  <c r="AK136"/>
  <c r="AK201"/>
  <c r="AK161"/>
  <c r="AK153"/>
  <c r="AK148" i="3"/>
  <c r="AK148" i="2" s="1"/>
  <c r="AK149"/>
  <c r="AK123"/>
  <c r="AK112" i="3"/>
  <c r="AK112" i="2" s="1"/>
  <c r="AK113"/>
  <c r="AK111"/>
  <c r="AK188"/>
  <c r="AK118"/>
  <c r="AK199"/>
  <c r="AK147"/>
  <c r="AK144"/>
  <c r="AK134"/>
  <c r="AK129"/>
  <c r="AK121" i="3"/>
  <c r="AK121" i="2" s="1"/>
  <c r="AK122"/>
  <c r="AK120"/>
  <c r="AK110"/>
  <c r="AK100"/>
  <c r="AK89"/>
  <c r="AK79"/>
  <c r="AK69"/>
  <c r="AK58" i="3"/>
  <c r="AK58" i="2" s="1"/>
  <c r="AK59"/>
  <c r="AK57"/>
  <c r="AK137"/>
  <c r="AK128"/>
  <c r="AK117"/>
  <c r="AK107"/>
  <c r="AK96"/>
  <c r="AK85" i="3"/>
  <c r="AK85" i="2" s="1"/>
  <c r="AK86"/>
  <c r="AK84"/>
  <c r="AK74"/>
  <c r="AK64"/>
  <c r="AK133"/>
  <c r="AK102"/>
  <c r="AK88"/>
  <c r="AK78"/>
  <c r="AK67" i="3"/>
  <c r="AK67" i="2" s="1"/>
  <c r="AK68"/>
  <c r="AK66"/>
  <c r="AK56"/>
  <c r="AK125"/>
  <c r="AK115"/>
  <c r="AK109"/>
  <c r="AK98"/>
  <c r="AK90"/>
  <c r="AK80"/>
  <c r="AK70"/>
  <c r="AK60"/>
  <c r="AK99"/>
  <c r="AK62"/>
  <c r="AK54"/>
  <c r="AK44"/>
  <c r="AK34"/>
  <c r="AK24"/>
  <c r="AK208"/>
  <c r="AK141"/>
  <c r="AK130" i="3"/>
  <c r="AK130" i="2" s="1"/>
  <c r="AK131"/>
  <c r="AK93"/>
  <c r="AK73"/>
  <c r="AK53"/>
  <c r="AK43"/>
  <c r="AK33"/>
  <c r="AK22" i="3"/>
  <c r="AK22" i="2" s="1"/>
  <c r="AK23"/>
  <c r="AK21"/>
  <c r="AK197"/>
  <c r="AK132"/>
  <c r="AK126"/>
  <c r="AK124"/>
  <c r="AK108"/>
  <c r="AK92"/>
  <c r="AK76" i="3"/>
  <c r="AK76" i="2" s="1"/>
  <c r="AK77"/>
  <c r="AK72"/>
  <c r="AK45"/>
  <c r="AK35"/>
  <c r="AK25"/>
  <c r="AK105"/>
  <c r="AK83"/>
  <c r="AK55"/>
  <c r="AK47"/>
  <c r="AK37"/>
  <c r="AK27"/>
  <c r="AK17"/>
  <c r="AK159"/>
  <c r="AK97"/>
  <c r="AK94" i="3"/>
  <c r="AK94" i="2" s="1"/>
  <c r="AK95"/>
  <c r="AK87"/>
  <c r="AK36"/>
  <c r="AK29"/>
  <c r="AK9"/>
  <c r="AK101"/>
  <c r="AK52"/>
  <c r="AK48"/>
  <c r="AK6"/>
  <c r="AK106"/>
  <c r="AK82"/>
  <c r="AK46"/>
  <c r="AK31" i="3"/>
  <c r="AK31" i="2" s="1"/>
  <c r="AK32"/>
  <c r="AK8"/>
  <c r="AK119"/>
  <c r="AK10"/>
  <c r="AK116"/>
  <c r="AK91"/>
  <c r="AK42"/>
  <c r="AK19"/>
  <c r="AK40" i="3"/>
  <c r="AK40" i="2" s="1"/>
  <c r="AK41"/>
  <c r="AK18"/>
  <c r="AK16"/>
  <c r="AK12"/>
  <c r="AK103" i="3"/>
  <c r="AK103" i="2" s="1"/>
  <c r="AK104"/>
  <c r="AK71"/>
  <c r="AK51"/>
  <c r="AK7"/>
  <c r="AK154"/>
  <c r="AK75"/>
  <c r="AK49" i="3"/>
  <c r="AK49" i="2" s="1"/>
  <c r="AK50"/>
  <c r="AK15"/>
  <c r="AK20"/>
  <c r="AK39"/>
  <c r="AK65"/>
  <c r="AK4" i="3"/>
  <c r="AK4" i="2" s="1"/>
  <c r="AK5"/>
  <c r="AK63"/>
  <c r="AK61"/>
  <c r="AK38"/>
  <c r="AK81"/>
  <c r="AK28"/>
  <c r="AK26"/>
  <c r="AK11"/>
  <c r="AK30"/>
  <c r="AK13" i="3"/>
  <c r="AK13" i="2" s="1"/>
  <c r="AK14"/>
  <c r="AK114"/>
  <c r="AK146"/>
  <c r="AP204"/>
  <c r="AP193" i="3"/>
  <c r="AP193" i="2" s="1"/>
  <c r="AP194"/>
  <c r="AP192"/>
  <c r="AP182"/>
  <c r="AP172"/>
  <c r="AP205"/>
  <c r="AP195"/>
  <c r="AP184" i="3"/>
  <c r="AP184" i="2" s="1"/>
  <c r="AP185"/>
  <c r="AP183"/>
  <c r="AP173"/>
  <c r="AP209"/>
  <c r="AP191"/>
  <c r="AP175" i="3"/>
  <c r="AP175" i="2" s="1"/>
  <c r="AP176"/>
  <c r="AP170"/>
  <c r="AP198"/>
  <c r="AP187"/>
  <c r="AP179"/>
  <c r="AP166" i="3"/>
  <c r="AP166" i="2" s="1"/>
  <c r="AP167"/>
  <c r="AP165"/>
  <c r="AP201"/>
  <c r="AP190"/>
  <c r="AP162"/>
  <c r="AP207"/>
  <c r="AP196"/>
  <c r="AP181"/>
  <c r="AP174"/>
  <c r="AP180"/>
  <c r="AP168"/>
  <c r="AP164"/>
  <c r="AP154"/>
  <c r="AP144"/>
  <c r="AP134"/>
  <c r="AP189"/>
  <c r="AP171"/>
  <c r="AP163"/>
  <c r="AP210"/>
  <c r="AP208"/>
  <c r="AP197"/>
  <c r="AP169"/>
  <c r="AP206"/>
  <c r="AP159"/>
  <c r="AP148" i="3"/>
  <c r="AP148" i="2" s="1"/>
  <c r="AP149"/>
  <c r="AP147"/>
  <c r="AP160"/>
  <c r="AP142"/>
  <c r="AP150"/>
  <c r="AP199"/>
  <c r="AP186"/>
  <c r="AP178"/>
  <c r="AP152"/>
  <c r="AP145"/>
  <c r="AP143"/>
  <c r="AP139" i="3"/>
  <c r="AP139" i="2" s="1"/>
  <c r="AP140"/>
  <c r="AP155"/>
  <c r="AP137"/>
  <c r="AP129"/>
  <c r="AP121" i="3"/>
  <c r="AP121" i="2" s="1"/>
  <c r="AP122"/>
  <c r="AP120"/>
  <c r="AP110"/>
  <c r="AP161"/>
  <c r="AP153"/>
  <c r="AP130" i="3"/>
  <c r="AP130" i="2" s="1"/>
  <c r="AP131"/>
  <c r="AP117"/>
  <c r="AP200"/>
  <c r="AP133"/>
  <c r="AP119"/>
  <c r="AP109"/>
  <c r="AP99"/>
  <c r="AP135"/>
  <c r="AP132"/>
  <c r="AP111"/>
  <c r="AP102"/>
  <c r="AP88"/>
  <c r="AP78"/>
  <c r="AP67" i="3"/>
  <c r="AP67" i="2" s="1"/>
  <c r="AP68"/>
  <c r="AP66"/>
  <c r="AP56"/>
  <c r="AP125"/>
  <c r="AP115"/>
  <c r="AP103" i="3"/>
  <c r="AP103" i="2" s="1"/>
  <c r="AP104"/>
  <c r="AP98"/>
  <c r="AP94" i="3"/>
  <c r="AP94" i="2" s="1"/>
  <c r="AP95"/>
  <c r="AP93"/>
  <c r="AP83"/>
  <c r="AP73"/>
  <c r="AP63"/>
  <c r="AP151"/>
  <c r="AP146"/>
  <c r="AP128"/>
  <c r="AP108"/>
  <c r="AP87"/>
  <c r="AP76" i="3"/>
  <c r="AP76" i="2" s="1"/>
  <c r="AP77"/>
  <c r="AP75"/>
  <c r="AP65"/>
  <c r="AP55"/>
  <c r="AP202" i="3"/>
  <c r="AP202" i="2" s="1"/>
  <c r="AP203"/>
  <c r="AP188"/>
  <c r="AP138"/>
  <c r="AP136"/>
  <c r="AP107"/>
  <c r="AP100"/>
  <c r="AP89"/>
  <c r="AP79"/>
  <c r="AP69"/>
  <c r="AP58" i="3"/>
  <c r="AP58" i="2" s="1"/>
  <c r="AP59"/>
  <c r="AP57"/>
  <c r="AP106"/>
  <c r="AP101"/>
  <c r="AP96"/>
  <c r="AP64"/>
  <c r="AP53"/>
  <c r="AP43"/>
  <c r="AP33"/>
  <c r="AP22" i="3"/>
  <c r="AP22" i="2" s="1"/>
  <c r="AP23"/>
  <c r="AP21"/>
  <c r="AP112" i="3"/>
  <c r="AP112" i="2" s="1"/>
  <c r="AP113"/>
  <c r="AP82"/>
  <c r="AP52"/>
  <c r="AP42"/>
  <c r="AP31" i="3"/>
  <c r="AP31" i="2" s="1"/>
  <c r="AP32"/>
  <c r="AP30"/>
  <c r="AP20"/>
  <c r="AP85" i="3"/>
  <c r="AP85" i="2" s="1"/>
  <c r="AP86"/>
  <c r="AP81"/>
  <c r="AP74"/>
  <c r="AP60"/>
  <c r="AP54"/>
  <c r="AP44"/>
  <c r="AP34"/>
  <c r="AP24"/>
  <c r="AP156"/>
  <c r="AP118"/>
  <c r="AP116"/>
  <c r="AP114"/>
  <c r="AP92"/>
  <c r="AP72"/>
  <c r="AP46"/>
  <c r="AP36"/>
  <c r="AP26"/>
  <c r="AP105"/>
  <c r="AP71"/>
  <c r="AP62"/>
  <c r="AP61"/>
  <c r="AP38"/>
  <c r="AP25"/>
  <c r="AP19"/>
  <c r="AP8"/>
  <c r="AP97"/>
  <c r="AP70"/>
  <c r="AP15"/>
  <c r="AP4" i="3"/>
  <c r="AP4" i="2" s="1"/>
  <c r="AP5"/>
  <c r="AP91"/>
  <c r="AP48"/>
  <c r="AP29"/>
  <c r="AP16"/>
  <c r="AP7"/>
  <c r="AP177"/>
  <c r="AP127"/>
  <c r="AP123"/>
  <c r="AP51"/>
  <c r="AP47"/>
  <c r="AP9"/>
  <c r="AP27"/>
  <c r="AP141"/>
  <c r="AP90"/>
  <c r="AP84"/>
  <c r="AP39"/>
  <c r="AP11"/>
  <c r="AP157" i="3"/>
  <c r="AP157" i="2" s="1"/>
  <c r="AP158"/>
  <c r="AP124"/>
  <c r="AP80"/>
  <c r="AP28"/>
  <c r="AP49" i="3"/>
  <c r="AP49" i="2" s="1"/>
  <c r="AP50"/>
  <c r="AP40" i="3"/>
  <c r="AP40" i="2" s="1"/>
  <c r="AP41"/>
  <c r="AP45"/>
  <c r="AP35"/>
  <c r="AP18"/>
  <c r="AP10"/>
  <c r="AP13" i="3"/>
  <c r="AP13" i="2" s="1"/>
  <c r="AP14"/>
  <c r="AP126"/>
  <c r="AP6"/>
  <c r="AP37"/>
  <c r="AP12"/>
  <c r="AP17"/>
  <c r="T210"/>
  <c r="T200"/>
  <c r="T190"/>
  <c r="T180"/>
  <c r="T202" i="3"/>
  <c r="T202" i="2" s="1"/>
  <c r="T203"/>
  <c r="T201"/>
  <c r="T191"/>
  <c r="T181"/>
  <c r="T209"/>
  <c r="T205"/>
  <c r="T198"/>
  <c r="T187"/>
  <c r="T175" i="3"/>
  <c r="T175" i="2" s="1"/>
  <c r="T176"/>
  <c r="T168"/>
  <c r="T204"/>
  <c r="T183"/>
  <c r="T179"/>
  <c r="T208"/>
  <c r="T197"/>
  <c r="T182"/>
  <c r="T170"/>
  <c r="T196"/>
  <c r="T192"/>
  <c r="T177"/>
  <c r="T174"/>
  <c r="T169"/>
  <c r="T165"/>
  <c r="T163"/>
  <c r="T162"/>
  <c r="T152"/>
  <c r="T142"/>
  <c r="T189"/>
  <c r="T188"/>
  <c r="T172"/>
  <c r="T161"/>
  <c r="T184" i="3"/>
  <c r="T184" i="2" s="1"/>
  <c r="T185"/>
  <c r="T164"/>
  <c r="T206"/>
  <c r="T155"/>
  <c r="T145"/>
  <c r="T193" i="3"/>
  <c r="T193" i="2" s="1"/>
  <c r="T194"/>
  <c r="T171"/>
  <c r="T166" i="3"/>
  <c r="T166" i="2" s="1"/>
  <c r="T167"/>
  <c r="T150"/>
  <c r="T148" i="3"/>
  <c r="T148" i="2" s="1"/>
  <c r="T149"/>
  <c r="T138"/>
  <c r="T137"/>
  <c r="T195"/>
  <c r="T160"/>
  <c r="T178"/>
  <c r="T154"/>
  <c r="T139" i="3"/>
  <c r="T139" i="2" s="1"/>
  <c r="T140"/>
  <c r="T134"/>
  <c r="T118"/>
  <c r="T108"/>
  <c r="T159"/>
  <c r="T153"/>
  <c r="T143"/>
  <c r="T135"/>
  <c r="T125"/>
  <c r="T115"/>
  <c r="T186"/>
  <c r="T141"/>
  <c r="T132"/>
  <c r="T117"/>
  <c r="T107"/>
  <c r="T97"/>
  <c r="T129"/>
  <c r="T128"/>
  <c r="T109"/>
  <c r="T96"/>
  <c r="T85" i="3"/>
  <c r="T85" i="2" s="1"/>
  <c r="T86"/>
  <c r="T84"/>
  <c r="T74"/>
  <c r="T64"/>
  <c r="T126"/>
  <c r="T116"/>
  <c r="T105"/>
  <c r="T91"/>
  <c r="T81"/>
  <c r="T71"/>
  <c r="T61"/>
  <c r="T130" i="3"/>
  <c r="T130" i="2" s="1"/>
  <c r="T131"/>
  <c r="T120"/>
  <c r="T111"/>
  <c r="T99"/>
  <c r="T94" i="3"/>
  <c r="T94" i="2" s="1"/>
  <c r="T95"/>
  <c r="T93"/>
  <c r="T83"/>
  <c r="T73"/>
  <c r="T63"/>
  <c r="T157" i="3"/>
  <c r="T157" i="2" s="1"/>
  <c r="T158"/>
  <c r="T136"/>
  <c r="T103" i="3"/>
  <c r="T103" i="2" s="1"/>
  <c r="T104"/>
  <c r="T87"/>
  <c r="T76" i="3"/>
  <c r="T76" i="2" s="1"/>
  <c r="T77"/>
  <c r="T75"/>
  <c r="T65"/>
  <c r="T55"/>
  <c r="T114"/>
  <c r="T106"/>
  <c r="T89"/>
  <c r="T88"/>
  <c r="T82"/>
  <c r="T69"/>
  <c r="T67" i="3"/>
  <c r="T67" i="2" s="1"/>
  <c r="T68"/>
  <c r="T51"/>
  <c r="T40" i="3"/>
  <c r="T40" i="2" s="1"/>
  <c r="T41"/>
  <c r="T39"/>
  <c r="T29"/>
  <c r="T144"/>
  <c r="T127"/>
  <c r="T80"/>
  <c r="T66"/>
  <c r="T58" i="3"/>
  <c r="T58" i="2" s="1"/>
  <c r="T59"/>
  <c r="T49" i="3"/>
  <c r="T49" i="2" s="1"/>
  <c r="T50"/>
  <c r="T48"/>
  <c r="T38"/>
  <c r="T28"/>
  <c r="T18"/>
  <c r="T112" i="3"/>
  <c r="T112" i="2" s="1"/>
  <c r="T113"/>
  <c r="T52"/>
  <c r="T42"/>
  <c r="T31" i="3"/>
  <c r="T31" i="2" s="1"/>
  <c r="T32"/>
  <c r="T30"/>
  <c r="T207"/>
  <c r="T133"/>
  <c r="T124"/>
  <c r="T121" i="3"/>
  <c r="T121" i="2" s="1"/>
  <c r="T122"/>
  <c r="T110"/>
  <c r="T101"/>
  <c r="T90"/>
  <c r="T70"/>
  <c r="T62"/>
  <c r="T54"/>
  <c r="T44"/>
  <c r="T34"/>
  <c r="T24"/>
  <c r="T79"/>
  <c r="T78"/>
  <c r="T53"/>
  <c r="T16"/>
  <c r="T6"/>
  <c r="T147"/>
  <c r="T35"/>
  <c r="T11"/>
  <c r="T156"/>
  <c r="T151"/>
  <c r="T102"/>
  <c r="T98"/>
  <c r="T72"/>
  <c r="T60"/>
  <c r="T27"/>
  <c r="T26"/>
  <c r="T15"/>
  <c r="T4" i="3"/>
  <c r="T4" i="2" s="1"/>
  <c r="T5"/>
  <c r="T199"/>
  <c r="T173"/>
  <c r="T146"/>
  <c r="T43"/>
  <c r="T25"/>
  <c r="T20"/>
  <c r="T7"/>
  <c r="T119"/>
  <c r="T12"/>
  <c r="T56"/>
  <c r="T37"/>
  <c r="T36"/>
  <c r="T22" i="3"/>
  <c r="T22" i="2" s="1"/>
  <c r="T23"/>
  <c r="T21"/>
  <c r="T92"/>
  <c r="T47"/>
  <c r="T13" i="3"/>
  <c r="T13" i="2" s="1"/>
  <c r="T14"/>
  <c r="T17"/>
  <c r="T46"/>
  <c r="T33"/>
  <c r="T123"/>
  <c r="T100"/>
  <c r="T57"/>
  <c r="T10"/>
  <c r="T8"/>
  <c r="T45"/>
  <c r="T9"/>
  <c r="T19"/>
  <c r="AC2"/>
  <c r="H2"/>
  <c r="AL2"/>
  <c r="F2"/>
  <c r="AT2"/>
  <c r="BL2"/>
  <c r="AO2"/>
  <c r="K2"/>
  <c r="BK2"/>
  <c r="AU2"/>
  <c r="AF2"/>
  <c r="Y2"/>
  <c r="BD2"/>
  <c r="BB2"/>
  <c r="S2"/>
  <c r="J2"/>
  <c r="BE2"/>
  <c r="BG2"/>
  <c r="R2"/>
  <c r="BA2"/>
  <c r="BC2"/>
  <c r="AN2"/>
  <c r="BM2"/>
  <c r="L2"/>
  <c r="U2"/>
  <c r="I2"/>
  <c r="BF2"/>
  <c r="N2"/>
  <c r="AH2"/>
  <c r="AR2"/>
  <c r="BI2"/>
  <c r="AX2"/>
  <c r="X2"/>
  <c r="AW2"/>
  <c r="Q2"/>
  <c r="AV2"/>
  <c r="P2"/>
  <c r="BJ2"/>
  <c r="AY2"/>
  <c r="O2"/>
  <c r="G2"/>
  <c r="AG2"/>
  <c r="W2"/>
  <c r="AZ2"/>
  <c r="AD2"/>
  <c r="AM2"/>
  <c r="AQ2"/>
  <c r="V2"/>
  <c r="AS2"/>
  <c r="AJ2"/>
  <c r="AB2"/>
  <c r="Z2"/>
  <c r="AA2"/>
  <c r="AI2"/>
  <c r="BH2"/>
  <c r="AE2"/>
  <c r="M2"/>
  <c r="AK2"/>
  <c r="AP2"/>
  <c r="T2"/>
</calcChain>
</file>

<file path=xl/sharedStrings.xml><?xml version="1.0" encoding="utf-8"?>
<sst xmlns="http://schemas.openxmlformats.org/spreadsheetml/2006/main" count="31" uniqueCount="31">
  <si>
    <t>**重要提示**</t>
  </si>
  <si>
    <t>本文件、本文件所含信息以及任何基于此的衍生信息仅限SHANGHAI UNIVERSITY的JIARUI YANG使用。</t>
  </si>
  <si>
    <t>~~~~~~~~~~~~~~~~~~~~~~~~~~~~~~~~~~~~~~~~~~~~~~~~~~~~~~~~~~~~~~~~~~~~~~~~~~~~~~~~~~~~~~~~~~~~~~~~~~~~~~~~~~~~~~~~~~~~~~~~~~~~~~~~~~~~~~~~~~~~~~~~~~~~~~~</t>
  </si>
  <si>
    <t>**参考**</t>
  </si>
  <si>
    <t xml:space="preserve">     彭博行业(BI)Excel输出生成的电子数据表可作为参考表格，用于不同的模型和其他表格。</t>
  </si>
  <si>
    <t xml:space="preserve">     暂不支持自动建造模型或从BI输出表格中拖放，但将BI输出作为参考表格用于其他电子数</t>
  </si>
  <si>
    <t xml:space="preserve">   据表，功能强大，简便易用，能帮助您实现各种分析目的。</t>
  </si>
  <si>
    <t xml:space="preserve">   --BI Excel输出表格通常包含2个数据标签(有些BI模型，比如BI行情显示部分的模型，只能生</t>
  </si>
  <si>
    <t xml:space="preserve">   成1个数据标签“工作表1”)：</t>
  </si>
  <si>
    <t xml:space="preserve">     1) BI数据：此标签界面简洁，数据与BI控制面板同步。 </t>
  </si>
  <si>
    <t xml:space="preserve">          列示表格可作为参考表格，用于不同的模型和其他衍生电子数据表。</t>
  </si>
  <si>
    <t xml:space="preserve">     2) 参考数据：此标签下存储着所有的原始数据并包含数据加工。通常会有两个独立的表格：</t>
  </si>
  <si>
    <t xml:space="preserve">          上表包括出错处理、公式等等，下表包含输出的任何/所有实时API信息。 </t>
  </si>
  <si>
    <t xml:space="preserve">          实际API(BDP/BDH)公式的构建也是在下表中，因此如果想查看/运用相应API详情，可参</t>
  </si>
  <si>
    <t xml:space="preserve">          看此处。</t>
  </si>
  <si>
    <t xml:space="preserve">          注：有些时候，可能没有下表(如果所选数据无一来自实时API链接)。</t>
  </si>
  <si>
    <t xml:space="preserve">   --不同标签的表格中包含有共同的数据列：</t>
  </si>
  <si>
    <t xml:space="preserve">     1) 简介:此行标签与您在BI上看到的行标签相同。</t>
  </si>
  <si>
    <t xml:space="preserve">     2) 代码：与此行对应的公司/指数代码(代码用于 </t>
  </si>
  <si>
    <t xml:space="preserve">          此行BDP/BDH公式，如适用)</t>
  </si>
  <si>
    <t xml:space="preserve">     3) 栏目代码：此calcrout代码用于构建此行BDP/BDH公式(如适用)。</t>
  </si>
  <si>
    <t xml:space="preserve">     4) 栏目助记符：此calcrout助记符与用于构建此行BDP/BDH公式(如适用)的栏目代码相对应。</t>
  </si>
  <si>
    <t xml:space="preserve">     5) 数据状态：此特定行的数据状态，包括“动态”、“静态”、“合计”、“平均”、“中值”或“标题”。</t>
  </si>
  <si>
    <t xml:space="preserve">           如果是“动态”，那么一旦有新数据进入数据库，即可自动更新至表格，无需再次输出。</t>
  </si>
  <si>
    <t xml:space="preserve">           如果是“静态”，即此行不存在实时链接，新数据只能通过再次运行BI并输出。</t>
  </si>
  <si>
    <t xml:space="preserve">           如果是“合计”、“平均”、“中值”或“公式”，有些公式组件的数据或许能自动更新，但如果要</t>
  </si>
  <si>
    <t xml:space="preserve">           确保表格中的数据都是最新的，必须再次运行BI并输出。</t>
  </si>
  <si>
    <t>~~~~~~~~~~~~~~~~~~~~~~~~~~~~~~~~~~~~~~~~~~~~~~~~~~~~~~~~~~~~~~~~~~~~~~~~~~~~~~~~~~~~~~~~~~~~~~~~~~~~~~~~~~~~~~~~~~~~~~~~~~~~~~~~~~~~~~~~~~~~~~~~~~~~~~~~~~~~~~~~</t>
  </si>
  <si>
    <t>**帮助**</t>
  </si>
  <si>
    <t xml:space="preserve">     如果您在BI Excel输出过程中或对输出结果有任何疑问，请在彭博终端上运行BI&lt;GO&gt;功能，</t>
  </si>
  <si>
    <t xml:space="preserve">   然后按&lt;HELP&gt;键两次。</t>
  </si>
</sst>
</file>

<file path=xl/styles.xml><?xml version="1.0" encoding="utf-8"?>
<styleSheet xmlns="http://schemas.openxmlformats.org/spreadsheetml/2006/main">
  <fonts count="20">
    <font>
      <sz val="11"/>
      <color theme="1"/>
      <name val="宋体"/>
      <family val="2"/>
      <scheme val="minor"/>
    </font>
    <font>
      <b/>
      <sz val="11"/>
      <color indexed="9"/>
      <name val="Calibri"/>
      <family val="2"/>
    </font>
    <font>
      <sz val="11"/>
      <color theme="1"/>
      <name val="宋体"/>
      <family val="2"/>
      <scheme val="minor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006100"/>
      <name val="宋体"/>
      <family val="2"/>
      <scheme val="minor"/>
    </font>
    <font>
      <sz val="11"/>
      <color rgb="FF9C0006"/>
      <name val="宋体"/>
      <family val="2"/>
      <scheme val="minor"/>
    </font>
    <font>
      <sz val="11"/>
      <color rgb="FF9C6500"/>
      <name val="宋体"/>
      <family val="2"/>
      <scheme val="minor"/>
    </font>
    <font>
      <sz val="11"/>
      <color rgb="FF3F3F76"/>
      <name val="宋体"/>
      <family val="2"/>
      <scheme val="minor"/>
    </font>
    <font>
      <b/>
      <sz val="11"/>
      <color rgb="FF3F3F3F"/>
      <name val="宋体"/>
      <family val="2"/>
      <scheme val="minor"/>
    </font>
    <font>
      <b/>
      <sz val="11"/>
      <color rgb="FFFA7D00"/>
      <name val="宋体"/>
      <family val="2"/>
      <scheme val="minor"/>
    </font>
    <font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sz val="11"/>
      <color rgb="FFFF0000"/>
      <name val="宋体"/>
      <family val="2"/>
      <scheme val="minor"/>
    </font>
    <font>
      <i/>
      <sz val="11"/>
      <color rgb="FF7F7F7F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sz val="9"/>
      <name val="宋体"/>
      <family val="3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F81BD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" fillId="33" borderId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</cellStyleXfs>
  <cellXfs count="2">
    <xf numFmtId="0" fontId="0" fillId="0" borderId="0" xfId="0"/>
    <xf numFmtId="0" fontId="1" fillId="33" borderId="0" xfId="26" applyNumberFormat="1" applyFont="1" applyFill="1" applyBorder="1" applyAlignment="1" applyProtection="1"/>
  </cellXfs>
  <cellStyles count="43">
    <cellStyle name="20% - 强调文字颜色 1" xfId="1" builtinId="30" customBuiltin="1"/>
    <cellStyle name="20% - 强调文字颜色 2" xfId="2" builtinId="34" customBuiltin="1"/>
    <cellStyle name="20% - 强调文字颜色 3" xfId="3" builtinId="38" customBuiltin="1"/>
    <cellStyle name="20% - 强调文字颜色 4" xfId="4" builtinId="42" customBuiltin="1"/>
    <cellStyle name="20% - 强调文字颜色 5" xfId="5" builtinId="46" customBuiltin="1"/>
    <cellStyle name="20% - 强调文字颜色 6" xfId="6" builtinId="50" customBuiltin="1"/>
    <cellStyle name="40% - 强调文字颜色 1" xfId="7" builtinId="31" customBuiltin="1"/>
    <cellStyle name="40% - 强调文字颜色 2" xfId="8" builtinId="35" customBuiltin="1"/>
    <cellStyle name="40% - 强调文字颜色 3" xfId="9" builtinId="39" customBuiltin="1"/>
    <cellStyle name="40% - 强调文字颜色 4" xfId="10" builtinId="43" customBuiltin="1"/>
    <cellStyle name="40% - 强调文字颜色 5" xfId="11" builtinId="47" customBuiltin="1"/>
    <cellStyle name="40% - 强调文字颜色 6" xfId="12" builtinId="51" customBuiltin="1"/>
    <cellStyle name="60% - 强调文字颜色 1" xfId="13" builtinId="32" customBuiltin="1"/>
    <cellStyle name="60% - 强调文字颜色 2" xfId="14" builtinId="36" customBuiltin="1"/>
    <cellStyle name="60% - 强调文字颜色 3" xfId="15" builtinId="40" customBuiltin="1"/>
    <cellStyle name="60% - 强调文字颜色 4" xfId="16" builtinId="44" customBuiltin="1"/>
    <cellStyle name="60% - 强调文字颜色 5" xfId="17" builtinId="48" customBuiltin="1"/>
    <cellStyle name="60% - 强调文字颜色 6" xfId="18" builtinId="52" customBuiltin="1"/>
    <cellStyle name="blp_column_header" xfId="26"/>
    <cellStyle name="标题" xfId="40" builtinId="15" customBuiltin="1"/>
    <cellStyle name="标题 1" xfId="31" builtinId="16" customBuiltin="1"/>
    <cellStyle name="标题 2" xfId="32" builtinId="17" customBuiltin="1"/>
    <cellStyle name="标题 3" xfId="33" builtinId="18" customBuiltin="1"/>
    <cellStyle name="标题 4" xfId="34" builtinId="19" customBuiltin="1"/>
    <cellStyle name="差" xfId="25" builtinId="27" customBuiltin="1"/>
    <cellStyle name="常规" xfId="0" builtinId="0"/>
    <cellStyle name="好" xfId="30" builtinId="26" customBuiltin="1"/>
    <cellStyle name="汇总" xfId="41" builtinId="25" customBuiltin="1"/>
    <cellStyle name="计算" xfId="27" builtinId="22" customBuiltin="1"/>
    <cellStyle name="检查单元格" xfId="28" builtinId="23" customBuiltin="1"/>
    <cellStyle name="解释性文本" xfId="29" builtinId="53" customBuiltin="1"/>
    <cellStyle name="警告文本" xfId="42" builtinId="11" customBuiltin="1"/>
    <cellStyle name="链接单元格" xfId="36" builtinId="24" customBuiltin="1"/>
    <cellStyle name="强调文字颜色 1" xfId="19" builtinId="29" customBuiltin="1"/>
    <cellStyle name="强调文字颜色 2" xfId="20" builtinId="33" customBuiltin="1"/>
    <cellStyle name="强调文字颜色 3" xfId="21" builtinId="37" customBuiltin="1"/>
    <cellStyle name="强调文字颜色 4" xfId="22" builtinId="41" customBuiltin="1"/>
    <cellStyle name="强调文字颜色 5" xfId="23" builtinId="45" customBuiltin="1"/>
    <cellStyle name="强调文字颜色 6" xfId="24" builtinId="49" customBuiltin="1"/>
    <cellStyle name="适中" xfId="37" builtinId="28" customBuiltin="1"/>
    <cellStyle name="输出" xfId="39" builtinId="21" customBuiltin="1"/>
    <cellStyle name="输入" xfId="35" builtinId="20" customBuiltin="1"/>
    <cellStyle name="注释" xfId="38" builtinId="10" customBuiltin="1"/>
  </cellStyles>
  <dxfs count="0"/>
  <tableStyles count="0" defaultTableStyle="TableStyleMedium2" defaultPivotStyle="PivotStyleLight16"/>
</styleSheet>
</file>

<file path=xl/volatileDependencies.xml><?xml version="1.0" encoding="utf-8"?>
<volTypes xmlns="http://schemas.openxmlformats.org/spreadsheetml/2006/main">
  <volType type="realTimeData">
    <main first="bloomberg.rtd">
      <tp t="s">
        <v>#N/A Authorization</v>
        <stp/>
        <stp>##V3_BDHV12</stp>
        <stp>UDR US Equity</stp>
        <stp>RX902</stp>
        <stp>-60CQ</stp>
        <stp>2018/3/31</stp>
        <stp>[housing reits conpanies.xlsx]ReferenceData!R347C6</stp>
        <stp>Per=CQ</stp>
        <stp>Dts=H</stp>
        <stp>Dir=H</stp>
        <stp>Points=60</stp>
        <stp>Sort=R</stp>
        <stp>Days=A</stp>
        <stp>Fill=B</stp>
        <stp>FX=USD</stp>
        <tr r="F347" s="3"/>
      </tp>
      <tp t="s">
        <v>#N/A Authorization</v>
        <stp/>
        <stp>##V3_BDHV12</stp>
        <stp>UDR US Equity</stp>
        <stp>IS972</stp>
        <stp>-60CQ</stp>
        <stp>2018/3/31</stp>
        <stp>[housing reits conpanies.xlsx]ReferenceData!R291C6</stp>
        <stp>Per=CQ</stp>
        <stp>Dts=H</stp>
        <stp>Dir=H</stp>
        <stp>Points=60</stp>
        <stp>Sort=R</stp>
        <stp>Days=A</stp>
        <stp>Fill=B</stp>
        <stp>FX=USD</stp>
        <tr r="F291" s="3"/>
      </tp>
      <tp t="s">
        <v>#N/A Authorization</v>
        <stp/>
        <stp>##V3_BDHV12</stp>
        <stp>UDR US Equity</stp>
        <stp>RR106</stp>
        <stp>-60CQ</stp>
        <stp>2018/3/31</stp>
        <stp>[housing reits conpanies.xlsx]ReferenceData!R411C6</stp>
        <stp>Per=CQ</stp>
        <stp>Dts=H</stp>
        <stp>Dir=H</stp>
        <stp>Points=60</stp>
        <stp>Sort=R</stp>
        <stp>Days=A</stp>
        <stp>Fill=B</stp>
        <stp>FX=USD</stp>
        <tr r="F411" s="3"/>
      </tp>
      <tp t="s">
        <v>#N/A Authorization</v>
        <stp/>
        <stp>##V3_BDHV12</stp>
        <stp>UDR US Equity</stp>
        <stp>RR147</stp>
        <stp>-60CQ</stp>
        <stp>2018/3/31</stp>
        <stp>[housing reits conpanies.xlsx]ReferenceData!R379C6</stp>
        <stp>Per=CQ</stp>
        <stp>Dts=H</stp>
        <stp>Dir=H</stp>
        <stp>Points=60</stp>
        <stp>Sort=R</stp>
        <stp>Days=A</stp>
        <stp>Fill=B</stp>
        <stp>FX=USD</stp>
        <tr r="F379" s="3"/>
      </tp>
      <tp t="s">
        <v>#N/A Authorization</v>
        <stp/>
        <stp>##V3_BDHV12</stp>
        <stp>UDR US Equity</stp>
        <stp>RR033</stp>
        <stp>-60CQ</stp>
        <stp>2018/3/31</stp>
        <stp>[housing reits conpanies.xlsx]ReferenceData!R315C6</stp>
        <stp>Per=CQ</stp>
        <stp>Dts=H</stp>
        <stp>Dir=H</stp>
        <stp>Points=60</stp>
        <stp>Sort=R</stp>
        <stp>Days=A</stp>
        <stp>Fill=B</stp>
        <stp>FX=USD</stp>
        <tr r="F315" s="3"/>
      </tp>
      <tp t="s">
        <v>#N/A Authorization</v>
        <stp/>
        <stp>##V3_BDHV12</stp>
        <stp>UDR US Equity</stp>
        <stp>IS030</stp>
        <stp>-60CQ</stp>
        <stp>2018/3/31</stp>
        <stp>[housing reits conpanies.xlsx]ReferenceData!R235C6</stp>
        <stp>Per=CQ</stp>
        <stp>Dts=H</stp>
        <stp>Dir=H</stp>
        <stp>Points=60</stp>
        <stp>Sort=R</stp>
        <stp>Days=A</stp>
        <stp>Fill=B</stp>
        <stp>FX=USD</stp>
        <tr r="F235" s="3"/>
      </tp>
      <tp t="s">
        <v>#N/A Authorization</v>
        <stp/>
        <stp>##V3_BDHV12</stp>
        <stp>UDR US Equity</stp>
        <stp>CF039</stp>
        <stp>-60CQ</stp>
        <stp>2018/3/31</stp>
        <stp>[housing reits conpanies.xlsx]ReferenceData!R299C6</stp>
        <stp>Per=CQ</stp>
        <stp>Dts=H</stp>
        <stp>Dir=H</stp>
        <stp>Points=60</stp>
        <stp>Sort=R</stp>
        <stp>Days=A</stp>
        <stp>Fill=B</stp>
        <stp>FX=USD</stp>
        <tr r="F299" s="3"/>
      </tp>
      <tp t="s">
        <v>#N/A Authorization</v>
        <stp/>
        <stp>##V3_BDHV12</stp>
        <stp>UDR US Equity</stp>
        <stp>RR009</stp>
        <stp>-60CQ</stp>
        <stp>2018/3/31</stp>
        <stp>[housing reits conpanies.xlsx]ReferenceData!R283C6</stp>
        <stp>Per=CQ</stp>
        <stp>Dts=H</stp>
        <stp>Dir=H</stp>
        <stp>Points=60</stp>
        <stp>Sort=R</stp>
        <stp>Days=A</stp>
        <stp>Fill=B</stp>
        <stp>FX=USD</stp>
        <tr r="F283" s="3"/>
      </tp>
      <tp t="s">
        <v>#N/A Authorization</v>
        <stp/>
        <stp>##V3_BDHV12</stp>
        <stp>UDR US Equity</stp>
        <stp>IS010</stp>
        <stp>-60CQ</stp>
        <stp>2018/3/31</stp>
        <stp>[housing reits conpanies.xlsx]ReferenceData!R267C6</stp>
        <stp>Per=CQ</stp>
        <stp>Dts=H</stp>
        <stp>Dir=H</stp>
        <stp>Points=60</stp>
        <stp>Sort=R</stp>
        <stp>Days=A</stp>
        <stp>Fill=B</stp>
        <stp>FX=USD</stp>
        <tr r="F267" s="3"/>
      </tp>
      <tp t="s">
        <v>#N/A Authorization</v>
        <stp/>
        <stp>##V3_BDHV12</stp>
        <stp>UDR US Equity</stp>
        <stp>IS019</stp>
        <stp>-60CQ</stp>
        <stp>2018/3/31</stp>
        <stp>[housing reits conpanies.xlsx]ReferenceData!R259C6</stp>
        <stp>Per=CQ</stp>
        <stp>Dts=H</stp>
        <stp>Dir=H</stp>
        <stp>Points=60</stp>
        <stp>Sort=R</stp>
        <stp>Days=A</stp>
        <stp>Fill=B</stp>
        <stp>FX=USD</stp>
        <tr r="F259" s="3"/>
      </tp>
      <tp t="s">
        <v>#N/A Authorization</v>
        <stp/>
        <stp>##V3_BDHV12</stp>
        <stp>UDR US Equity</stp>
        <stp>RR008</stp>
        <stp>-60CQ</stp>
        <stp>2018/3/31</stp>
        <stp>[housing reits conpanies.xlsx]ReferenceData!R403C6</stp>
        <stp>Per=CQ</stp>
        <stp>Dts=H</stp>
        <stp>Dir=H</stp>
        <stp>Points=60</stp>
        <stp>Sort=R</stp>
        <stp>Days=A</stp>
        <stp>Fill=B</stp>
        <stp>FX=USD</stp>
        <tr r="F403" s="3"/>
      </tp>
      <tp t="s">
        <v>#N/A Authorization</v>
        <stp/>
        <stp>##V3_BDHV12</stp>
        <stp>UDR US Equity</stp>
        <stp>RR052</stp>
        <stp>-60CQ</stp>
        <stp>2018/3/31</stp>
        <stp>[housing reits conpanies.xlsx]ReferenceData!R371C6</stp>
        <stp>Per=CQ</stp>
        <stp>Dts=H</stp>
        <stp>Dir=H</stp>
        <stp>Points=60</stp>
        <stp>Sort=R</stp>
        <stp>Days=A</stp>
        <stp>Fill=B</stp>
        <stp>FX=USD</stp>
        <tr r="F371" s="3"/>
      </tp>
      <tp t="s">
        <v>#N/A Authorization</v>
        <stp/>
        <stp>##V3_BDHV12</stp>
        <stp>UDR US Equity</stp>
        <stp>RX225</stp>
        <stp>-60CQ</stp>
        <stp>2018/3/31</stp>
        <stp>[housing reits conpanies.xlsx]ReferenceData!R339C6</stp>
        <stp>Per=CQ</stp>
        <stp>Dts=H</stp>
        <stp>Dir=H</stp>
        <stp>Points=60</stp>
        <stp>Sort=R</stp>
        <stp>Days=A</stp>
        <stp>Fill=B</stp>
        <stp>FX=USD</stp>
        <tr r="F339" s="3"/>
      </tp>
      <tp t="s">
        <v>#N/A Authorization</v>
        <stp/>
        <stp>##V3_BDHV12</stp>
        <stp>UDR US Equity</stp>
        <stp>IM275</stp>
        <stp>-60CQ</stp>
        <stp>2018/3/31</stp>
        <stp>[housing reits conpanies.xlsx]ReferenceData!R243C6</stp>
        <stp>Per=CQ</stp>
        <stp>Dts=H</stp>
        <stp>Dir=H</stp>
        <stp>Points=60</stp>
        <stp>Sort=R</stp>
        <stp>Days=A</stp>
        <stp>Fill=B</stp>
        <stp>FX=USD</stp>
        <tr r="F243" s="3"/>
      </tp>
      <tp t="s">
        <v>#N/A Authorization</v>
        <stp/>
        <stp>##V3_BDHV12</stp>
        <stp>UDR US Equity</stp>
        <stp>RR263</stp>
        <stp>-60CQ</stp>
        <stp>2018/3/31</stp>
        <stp>[housing reits conpanies.xlsx]ReferenceData!R387C6</stp>
        <stp>Per=CQ</stp>
        <stp>Dts=H</stp>
        <stp>Dir=H</stp>
        <stp>Points=60</stp>
        <stp>Sort=R</stp>
        <stp>Days=A</stp>
        <stp>Fill=B</stp>
        <stp>FX=USD</stp>
        <tr r="F387" s="3"/>
      </tp>
      <tp t="s">
        <v>#N/A Authorization</v>
        <stp/>
        <stp>##V3_BDHV12</stp>
        <stp>UDR US Equity</stp>
        <stp>RR253</stp>
        <stp>-60CQ</stp>
        <stp>2018/3/31</stp>
        <stp>[housing reits conpanies.xlsx]ReferenceData!R395C6</stp>
        <stp>Per=CQ</stp>
        <stp>Dts=H</stp>
        <stp>Dir=H</stp>
        <stp>Points=60</stp>
        <stp>Sort=R</stp>
        <stp>Days=A</stp>
        <stp>Fill=B</stp>
        <stp>FX=USD</stp>
        <tr r="F395" s="3"/>
      </tp>
      <tp t="s">
        <v>#N/A Authorization</v>
        <stp/>
        <stp>##V3_BDHV12</stp>
        <stp>UDR US Equity</stp>
        <stp>IM281</stp>
        <stp>-60CQ</stp>
        <stp>2018/3/31</stp>
        <stp>[housing reits conpanies.xlsx]ReferenceData!R251C6</stp>
        <stp>Per=CQ</stp>
        <stp>Dts=H</stp>
        <stp>Dir=H</stp>
        <stp>Points=60</stp>
        <stp>Sort=R</stp>
        <stp>Days=A</stp>
        <stp>Fill=B</stp>
        <stp>FX=USD</stp>
        <tr r="F251" s="3"/>
      </tp>
      <tp t="s">
        <v>#N/A Authorization</v>
        <stp/>
        <stp>##V3_BDHV12</stp>
        <stp>UDR US Equity</stp>
        <stp>RR502</stp>
        <stp>-60CQ</stp>
        <stp>2018/3/31</stp>
        <stp>[housing reits conpanies.xlsx]ReferenceData!R275C6</stp>
        <stp>Per=CQ</stp>
        <stp>Dts=H</stp>
        <stp>Dir=H</stp>
        <stp>Points=60</stp>
        <stp>Sort=R</stp>
        <stp>Days=A</stp>
        <stp>Fill=B</stp>
        <stp>FX=USD</stp>
        <tr r="F275" s="3"/>
      </tp>
      <tp t="s">
        <v>#N/A Authorization</v>
        <stp/>
        <stp>##V3_BDHV12</stp>
        <stp>UDR US Equity</stp>
        <stp>F0578</stp>
        <stp>-60CQ</stp>
        <stp>2018/3/31</stp>
        <stp>[housing reits conpanies.xlsx]ReferenceData!R307C6</stp>
        <stp>Per=CQ</stp>
        <stp>Dts=H</stp>
        <stp>Dir=H</stp>
        <stp>Points=60</stp>
        <stp>Sort=R</stp>
        <stp>Days=A</stp>
        <stp>Fill=B</stp>
        <stp>FX=USD</stp>
        <tr r="F307" s="3"/>
      </tp>
      <tp t="s">
        <v>#N/A Authorization</v>
        <stp/>
        <stp>##V3_BDHV12</stp>
        <stp>UDR US Equity</stp>
        <stp>RR553</stp>
        <stp>-60CQ</stp>
        <stp>2018/3/31</stp>
        <stp>[housing reits conpanies.xlsx]ReferenceData!R355C6</stp>
        <stp>Per=CQ</stp>
        <stp>Dts=H</stp>
        <stp>Dir=H</stp>
        <stp>Points=60</stp>
        <stp>Sort=R</stp>
        <stp>Days=A</stp>
        <stp>Fill=B</stp>
        <stp>FX=USD</stp>
        <tr r="F355" s="3"/>
      </tp>
      <tp t="s">
        <v>#N/A Authorization</v>
        <stp/>
        <stp>##V3_BDHV12</stp>
        <stp>UDR US Equity</stp>
        <stp>RR551</stp>
        <stp>-60CQ</stp>
        <stp>2018/3/31</stp>
        <stp>[housing reits conpanies.xlsx]ReferenceData!R323C6</stp>
        <stp>Per=CQ</stp>
        <stp>Dts=H</stp>
        <stp>Dir=H</stp>
        <stp>Points=60</stp>
        <stp>Sort=R</stp>
        <stp>Days=A</stp>
        <stp>Fill=B</stp>
        <stp>FX=USD</stp>
        <tr r="F323" s="3"/>
      </tp>
      <tp t="s">
        <v>#N/A Authorization</v>
        <stp/>
        <stp>##V3_BDHV12</stp>
        <stp>UDR US Equity</stp>
        <stp>RR554</stp>
        <stp>-60CQ</stp>
        <stp>2018/3/31</stp>
        <stp>[housing reits conpanies.xlsx]ReferenceData!R363C6</stp>
        <stp>Per=CQ</stp>
        <stp>Dts=H</stp>
        <stp>Dir=H</stp>
        <stp>Points=60</stp>
        <stp>Sort=R</stp>
        <stp>Days=A</stp>
        <stp>Fill=B</stp>
        <stp>FX=USD</stp>
        <tr r="F363" s="3"/>
      </tp>
    </main>
    <main first="bloomberg.ccyreader">
      <tp>
        <v>0</v>
        <stp/>
        <stp>#track</stp>
        <stp>DBG</stp>
        <stp>BIHITX</stp>
        <stp>1.0</stp>
        <stp>RepeatHit</stp>
        <tr r="A220" s="3"/>
      </tp>
    </main>
    <main first="bloomberg.rtd">
      <tp t="s">
        <v>#N/A Authorization</v>
        <stp/>
        <stp>##V3_BDHV12</stp>
        <stp>MAA US Equity</stp>
        <stp>RR106</stp>
        <stp>-60CQ</stp>
        <stp>2018/3/31</stp>
        <stp>[housing reits conpanies.xlsx]ReferenceData!R410C6</stp>
        <stp>Per=CQ</stp>
        <stp>Dts=H</stp>
        <stp>Dir=H</stp>
        <stp>Points=60</stp>
        <stp>Sort=R</stp>
        <stp>Days=A</stp>
        <stp>Fill=B</stp>
        <stp>FX=USD</stp>
        <tr r="F410" s="3"/>
      </tp>
      <tp t="s">
        <v>#N/A Authorization</v>
        <stp/>
        <stp>##V3_BDHV12</stp>
        <stp>MAA US Equity</stp>
        <stp>RR147</stp>
        <stp>-60CQ</stp>
        <stp>2018/3/31</stp>
        <stp>[housing reits conpanies.xlsx]ReferenceData!R378C6</stp>
        <stp>Per=CQ</stp>
        <stp>Dts=H</stp>
        <stp>Dir=H</stp>
        <stp>Points=60</stp>
        <stp>Sort=R</stp>
        <stp>Days=A</stp>
        <stp>Fill=B</stp>
        <stp>FX=USD</stp>
        <tr r="F378" s="3"/>
      </tp>
      <tp t="s">
        <v>#N/A Authorization</v>
        <stp/>
        <stp>##V3_BDHV12</stp>
        <stp>EDR US Equity</stp>
        <stp>RX902</stp>
        <stp>-60CQ</stp>
        <stp>2018/3/31</stp>
        <stp>[housing reits conpanies.xlsx]ReferenceData!R343C6</stp>
        <stp>Per=CQ</stp>
        <stp>Dts=H</stp>
        <stp>Dir=H</stp>
        <stp>Points=60</stp>
        <stp>Sort=R</stp>
        <stp>Days=A</stp>
        <stp>Fill=B</stp>
        <stp>FX=USD</stp>
        <tr r="F343" s="3"/>
      </tp>
      <tp t="s">
        <v>#N/A Authorization</v>
        <stp/>
        <stp>##V3_BDHV12</stp>
        <stp>EDR US Equity</stp>
        <stp>IS972</stp>
        <stp>-60CQ</stp>
        <stp>2018/3/31</stp>
        <stp>[housing reits conpanies.xlsx]ReferenceData!R287C6</stp>
        <stp>Per=CQ</stp>
        <stp>Dts=H</stp>
        <stp>Dir=H</stp>
        <stp>Points=60</stp>
        <stp>Sort=R</stp>
        <stp>Days=A</stp>
        <stp>Fill=B</stp>
        <stp>FX=USD</stp>
        <tr r="F287" s="3"/>
      </tp>
      <tp t="s">
        <v>#N/A Authorization</v>
        <stp/>
        <stp>##V3_BDHV12</stp>
        <stp>EQR US Equity</stp>
        <stp>IS972</stp>
        <stp>-60CQ</stp>
        <stp>2018/3/31</stp>
        <stp>[housing reits conpanies.xlsx]ReferenceData!R288C6</stp>
        <stp>Per=CQ</stp>
        <stp>Dts=H</stp>
        <stp>Dir=H</stp>
        <stp>Points=60</stp>
        <stp>Sort=R</stp>
        <stp>Days=A</stp>
        <stp>Fill=B</stp>
        <stp>FX=USD</stp>
        <tr r="F288" s="3"/>
      </tp>
      <tp t="s">
        <v>#N/A Authorization</v>
        <stp/>
        <stp>##V3_BDHV12</stp>
        <stp>ESS US Equity</stp>
        <stp>IS972</stp>
        <stp>-60CQ</stp>
        <stp>2018/3/31</stp>
        <stp>[housing reits conpanies.xlsx]ReferenceData!R289C6</stp>
        <stp>Per=CQ</stp>
        <stp>Dts=H</stp>
        <stp>Dir=H</stp>
        <stp>Points=60</stp>
        <stp>Sort=R</stp>
        <stp>Days=A</stp>
        <stp>Fill=B</stp>
        <stp>FX=USD</stp>
        <tr r="F289" s="3"/>
      </tp>
      <tp t="s">
        <v>#N/A Authorization</v>
        <stp/>
        <stp>##V3_BDHV12</stp>
        <stp>ESS US Equity</stp>
        <stp>RX902</stp>
        <stp>-60CQ</stp>
        <stp>2018/3/31</stp>
        <stp>[housing reits conpanies.xlsx]ReferenceData!R345C6</stp>
        <stp>Per=CQ</stp>
        <stp>Dts=H</stp>
        <stp>Dir=H</stp>
        <stp>Points=60</stp>
        <stp>Sort=R</stp>
        <stp>Days=A</stp>
        <stp>Fill=B</stp>
        <stp>FX=USD</stp>
        <tr r="F345" s="3"/>
      </tp>
      <tp t="s">
        <v>#N/A Authorization</v>
        <stp/>
        <stp>##V3_BDHV12</stp>
        <stp>EQR US Equity</stp>
        <stp>RX902</stp>
        <stp>-60CQ</stp>
        <stp>2018/3/31</stp>
        <stp>[housing reits conpanies.xlsx]ReferenceData!R344C6</stp>
        <stp>Per=CQ</stp>
        <stp>Dts=H</stp>
        <stp>Dir=H</stp>
        <stp>Points=60</stp>
        <stp>Sort=R</stp>
        <stp>Days=A</stp>
        <stp>Fill=B</stp>
        <stp>FX=USD</stp>
        <tr r="F344" s="3"/>
      </tp>
      <tp t="s">
        <v>#N/A Authorization</v>
        <stp/>
        <stp>##V3_BDHV12</stp>
        <stp>MAA US Equity</stp>
        <stp>RR008</stp>
        <stp>-60CQ</stp>
        <stp>2018/3/31</stp>
        <stp>[housing reits conpanies.xlsx]ReferenceData!R402C6</stp>
        <stp>Per=CQ</stp>
        <stp>Dts=H</stp>
        <stp>Dir=H</stp>
        <stp>Points=60</stp>
        <stp>Sort=R</stp>
        <stp>Days=A</stp>
        <stp>Fill=B</stp>
        <stp>FX=USD</stp>
        <tr r="F402" s="3"/>
      </tp>
      <tp t="s">
        <v>#N/A Authorization</v>
        <stp/>
        <stp>##V3_BDHV12</stp>
        <stp>MAA US Equity</stp>
        <stp>RR052</stp>
        <stp>-60CQ</stp>
        <stp>2018/3/31</stp>
        <stp>[housing reits conpanies.xlsx]ReferenceData!R370C6</stp>
        <stp>Per=CQ</stp>
        <stp>Dts=H</stp>
        <stp>Dir=H</stp>
        <stp>Points=60</stp>
        <stp>Sort=R</stp>
        <stp>Days=A</stp>
        <stp>Fill=B</stp>
        <stp>FX=USD</stp>
        <tr r="F370" s="3"/>
      </tp>
      <tp t="s">
        <v>#N/A Authorization</v>
        <stp/>
        <stp>##V3_BDHV12</stp>
        <stp>MAA US Equity</stp>
        <stp>IS030</stp>
        <stp>-60CQ</stp>
        <stp>2018/3/31</stp>
        <stp>[housing reits conpanies.xlsx]ReferenceData!R234C6</stp>
        <stp>Per=CQ</stp>
        <stp>Dts=H</stp>
        <stp>Dir=H</stp>
        <stp>Points=60</stp>
        <stp>Sort=R</stp>
        <stp>Days=A</stp>
        <stp>Fill=B</stp>
        <stp>FX=USD</stp>
        <tr r="F234" s="3"/>
      </tp>
      <tp t="s">
        <v>#N/A Authorization</v>
        <stp/>
        <stp>##V3_BDHV12</stp>
        <stp>MAA US Equity</stp>
        <stp>CF039</stp>
        <stp>-60CQ</stp>
        <stp>2018/3/31</stp>
        <stp>[housing reits conpanies.xlsx]ReferenceData!R298C6</stp>
        <stp>Per=CQ</stp>
        <stp>Dts=H</stp>
        <stp>Dir=H</stp>
        <stp>Points=60</stp>
        <stp>Sort=R</stp>
        <stp>Days=A</stp>
        <stp>Fill=B</stp>
        <stp>FX=USD</stp>
        <tr r="F298" s="3"/>
      </tp>
      <tp t="s">
        <v>#N/A Authorization</v>
        <stp/>
        <stp>##V3_BDHV12</stp>
        <stp>MAA US Equity</stp>
        <stp>RR033</stp>
        <stp>-60CQ</stp>
        <stp>2018/3/31</stp>
        <stp>[housing reits conpanies.xlsx]ReferenceData!R314C6</stp>
        <stp>Per=CQ</stp>
        <stp>Dts=H</stp>
        <stp>Dir=H</stp>
        <stp>Points=60</stp>
        <stp>Sort=R</stp>
        <stp>Days=A</stp>
        <stp>Fill=B</stp>
        <stp>FX=USD</stp>
        <tr r="F314" s="3"/>
      </tp>
      <tp t="s">
        <v>#N/A Authorization</v>
        <stp/>
        <stp>##V3_BDHV12</stp>
        <stp>MAA US Equity</stp>
        <stp>IS010</stp>
        <stp>-60CQ</stp>
        <stp>2018/3/31</stp>
        <stp>[housing reits conpanies.xlsx]ReferenceData!R266C6</stp>
        <stp>Per=CQ</stp>
        <stp>Dts=H</stp>
        <stp>Dir=H</stp>
        <stp>Points=60</stp>
        <stp>Sort=R</stp>
        <stp>Days=A</stp>
        <stp>Fill=B</stp>
        <stp>FX=USD</stp>
        <tr r="F266" s="3"/>
      </tp>
      <tp t="s">
        <v>#N/A Authorization</v>
        <stp/>
        <stp>##V3_BDHV12</stp>
        <stp>MAA US Equity</stp>
        <stp>IS019</stp>
        <stp>-60CQ</stp>
        <stp>2018/3/31</stp>
        <stp>[housing reits conpanies.xlsx]ReferenceData!R258C6</stp>
        <stp>Per=CQ</stp>
        <stp>Dts=H</stp>
        <stp>Dir=H</stp>
        <stp>Points=60</stp>
        <stp>Sort=R</stp>
        <stp>Days=A</stp>
        <stp>Fill=B</stp>
        <stp>FX=USD</stp>
        <tr r="F258" s="3"/>
      </tp>
      <tp t="s">
        <v>#N/A Authorization</v>
        <stp/>
        <stp>##V3_BDHV12</stp>
        <stp>MAA US Equity</stp>
        <stp>RR009</stp>
        <stp>-60CQ</stp>
        <stp>2018/3/31</stp>
        <stp>[housing reits conpanies.xlsx]ReferenceData!R282C6</stp>
        <stp>Per=CQ</stp>
        <stp>Dts=H</stp>
        <stp>Dir=H</stp>
        <stp>Points=60</stp>
        <stp>Sort=R</stp>
        <stp>Days=A</stp>
        <stp>Fill=B</stp>
        <stp>FX=USD</stp>
        <tr r="F282" s="3"/>
      </tp>
      <tp t="s">
        <v>#N/A Authorization</v>
        <stp/>
        <stp>##V3_BDHV12</stp>
        <stp>MAA US Equity</stp>
        <stp>RR263</stp>
        <stp>-60CQ</stp>
        <stp>2018/3/31</stp>
        <stp>[housing reits conpanies.xlsx]ReferenceData!R386C6</stp>
        <stp>Per=CQ</stp>
        <stp>Dts=H</stp>
        <stp>Dir=H</stp>
        <stp>Points=60</stp>
        <stp>Sort=R</stp>
        <stp>Days=A</stp>
        <stp>Fill=B</stp>
        <stp>FX=USD</stp>
        <tr r="F386" s="3"/>
      </tp>
      <tp t="s">
        <v>#N/A Authorization</v>
        <stp/>
        <stp>##V3_BDHV12</stp>
        <stp>MAA US Equity</stp>
        <stp>IM275</stp>
        <stp>-60CQ</stp>
        <stp>2018/3/31</stp>
        <stp>[housing reits conpanies.xlsx]ReferenceData!R242C6</stp>
        <stp>Per=CQ</stp>
        <stp>Dts=H</stp>
        <stp>Dir=H</stp>
        <stp>Points=60</stp>
        <stp>Sort=R</stp>
        <stp>Days=A</stp>
        <stp>Fill=B</stp>
        <stp>FX=USD</stp>
        <tr r="F242" s="3"/>
      </tp>
      <tp t="s">
        <v>#N/A Authorization</v>
        <stp/>
        <stp>##V3_BDHV12</stp>
        <stp>MAA US Equity</stp>
        <stp>RR253</stp>
        <stp>-60CQ</stp>
        <stp>2018/3/31</stp>
        <stp>[housing reits conpanies.xlsx]ReferenceData!R394C6</stp>
        <stp>Per=CQ</stp>
        <stp>Dts=H</stp>
        <stp>Dir=H</stp>
        <stp>Points=60</stp>
        <stp>Sort=R</stp>
        <stp>Days=A</stp>
        <stp>Fill=B</stp>
        <stp>FX=USD</stp>
        <tr r="F394" s="3"/>
      </tp>
      <tp t="s">
        <v>#N/A Authorization</v>
        <stp/>
        <stp>##V3_BDHV12</stp>
        <stp>MAA US Equity</stp>
        <stp>RX225</stp>
        <stp>-60CQ</stp>
        <stp>2018/3/31</stp>
        <stp>[housing reits conpanies.xlsx]ReferenceData!R338C6</stp>
        <stp>Per=CQ</stp>
        <stp>Dts=H</stp>
        <stp>Dir=H</stp>
        <stp>Points=60</stp>
        <stp>Sort=R</stp>
        <stp>Days=A</stp>
        <stp>Fill=B</stp>
        <stp>FX=USD</stp>
        <tr r="F338" s="3"/>
      </tp>
      <tp t="s">
        <v>#N/A Authorization</v>
        <stp/>
        <stp>##V3_BDHV12</stp>
        <stp>MAA US Equity</stp>
        <stp>IM281</stp>
        <stp>-60CQ</stp>
        <stp>2018/3/31</stp>
        <stp>[housing reits conpanies.xlsx]ReferenceData!R250C6</stp>
        <stp>Per=CQ</stp>
        <stp>Dts=H</stp>
        <stp>Dir=H</stp>
        <stp>Points=60</stp>
        <stp>Sort=R</stp>
        <stp>Days=A</stp>
        <stp>Fill=B</stp>
        <stp>FX=USD</stp>
        <tr r="F250" s="3"/>
      </tp>
      <tp t="s">
        <v>#N/A Authorization</v>
        <stp/>
        <stp>##V3_BDHV12</stp>
        <stp>MAA US Equity</stp>
        <stp>F0578</stp>
        <stp>-60CQ</stp>
        <stp>2018/3/31</stp>
        <stp>[housing reits conpanies.xlsx]ReferenceData!R306C6</stp>
        <stp>Per=CQ</stp>
        <stp>Dts=H</stp>
        <stp>Dir=H</stp>
        <stp>Points=60</stp>
        <stp>Sort=R</stp>
        <stp>Days=A</stp>
        <stp>Fill=B</stp>
        <stp>FX=USD</stp>
        <tr r="F306" s="3"/>
      </tp>
      <tp t="s">
        <v>#N/A Authorization</v>
        <stp/>
        <stp>##V3_BDHV12</stp>
        <stp>ACC US Equity</stp>
        <stp>IS972</stp>
        <stp>-60CQ</stp>
        <stp>2018/3/31</stp>
        <stp>[housing reits conpanies.xlsx]ReferenceData!R284C6</stp>
        <stp>Per=CQ</stp>
        <stp>Dts=H</stp>
        <stp>Dir=H</stp>
        <stp>Points=60</stp>
        <stp>Sort=R</stp>
        <stp>Days=A</stp>
        <stp>Fill=B</stp>
        <stp>FX=USD</stp>
        <tr r="F284" s="3"/>
      </tp>
      <tp t="s">
        <v>#N/A Authorization</v>
        <stp/>
        <stp>##V3_BDHV12</stp>
        <stp>MAA US Equity</stp>
        <stp>RR553</stp>
        <stp>-60CQ</stp>
        <stp>2018/3/31</stp>
        <stp>[housing reits conpanies.xlsx]ReferenceData!R354C6</stp>
        <stp>Per=CQ</stp>
        <stp>Dts=H</stp>
        <stp>Dir=H</stp>
        <stp>Points=60</stp>
        <stp>Sort=R</stp>
        <stp>Days=A</stp>
        <stp>Fill=B</stp>
        <stp>FX=USD</stp>
        <tr r="F354" s="3"/>
      </tp>
      <tp t="s">
        <v>#N/A Authorization</v>
        <stp/>
        <stp>##V3_BDHV12</stp>
        <stp>MAA US Equity</stp>
        <stp>RR554</stp>
        <stp>-60CQ</stp>
        <stp>2018/3/31</stp>
        <stp>[housing reits conpanies.xlsx]ReferenceData!R362C6</stp>
        <stp>Per=CQ</stp>
        <stp>Dts=H</stp>
        <stp>Dir=H</stp>
        <stp>Points=60</stp>
        <stp>Sort=R</stp>
        <stp>Days=A</stp>
        <stp>Fill=B</stp>
        <stp>FX=USD</stp>
        <tr r="F362" s="3"/>
      </tp>
      <tp t="s">
        <v>#N/A Authorization</v>
        <stp/>
        <stp>##V3_BDHV12</stp>
        <stp>MAA US Equity</stp>
        <stp>RR551</stp>
        <stp>-60CQ</stp>
        <stp>2018/3/31</stp>
        <stp>[housing reits conpanies.xlsx]ReferenceData!R322C6</stp>
        <stp>Per=CQ</stp>
        <stp>Dts=H</stp>
        <stp>Dir=H</stp>
        <stp>Points=60</stp>
        <stp>Sort=R</stp>
        <stp>Days=A</stp>
        <stp>Fill=B</stp>
        <stp>FX=USD</stp>
        <tr r="F322" s="3"/>
      </tp>
      <tp t="s">
        <v>#N/A Authorization</v>
        <stp/>
        <stp>##V3_BDHV12</stp>
        <stp>ACC US Equity</stp>
        <stp>RX902</stp>
        <stp>-60CQ</stp>
        <stp>2018/3/31</stp>
        <stp>[housing reits conpanies.xlsx]ReferenceData!R340C6</stp>
        <stp>Per=CQ</stp>
        <stp>Dts=H</stp>
        <stp>Dir=H</stp>
        <stp>Points=60</stp>
        <stp>Sort=R</stp>
        <stp>Days=A</stp>
        <stp>Fill=B</stp>
        <stp>FX=USD</stp>
        <tr r="F340" s="3"/>
      </tp>
      <tp t="s">
        <v>#N/A Authorization</v>
        <stp/>
        <stp>##V3_BDHV12</stp>
        <stp>MAA US Equity</stp>
        <stp>RR502</stp>
        <stp>-60CQ</stp>
        <stp>2018/3/31</stp>
        <stp>[housing reits conpanies.xlsx]ReferenceData!R274C6</stp>
        <stp>Per=CQ</stp>
        <stp>Dts=H</stp>
        <stp>Dir=H</stp>
        <stp>Points=60</stp>
        <stp>Sort=R</stp>
        <stp>Days=A</stp>
        <stp>Fill=B</stp>
        <stp>FX=USD</stp>
        <tr r="F274" s="3"/>
      </tp>
      <tp t="s">
        <v>#N/A Authorization</v>
        <stp/>
        <stp>##V3_BDHV12</stp>
        <stp>AVB US Equity</stp>
        <stp>RX902</stp>
        <stp>-60CQ</stp>
        <stp>2018/3/31</stp>
        <stp>[housing reits conpanies.xlsx]ReferenceData!R341C6</stp>
        <stp>Per=CQ</stp>
        <stp>Dts=H</stp>
        <stp>Dir=H</stp>
        <stp>Points=60</stp>
        <stp>Sort=R</stp>
        <stp>Days=A</stp>
        <stp>Fill=B</stp>
        <stp>FX=USD</stp>
        <tr r="F341" s="3"/>
      </tp>
      <tp t="s">
        <v>#N/A Authorization</v>
        <stp/>
        <stp>##V3_BDHV12</stp>
        <stp>AVB US Equity</stp>
        <stp>IS972</stp>
        <stp>-60CQ</stp>
        <stp>2018/3/31</stp>
        <stp>[housing reits conpanies.xlsx]ReferenceData!R285C6</stp>
        <stp>Per=CQ</stp>
        <stp>Dts=H</stp>
        <stp>Dir=H</stp>
        <stp>Points=60</stp>
        <stp>Sort=R</stp>
        <stp>Days=A</stp>
        <stp>Fill=B</stp>
        <stp>FX=USD</stp>
        <tr r="F285" s="3"/>
      </tp>
      <tp t="s">
        <v>#N/A Authorization</v>
        <stp/>
        <stp>##V3_BDHV12</stp>
        <stp>CPT US Equity</stp>
        <stp>IS972</stp>
        <stp>-60CQ</stp>
        <stp>2018/3/31</stp>
        <stp>[housing reits conpanies.xlsx]ReferenceData!R286C6</stp>
        <stp>Per=CQ</stp>
        <stp>Dts=H</stp>
        <stp>Dir=H</stp>
        <stp>Points=60</stp>
        <stp>Sort=R</stp>
        <stp>Days=A</stp>
        <stp>Fill=B</stp>
        <stp>FX=USD</stp>
        <tr r="F286" s="3"/>
      </tp>
      <tp t="s">
        <v>#N/A Authorization</v>
        <stp/>
        <stp>##V3_BDHV12</stp>
        <stp>CPT US Equity</stp>
        <stp>RX902</stp>
        <stp>-60CQ</stp>
        <stp>2018/3/31</stp>
        <stp>[housing reits conpanies.xlsx]ReferenceData!R342C6</stp>
        <stp>Per=CQ</stp>
        <stp>Dts=H</stp>
        <stp>Dir=H</stp>
        <stp>Points=60</stp>
        <stp>Sort=R</stp>
        <stp>Days=A</stp>
        <stp>Fill=B</stp>
        <stp>FX=USD</stp>
        <tr r="F342" s="3"/>
      </tp>
      <tp t="s">
        <v>#N/A Authorization</v>
        <stp/>
        <stp>##V3_BDHV12</stp>
        <stp>MAA US Equity</stp>
        <stp>IS972</stp>
        <stp>-60CQ</stp>
        <stp>2018/3/31</stp>
        <stp>[housing reits conpanies.xlsx]ReferenceData!R290C6</stp>
        <stp>Per=CQ</stp>
        <stp>Dts=H</stp>
        <stp>Dir=H</stp>
        <stp>Points=60</stp>
        <stp>Sort=R</stp>
        <stp>Days=A</stp>
        <stp>Fill=B</stp>
        <stp>FX=USD</stp>
        <tr r="F290" s="3"/>
      </tp>
      <tp t="s">
        <v>#N/A Authorization</v>
        <stp/>
        <stp>##V3_BDHV12</stp>
        <stp>ACC US Equity</stp>
        <stp>RR553</stp>
        <stp>-60CQ</stp>
        <stp>2018/3/31</stp>
        <stp>[housing reits conpanies.xlsx]ReferenceData!R348C6</stp>
        <stp>Per=CQ</stp>
        <stp>Dts=H</stp>
        <stp>Dir=H</stp>
        <stp>Points=60</stp>
        <stp>Sort=R</stp>
        <stp>Days=A</stp>
        <stp>Fill=B</stp>
        <stp>FX=USD</stp>
        <tr r="F348" s="3"/>
      </tp>
      <tp t="s">
        <v>#N/A Authorization</v>
        <stp/>
        <stp>##V3_BDHV12</stp>
        <stp>ACC US Equity</stp>
        <stp>RR551</stp>
        <stp>-60CQ</stp>
        <stp>2018/3/31</stp>
        <stp>[housing reits conpanies.xlsx]ReferenceData!R316C6</stp>
        <stp>Per=CQ</stp>
        <stp>Dts=H</stp>
        <stp>Dir=H</stp>
        <stp>Points=60</stp>
        <stp>Sort=R</stp>
        <stp>Days=A</stp>
        <stp>Fill=B</stp>
        <stp>FX=USD</stp>
        <tr r="F316" s="3"/>
      </tp>
      <tp t="s">
        <v>#N/A Authorization</v>
        <stp/>
        <stp>##V3_BDHV12</stp>
        <stp>ACC US Equity</stp>
        <stp>RR554</stp>
        <stp>-60CQ</stp>
        <stp>2018/3/31</stp>
        <stp>[housing reits conpanies.xlsx]ReferenceData!R356C6</stp>
        <stp>Per=CQ</stp>
        <stp>Dts=H</stp>
        <stp>Dir=H</stp>
        <stp>Points=60</stp>
        <stp>Sort=R</stp>
        <stp>Days=A</stp>
        <stp>Fill=B</stp>
        <stp>FX=USD</stp>
        <tr r="F356" s="3"/>
      </tp>
      <tp t="s">
        <v>#N/A Authorization</v>
        <stp/>
        <stp>##V3_BDHV12</stp>
        <stp>ACC US Equity</stp>
        <stp>F0578</stp>
        <stp>-60CQ</stp>
        <stp>2018/3/31</stp>
        <stp>[housing reits conpanies.xlsx]ReferenceData!R300C6</stp>
        <stp>Per=CQ</stp>
        <stp>Dts=H</stp>
        <stp>Dir=H</stp>
        <stp>Points=60</stp>
        <stp>Sort=R</stp>
        <stp>Days=A</stp>
        <stp>Fill=B</stp>
        <stp>FX=USD</stp>
        <tr r="F300" s="3"/>
      </tp>
      <tp t="s">
        <v>#N/A Authorization</v>
        <stp/>
        <stp>##V3_BDHV12</stp>
        <stp>EDR US Equity</stp>
        <stp>RR106</stp>
        <stp>-60CQ</stp>
        <stp>2018/3/31</stp>
        <stp>[housing reits conpanies.xlsx]ReferenceData!R407C6</stp>
        <stp>Per=CQ</stp>
        <stp>Dts=H</stp>
        <stp>Dir=H</stp>
        <stp>Points=60</stp>
        <stp>Sort=R</stp>
        <stp>Days=A</stp>
        <stp>Fill=B</stp>
        <stp>FX=USD</stp>
        <tr r="F407" s="3"/>
      </tp>
      <tp t="s">
        <v>#N/A Authorization</v>
        <stp/>
        <stp>##V3_BDHV12</stp>
        <stp>ACC US Equity</stp>
        <stp>RR502</stp>
        <stp>-60CQ</stp>
        <stp>2018/3/31</stp>
        <stp>[housing reits conpanies.xlsx]ReferenceData!R268C6</stp>
        <stp>Per=CQ</stp>
        <stp>Dts=H</stp>
        <stp>Dir=H</stp>
        <stp>Points=60</stp>
        <stp>Sort=R</stp>
        <stp>Days=A</stp>
        <stp>Fill=B</stp>
        <stp>FX=USD</stp>
        <tr r="F268" s="3"/>
      </tp>
      <tp t="s">
        <v>#N/A Authorization</v>
        <stp/>
        <stp>##V3_BDHV12</stp>
        <stp>MAA US Equity</stp>
        <stp>RX902</stp>
        <stp>-60CQ</stp>
        <stp>2018/3/31</stp>
        <stp>[housing reits conpanies.xlsx]ReferenceData!R346C6</stp>
        <stp>Per=CQ</stp>
        <stp>Dts=H</stp>
        <stp>Dir=H</stp>
        <stp>Points=60</stp>
        <stp>Sort=R</stp>
        <stp>Days=A</stp>
        <stp>Fill=B</stp>
        <stp>FX=USD</stp>
        <tr r="F346" s="3"/>
      </tp>
      <tp t="s">
        <v>#N/A Authorization</v>
        <stp/>
        <stp>##V3_BDHV12</stp>
        <stp>EDR US Equity</stp>
        <stp>RR147</stp>
        <stp>-60CQ</stp>
        <stp>2018/3/31</stp>
        <stp>[housing reits conpanies.xlsx]ReferenceData!R375C6</stp>
        <stp>Per=CQ</stp>
        <stp>Dts=H</stp>
        <stp>Dir=H</stp>
        <stp>Points=60</stp>
        <stp>Sort=R</stp>
        <stp>Days=A</stp>
        <stp>Fill=B</stp>
        <stp>FX=USD</stp>
        <tr r="F375" s="3"/>
      </tp>
      <tp t="s">
        <v>#N/A Authorization</v>
        <stp/>
        <stp>##V3_BDHV12</stp>
        <stp>AVB US Equity</stp>
        <stp>RR502</stp>
        <stp>-60CQ</stp>
        <stp>2018/3/31</stp>
        <stp>[housing reits conpanies.xlsx]ReferenceData!R269C6</stp>
        <stp>Per=CQ</stp>
        <stp>Dts=H</stp>
        <stp>Dir=H</stp>
        <stp>Points=60</stp>
        <stp>Sort=R</stp>
        <stp>Days=A</stp>
        <stp>Fill=B</stp>
        <stp>FX=USD</stp>
        <tr r="F269" s="3"/>
      </tp>
      <tp t="s">
        <v>#N/A Authorization</v>
        <stp/>
        <stp>##V3_BDHV12</stp>
        <stp>ESS US Equity</stp>
        <stp>RR147</stp>
        <stp>-60CQ</stp>
        <stp>2018/3/31</stp>
        <stp>[housing reits conpanies.xlsx]ReferenceData!R377C6</stp>
        <stp>Per=CQ</stp>
        <stp>Dts=H</stp>
        <stp>Dir=H</stp>
        <stp>Points=60</stp>
        <stp>Sort=R</stp>
        <stp>Days=A</stp>
        <stp>Fill=B</stp>
        <stp>FX=USD</stp>
        <tr r="F377" s="3"/>
      </tp>
      <tp t="s">
        <v>#N/A Authorization</v>
        <stp/>
        <stp>##V3_BDHV12</stp>
        <stp>EQR US Equity</stp>
        <stp>RR106</stp>
        <stp>-60CQ</stp>
        <stp>2018/3/31</stp>
        <stp>[housing reits conpanies.xlsx]ReferenceData!R408C6</stp>
        <stp>Per=CQ</stp>
        <stp>Dts=H</stp>
        <stp>Dir=H</stp>
        <stp>Points=60</stp>
        <stp>Sort=R</stp>
        <stp>Days=A</stp>
        <stp>Fill=B</stp>
        <stp>FX=USD</stp>
        <tr r="F408" s="3"/>
      </tp>
      <tp t="s">
        <v>#N/A Authorization</v>
        <stp/>
        <stp>##V3_BDHV12</stp>
        <stp>EQR US Equity</stp>
        <stp>RR147</stp>
        <stp>-60CQ</stp>
        <stp>2018/3/31</stp>
        <stp>[housing reits conpanies.xlsx]ReferenceData!R376C6</stp>
        <stp>Per=CQ</stp>
        <stp>Dts=H</stp>
        <stp>Dir=H</stp>
        <stp>Points=60</stp>
        <stp>Sort=R</stp>
        <stp>Days=A</stp>
        <stp>Fill=B</stp>
        <stp>FX=USD</stp>
        <tr r="F376" s="3"/>
      </tp>
      <tp t="s">
        <v>#N/A Authorization</v>
        <stp/>
        <stp>##V3_BDHV12</stp>
        <stp>ESS US Equity</stp>
        <stp>RR106</stp>
        <stp>-60CQ</stp>
        <stp>2018/3/31</stp>
        <stp>[housing reits conpanies.xlsx]ReferenceData!R409C6</stp>
        <stp>Per=CQ</stp>
        <stp>Dts=H</stp>
        <stp>Dir=H</stp>
        <stp>Points=60</stp>
        <stp>Sort=R</stp>
        <stp>Days=A</stp>
        <stp>Fill=B</stp>
        <stp>FX=USD</stp>
        <tr r="F409" s="3"/>
      </tp>
      <tp t="s">
        <v>#N/A Authorization</v>
        <stp/>
        <stp>##V3_BDHV12</stp>
        <stp>AVB US Equity</stp>
        <stp>RR553</stp>
        <stp>-60CQ</stp>
        <stp>2018/3/31</stp>
        <stp>[housing reits conpanies.xlsx]ReferenceData!R349C6</stp>
        <stp>Per=CQ</stp>
        <stp>Dts=H</stp>
        <stp>Dir=H</stp>
        <stp>Points=60</stp>
        <stp>Sort=R</stp>
        <stp>Days=A</stp>
        <stp>Fill=B</stp>
        <stp>FX=USD</stp>
        <tr r="F349" s="3"/>
      </tp>
      <tp t="s">
        <v>#N/A Authorization</v>
        <stp/>
        <stp>##V3_BDHV12</stp>
        <stp>AVB US Equity</stp>
        <stp>RR554</stp>
        <stp>-60CQ</stp>
        <stp>2018/3/31</stp>
        <stp>[housing reits conpanies.xlsx]ReferenceData!R357C6</stp>
        <stp>Per=CQ</stp>
        <stp>Dts=H</stp>
        <stp>Dir=H</stp>
        <stp>Points=60</stp>
        <stp>Sort=R</stp>
        <stp>Days=A</stp>
        <stp>Fill=B</stp>
        <stp>FX=USD</stp>
        <tr r="F357" s="3"/>
      </tp>
      <tp t="s">
        <v>#N/A Authorization</v>
        <stp/>
        <stp>##V3_BDHV12</stp>
        <stp>AVB US Equity</stp>
        <stp>RR551</stp>
        <stp>-60CQ</stp>
        <stp>2018/3/31</stp>
        <stp>[housing reits conpanies.xlsx]ReferenceData!R317C6</stp>
        <stp>Per=CQ</stp>
        <stp>Dts=H</stp>
        <stp>Dir=H</stp>
        <stp>Points=60</stp>
        <stp>Sort=R</stp>
        <stp>Days=A</stp>
        <stp>Fill=B</stp>
        <stp>FX=USD</stp>
        <tr r="F317" s="3"/>
      </tp>
      <tp t="s">
        <v>#N/A Authorization</v>
        <stp/>
        <stp>##V3_BDHV12</stp>
        <stp>AVB US Equity</stp>
        <stp>F0578</stp>
        <stp>-60CQ</stp>
        <stp>2018/3/31</stp>
        <stp>[housing reits conpanies.xlsx]ReferenceData!R301C6</stp>
        <stp>Per=CQ</stp>
        <stp>Dts=H</stp>
        <stp>Dir=H</stp>
        <stp>Points=60</stp>
        <stp>Sort=R</stp>
        <stp>Days=A</stp>
        <stp>Fill=B</stp>
        <stp>FX=USD</stp>
        <tr r="F301" s="3"/>
      </tp>
      <tp t="s">
        <v>#N/A Authorization</v>
        <stp/>
        <stp>##V3_BDHV12</stp>
        <stp>EDR US Equity</stp>
        <stp>RR033</stp>
        <stp>-60CQ</stp>
        <stp>2018/3/31</stp>
        <stp>[housing reits conpanies.xlsx]ReferenceData!R311C6</stp>
        <stp>Per=CQ</stp>
        <stp>Dts=H</stp>
        <stp>Dir=H</stp>
        <stp>Points=60</stp>
        <stp>Sort=R</stp>
        <stp>Days=A</stp>
        <stp>Fill=B</stp>
        <stp>FX=USD</stp>
        <tr r="F311" s="3"/>
      </tp>
      <tp t="s">
        <v>#N/A Authorization</v>
        <stp/>
        <stp>##V3_BDHV12</stp>
        <stp>EDR US Equity</stp>
        <stp>IS030</stp>
        <stp>-60CQ</stp>
        <stp>2018/3/31</stp>
        <stp>[housing reits conpanies.xlsx]ReferenceData!R231C6</stp>
        <stp>Per=CQ</stp>
        <stp>Dts=H</stp>
        <stp>Dir=H</stp>
        <stp>Points=60</stp>
        <stp>Sort=R</stp>
        <stp>Days=A</stp>
        <stp>Fill=B</stp>
        <stp>FX=USD</stp>
        <tr r="F231" s="3"/>
      </tp>
      <tp t="s">
        <v>#N/A Authorization</v>
        <stp/>
        <stp>##V3_BDHV12</stp>
        <stp>EDR US Equity</stp>
        <stp>CF039</stp>
        <stp>-60CQ</stp>
        <stp>2018/3/31</stp>
        <stp>[housing reits conpanies.xlsx]ReferenceData!R295C6</stp>
        <stp>Per=CQ</stp>
        <stp>Dts=H</stp>
        <stp>Dir=H</stp>
        <stp>Points=60</stp>
        <stp>Sort=R</stp>
        <stp>Days=A</stp>
        <stp>Fill=B</stp>
        <stp>FX=USD</stp>
        <tr r="F295" s="3"/>
      </tp>
      <tp t="s">
        <v>#N/A Authorization</v>
        <stp/>
        <stp>##V3_BDHV12</stp>
        <stp>EDR US Equity</stp>
        <stp>RR009</stp>
        <stp>-60CQ</stp>
        <stp>2018/3/31</stp>
        <stp>[housing reits conpanies.xlsx]ReferenceData!R279C6</stp>
        <stp>Per=CQ</stp>
        <stp>Dts=H</stp>
        <stp>Dir=H</stp>
        <stp>Points=60</stp>
        <stp>Sort=R</stp>
        <stp>Days=A</stp>
        <stp>Fill=B</stp>
        <stp>FX=USD</stp>
        <tr r="F279" s="3"/>
      </tp>
      <tp t="s">
        <v>#N/A Authorization</v>
        <stp/>
        <stp>##V3_BDHV12</stp>
        <stp>EDR US Equity</stp>
        <stp>IS010</stp>
        <stp>-60CQ</stp>
        <stp>2018/3/31</stp>
        <stp>[housing reits conpanies.xlsx]ReferenceData!R263C6</stp>
        <stp>Per=CQ</stp>
        <stp>Dts=H</stp>
        <stp>Dir=H</stp>
        <stp>Points=60</stp>
        <stp>Sort=R</stp>
        <stp>Days=A</stp>
        <stp>Fill=B</stp>
        <stp>FX=USD</stp>
        <tr r="F263" s="3"/>
      </tp>
      <tp t="s">
        <v>#N/A Authorization</v>
        <stp/>
        <stp>##V3_BDHV12</stp>
        <stp>EDR US Equity</stp>
        <stp>IS019</stp>
        <stp>-60CQ</stp>
        <stp>2018/3/31</stp>
        <stp>[housing reits conpanies.xlsx]ReferenceData!R255C6</stp>
        <stp>Per=CQ</stp>
        <stp>Dts=H</stp>
        <stp>Dir=H</stp>
        <stp>Points=60</stp>
        <stp>Sort=R</stp>
        <stp>Days=A</stp>
        <stp>Fill=B</stp>
        <stp>FX=USD</stp>
        <tr r="F255" s="3"/>
      </tp>
      <tp t="s">
        <v>#N/A Authorization</v>
        <stp/>
        <stp>##V3_BDHV12</stp>
        <stp>EDR US Equity</stp>
        <stp>RR008</stp>
        <stp>-60CQ</stp>
        <stp>2018/3/31</stp>
        <stp>[housing reits conpanies.xlsx]ReferenceData!R399C6</stp>
        <stp>Per=CQ</stp>
        <stp>Dts=H</stp>
        <stp>Dir=H</stp>
        <stp>Points=60</stp>
        <stp>Sort=R</stp>
        <stp>Days=A</stp>
        <stp>Fill=B</stp>
        <stp>FX=USD</stp>
        <tr r="F399" s="3"/>
      </tp>
      <tp t="s">
        <v>#N/A Authorization</v>
        <stp/>
        <stp>##V3_BDHV12</stp>
        <stp>EDR US Equity</stp>
        <stp>RR052</stp>
        <stp>-60CQ</stp>
        <stp>2018/3/31</stp>
        <stp>[housing reits conpanies.xlsx]ReferenceData!R367C6</stp>
        <stp>Per=CQ</stp>
        <stp>Dts=H</stp>
        <stp>Dir=H</stp>
        <stp>Points=60</stp>
        <stp>Sort=R</stp>
        <stp>Days=A</stp>
        <stp>Fill=B</stp>
        <stp>FX=USD</stp>
        <tr r="F367" s="3"/>
      </tp>
      <tp t="s">
        <v>#N/A Authorization</v>
        <stp/>
        <stp>##V3_BDHV12</stp>
        <stp>EQR US Equity</stp>
        <stp>RR008</stp>
        <stp>-60CQ</stp>
        <stp>2018/3/31</stp>
        <stp>[housing reits conpanies.xlsx]ReferenceData!R400C6</stp>
        <stp>Per=CQ</stp>
        <stp>Dts=H</stp>
        <stp>Dir=H</stp>
        <stp>Points=60</stp>
        <stp>Sort=R</stp>
        <stp>Days=A</stp>
        <stp>Fill=B</stp>
        <stp>FX=USD</stp>
        <tr r="F400" s="3"/>
      </tp>
      <tp t="s">
        <v>#N/A Authorization</v>
        <stp/>
        <stp>##V3_BDHV12</stp>
        <stp>ESS US Equity</stp>
        <stp>RR052</stp>
        <stp>-60CQ</stp>
        <stp>2018/3/31</stp>
        <stp>[housing reits conpanies.xlsx]ReferenceData!R369C6</stp>
        <stp>Per=CQ</stp>
        <stp>Dts=H</stp>
        <stp>Dir=H</stp>
        <stp>Points=60</stp>
        <stp>Sort=R</stp>
        <stp>Days=A</stp>
        <stp>Fill=B</stp>
        <stp>FX=USD</stp>
        <tr r="F369" s="3"/>
      </tp>
      <tp t="s">
        <v>#N/A Authorization</v>
        <stp/>
        <stp>##V3_BDHV12</stp>
        <stp>ESS US Equity</stp>
        <stp>RR008</stp>
        <stp>-60CQ</stp>
        <stp>2018/3/31</stp>
        <stp>[housing reits conpanies.xlsx]ReferenceData!R401C6</stp>
        <stp>Per=CQ</stp>
        <stp>Dts=H</stp>
        <stp>Dir=H</stp>
        <stp>Points=60</stp>
        <stp>Sort=R</stp>
        <stp>Days=A</stp>
        <stp>Fill=B</stp>
        <stp>FX=USD</stp>
        <tr r="F401" s="3"/>
      </tp>
      <tp t="s">
        <v>#N/A Authorization</v>
        <stp/>
        <stp>##V3_BDHV12</stp>
        <stp>EQR US Equity</stp>
        <stp>RR052</stp>
        <stp>-60CQ</stp>
        <stp>2018/3/31</stp>
        <stp>[housing reits conpanies.xlsx]ReferenceData!R368C6</stp>
        <stp>Per=CQ</stp>
        <stp>Dts=H</stp>
        <stp>Dir=H</stp>
        <stp>Points=60</stp>
        <stp>Sort=R</stp>
        <stp>Days=A</stp>
        <stp>Fill=B</stp>
        <stp>FX=USD</stp>
        <tr r="F368" s="3"/>
      </tp>
      <tp t="s">
        <v>#N/A Authorization</v>
        <stp/>
        <stp>##V3_BDHV12</stp>
        <stp>ESS US Equity</stp>
        <stp>IS010</stp>
        <stp>-60CQ</stp>
        <stp>2018/3/31</stp>
        <stp>[housing reits conpanies.xlsx]ReferenceData!R265C6</stp>
        <stp>Per=CQ</stp>
        <stp>Dts=H</stp>
        <stp>Dir=H</stp>
        <stp>Points=60</stp>
        <stp>Sort=R</stp>
        <stp>Days=A</stp>
        <stp>Fill=B</stp>
        <stp>FX=USD</stp>
        <tr r="F265" s="3"/>
      </tp>
      <tp t="s">
        <v>#N/A Authorization</v>
        <stp/>
        <stp>##V3_BDHV12</stp>
        <stp>EQR US Equity</stp>
        <stp>IS030</stp>
        <stp>-60CQ</stp>
        <stp>2018/3/31</stp>
        <stp>[housing reits conpanies.xlsx]ReferenceData!R232C6</stp>
        <stp>Per=CQ</stp>
        <stp>Dts=H</stp>
        <stp>Dir=H</stp>
        <stp>Points=60</stp>
        <stp>Sort=R</stp>
        <stp>Days=A</stp>
        <stp>Fill=B</stp>
        <stp>FX=USD</stp>
        <tr r="F232" s="3"/>
      </tp>
      <tp t="s">
        <v>#N/A Authorization</v>
        <stp/>
        <stp>##V3_BDHV12</stp>
        <stp>ESS US Equity</stp>
        <stp>IS019</stp>
        <stp>-60CQ</stp>
        <stp>2018/3/31</stp>
        <stp>[housing reits conpanies.xlsx]ReferenceData!R257C6</stp>
        <stp>Per=CQ</stp>
        <stp>Dts=H</stp>
        <stp>Dir=H</stp>
        <stp>Points=60</stp>
        <stp>Sort=R</stp>
        <stp>Days=A</stp>
        <stp>Fill=B</stp>
        <stp>FX=USD</stp>
        <tr r="F257" s="3"/>
      </tp>
      <tp t="s">
        <v>#N/A Authorization</v>
        <stp/>
        <stp>##V3_BDHV12</stp>
        <stp>EQR US Equity</stp>
        <stp>CF039</stp>
        <stp>-60CQ</stp>
        <stp>2018/3/31</stp>
        <stp>[housing reits conpanies.xlsx]ReferenceData!R296C6</stp>
        <stp>Per=CQ</stp>
        <stp>Dts=H</stp>
        <stp>Dir=H</stp>
        <stp>Points=60</stp>
        <stp>Sort=R</stp>
        <stp>Days=A</stp>
        <stp>Fill=B</stp>
        <stp>FX=USD</stp>
        <tr r="F296" s="3"/>
      </tp>
      <tp t="s">
        <v>#N/A Authorization</v>
        <stp/>
        <stp>##V3_BDHV12</stp>
        <stp>ESS US Equity</stp>
        <stp>RR009</stp>
        <stp>-60CQ</stp>
        <stp>2018/3/31</stp>
        <stp>[housing reits conpanies.xlsx]ReferenceData!R281C6</stp>
        <stp>Per=CQ</stp>
        <stp>Dts=H</stp>
        <stp>Dir=H</stp>
        <stp>Points=60</stp>
        <stp>Sort=R</stp>
        <stp>Days=A</stp>
        <stp>Fill=B</stp>
        <stp>FX=USD</stp>
        <tr r="F281" s="3"/>
      </tp>
      <tp t="s">
        <v>#N/A Authorization</v>
        <stp/>
        <stp>##V3_BDHV12</stp>
        <stp>EQR US Equity</stp>
        <stp>RR033</stp>
        <stp>-60CQ</stp>
        <stp>2018/3/31</stp>
        <stp>[housing reits conpanies.xlsx]ReferenceData!R312C6</stp>
        <stp>Per=CQ</stp>
        <stp>Dts=H</stp>
        <stp>Dir=H</stp>
        <stp>Points=60</stp>
        <stp>Sort=R</stp>
        <stp>Days=A</stp>
        <stp>Fill=B</stp>
        <stp>FX=USD</stp>
        <tr r="F312" s="3"/>
      </tp>
      <tp t="s">
        <v>#N/A Authorization</v>
        <stp/>
        <stp>##V3_BDHV12</stp>
        <stp>EQR US Equity</stp>
        <stp>IS010</stp>
        <stp>-60CQ</stp>
        <stp>2018/3/31</stp>
        <stp>[housing reits conpanies.xlsx]ReferenceData!R264C6</stp>
        <stp>Per=CQ</stp>
        <stp>Dts=H</stp>
        <stp>Dir=H</stp>
        <stp>Points=60</stp>
        <stp>Sort=R</stp>
        <stp>Days=A</stp>
        <stp>Fill=B</stp>
        <stp>FX=USD</stp>
        <tr r="F264" s="3"/>
      </tp>
      <tp t="s">
        <v>#N/A Authorization</v>
        <stp/>
        <stp>##V3_BDHV12</stp>
        <stp>ESS US Equity</stp>
        <stp>IS030</stp>
        <stp>-60CQ</stp>
        <stp>2018/3/31</stp>
        <stp>[housing reits conpanies.xlsx]ReferenceData!R233C6</stp>
        <stp>Per=CQ</stp>
        <stp>Dts=H</stp>
        <stp>Dir=H</stp>
        <stp>Points=60</stp>
        <stp>Sort=R</stp>
        <stp>Days=A</stp>
        <stp>Fill=B</stp>
        <stp>FX=USD</stp>
        <tr r="F233" s="3"/>
      </tp>
      <tp t="s">
        <v>#N/A Authorization</v>
        <stp/>
        <stp>##V3_BDHV12</stp>
        <stp>EQR US Equity</stp>
        <stp>IS019</stp>
        <stp>-60CQ</stp>
        <stp>2018/3/31</stp>
        <stp>[housing reits conpanies.xlsx]ReferenceData!R256C6</stp>
        <stp>Per=CQ</stp>
        <stp>Dts=H</stp>
        <stp>Dir=H</stp>
        <stp>Points=60</stp>
        <stp>Sort=R</stp>
        <stp>Days=A</stp>
        <stp>Fill=B</stp>
        <stp>FX=USD</stp>
        <tr r="F256" s="3"/>
      </tp>
      <tp t="s">
        <v>#N/A Authorization</v>
        <stp/>
        <stp>##V3_BDHV12</stp>
        <stp>ESS US Equity</stp>
        <stp>CF039</stp>
        <stp>-60CQ</stp>
        <stp>2018/3/31</stp>
        <stp>[housing reits conpanies.xlsx]ReferenceData!R297C6</stp>
        <stp>Per=CQ</stp>
        <stp>Dts=H</stp>
        <stp>Dir=H</stp>
        <stp>Points=60</stp>
        <stp>Sort=R</stp>
        <stp>Days=A</stp>
        <stp>Fill=B</stp>
        <stp>FX=USD</stp>
        <tr r="F297" s="3"/>
      </tp>
      <tp t="s">
        <v>#N/A Authorization</v>
        <stp/>
        <stp>##V3_BDHV12</stp>
        <stp>EQR US Equity</stp>
        <stp>RR009</stp>
        <stp>-60CQ</stp>
        <stp>2018/3/31</stp>
        <stp>[housing reits conpanies.xlsx]ReferenceData!R280C6</stp>
        <stp>Per=CQ</stp>
        <stp>Dts=H</stp>
        <stp>Dir=H</stp>
        <stp>Points=60</stp>
        <stp>Sort=R</stp>
        <stp>Days=A</stp>
        <stp>Fill=B</stp>
        <stp>FX=USD</stp>
        <tr r="F280" s="3"/>
      </tp>
      <tp t="s">
        <v>#N/A Authorization</v>
        <stp/>
        <stp>##V3_BDHV12</stp>
        <stp>ESS US Equity</stp>
        <stp>RR033</stp>
        <stp>-60CQ</stp>
        <stp>2018/3/31</stp>
        <stp>[housing reits conpanies.xlsx]ReferenceData!R313C6</stp>
        <stp>Per=CQ</stp>
        <stp>Dts=H</stp>
        <stp>Dir=H</stp>
        <stp>Points=60</stp>
        <stp>Sort=R</stp>
        <stp>Days=A</stp>
        <stp>Fill=B</stp>
        <stp>FX=USD</stp>
        <tr r="F313" s="3"/>
      </tp>
      <tp t="s">
        <v>#N/A Authorization</v>
        <stp/>
        <stp>##V3_BDHV12</stp>
        <stp>CPT US Equity</stp>
        <stp>F0578</stp>
        <stp>-60CQ</stp>
        <stp>2018/3/31</stp>
        <stp>[housing reits conpanies.xlsx]ReferenceData!R302C6</stp>
        <stp>Per=CQ</stp>
        <stp>Dts=H</stp>
        <stp>Dir=H</stp>
        <stp>Points=60</stp>
        <stp>Sort=R</stp>
        <stp>Days=A</stp>
        <stp>Fill=B</stp>
        <stp>FX=USD</stp>
        <tr r="F302" s="3"/>
      </tp>
      <tp t="s">
        <v>#N/A Authorization</v>
        <stp/>
        <stp>##V3_BDHV12</stp>
        <stp>CPT US Equity</stp>
        <stp>RR554</stp>
        <stp>-60CQ</stp>
        <stp>2018/3/31</stp>
        <stp>[housing reits conpanies.xlsx]ReferenceData!R358C6</stp>
        <stp>Per=CQ</stp>
        <stp>Dts=H</stp>
        <stp>Dir=H</stp>
        <stp>Points=60</stp>
        <stp>Sort=R</stp>
        <stp>Days=A</stp>
        <stp>Fill=B</stp>
        <stp>FX=USD</stp>
        <tr r="F358" s="3"/>
      </tp>
      <tp t="s">
        <v>#N/A Authorization</v>
        <stp/>
        <stp>##V3_BDHV12</stp>
        <stp>CPT US Equity</stp>
        <stp>RR551</stp>
        <stp>-60CQ</stp>
        <stp>2018/3/31</stp>
        <stp>[housing reits conpanies.xlsx]ReferenceData!R318C6</stp>
        <stp>Per=CQ</stp>
        <stp>Dts=H</stp>
        <stp>Dir=H</stp>
        <stp>Points=60</stp>
        <stp>Sort=R</stp>
        <stp>Days=A</stp>
        <stp>Fill=B</stp>
        <stp>FX=USD</stp>
        <tr r="F318" s="3"/>
      </tp>
      <tp t="s">
        <v>#N/A Authorization</v>
        <stp/>
        <stp>##V3_BDHV12</stp>
        <stp>CPT US Equity</stp>
        <stp>RR553</stp>
        <stp>-60CQ</stp>
        <stp>2018/3/31</stp>
        <stp>[housing reits conpanies.xlsx]ReferenceData!R350C6</stp>
        <stp>Per=CQ</stp>
        <stp>Dts=H</stp>
        <stp>Dir=H</stp>
        <stp>Points=60</stp>
        <stp>Sort=R</stp>
        <stp>Days=A</stp>
        <stp>Fill=B</stp>
        <stp>FX=USD</stp>
        <tr r="F350" s="3"/>
      </tp>
      <tp t="s">
        <v>#N/A Authorization</v>
        <stp/>
        <stp>##V3_BDHV12</stp>
        <stp>CPT US Equity</stp>
        <stp>RR502</stp>
        <stp>-60CQ</stp>
        <stp>2018/3/31</stp>
        <stp>[housing reits conpanies.xlsx]ReferenceData!R270C6</stp>
        <stp>Per=CQ</stp>
        <stp>Dts=H</stp>
        <stp>Dir=H</stp>
        <stp>Points=60</stp>
        <stp>Sort=R</stp>
        <stp>Days=A</stp>
        <stp>Fill=B</stp>
        <stp>FX=USD</stp>
        <tr r="F270" s="3"/>
      </tp>
      <tp t="s">
        <v>#N/A Authorization</v>
        <stp/>
        <stp>##V3_BDHV12</stp>
        <stp>EDR US Equity</stp>
        <stp>RX225</stp>
        <stp>-60CQ</stp>
        <stp>2018/3/31</stp>
        <stp>[housing reits conpanies.xlsx]ReferenceData!R335C6</stp>
        <stp>Per=CQ</stp>
        <stp>Dts=H</stp>
        <stp>Dir=H</stp>
        <stp>Points=60</stp>
        <stp>Sort=R</stp>
        <stp>Days=A</stp>
        <stp>Fill=B</stp>
        <stp>FX=USD</stp>
        <tr r="F335" s="3"/>
      </tp>
      <tp t="s">
        <v>#N/A Authorization</v>
        <stp/>
        <stp>##V3_BDHV12</stp>
        <stp>EDR US Equity</stp>
        <stp>IM275</stp>
        <stp>-60CQ</stp>
        <stp>2018/3/31</stp>
        <stp>[housing reits conpanies.xlsx]ReferenceData!R239C6</stp>
        <stp>Per=CQ</stp>
        <stp>Dts=H</stp>
        <stp>Dir=H</stp>
        <stp>Points=60</stp>
        <stp>Sort=R</stp>
        <stp>Days=A</stp>
        <stp>Fill=B</stp>
        <stp>FX=USD</stp>
        <tr r="F239" s="3"/>
      </tp>
      <tp t="s">
        <v>#N/A Authorization</v>
        <stp/>
        <stp>##V3_BDHV12</stp>
        <stp>EDR US Equity</stp>
        <stp>RR263</stp>
        <stp>-60CQ</stp>
        <stp>2018/3/31</stp>
        <stp>[housing reits conpanies.xlsx]ReferenceData!R383C6</stp>
        <stp>Per=CQ</stp>
        <stp>Dts=H</stp>
        <stp>Dir=H</stp>
        <stp>Points=60</stp>
        <stp>Sort=R</stp>
        <stp>Days=A</stp>
        <stp>Fill=B</stp>
        <stp>FX=USD</stp>
        <tr r="F383" s="3"/>
      </tp>
      <tp t="s">
        <v>#N/A Authorization</v>
        <stp/>
        <stp>##V3_BDHV12</stp>
        <stp>EDR US Equity</stp>
        <stp>RR253</stp>
        <stp>-60CQ</stp>
        <stp>2018/3/31</stp>
        <stp>[housing reits conpanies.xlsx]ReferenceData!R391C6</stp>
        <stp>Per=CQ</stp>
        <stp>Dts=H</stp>
        <stp>Dir=H</stp>
        <stp>Points=60</stp>
        <stp>Sort=R</stp>
        <stp>Days=A</stp>
        <stp>Fill=B</stp>
        <stp>FX=USD</stp>
        <tr r="F391" s="3"/>
      </tp>
      <tp t="s">
        <v>#N/A Authorization</v>
        <stp/>
        <stp>##V3_BDHV12</stp>
        <stp>EDR US Equity</stp>
        <stp>IM281</stp>
        <stp>-60CQ</stp>
        <stp>2018/3/31</stp>
        <stp>[housing reits conpanies.xlsx]ReferenceData!R247C6</stp>
        <stp>Per=CQ</stp>
        <stp>Dts=H</stp>
        <stp>Dir=H</stp>
        <stp>Points=60</stp>
        <stp>Sort=R</stp>
        <stp>Days=A</stp>
        <stp>Fill=B</stp>
        <stp>FX=USD</stp>
        <tr r="F247" s="3"/>
      </tp>
      <tp t="s">
        <v>#N/A Authorization</v>
        <stp/>
        <stp>##V3_BDHV12</stp>
        <stp>EQR US Equity</stp>
        <stp>IM275</stp>
        <stp>-60CQ</stp>
        <stp>2018/3/31</stp>
        <stp>[housing reits conpanies.xlsx]ReferenceData!R240C6</stp>
        <stp>Per=CQ</stp>
        <stp>Dts=H</stp>
        <stp>Dir=H</stp>
        <stp>Points=60</stp>
        <stp>Sort=R</stp>
        <stp>Days=A</stp>
        <stp>Fill=B</stp>
        <stp>FX=USD</stp>
        <tr r="F240" s="3"/>
      </tp>
      <tp t="s">
        <v>#N/A Authorization</v>
        <stp/>
        <stp>##V3_BDHV12</stp>
        <stp>EQR US Equity</stp>
        <stp>RR263</stp>
        <stp>-60CQ</stp>
        <stp>2018/3/31</stp>
        <stp>[housing reits conpanies.xlsx]ReferenceData!R384C6</stp>
        <stp>Per=CQ</stp>
        <stp>Dts=H</stp>
        <stp>Dir=H</stp>
        <stp>Points=60</stp>
        <stp>Sort=R</stp>
        <stp>Days=A</stp>
        <stp>Fill=B</stp>
        <stp>FX=USD</stp>
        <tr r="F384" s="3"/>
      </tp>
      <tp t="s">
        <v>#N/A Authorization</v>
        <stp/>
        <stp>##V3_BDHV12</stp>
        <stp>ESS US Equity</stp>
        <stp>RR253</stp>
        <stp>-60CQ</stp>
        <stp>2018/3/31</stp>
        <stp>[housing reits conpanies.xlsx]ReferenceData!R393C6</stp>
        <stp>Per=CQ</stp>
        <stp>Dts=H</stp>
        <stp>Dir=H</stp>
        <stp>Points=60</stp>
        <stp>Sort=R</stp>
        <stp>Days=A</stp>
        <stp>Fill=B</stp>
        <stp>FX=USD</stp>
        <tr r="F393" s="3"/>
      </tp>
      <tp t="s">
        <v>#N/A Authorization</v>
        <stp/>
        <stp>##V3_BDHV12</stp>
        <stp>ESS US Equity</stp>
        <stp>IM275</stp>
        <stp>-60CQ</stp>
        <stp>2018/3/31</stp>
        <stp>[housing reits conpanies.xlsx]ReferenceData!R241C6</stp>
        <stp>Per=CQ</stp>
        <stp>Dts=H</stp>
        <stp>Dir=H</stp>
        <stp>Points=60</stp>
        <stp>Sort=R</stp>
        <stp>Days=A</stp>
        <stp>Fill=B</stp>
        <stp>FX=USD</stp>
        <tr r="F241" s="3"/>
      </tp>
      <tp t="s">
        <v>#N/A Authorization</v>
        <stp/>
        <stp>##V3_BDHV12</stp>
        <stp>ESS US Equity</stp>
        <stp>RR263</stp>
        <stp>-60CQ</stp>
        <stp>2018/3/31</stp>
        <stp>[housing reits conpanies.xlsx]ReferenceData!R385C6</stp>
        <stp>Per=CQ</stp>
        <stp>Dts=H</stp>
        <stp>Dir=H</stp>
        <stp>Points=60</stp>
        <stp>Sort=R</stp>
        <stp>Days=A</stp>
        <stp>Fill=B</stp>
        <stp>FX=USD</stp>
        <tr r="F385" s="3"/>
      </tp>
      <tp t="s">
        <v>#N/A Authorization</v>
        <stp/>
        <stp>##V3_BDHV12</stp>
        <stp>EQR US Equity</stp>
        <stp>RR253</stp>
        <stp>-60CQ</stp>
        <stp>2018/3/31</stp>
        <stp>[housing reits conpanies.xlsx]ReferenceData!R392C6</stp>
        <stp>Per=CQ</stp>
        <stp>Dts=H</stp>
        <stp>Dir=H</stp>
        <stp>Points=60</stp>
        <stp>Sort=R</stp>
        <stp>Days=A</stp>
        <stp>Fill=B</stp>
        <stp>FX=USD</stp>
        <tr r="F392" s="3"/>
      </tp>
      <tp t="s">
        <v>#N/A Authorization</v>
        <stp/>
        <stp>##V3_BDHV12</stp>
        <stp>EQR US Equity</stp>
        <stp>RX225</stp>
        <stp>-60CQ</stp>
        <stp>2018/3/31</stp>
        <stp>[housing reits conpanies.xlsx]ReferenceData!R336C6</stp>
        <stp>Per=CQ</stp>
        <stp>Dts=H</stp>
        <stp>Dir=H</stp>
        <stp>Points=60</stp>
        <stp>Sort=R</stp>
        <stp>Days=A</stp>
        <stp>Fill=B</stp>
        <stp>FX=USD</stp>
        <tr r="F336" s="3"/>
      </tp>
      <tp t="s">
        <v>#N/A Authorization</v>
        <stp/>
        <stp>##V3_BDHV12</stp>
        <stp>ESS US Equity</stp>
        <stp>RX225</stp>
        <stp>-60CQ</stp>
        <stp>2018/3/31</stp>
        <stp>[housing reits conpanies.xlsx]ReferenceData!R337C6</stp>
        <stp>Per=CQ</stp>
        <stp>Dts=H</stp>
        <stp>Dir=H</stp>
        <stp>Points=60</stp>
        <stp>Sort=R</stp>
        <stp>Days=A</stp>
        <stp>Fill=B</stp>
        <stp>FX=USD</stp>
        <tr r="F337" s="3"/>
      </tp>
      <tp t="s">
        <v>#N/A Authorization</v>
        <stp/>
        <stp>##V3_BDHV12</stp>
        <stp>ESS US Equity</stp>
        <stp>IM281</stp>
        <stp>-60CQ</stp>
        <stp>2018/3/31</stp>
        <stp>[housing reits conpanies.xlsx]ReferenceData!R249C6</stp>
        <stp>Per=CQ</stp>
        <stp>Dts=H</stp>
        <stp>Dir=H</stp>
        <stp>Points=60</stp>
        <stp>Sort=R</stp>
        <stp>Days=A</stp>
        <stp>Fill=B</stp>
        <stp>FX=USD</stp>
        <tr r="F249" s="3"/>
      </tp>
      <tp t="s">
        <v>#N/A Authorization</v>
        <stp/>
        <stp>##V3_BDHV12</stp>
        <stp>EQR US Equity</stp>
        <stp>IM281</stp>
        <stp>-60CQ</stp>
        <stp>2018/3/31</stp>
        <stp>[housing reits conpanies.xlsx]ReferenceData!R248C6</stp>
        <stp>Per=CQ</stp>
        <stp>Dts=H</stp>
        <stp>Dir=H</stp>
        <stp>Points=60</stp>
        <stp>Sort=R</stp>
        <stp>Days=A</stp>
        <stp>Fill=B</stp>
        <stp>FX=USD</stp>
        <tr r="F248" s="3"/>
      </tp>
      <tp t="s">
        <v>#N/A Authorization</v>
        <stp/>
        <stp>##V3_BDHV12</stp>
        <stp>ACC US Equity</stp>
        <stp>RR147</stp>
        <stp>-60CQ</stp>
        <stp>2018/3/31</stp>
        <stp>[housing reits conpanies.xlsx]ReferenceData!R372C6</stp>
        <stp>Per=CQ</stp>
        <stp>Dts=H</stp>
        <stp>Dir=H</stp>
        <stp>Points=60</stp>
        <stp>Sort=R</stp>
        <stp>Days=A</stp>
        <stp>Fill=B</stp>
        <stp>FX=USD</stp>
        <tr r="F372" s="3"/>
      </tp>
      <tp t="s">
        <v>#N/A Authorization</v>
        <stp/>
        <stp>##V3_BDHV12</stp>
        <stp>EDR US Equity</stp>
        <stp>RR502</stp>
        <stp>-60CQ</stp>
        <stp>2018/3/31</stp>
        <stp>[housing reits conpanies.xlsx]ReferenceData!R271C6</stp>
        <stp>Per=CQ</stp>
        <stp>Dts=H</stp>
        <stp>Dir=H</stp>
        <stp>Points=60</stp>
        <stp>Sort=R</stp>
        <stp>Days=A</stp>
        <stp>Fill=B</stp>
        <stp>FX=USD</stp>
        <tr r="F271" s="3"/>
      </tp>
      <tp t="s">
        <v>#N/A Authorization</v>
        <stp/>
        <stp>##V3_BDHV12</stp>
        <stp>ACC US Equity</stp>
        <stp>RR106</stp>
        <stp>-60CQ</stp>
        <stp>2018/3/31</stp>
        <stp>[housing reits conpanies.xlsx]ReferenceData!R404C6</stp>
        <stp>Per=CQ</stp>
        <stp>Dts=H</stp>
        <stp>Dir=H</stp>
        <stp>Points=60</stp>
        <stp>Sort=R</stp>
        <stp>Days=A</stp>
        <stp>Fill=B</stp>
        <stp>FX=USD</stp>
        <tr r="F404" s="3"/>
      </tp>
      <tp t="s">
        <v>#N/A Authorization</v>
        <stp/>
        <stp>##V3_BDHV12</stp>
        <stp>EDR US Equity</stp>
        <stp>F0578</stp>
        <stp>-60CQ</stp>
        <stp>2018/3/31</stp>
        <stp>[housing reits conpanies.xlsx]ReferenceData!R303C6</stp>
        <stp>Per=CQ</stp>
        <stp>Dts=H</stp>
        <stp>Dir=H</stp>
        <stp>Points=60</stp>
        <stp>Sort=R</stp>
        <stp>Days=A</stp>
        <stp>Fill=B</stp>
        <stp>FX=USD</stp>
        <tr r="F303" s="3"/>
      </tp>
      <tp t="s">
        <v>#N/A Authorization</v>
        <stp/>
        <stp>##V3_BDHV12</stp>
        <stp>EDR US Equity</stp>
        <stp>RR553</stp>
        <stp>-60CQ</stp>
        <stp>2018/3/31</stp>
        <stp>[housing reits conpanies.xlsx]ReferenceData!R351C6</stp>
        <stp>Per=CQ</stp>
        <stp>Dts=H</stp>
        <stp>Dir=H</stp>
        <stp>Points=60</stp>
        <stp>Sort=R</stp>
        <stp>Days=A</stp>
        <stp>Fill=B</stp>
        <stp>FX=USD</stp>
        <tr r="F351" s="3"/>
      </tp>
      <tp t="s">
        <v>#N/A Authorization</v>
        <stp/>
        <stp>##V3_BDHV12</stp>
        <stp>EDR US Equity</stp>
        <stp>RR554</stp>
        <stp>-60CQ</stp>
        <stp>2018/3/31</stp>
        <stp>[housing reits conpanies.xlsx]ReferenceData!R359C6</stp>
        <stp>Per=CQ</stp>
        <stp>Dts=H</stp>
        <stp>Dir=H</stp>
        <stp>Points=60</stp>
        <stp>Sort=R</stp>
        <stp>Days=A</stp>
        <stp>Fill=B</stp>
        <stp>FX=USD</stp>
        <tr r="F359" s="3"/>
      </tp>
      <tp t="s">
        <v>#N/A Authorization</v>
        <stp/>
        <stp>##V3_BDHV12</stp>
        <stp>EDR US Equity</stp>
        <stp>RR551</stp>
        <stp>-60CQ</stp>
        <stp>2018/3/31</stp>
        <stp>[housing reits conpanies.xlsx]ReferenceData!R319C6</stp>
        <stp>Per=CQ</stp>
        <stp>Dts=H</stp>
        <stp>Dir=H</stp>
        <stp>Points=60</stp>
        <stp>Sort=R</stp>
        <stp>Days=A</stp>
        <stp>Fill=B</stp>
        <stp>FX=USD</stp>
        <tr r="F319" s="3"/>
      </tp>
      <tp t="s">
        <v>#N/A Authorization</v>
        <stp/>
        <stp>##V3_BDHV12</stp>
        <stp>EQR US Equity</stp>
        <stp>F0578</stp>
        <stp>-60CQ</stp>
        <stp>2018/3/31</stp>
        <stp>[housing reits conpanies.xlsx]ReferenceData!R304C6</stp>
        <stp>Per=CQ</stp>
        <stp>Dts=H</stp>
        <stp>Dir=H</stp>
        <stp>Points=60</stp>
        <stp>Sort=R</stp>
        <stp>Days=A</stp>
        <stp>Fill=B</stp>
        <stp>FX=USD</stp>
        <tr r="F304" s="3"/>
      </tp>
      <tp t="s">
        <v>#N/A Authorization</v>
        <stp/>
        <stp>##V3_BDHV12</stp>
        <stp>ESS US Equity</stp>
        <stp>RR553</stp>
        <stp>-60CQ</stp>
        <stp>2018/3/31</stp>
        <stp>[housing reits conpanies.xlsx]ReferenceData!R353C6</stp>
        <stp>Per=CQ</stp>
        <stp>Dts=H</stp>
        <stp>Dir=H</stp>
        <stp>Points=60</stp>
        <stp>Sort=R</stp>
        <stp>Days=A</stp>
        <stp>Fill=B</stp>
        <stp>FX=USD</stp>
        <tr r="F353" s="3"/>
      </tp>
      <tp t="s">
        <v>#N/A Authorization</v>
        <stp/>
        <stp>##V3_BDHV12</stp>
        <stp>ESS US Equity</stp>
        <stp>RR554</stp>
        <stp>-60CQ</stp>
        <stp>2018/3/31</stp>
        <stp>[housing reits conpanies.xlsx]ReferenceData!R361C6</stp>
        <stp>Per=CQ</stp>
        <stp>Dts=H</stp>
        <stp>Dir=H</stp>
        <stp>Points=60</stp>
        <stp>Sort=R</stp>
        <stp>Days=A</stp>
        <stp>Fill=B</stp>
        <stp>FX=USD</stp>
        <tr r="F361" s="3"/>
      </tp>
      <tp t="s">
        <v>#N/A Authorization</v>
        <stp/>
        <stp>##V3_BDHV12</stp>
        <stp>ESS US Equity</stp>
        <stp>RR551</stp>
        <stp>-60CQ</stp>
        <stp>2018/3/31</stp>
        <stp>[housing reits conpanies.xlsx]ReferenceData!R321C6</stp>
        <stp>Per=CQ</stp>
        <stp>Dts=H</stp>
        <stp>Dir=H</stp>
        <stp>Points=60</stp>
        <stp>Sort=R</stp>
        <stp>Days=A</stp>
        <stp>Fill=B</stp>
        <stp>FX=USD</stp>
        <tr r="F321" s="3"/>
      </tp>
      <tp t="s">
        <v>#N/A Authorization</v>
        <stp/>
        <stp>##V3_BDHV12</stp>
        <stp>ESS US Equity</stp>
        <stp>F0578</stp>
        <stp>-60CQ</stp>
        <stp>2018/3/31</stp>
        <stp>[housing reits conpanies.xlsx]ReferenceData!R305C6</stp>
        <stp>Per=CQ</stp>
        <stp>Dts=H</stp>
        <stp>Dir=H</stp>
        <stp>Points=60</stp>
        <stp>Sort=R</stp>
        <stp>Days=A</stp>
        <stp>Fill=B</stp>
        <stp>FX=USD</stp>
        <tr r="F305" s="3"/>
      </tp>
      <tp t="s">
        <v>#N/A Authorization</v>
        <stp/>
        <stp>##V3_BDHV12</stp>
        <stp>EQR US Equity</stp>
        <stp>RR553</stp>
        <stp>-60CQ</stp>
        <stp>2018/3/31</stp>
        <stp>[housing reits conpanies.xlsx]ReferenceData!R352C6</stp>
        <stp>Per=CQ</stp>
        <stp>Dts=H</stp>
        <stp>Dir=H</stp>
        <stp>Points=60</stp>
        <stp>Sort=R</stp>
        <stp>Days=A</stp>
        <stp>Fill=B</stp>
        <stp>FX=USD</stp>
        <tr r="F352" s="3"/>
      </tp>
      <tp t="s">
        <v>#N/A Authorization</v>
        <stp/>
        <stp>##V3_BDHV12</stp>
        <stp>EQR US Equity</stp>
        <stp>RR551</stp>
        <stp>-60CQ</stp>
        <stp>2018/3/31</stp>
        <stp>[housing reits conpanies.xlsx]ReferenceData!R320C6</stp>
        <stp>Per=CQ</stp>
        <stp>Dts=H</stp>
        <stp>Dir=H</stp>
        <stp>Points=60</stp>
        <stp>Sort=R</stp>
        <stp>Days=A</stp>
        <stp>Fill=B</stp>
        <stp>FX=USD</stp>
        <tr r="F320" s="3"/>
      </tp>
      <tp t="s">
        <v>#N/A Authorization</v>
        <stp/>
        <stp>##V3_BDHV12</stp>
        <stp>EQR US Equity</stp>
        <stp>RR554</stp>
        <stp>-60CQ</stp>
        <stp>2018/3/31</stp>
        <stp>[housing reits conpanies.xlsx]ReferenceData!R360C6</stp>
        <stp>Per=CQ</stp>
        <stp>Dts=H</stp>
        <stp>Dir=H</stp>
        <stp>Points=60</stp>
        <stp>Sort=R</stp>
        <stp>Days=A</stp>
        <stp>Fill=B</stp>
        <stp>FX=USD</stp>
        <tr r="F360" s="3"/>
      </tp>
      <tp t="s">
        <v>#N/A Authorization</v>
        <stp/>
        <stp>##V3_BDHV12</stp>
        <stp>AVB US Equity</stp>
        <stp>RR147</stp>
        <stp>-60CQ</stp>
        <stp>2018/3/31</stp>
        <stp>[housing reits conpanies.xlsx]ReferenceData!R373C6</stp>
        <stp>Per=CQ</stp>
        <stp>Dts=H</stp>
        <stp>Dir=H</stp>
        <stp>Points=60</stp>
        <stp>Sort=R</stp>
        <stp>Days=A</stp>
        <stp>Fill=B</stp>
        <stp>FX=USD</stp>
        <tr r="F373" s="3"/>
      </tp>
      <tp t="s">
        <v>#N/A Authorization</v>
        <stp/>
        <stp>##V3_BDHV12</stp>
        <stp>ESS US Equity</stp>
        <stp>RR502</stp>
        <stp>-60CQ</stp>
        <stp>2018/3/31</stp>
        <stp>[housing reits conpanies.xlsx]ReferenceData!R273C6</stp>
        <stp>Per=CQ</stp>
        <stp>Dts=H</stp>
        <stp>Dir=H</stp>
        <stp>Points=60</stp>
        <stp>Sort=R</stp>
        <stp>Days=A</stp>
        <stp>Fill=B</stp>
        <stp>FX=USD</stp>
        <tr r="F273" s="3"/>
      </tp>
      <tp t="s">
        <v>#N/A Authorization</v>
        <stp/>
        <stp>##V3_BDHV12</stp>
        <stp>AVB US Equity</stp>
        <stp>RR106</stp>
        <stp>-60CQ</stp>
        <stp>2018/3/31</stp>
        <stp>[housing reits conpanies.xlsx]ReferenceData!R405C6</stp>
        <stp>Per=CQ</stp>
        <stp>Dts=H</stp>
        <stp>Dir=H</stp>
        <stp>Points=60</stp>
        <stp>Sort=R</stp>
        <stp>Days=A</stp>
        <stp>Fill=B</stp>
        <stp>FX=USD</stp>
        <tr r="F405" s="3"/>
      </tp>
      <tp t="s">
        <v>#N/A Authorization</v>
        <stp/>
        <stp>##V3_BDHV12</stp>
        <stp>EQR US Equity</stp>
        <stp>RR502</stp>
        <stp>-60CQ</stp>
        <stp>2018/3/31</stp>
        <stp>[housing reits conpanies.xlsx]ReferenceData!R272C6</stp>
        <stp>Per=CQ</stp>
        <stp>Dts=H</stp>
        <stp>Dir=H</stp>
        <stp>Points=60</stp>
        <stp>Sort=R</stp>
        <stp>Days=A</stp>
        <stp>Fill=B</stp>
        <stp>FX=USD</stp>
        <tr r="F272" s="3"/>
      </tp>
      <tp t="s">
        <v>#N/A Authorization</v>
        <stp/>
        <stp>##V3_BDHV12</stp>
        <stp>ACC US Equity</stp>
        <stp>RR052</stp>
        <stp>-60CQ</stp>
        <stp>2018/3/31</stp>
        <stp>[housing reits conpanies.xlsx]ReferenceData!R364C6</stp>
        <stp>Per=CQ</stp>
        <stp>Dts=H</stp>
        <stp>Dir=H</stp>
        <stp>Points=60</stp>
        <stp>Sort=R</stp>
        <stp>Days=A</stp>
        <stp>Fill=B</stp>
        <stp>FX=USD</stp>
        <tr r="F364" s="3"/>
      </tp>
      <tp t="s">
        <v>#N/A Authorization</v>
        <stp/>
        <stp>##V3_BDHV12</stp>
        <stp>ACC US Equity</stp>
        <stp>RR008</stp>
        <stp>-60CQ</stp>
        <stp>2018/3/31</stp>
        <stp>[housing reits conpanies.xlsx]ReferenceData!R396C6</stp>
        <stp>Per=CQ</stp>
        <stp>Dts=H</stp>
        <stp>Dir=H</stp>
        <stp>Points=60</stp>
        <stp>Sort=R</stp>
        <stp>Days=A</stp>
        <stp>Fill=B</stp>
        <stp>FX=USD</stp>
        <tr r="F396" s="3"/>
      </tp>
      <tp t="s">
        <v>#N/A Authorization</v>
        <stp/>
        <stp>##V3_BDHV12</stp>
        <stp>ACC US Equity</stp>
        <stp>IS010</stp>
        <stp>-60CQ</stp>
        <stp>2018/3/31</stp>
        <stp>[housing reits conpanies.xlsx]ReferenceData!R260C6</stp>
        <stp>Per=CQ</stp>
        <stp>Dts=H</stp>
        <stp>Dir=H</stp>
        <stp>Points=60</stp>
        <stp>Sort=R</stp>
        <stp>Days=A</stp>
        <stp>Fill=B</stp>
        <stp>FX=USD</stp>
        <tr r="F260" s="3"/>
      </tp>
      <tp t="s">
        <v>#N/A Authorization</v>
        <stp/>
        <stp>##V3_BDHV12</stp>
        <stp>ACC US Equity</stp>
        <stp>IS019</stp>
        <stp>-60CQ</stp>
        <stp>2018/3/31</stp>
        <stp>[housing reits conpanies.xlsx]ReferenceData!R252C6</stp>
        <stp>Per=CQ</stp>
        <stp>Dts=H</stp>
        <stp>Dir=H</stp>
        <stp>Points=60</stp>
        <stp>Sort=R</stp>
        <stp>Days=A</stp>
        <stp>Fill=B</stp>
        <stp>FX=USD</stp>
        <tr r="F252" s="3"/>
      </tp>
      <tp t="s">
        <v>#N/A Authorization</v>
        <stp/>
        <stp>##V3_BDHV12</stp>
        <stp>ACC US Equity</stp>
        <stp>RR009</stp>
        <stp>-60CQ</stp>
        <stp>2018/3/31</stp>
        <stp>[housing reits conpanies.xlsx]ReferenceData!R276C6</stp>
        <stp>Per=CQ</stp>
        <stp>Dts=H</stp>
        <stp>Dir=H</stp>
        <stp>Points=60</stp>
        <stp>Sort=R</stp>
        <stp>Days=A</stp>
        <stp>Fill=B</stp>
        <stp>FX=USD</stp>
        <tr r="F276" s="3"/>
      </tp>
      <tp t="s">
        <v>#N/A Authorization</v>
        <stp/>
        <stp>##V3_BDHV12</stp>
        <stp>ACC US Equity</stp>
        <stp>IS030</stp>
        <stp>-60CQ</stp>
        <stp>2018/3/31</stp>
        <stp>[housing reits conpanies.xlsx]ReferenceData!R228C6</stp>
        <stp>Per=CQ</stp>
        <stp>Dts=H</stp>
        <stp>Dir=H</stp>
        <stp>Points=60</stp>
        <stp>Sort=R</stp>
        <stp>Days=A</stp>
        <stp>Fill=B</stp>
        <stp>FX=USD</stp>
        <tr r="F228" s="3"/>
      </tp>
      <tp t="s">
        <v>#N/A Authorization</v>
        <stp/>
        <stp>##V3_BDHV12</stp>
        <stp>ACC US Equity</stp>
        <stp>CF039</stp>
        <stp>-60CQ</stp>
        <stp>2018/3/31</stp>
        <stp>[housing reits conpanies.xlsx]ReferenceData!R292C6</stp>
        <stp>Per=CQ</stp>
        <stp>Dts=H</stp>
        <stp>Dir=H</stp>
        <stp>Points=60</stp>
        <stp>Sort=R</stp>
        <stp>Days=A</stp>
        <stp>Fill=B</stp>
        <stp>FX=USD</stp>
        <tr r="F292" s="3"/>
      </tp>
      <tp t="s">
        <v>#N/A Authorization</v>
        <stp/>
        <stp>##V3_BDHV12</stp>
        <stp>ACC US Equity</stp>
        <stp>RR033</stp>
        <stp>-60CQ</stp>
        <stp>2018/3/31</stp>
        <stp>[housing reits conpanies.xlsx]ReferenceData!R308C6</stp>
        <stp>Per=CQ</stp>
        <stp>Dts=H</stp>
        <stp>Dir=H</stp>
        <stp>Points=60</stp>
        <stp>Sort=R</stp>
        <stp>Days=A</stp>
        <stp>Fill=B</stp>
        <stp>FX=USD</stp>
        <tr r="F308" s="3"/>
      </tp>
      <tp t="s">
        <v>#N/A Authorization</v>
        <stp/>
        <stp>##V3_BDHV12</stp>
        <stp>AVB US Equity</stp>
        <stp>RR009</stp>
        <stp>-60CQ</stp>
        <stp>2018/3/31</stp>
        <stp>[housing reits conpanies.xlsx]ReferenceData!R277C6</stp>
        <stp>Per=CQ</stp>
        <stp>Dts=H</stp>
        <stp>Dir=H</stp>
        <stp>Points=60</stp>
        <stp>Sort=R</stp>
        <stp>Days=A</stp>
        <stp>Fill=B</stp>
        <stp>FX=USD</stp>
        <tr r="F277" s="3"/>
      </tp>
      <tp t="s">
        <v>#N/A Authorization</v>
        <stp/>
        <stp>##V3_BDHV12</stp>
        <stp>CPT US Equity</stp>
        <stp>IM275</stp>
        <stp>-60CQ</stp>
        <stp>2018/3/31</stp>
        <stp>[housing reits conpanies.xlsx]ReferenceData!R238C6</stp>
        <stp>Per=CQ</stp>
        <stp>Dts=H</stp>
        <stp>Dir=H</stp>
        <stp>Points=60</stp>
        <stp>Sort=R</stp>
        <stp>Days=A</stp>
        <stp>Fill=B</stp>
        <stp>FX=USD</stp>
        <tr r="F238" s="3"/>
      </tp>
      <tp t="s">
        <v>#N/A Authorization</v>
        <stp/>
        <stp>##V3_BDHV12</stp>
        <stp>AVB US Equity</stp>
        <stp>RR008</stp>
        <stp>-60CQ</stp>
        <stp>2018/3/31</stp>
        <stp>[housing reits conpanies.xlsx]ReferenceData!R397C6</stp>
        <stp>Per=CQ</stp>
        <stp>Dts=H</stp>
        <stp>Dir=H</stp>
        <stp>Points=60</stp>
        <stp>Sort=R</stp>
        <stp>Days=A</stp>
        <stp>Fill=B</stp>
        <stp>FX=USD</stp>
        <tr r="F397" s="3"/>
      </tp>
      <tp t="s">
        <v>#N/A Authorization</v>
        <stp/>
        <stp>##V3_BDHV12</stp>
        <stp>CPT US Equity</stp>
        <stp>RR263</stp>
        <stp>-60CQ</stp>
        <stp>2018/3/31</stp>
        <stp>[housing reits conpanies.xlsx]ReferenceData!R382C6</stp>
        <stp>Per=CQ</stp>
        <stp>Dts=H</stp>
        <stp>Dir=H</stp>
        <stp>Points=60</stp>
        <stp>Sort=R</stp>
        <stp>Days=A</stp>
        <stp>Fill=B</stp>
        <stp>FX=USD</stp>
        <tr r="F382" s="3"/>
      </tp>
      <tp t="s">
        <v>#N/A Authorization</v>
        <stp/>
        <stp>##V3_BDHV12</stp>
        <stp>AVB US Equity</stp>
        <stp>IS010</stp>
        <stp>-60CQ</stp>
        <stp>2018/3/31</stp>
        <stp>[housing reits conpanies.xlsx]ReferenceData!R261C6</stp>
        <stp>Per=CQ</stp>
        <stp>Dts=H</stp>
        <stp>Dir=H</stp>
        <stp>Points=60</stp>
        <stp>Sort=R</stp>
        <stp>Days=A</stp>
        <stp>Fill=B</stp>
        <stp>FX=USD</stp>
        <tr r="F261" s="3"/>
      </tp>
      <tp t="s">
        <v>#N/A Authorization</v>
        <stp/>
        <stp>##V3_BDHV12</stp>
        <stp>AVB US Equity</stp>
        <stp>IS019</stp>
        <stp>-60CQ</stp>
        <stp>2018/3/31</stp>
        <stp>[housing reits conpanies.xlsx]ReferenceData!R253C6</stp>
        <stp>Per=CQ</stp>
        <stp>Dts=H</stp>
        <stp>Dir=H</stp>
        <stp>Points=60</stp>
        <stp>Sort=R</stp>
        <stp>Days=A</stp>
        <stp>Fill=B</stp>
        <stp>FX=USD</stp>
        <tr r="F253" s="3"/>
      </tp>
      <tp t="s">
        <v>#N/A Authorization</v>
        <stp/>
        <stp>##V3_BDHV12</stp>
        <stp>AVB US Equity</stp>
        <stp>RR033</stp>
        <stp>-60CQ</stp>
        <stp>2018/3/31</stp>
        <stp>[housing reits conpanies.xlsx]ReferenceData!R309C6</stp>
        <stp>Per=CQ</stp>
        <stp>Dts=H</stp>
        <stp>Dir=H</stp>
        <stp>Points=60</stp>
        <stp>Sort=R</stp>
        <stp>Days=A</stp>
        <stp>Fill=B</stp>
        <stp>FX=USD</stp>
        <tr r="F309" s="3"/>
      </tp>
      <tp t="s">
        <v>#N/A Authorization</v>
        <stp/>
        <stp>##V3_BDHV12</stp>
        <stp>CPT US Equity</stp>
        <stp>RR253</stp>
        <stp>-60CQ</stp>
        <stp>2018/3/31</stp>
        <stp>[housing reits conpanies.xlsx]ReferenceData!R390C6</stp>
        <stp>Per=CQ</stp>
        <stp>Dts=H</stp>
        <stp>Dir=H</stp>
        <stp>Points=60</stp>
        <stp>Sort=R</stp>
        <stp>Days=A</stp>
        <stp>Fill=B</stp>
        <stp>FX=USD</stp>
        <tr r="F390" s="3"/>
      </tp>
      <tp t="s">
        <v>#N/A Authorization</v>
        <stp/>
        <stp>##V3_BDHV12</stp>
        <stp>AVB US Equity</stp>
        <stp>IS030</stp>
        <stp>-60CQ</stp>
        <stp>2018/3/31</stp>
        <stp>[housing reits conpanies.xlsx]ReferenceData!R229C6</stp>
        <stp>Per=CQ</stp>
        <stp>Dts=H</stp>
        <stp>Dir=H</stp>
        <stp>Points=60</stp>
        <stp>Sort=R</stp>
        <stp>Days=A</stp>
        <stp>Fill=B</stp>
        <stp>FX=USD</stp>
        <tr r="F229" s="3"/>
      </tp>
      <tp t="s">
        <v>#N/A Authorization</v>
        <stp/>
        <stp>##V3_BDHV12</stp>
        <stp>AVB US Equity</stp>
        <stp>CF039</stp>
        <stp>-60CQ</stp>
        <stp>2018/3/31</stp>
        <stp>[housing reits conpanies.xlsx]ReferenceData!R293C6</stp>
        <stp>Per=CQ</stp>
        <stp>Dts=H</stp>
        <stp>Dir=H</stp>
        <stp>Points=60</stp>
        <stp>Sort=R</stp>
        <stp>Days=A</stp>
        <stp>Fill=B</stp>
        <stp>FX=USD</stp>
        <tr r="F293" s="3"/>
      </tp>
      <tp t="s">
        <v>#N/A Authorization</v>
        <stp/>
        <stp>##V3_BDHV12</stp>
        <stp>AVB US Equity</stp>
        <stp>RR052</stp>
        <stp>-60CQ</stp>
        <stp>2018/3/31</stp>
        <stp>[housing reits conpanies.xlsx]ReferenceData!R365C6</stp>
        <stp>Per=CQ</stp>
        <stp>Dts=H</stp>
        <stp>Dir=H</stp>
        <stp>Points=60</stp>
        <stp>Sort=R</stp>
        <stp>Days=A</stp>
        <stp>Fill=B</stp>
        <stp>FX=USD</stp>
        <tr r="F365" s="3"/>
      </tp>
      <tp t="s">
        <v>#N/A Authorization</v>
        <stp/>
        <stp>##V3_BDHV12</stp>
        <stp>CPT US Equity</stp>
        <stp>RX225</stp>
        <stp>-60CQ</stp>
        <stp>2018/3/31</stp>
        <stp>[housing reits conpanies.xlsx]ReferenceData!R334C6</stp>
        <stp>Per=CQ</stp>
        <stp>Dts=H</stp>
        <stp>Dir=H</stp>
        <stp>Points=60</stp>
        <stp>Sort=R</stp>
        <stp>Days=A</stp>
        <stp>Fill=B</stp>
        <stp>FX=USD</stp>
        <tr r="F334" s="3"/>
      </tp>
      <tp t="s">
        <v>#N/A Authorization</v>
        <stp/>
        <stp>##V3_BDHV12</stp>
        <stp>CPT US Equity</stp>
        <stp>IM281</stp>
        <stp>-60CQ</stp>
        <stp>2018/3/31</stp>
        <stp>[housing reits conpanies.xlsx]ReferenceData!R246C6</stp>
        <stp>Per=CQ</stp>
        <stp>Dts=H</stp>
        <stp>Dir=H</stp>
        <stp>Points=60</stp>
        <stp>Sort=R</stp>
        <stp>Days=A</stp>
        <stp>Fill=B</stp>
        <stp>FX=USD</stp>
        <tr r="F246" s="3"/>
      </tp>
      <tp t="s">
        <v>#N/A Authorization</v>
        <stp/>
        <stp>##V3_BDHV12</stp>
        <stp>CPT US Equity</stp>
        <stp>RR106</stp>
        <stp>-60CQ</stp>
        <stp>2018/3/31</stp>
        <stp>[housing reits conpanies.xlsx]ReferenceData!R406C6</stp>
        <stp>Per=CQ</stp>
        <stp>Dts=H</stp>
        <stp>Dir=H</stp>
        <stp>Points=60</stp>
        <stp>Sort=R</stp>
        <stp>Days=A</stp>
        <stp>Fill=B</stp>
        <stp>FX=USD</stp>
        <tr r="F406" s="3"/>
      </tp>
      <tp t="s">
        <v>#N/A Authorization</v>
        <stp/>
        <stp>##V3_BDHV12</stp>
        <stp>CPT US Equity</stp>
        <stp>RR147</stp>
        <stp>-60CQ</stp>
        <stp>2018/3/31</stp>
        <stp>[housing reits conpanies.xlsx]ReferenceData!R374C6</stp>
        <stp>Per=CQ</stp>
        <stp>Dts=H</stp>
        <stp>Dir=H</stp>
        <stp>Points=60</stp>
        <stp>Sort=R</stp>
        <stp>Days=A</stp>
        <stp>Fill=B</stp>
        <stp>FX=USD</stp>
        <tr r="F374" s="3"/>
      </tp>
      <tp t="s">
        <v>#N/A Authorization</v>
        <stp/>
        <stp>##V3_BDHV12</stp>
        <stp>ACC US Equity</stp>
        <stp>RR253</stp>
        <stp>-60CQ</stp>
        <stp>2018/3/31</stp>
        <stp>[housing reits conpanies.xlsx]ReferenceData!R388C6</stp>
        <stp>Per=CQ</stp>
        <stp>Dts=H</stp>
        <stp>Dir=H</stp>
        <stp>Points=60</stp>
        <stp>Sort=R</stp>
        <stp>Days=A</stp>
        <stp>Fill=B</stp>
        <stp>FX=USD</stp>
        <tr r="F388" s="3"/>
      </tp>
      <tp t="s">
        <v>#N/A Authorization</v>
        <stp/>
        <stp>##V3_BDHV12</stp>
        <stp>ACC US Equity</stp>
        <stp>RR263</stp>
        <stp>-60CQ</stp>
        <stp>2018/3/31</stp>
        <stp>[housing reits conpanies.xlsx]ReferenceData!R380C6</stp>
        <stp>Per=CQ</stp>
        <stp>Dts=H</stp>
        <stp>Dir=H</stp>
        <stp>Points=60</stp>
        <stp>Sort=R</stp>
        <stp>Days=A</stp>
        <stp>Fill=B</stp>
        <stp>FX=USD</stp>
        <tr r="F380" s="3"/>
      </tp>
      <tp t="s">
        <v>#N/A Authorization</v>
        <stp/>
        <stp>##V3_BDHV12</stp>
        <stp>ACC US Equity</stp>
        <stp>IM275</stp>
        <stp>-60CQ</stp>
        <stp>2018/3/31</stp>
        <stp>[housing reits conpanies.xlsx]ReferenceData!R236C6</stp>
        <stp>Per=CQ</stp>
        <stp>Dts=H</stp>
        <stp>Dir=H</stp>
        <stp>Points=60</stp>
        <stp>Sort=R</stp>
        <stp>Days=A</stp>
        <stp>Fill=B</stp>
        <stp>FX=USD</stp>
        <tr r="F236" s="3"/>
      </tp>
      <tp t="s">
        <v>#N/A Authorization</v>
        <stp/>
        <stp>##V3_BDHV12</stp>
        <stp>ACC US Equity</stp>
        <stp>RX225</stp>
        <stp>-60CQ</stp>
        <stp>2018/3/31</stp>
        <stp>[housing reits conpanies.xlsx]ReferenceData!R332C6</stp>
        <stp>Per=CQ</stp>
        <stp>Dts=H</stp>
        <stp>Dir=H</stp>
        <stp>Points=60</stp>
        <stp>Sort=R</stp>
        <stp>Days=A</stp>
        <stp>Fill=B</stp>
        <stp>FX=USD</stp>
        <tr r="F332" s="3"/>
      </tp>
      <tp t="s">
        <v>#N/A Authorization</v>
        <stp/>
        <stp>##V3_BDHV12</stp>
        <stp>ACC US Equity</stp>
        <stp>IM281</stp>
        <stp>-60CQ</stp>
        <stp>2018/3/31</stp>
        <stp>[housing reits conpanies.xlsx]ReferenceData!R244C6</stp>
        <stp>Per=CQ</stp>
        <stp>Dts=H</stp>
        <stp>Dir=H</stp>
        <stp>Points=60</stp>
        <stp>Sort=R</stp>
        <stp>Days=A</stp>
        <stp>Fill=B</stp>
        <stp>FX=USD</stp>
        <tr r="F244" s="3"/>
      </tp>
      <tp t="s">
        <v>#N/A Authorization</v>
        <stp/>
        <stp>##V3_BDHV12</stp>
        <stp>CPT US Equity</stp>
        <stp>RR052</stp>
        <stp>-60CQ</stp>
        <stp>2018/3/31</stp>
        <stp>[housing reits conpanies.xlsx]ReferenceData!R366C6</stp>
        <stp>Per=CQ</stp>
        <stp>Dts=H</stp>
        <stp>Dir=H</stp>
        <stp>Points=60</stp>
        <stp>Sort=R</stp>
        <stp>Days=A</stp>
        <stp>Fill=B</stp>
        <stp>FX=USD</stp>
        <tr r="F366" s="3"/>
      </tp>
      <tp t="s">
        <v>#N/A Authorization</v>
        <stp/>
        <stp>##V3_BDHV12</stp>
        <stp>AVB US Equity</stp>
        <stp>RX225</stp>
        <stp>-60CQ</stp>
        <stp>2018/3/31</stp>
        <stp>[housing reits conpanies.xlsx]ReferenceData!R333C6</stp>
        <stp>Per=CQ</stp>
        <stp>Dts=H</stp>
        <stp>Dir=H</stp>
        <stp>Points=60</stp>
        <stp>Sort=R</stp>
        <stp>Days=A</stp>
        <stp>Fill=B</stp>
        <stp>FX=USD</stp>
        <tr r="F333" s="3"/>
      </tp>
      <tp t="s">
        <v>#N/A Authorization</v>
        <stp/>
        <stp>##V3_BDHV12</stp>
        <stp>AVB US Equity</stp>
        <stp>RR253</stp>
        <stp>-60CQ</stp>
        <stp>2018/3/31</stp>
        <stp>[housing reits conpanies.xlsx]ReferenceData!R389C6</stp>
        <stp>Per=CQ</stp>
        <stp>Dts=H</stp>
        <stp>Dir=H</stp>
        <stp>Points=60</stp>
        <stp>Sort=R</stp>
        <stp>Days=A</stp>
        <stp>Fill=B</stp>
        <stp>FX=USD</stp>
        <tr r="F389" s="3"/>
      </tp>
      <tp t="s">
        <v>#N/A Authorization</v>
        <stp/>
        <stp>##V3_BDHV12</stp>
        <stp>CPT US Equity</stp>
        <stp>RR033</stp>
        <stp>-60CQ</stp>
        <stp>2018/3/31</stp>
        <stp>[housing reits conpanies.xlsx]ReferenceData!R310C6</stp>
        <stp>Per=CQ</stp>
        <stp>Dts=H</stp>
        <stp>Dir=H</stp>
        <stp>Points=60</stp>
        <stp>Sort=R</stp>
        <stp>Days=A</stp>
        <stp>Fill=B</stp>
        <stp>FX=USD</stp>
        <tr r="F310" s="3"/>
      </tp>
      <tp t="s">
        <v>#N/A Authorization</v>
        <stp/>
        <stp>##V3_BDHV12</stp>
        <stp>CPT US Equity</stp>
        <stp>IS030</stp>
        <stp>-60CQ</stp>
        <stp>2018/3/31</stp>
        <stp>[housing reits conpanies.xlsx]ReferenceData!R230C6</stp>
        <stp>Per=CQ</stp>
        <stp>Dts=H</stp>
        <stp>Dir=H</stp>
        <stp>Points=60</stp>
        <stp>Sort=R</stp>
        <stp>Days=A</stp>
        <stp>Fill=B</stp>
        <stp>FX=USD</stp>
        <tr r="F230" s="3"/>
      </tp>
      <tp t="s">
        <v>#N/A Authorization</v>
        <stp/>
        <stp>##V3_BDHV12</stp>
        <stp>CPT US Equity</stp>
        <stp>CF039</stp>
        <stp>-60CQ</stp>
        <stp>2018/3/31</stp>
        <stp>[housing reits conpanies.xlsx]ReferenceData!R294C6</stp>
        <stp>Per=CQ</stp>
        <stp>Dts=H</stp>
        <stp>Dir=H</stp>
        <stp>Points=60</stp>
        <stp>Sort=R</stp>
        <stp>Days=A</stp>
        <stp>Fill=B</stp>
        <stp>FX=USD</stp>
        <tr r="F294" s="3"/>
      </tp>
      <tp t="s">
        <v>#N/A Authorization</v>
        <stp/>
        <stp>##V3_BDHV12</stp>
        <stp>CPT US Equity</stp>
        <stp>RR009</stp>
        <stp>-60CQ</stp>
        <stp>2018/3/31</stp>
        <stp>[housing reits conpanies.xlsx]ReferenceData!R278C6</stp>
        <stp>Per=CQ</stp>
        <stp>Dts=H</stp>
        <stp>Dir=H</stp>
        <stp>Points=60</stp>
        <stp>Sort=R</stp>
        <stp>Days=A</stp>
        <stp>Fill=B</stp>
        <stp>FX=USD</stp>
        <tr r="F278" s="3"/>
      </tp>
      <tp t="s">
        <v>#N/A Authorization</v>
        <stp/>
        <stp>##V3_BDHV12</stp>
        <stp>CPT US Equity</stp>
        <stp>IS010</stp>
        <stp>-60CQ</stp>
        <stp>2018/3/31</stp>
        <stp>[housing reits conpanies.xlsx]ReferenceData!R262C6</stp>
        <stp>Per=CQ</stp>
        <stp>Dts=H</stp>
        <stp>Dir=H</stp>
        <stp>Points=60</stp>
        <stp>Sort=R</stp>
        <stp>Days=A</stp>
        <stp>Fill=B</stp>
        <stp>FX=USD</stp>
        <tr r="F262" s="3"/>
      </tp>
      <tp t="s">
        <v>#N/A Authorization</v>
        <stp/>
        <stp>##V3_BDHV12</stp>
        <stp>AVB US Equity</stp>
        <stp>RR263</stp>
        <stp>-60CQ</stp>
        <stp>2018/3/31</stp>
        <stp>[housing reits conpanies.xlsx]ReferenceData!R381C6</stp>
        <stp>Per=CQ</stp>
        <stp>Dts=H</stp>
        <stp>Dir=H</stp>
        <stp>Points=60</stp>
        <stp>Sort=R</stp>
        <stp>Days=A</stp>
        <stp>Fill=B</stp>
        <stp>FX=USD</stp>
        <tr r="F381" s="3"/>
      </tp>
      <tp t="s">
        <v>#N/A Authorization</v>
        <stp/>
        <stp>##V3_BDHV12</stp>
        <stp>CPT US Equity</stp>
        <stp>IS019</stp>
        <stp>-60CQ</stp>
        <stp>2018/3/31</stp>
        <stp>[housing reits conpanies.xlsx]ReferenceData!R254C6</stp>
        <stp>Per=CQ</stp>
        <stp>Dts=H</stp>
        <stp>Dir=H</stp>
        <stp>Points=60</stp>
        <stp>Sort=R</stp>
        <stp>Days=A</stp>
        <stp>Fill=B</stp>
        <stp>FX=USD</stp>
        <tr r="F254" s="3"/>
      </tp>
      <tp t="s">
        <v>#N/A Authorization</v>
        <stp/>
        <stp>##V3_BDHV12</stp>
        <stp>AVB US Equity</stp>
        <stp>IM275</stp>
        <stp>-60CQ</stp>
        <stp>2018/3/31</stp>
        <stp>[housing reits conpanies.xlsx]ReferenceData!R237C6</stp>
        <stp>Per=CQ</stp>
        <stp>Dts=H</stp>
        <stp>Dir=H</stp>
        <stp>Points=60</stp>
        <stp>Sort=R</stp>
        <stp>Days=A</stp>
        <stp>Fill=B</stp>
        <stp>FX=USD</stp>
        <tr r="F237" s="3"/>
      </tp>
      <tp t="s">
        <v>#N/A Authorization</v>
        <stp/>
        <stp>##V3_BDHV12</stp>
        <stp>CPT US Equity</stp>
        <stp>RR008</stp>
        <stp>-60CQ</stp>
        <stp>2018/3/31</stp>
        <stp>[housing reits conpanies.xlsx]ReferenceData!R398C6</stp>
        <stp>Per=CQ</stp>
        <stp>Dts=H</stp>
        <stp>Dir=H</stp>
        <stp>Points=60</stp>
        <stp>Sort=R</stp>
        <stp>Days=A</stp>
        <stp>Fill=B</stp>
        <stp>FX=USD</stp>
        <tr r="F398" s="3"/>
      </tp>
      <tp t="s">
        <v>#N/A Authorization</v>
        <stp/>
        <stp>##V3_BDHV12</stp>
        <stp>AVB US Equity</stp>
        <stp>IM281</stp>
        <stp>-60CQ</stp>
        <stp>2018/3/31</stp>
        <stp>[housing reits conpanies.xlsx]ReferenceData!R245C6</stp>
        <stp>Per=CQ</stp>
        <stp>Dts=H</stp>
        <stp>Dir=H</stp>
        <stp>Points=60</stp>
        <stp>Sort=R</stp>
        <stp>Days=A</stp>
        <stp>Fill=B</stp>
        <stp>FX=USD</stp>
        <tr r="F245" s="3"/>
      </tp>
      <tp t="s">
        <v>#N/A Authorization</v>
        <stp/>
        <stp>##V3_BDHV12</stp>
        <stp>MAA US Equity</stp>
        <stp>BE592</stp>
        <stp>-60CQ</stp>
        <stp>2018/3/31</stp>
        <stp>[housing reits conpanies.xlsx]ReferenceData!R330C6</stp>
        <stp>Per=CQ</stp>
        <stp>Dts=H</stp>
        <stp>Dir=H</stp>
        <stp>Points=60</stp>
        <stp>Sort=R</stp>
        <stp>Days=A</stp>
        <stp>Fill=B</stp>
        <stp>BE997=1GY</stp>
        <stp>FX=USD</stp>
        <tr r="F330" s="3"/>
      </tp>
      <tp t="s">
        <v>#N/A Authorization</v>
        <stp/>
        <stp>##V3_BDHV12</stp>
        <stp>AVB US Equity</stp>
        <stp>BE592</stp>
        <stp>-60CQ</stp>
        <stp>2018/3/31</stp>
        <stp>[housing reits conpanies.xlsx]ReferenceData!R325C6</stp>
        <stp>Per=CQ</stp>
        <stp>Dts=H</stp>
        <stp>Dir=H</stp>
        <stp>Points=60</stp>
        <stp>Sort=R</stp>
        <stp>Days=A</stp>
        <stp>Fill=B</stp>
        <stp>BE997=1GY</stp>
        <stp>FX=USD</stp>
        <tr r="F325" s="3"/>
      </tp>
      <tp t="s">
        <v>#N/A Authorization</v>
        <stp/>
        <stp>##V3_BDHV12</stp>
        <stp>ACC US Equity</stp>
        <stp>BE592</stp>
        <stp>-60CQ</stp>
        <stp>2018/3/31</stp>
        <stp>[housing reits conpanies.xlsx]ReferenceData!R324C6</stp>
        <stp>Per=CQ</stp>
        <stp>Dts=H</stp>
        <stp>Dir=H</stp>
        <stp>Points=60</stp>
        <stp>Sort=R</stp>
        <stp>Days=A</stp>
        <stp>Fill=B</stp>
        <stp>BE997=1GY</stp>
        <stp>FX=USD</stp>
        <tr r="F324" s="3"/>
      </tp>
      <tp t="s">
        <v>#N/A Authorization</v>
        <stp/>
        <stp>##V3_BDHV12</stp>
        <stp>ACC US Equity</stp>
        <stp>IS030</stp>
        <stp>-60CQ</stp>
        <stp>2018/3/31</stp>
        <stp>[housing reits conpanies.xlsx]ReferenceData!R432C3</stp>
        <stp>PER=CQ</stp>
        <stp>Dts=S</stp>
        <stp>DtFmt=FI</stp>
        <stp>rows=2</stp>
        <stp>Dir=H</stp>
        <stp>Points=60</stp>
        <stp>Sort=R</stp>
        <stp>Days=A</stp>
        <stp>Fill=B</stp>
        <stp>FX=USD</stp>
        <tr r="C432" s="3"/>
      </tp>
      <tp t="s">
        <v>#N/A Authorization</v>
        <stp/>
        <stp>##V3_BDHV12</stp>
        <stp>AVB US Equity</stp>
        <stp>IS030</stp>
        <stp>-60CQ</stp>
        <stp>2018/3/31</stp>
        <stp>[housing reits conpanies.xlsx]ReferenceData!R434C3</stp>
        <stp>PER=CQ</stp>
        <stp>Dts=S</stp>
        <stp>DtFmt=FI</stp>
        <stp>rows=2</stp>
        <stp>Dir=H</stp>
        <stp>Points=60</stp>
        <stp>Sort=R</stp>
        <stp>Days=A</stp>
        <stp>Fill=B</stp>
        <stp>FX=USD</stp>
        <tr r="C434" s="3"/>
      </tp>
      <tp t="s">
        <v>#N/A Authorization</v>
        <stp/>
        <stp>##V3_BDHV12</stp>
        <stp>CPT US Equity</stp>
        <stp>IS030</stp>
        <stp>-60CQ</stp>
        <stp>2018/3/31</stp>
        <stp>[housing reits conpanies.xlsx]ReferenceData!R436C3</stp>
        <stp>PER=CQ</stp>
        <stp>Dts=S</stp>
        <stp>DtFmt=FI</stp>
        <stp>rows=2</stp>
        <stp>Dir=H</stp>
        <stp>Points=60</stp>
        <stp>Sort=R</stp>
        <stp>Days=A</stp>
        <stp>Fill=B</stp>
        <stp>FX=USD</stp>
        <tr r="C436" s="3"/>
      </tp>
      <tp t="s">
        <v>#N/A Authorization</v>
        <stp/>
        <stp>##V3_BDHV12</stp>
        <stp>EDR US Equity</stp>
        <stp>BE592</stp>
        <stp>-60CQ</stp>
        <stp>2018/3/31</stp>
        <stp>[housing reits conpanies.xlsx]ReferenceData!R327C6</stp>
        <stp>Per=CQ</stp>
        <stp>Dts=H</stp>
        <stp>Dir=H</stp>
        <stp>Points=60</stp>
        <stp>Sort=R</stp>
        <stp>Days=A</stp>
        <stp>Fill=B</stp>
        <stp>BE997=1GY</stp>
        <stp>FX=USD</stp>
        <tr r="F327" s="3"/>
      </tp>
      <tp t="s">
        <v>#N/A Authorization</v>
        <stp/>
        <stp>##V3_BDHV12</stp>
        <stp>EQR US Equity</stp>
        <stp>BE592</stp>
        <stp>-60CQ</stp>
        <stp>2018/3/31</stp>
        <stp>[housing reits conpanies.xlsx]ReferenceData!R328C6</stp>
        <stp>Per=CQ</stp>
        <stp>Dts=H</stp>
        <stp>Dir=H</stp>
        <stp>Points=60</stp>
        <stp>Sort=R</stp>
        <stp>Days=A</stp>
        <stp>Fill=B</stp>
        <stp>BE997=1GY</stp>
        <stp>FX=USD</stp>
        <tr r="F328" s="3"/>
      </tp>
      <tp t="s">
        <v>#N/A Authorization</v>
        <stp/>
        <stp>##V3_BDHV12</stp>
        <stp>UDR US Equity</stp>
        <stp>BE592</stp>
        <stp>-60CQ</stp>
        <stp>2018/3/31</stp>
        <stp>[housing reits conpanies.xlsx]ReferenceData!R331C6</stp>
        <stp>Per=CQ</stp>
        <stp>Dts=H</stp>
        <stp>Dir=H</stp>
        <stp>Points=60</stp>
        <stp>Sort=R</stp>
        <stp>Days=A</stp>
        <stp>Fill=B</stp>
        <stp>BE997=1GY</stp>
        <stp>FX=USD</stp>
        <tr r="F331" s="3"/>
      </tp>
      <tp t="s">
        <v>#N/A Authorization</v>
        <stp/>
        <stp>##V3_BDHV12</stp>
        <stp>ESS US Equity</stp>
        <stp>BE592</stp>
        <stp>-60CQ</stp>
        <stp>2018/3/31</stp>
        <stp>[housing reits conpanies.xlsx]ReferenceData!R329C6</stp>
        <stp>Per=CQ</stp>
        <stp>Dts=H</stp>
        <stp>Dir=H</stp>
        <stp>Points=60</stp>
        <stp>Sort=R</stp>
        <stp>Days=A</stp>
        <stp>Fill=B</stp>
        <stp>BE997=1GY</stp>
        <stp>FX=USD</stp>
        <tr r="F329" s="3"/>
      </tp>
      <tp t="s">
        <v>#N/A Authorization</v>
        <stp/>
        <stp>##V3_BDHV12</stp>
        <stp>CPT US Equity</stp>
        <stp>BE592</stp>
        <stp>-60CQ</stp>
        <stp>2018/3/31</stp>
        <stp>[housing reits conpanies.xlsx]ReferenceData!R326C6</stp>
        <stp>Per=CQ</stp>
        <stp>Dts=H</stp>
        <stp>Dir=H</stp>
        <stp>Points=60</stp>
        <stp>Sort=R</stp>
        <stp>Days=A</stp>
        <stp>Fill=B</stp>
        <stp>BE997=1GY</stp>
        <stp>FX=USD</stp>
        <tr r="F326" s="3"/>
      </tp>
      <tp t="s">
        <v>#N/A Authorization</v>
        <stp/>
        <stp>##V3_BDHV12</stp>
        <stp>CPT US Equity</stp>
        <stp>IS030</stp>
        <stp>-60CQ</stp>
        <stp>2018/3/31</stp>
        <stp>[BI_APTRN_1_vsn5ljfm.xlsx]ReferenceData!R428C3</stp>
        <stp>PER=CQ</stp>
        <stp>Dts=S</stp>
        <stp>DtFmt=FI</stp>
        <stp>rows=2</stp>
        <stp>Dir=H</stp>
        <stp>Points=60</stp>
        <stp>Sort=R</stp>
        <stp>Days=A</stp>
        <stp>Fill=B</stp>
        <stp>FX=USD</stp>
        <tr r="C428" s="3"/>
      </tp>
      <tp t="s">
        <v>#N/A Authorization</v>
        <stp/>
        <stp>##V3_BDHV12</stp>
        <stp>AVB US Equity</stp>
        <stp>IS030</stp>
        <stp>-60CQ</stp>
        <stp>2018/3/31</stp>
        <stp>[BI_APTRN_1_vsn5ljfm.xlsx]ReferenceData!R426C3</stp>
        <stp>PER=CQ</stp>
        <stp>Dts=S</stp>
        <stp>DtFmt=FI</stp>
        <stp>rows=2</stp>
        <stp>Dir=H</stp>
        <stp>Points=60</stp>
        <stp>Sort=R</stp>
        <stp>Days=A</stp>
        <stp>Fill=B</stp>
        <stp>FX=USD</stp>
        <tr r="C426" s="3"/>
      </tp>
      <tp t="s">
        <v>#N/A Authorization</v>
        <stp/>
        <stp>##V3_BDHV12</stp>
        <stp>ACC US Equity</stp>
        <stp>IS030</stp>
        <stp>-60CQ</stp>
        <stp>2018/3/31</stp>
        <stp>[BI_APTRN_1_vsn5ljfm.xlsx]ReferenceData!R424C3</stp>
        <stp>PER=CQ</stp>
        <stp>Dts=S</stp>
        <stp>DtFmt=FI</stp>
        <stp>rows=2</stp>
        <stp>Dir=H</stp>
        <stp>Points=60</stp>
        <stp>Sort=R</stp>
        <stp>Days=A</stp>
        <stp>Fill=B</stp>
        <stp>FX=USD</stp>
        <tr r="C424" s="3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volatileDependencies" Target="volatileDependencie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M210"/>
  <sheetViews>
    <sheetView tabSelected="1" workbookViewId="0"/>
  </sheetViews>
  <sheetFormatPr defaultRowHeight="13.5"/>
  <cols>
    <col min="1" max="1" width="56.375" customWidth="1"/>
    <col min="2" max="2" width="15.75" customWidth="1"/>
    <col min="3" max="65" width="9.125" bestFit="1" customWidth="1"/>
  </cols>
  <sheetData>
    <row r="1" spans="1:65" ht="1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</row>
    <row r="2" spans="1:65">
      <c r="A2" t="str">
        <f>IFERROR(IF(0=LEN(ReferenceData!$A$2),"",ReferenceData!$A$2),"")</f>
        <v>简述</v>
      </c>
      <c r="B2" t="str">
        <f>IFERROR(IF(0=LEN(ReferenceData!$B$2),"",ReferenceData!$B$2),"")</f>
        <v>代码</v>
      </c>
      <c r="C2" t="str">
        <f>IFERROR(IF(0=LEN(ReferenceData!$C$2),"",ReferenceData!$C$2),"")</f>
        <v>栏目ID</v>
      </c>
      <c r="D2" t="str">
        <f>IFERROR(IF(0=LEN(ReferenceData!$D$2),"",ReferenceData!$D$2),"")</f>
        <v>栏目助记符</v>
      </c>
      <c r="E2" t="str">
        <f>IFERROR(IF(0=LEN(ReferenceData!$E$2),"",ReferenceData!$E$2),"")</f>
        <v>数据状态</v>
      </c>
      <c r="F2" t="str">
        <f>IFERROR(IF(0=LEN(ReferenceData!$F$2),"",ReferenceData!$F$2),"")</f>
        <v>2018 Q1</v>
      </c>
      <c r="G2" t="str">
        <f>IFERROR(IF(0=LEN(ReferenceData!$G$2),"",ReferenceData!$G$2),"")</f>
        <v>2017 Q4</v>
      </c>
      <c r="H2" t="str">
        <f>IFERROR(IF(0=LEN(ReferenceData!$H$2),"",ReferenceData!$H$2),"")</f>
        <v>2017 Q3</v>
      </c>
      <c r="I2" t="str">
        <f>IFERROR(IF(0=LEN(ReferenceData!$I$2),"",ReferenceData!$I$2),"")</f>
        <v>2017 Q2</v>
      </c>
      <c r="J2" t="str">
        <f>IFERROR(IF(0=LEN(ReferenceData!$J$2),"",ReferenceData!$J$2),"")</f>
        <v>2017 Q1</v>
      </c>
      <c r="K2" t="str">
        <f>IFERROR(IF(0=LEN(ReferenceData!$K$2),"",ReferenceData!$K$2),"")</f>
        <v>2016 Q4</v>
      </c>
      <c r="L2" t="str">
        <f>IFERROR(IF(0=LEN(ReferenceData!$L$2),"",ReferenceData!$L$2),"")</f>
        <v>2016 Q3</v>
      </c>
      <c r="M2" t="str">
        <f>IFERROR(IF(0=LEN(ReferenceData!$M$2),"",ReferenceData!$M$2),"")</f>
        <v>2016 Q2</v>
      </c>
      <c r="N2" t="str">
        <f>IFERROR(IF(0=LEN(ReferenceData!$N$2),"",ReferenceData!$N$2),"")</f>
        <v>2016 Q1</v>
      </c>
      <c r="O2" t="str">
        <f>IFERROR(IF(0=LEN(ReferenceData!$O$2),"",ReferenceData!$O$2),"")</f>
        <v>2015 Q4</v>
      </c>
      <c r="P2" t="str">
        <f>IFERROR(IF(0=LEN(ReferenceData!$P$2),"",ReferenceData!$P$2),"")</f>
        <v>2015 Q3</v>
      </c>
      <c r="Q2" t="str">
        <f>IFERROR(IF(0=LEN(ReferenceData!$Q$2),"",ReferenceData!$Q$2),"")</f>
        <v>2015 Q2</v>
      </c>
      <c r="R2" t="str">
        <f>IFERROR(IF(0=LEN(ReferenceData!$R$2),"",ReferenceData!$R$2),"")</f>
        <v>2015 Q1</v>
      </c>
      <c r="S2" t="str">
        <f>IFERROR(IF(0=LEN(ReferenceData!$S$2),"",ReferenceData!$S$2),"")</f>
        <v>2014 Q4</v>
      </c>
      <c r="T2" t="str">
        <f>IFERROR(IF(0=LEN(ReferenceData!$T$2),"",ReferenceData!$T$2),"")</f>
        <v>2014 Q3</v>
      </c>
      <c r="U2" t="str">
        <f>IFERROR(IF(0=LEN(ReferenceData!$U$2),"",ReferenceData!$U$2),"")</f>
        <v>2014 Q2</v>
      </c>
      <c r="V2" t="str">
        <f>IFERROR(IF(0=LEN(ReferenceData!$V$2),"",ReferenceData!$V$2),"")</f>
        <v>2014 Q1</v>
      </c>
      <c r="W2" t="str">
        <f>IFERROR(IF(0=LEN(ReferenceData!$W$2),"",ReferenceData!$W$2),"")</f>
        <v>2013 Q4</v>
      </c>
      <c r="X2" t="str">
        <f>IFERROR(IF(0=LEN(ReferenceData!$X$2),"",ReferenceData!$X$2),"")</f>
        <v>2013 Q3</v>
      </c>
      <c r="Y2" t="str">
        <f>IFERROR(IF(0=LEN(ReferenceData!$Y$2),"",ReferenceData!$Y$2),"")</f>
        <v>2013 Q2</v>
      </c>
      <c r="Z2" t="str">
        <f>IFERROR(IF(0=LEN(ReferenceData!$Z$2),"",ReferenceData!$Z$2),"")</f>
        <v>2013 Q1</v>
      </c>
      <c r="AA2" t="str">
        <f>IFERROR(IF(0=LEN(ReferenceData!$AA$2),"",ReferenceData!$AA$2),"")</f>
        <v>2012 Q4</v>
      </c>
      <c r="AB2" t="str">
        <f>IFERROR(IF(0=LEN(ReferenceData!$AB$2),"",ReferenceData!$AB$2),"")</f>
        <v>2012 Q3</v>
      </c>
      <c r="AC2" t="str">
        <f>IFERROR(IF(0=LEN(ReferenceData!$AC$2),"",ReferenceData!$AC$2),"")</f>
        <v>2012 Q2</v>
      </c>
      <c r="AD2" t="str">
        <f>IFERROR(IF(0=LEN(ReferenceData!$AD$2),"",ReferenceData!$AD$2),"")</f>
        <v>2012 Q1</v>
      </c>
      <c r="AE2" t="str">
        <f>IFERROR(IF(0=LEN(ReferenceData!$AE$2),"",ReferenceData!$AE$2),"")</f>
        <v>2011 Q4</v>
      </c>
      <c r="AF2" t="str">
        <f>IFERROR(IF(0=LEN(ReferenceData!$AF$2),"",ReferenceData!$AF$2),"")</f>
        <v>2011 Q3</v>
      </c>
      <c r="AG2" t="str">
        <f>IFERROR(IF(0=LEN(ReferenceData!$AG$2),"",ReferenceData!$AG$2),"")</f>
        <v>2011 Q2</v>
      </c>
      <c r="AH2" t="str">
        <f>IFERROR(IF(0=LEN(ReferenceData!$AH$2),"",ReferenceData!$AH$2),"")</f>
        <v>2011 Q1</v>
      </c>
      <c r="AI2" t="str">
        <f>IFERROR(IF(0=LEN(ReferenceData!$AI$2),"",ReferenceData!$AI$2),"")</f>
        <v>2010 Q4</v>
      </c>
      <c r="AJ2" t="str">
        <f>IFERROR(IF(0=LEN(ReferenceData!$AJ$2),"",ReferenceData!$AJ$2),"")</f>
        <v>2010 Q3</v>
      </c>
      <c r="AK2" t="str">
        <f>IFERROR(IF(0=LEN(ReferenceData!$AK$2),"",ReferenceData!$AK$2),"")</f>
        <v>2010 Q2</v>
      </c>
      <c r="AL2" t="str">
        <f>IFERROR(IF(0=LEN(ReferenceData!$AL$2),"",ReferenceData!$AL$2),"")</f>
        <v>2010 Q1</v>
      </c>
      <c r="AM2" t="str">
        <f>IFERROR(IF(0=LEN(ReferenceData!$AM$2),"",ReferenceData!$AM$2),"")</f>
        <v>2009 Q4</v>
      </c>
      <c r="AN2" t="str">
        <f>IFERROR(IF(0=LEN(ReferenceData!$AN$2),"",ReferenceData!$AN$2),"")</f>
        <v>2009 Q3</v>
      </c>
      <c r="AO2" t="str">
        <f>IFERROR(IF(0=LEN(ReferenceData!$AO$2),"",ReferenceData!$AO$2),"")</f>
        <v>2009 Q2</v>
      </c>
      <c r="AP2" t="str">
        <f>IFERROR(IF(0=LEN(ReferenceData!$AP$2),"",ReferenceData!$AP$2),"")</f>
        <v>2009 Q1</v>
      </c>
      <c r="AQ2" t="str">
        <f>IFERROR(IF(0=LEN(ReferenceData!$AQ$2),"",ReferenceData!$AQ$2),"")</f>
        <v>2008 Q4</v>
      </c>
      <c r="AR2" t="str">
        <f>IFERROR(IF(0=LEN(ReferenceData!$AR$2),"",ReferenceData!$AR$2),"")</f>
        <v>2008 Q3</v>
      </c>
      <c r="AS2" t="str">
        <f>IFERROR(IF(0=LEN(ReferenceData!$AS$2),"",ReferenceData!$AS$2),"")</f>
        <v>2008 Q2</v>
      </c>
      <c r="AT2" t="str">
        <f>IFERROR(IF(0=LEN(ReferenceData!$AT$2),"",ReferenceData!$AT$2),"")</f>
        <v>2008 Q1</v>
      </c>
      <c r="AU2" t="str">
        <f>IFERROR(IF(0=LEN(ReferenceData!$AU$2),"",ReferenceData!$AU$2),"")</f>
        <v>2007 Q4</v>
      </c>
      <c r="AV2" t="str">
        <f>IFERROR(IF(0=LEN(ReferenceData!$AV$2),"",ReferenceData!$AV$2),"")</f>
        <v>2007 Q3</v>
      </c>
      <c r="AW2" t="str">
        <f>IFERROR(IF(0=LEN(ReferenceData!$AW$2),"",ReferenceData!$AW$2),"")</f>
        <v>2007 Q2</v>
      </c>
      <c r="AX2" t="str">
        <f>IFERROR(IF(0=LEN(ReferenceData!$AX$2),"",ReferenceData!$AX$2),"")</f>
        <v>2007 Q1</v>
      </c>
      <c r="AY2" t="str">
        <f>IFERROR(IF(0=LEN(ReferenceData!$AY$2),"",ReferenceData!$AY$2),"")</f>
        <v>2006 Q4</v>
      </c>
      <c r="AZ2" t="str">
        <f>IFERROR(IF(0=LEN(ReferenceData!$AZ$2),"",ReferenceData!$AZ$2),"")</f>
        <v>2006 Q3</v>
      </c>
      <c r="BA2" t="str">
        <f>IFERROR(IF(0=LEN(ReferenceData!$BA$2),"",ReferenceData!$BA$2),"")</f>
        <v>2006 Q2</v>
      </c>
      <c r="BB2" t="str">
        <f>IFERROR(IF(0=LEN(ReferenceData!$BB$2),"",ReferenceData!$BB$2),"")</f>
        <v>2006 Q1</v>
      </c>
      <c r="BC2" t="str">
        <f>IFERROR(IF(0=LEN(ReferenceData!$BC$2),"",ReferenceData!$BC$2),"")</f>
        <v>2005 Q4</v>
      </c>
      <c r="BD2" t="str">
        <f>IFERROR(IF(0=LEN(ReferenceData!$BD$2),"",ReferenceData!$BD$2),"")</f>
        <v>2005 Q3</v>
      </c>
      <c r="BE2" t="str">
        <f>IFERROR(IF(0=LEN(ReferenceData!$BE$2),"",ReferenceData!$BE$2),"")</f>
        <v>2005 Q2</v>
      </c>
      <c r="BF2" t="str">
        <f>IFERROR(IF(0=LEN(ReferenceData!$BF$2),"",ReferenceData!$BF$2),"")</f>
        <v>2005 Q1</v>
      </c>
      <c r="BG2" t="str">
        <f>IFERROR(IF(0=LEN(ReferenceData!$BG$2),"",ReferenceData!$BG$2),"")</f>
        <v>2004 Q4</v>
      </c>
      <c r="BH2" t="str">
        <f>IFERROR(IF(0=LEN(ReferenceData!$BH$2),"",ReferenceData!$BH$2),"")</f>
        <v>2004 Q3</v>
      </c>
      <c r="BI2" t="str">
        <f>IFERROR(IF(0=LEN(ReferenceData!$BI$2),"",ReferenceData!$BI$2),"")</f>
        <v>2004 Q2</v>
      </c>
      <c r="BJ2" t="str">
        <f>IFERROR(IF(0=LEN(ReferenceData!$BJ$2),"",ReferenceData!$BJ$2),"")</f>
        <v>2004 Q1</v>
      </c>
      <c r="BK2" t="str">
        <f>IFERROR(IF(0=LEN(ReferenceData!$BK$2),"",ReferenceData!$BK$2),"")</f>
        <v>2003 Q4</v>
      </c>
      <c r="BL2" t="str">
        <f>IFERROR(IF(0=LEN(ReferenceData!$BL$2),"",ReferenceData!$BL$2),"")</f>
        <v>2003 Q3</v>
      </c>
      <c r="BM2" t="str">
        <f>IFERROR(IF(0=LEN(ReferenceData!$BM$2),"",ReferenceData!$BM$2),"")</f>
        <v>2003 Q2</v>
      </c>
    </row>
    <row r="3" spans="1:65">
      <c r="A3" t="str">
        <f>IFERROR(IF(0=LEN(ReferenceData!$A$3),"",ReferenceData!$A$3),"")</f>
        <v>盈利摘要</v>
      </c>
      <c r="B3" t="str">
        <f>IFERROR(IF(0=LEN(ReferenceData!$B$3),"",ReferenceData!$B$3),"")</f>
        <v/>
      </c>
      <c r="C3" t="str">
        <f>IFERROR(IF(0=LEN(ReferenceData!$C$3),"",ReferenceData!$C$3),"")</f>
        <v/>
      </c>
      <c r="D3" t="str">
        <f>IFERROR(IF(0=LEN(ReferenceData!$D$3),"",ReferenceData!$D$3),"")</f>
        <v/>
      </c>
      <c r="E3" t="str">
        <f>IFERROR(IF(0=LEN(ReferenceData!$E$3),"",ReferenceData!$E$3),"")</f>
        <v>标题</v>
      </c>
      <c r="F3" t="str">
        <f>IFERROR(IF(0=LEN(ReferenceData!$F$3),"",ReferenceData!$F$3),"")</f>
        <v/>
      </c>
      <c r="G3" t="str">
        <f>IFERROR(IF(0=LEN(ReferenceData!$G$3),"",ReferenceData!$G$3),"")</f>
        <v/>
      </c>
      <c r="H3" t="str">
        <f>IFERROR(IF(0=LEN(ReferenceData!$H$3),"",ReferenceData!$H$3),"")</f>
        <v/>
      </c>
      <c r="I3" t="str">
        <f>IFERROR(IF(0=LEN(ReferenceData!$I$3),"",ReferenceData!$I$3),"")</f>
        <v/>
      </c>
      <c r="J3" t="str">
        <f>IFERROR(IF(0=LEN(ReferenceData!$J$3),"",ReferenceData!$J$3),"")</f>
        <v/>
      </c>
      <c r="K3" t="str">
        <f>IFERROR(IF(0=LEN(ReferenceData!$K$3),"",ReferenceData!$K$3),"")</f>
        <v/>
      </c>
      <c r="L3" t="str">
        <f>IFERROR(IF(0=LEN(ReferenceData!$L$3),"",ReferenceData!$L$3),"")</f>
        <v/>
      </c>
      <c r="M3" t="str">
        <f>IFERROR(IF(0=LEN(ReferenceData!$M$3),"",ReferenceData!$M$3),"")</f>
        <v/>
      </c>
      <c r="N3" t="str">
        <f>IFERROR(IF(0=LEN(ReferenceData!$N$3),"",ReferenceData!$N$3),"")</f>
        <v/>
      </c>
      <c r="O3" t="str">
        <f>IFERROR(IF(0=LEN(ReferenceData!$O$3),"",ReferenceData!$O$3),"")</f>
        <v/>
      </c>
      <c r="P3" t="str">
        <f>IFERROR(IF(0=LEN(ReferenceData!$P$3),"",ReferenceData!$P$3),"")</f>
        <v/>
      </c>
      <c r="Q3" t="str">
        <f>IFERROR(IF(0=LEN(ReferenceData!$Q$3),"",ReferenceData!$Q$3),"")</f>
        <v/>
      </c>
      <c r="R3" t="str">
        <f>IFERROR(IF(0=LEN(ReferenceData!$R$3),"",ReferenceData!$R$3),"")</f>
        <v/>
      </c>
      <c r="S3" t="str">
        <f>IFERROR(IF(0=LEN(ReferenceData!$S$3),"",ReferenceData!$S$3),"")</f>
        <v/>
      </c>
      <c r="T3" t="str">
        <f>IFERROR(IF(0=LEN(ReferenceData!$T$3),"",ReferenceData!$T$3),"")</f>
        <v/>
      </c>
      <c r="U3" t="str">
        <f>IFERROR(IF(0=LEN(ReferenceData!$U$3),"",ReferenceData!$U$3),"")</f>
        <v/>
      </c>
      <c r="V3" t="str">
        <f>IFERROR(IF(0=LEN(ReferenceData!$V$3),"",ReferenceData!$V$3),"")</f>
        <v/>
      </c>
      <c r="W3" t="str">
        <f>IFERROR(IF(0=LEN(ReferenceData!$W$3),"",ReferenceData!$W$3),"")</f>
        <v/>
      </c>
      <c r="X3" t="str">
        <f>IFERROR(IF(0=LEN(ReferenceData!$X$3),"",ReferenceData!$X$3),"")</f>
        <v/>
      </c>
      <c r="Y3" t="str">
        <f>IFERROR(IF(0=LEN(ReferenceData!$Y$3),"",ReferenceData!$Y$3),"")</f>
        <v/>
      </c>
      <c r="Z3" t="str">
        <f>IFERROR(IF(0=LEN(ReferenceData!$Z$3),"",ReferenceData!$Z$3),"")</f>
        <v/>
      </c>
      <c r="AA3" t="str">
        <f>IFERROR(IF(0=LEN(ReferenceData!$AA$3),"",ReferenceData!$AA$3),"")</f>
        <v/>
      </c>
      <c r="AB3" t="str">
        <f>IFERROR(IF(0=LEN(ReferenceData!$AB$3),"",ReferenceData!$AB$3),"")</f>
        <v/>
      </c>
      <c r="AC3" t="str">
        <f>IFERROR(IF(0=LEN(ReferenceData!$AC$3),"",ReferenceData!$AC$3),"")</f>
        <v/>
      </c>
      <c r="AD3" t="str">
        <f>IFERROR(IF(0=LEN(ReferenceData!$AD$3),"",ReferenceData!$AD$3),"")</f>
        <v/>
      </c>
      <c r="AE3" t="str">
        <f>IFERROR(IF(0=LEN(ReferenceData!$AE$3),"",ReferenceData!$AE$3),"")</f>
        <v/>
      </c>
      <c r="AF3" t="str">
        <f>IFERROR(IF(0=LEN(ReferenceData!$AF$3),"",ReferenceData!$AF$3),"")</f>
        <v/>
      </c>
      <c r="AG3" t="str">
        <f>IFERROR(IF(0=LEN(ReferenceData!$AG$3),"",ReferenceData!$AG$3),"")</f>
        <v/>
      </c>
      <c r="AH3" t="str">
        <f>IFERROR(IF(0=LEN(ReferenceData!$AH$3),"",ReferenceData!$AH$3),"")</f>
        <v/>
      </c>
      <c r="AI3" t="str">
        <f>IFERROR(IF(0=LEN(ReferenceData!$AI$3),"",ReferenceData!$AI$3),"")</f>
        <v/>
      </c>
      <c r="AJ3" t="str">
        <f>IFERROR(IF(0=LEN(ReferenceData!$AJ$3),"",ReferenceData!$AJ$3),"")</f>
        <v/>
      </c>
      <c r="AK3" t="str">
        <f>IFERROR(IF(0=LEN(ReferenceData!$AK$3),"",ReferenceData!$AK$3),"")</f>
        <v/>
      </c>
      <c r="AL3" t="str">
        <f>IFERROR(IF(0=LEN(ReferenceData!$AL$3),"",ReferenceData!$AL$3),"")</f>
        <v/>
      </c>
      <c r="AM3" t="str">
        <f>IFERROR(IF(0=LEN(ReferenceData!$AM$3),"",ReferenceData!$AM$3),"")</f>
        <v/>
      </c>
      <c r="AN3" t="str">
        <f>IFERROR(IF(0=LEN(ReferenceData!$AN$3),"",ReferenceData!$AN$3),"")</f>
        <v/>
      </c>
      <c r="AO3" t="str">
        <f>IFERROR(IF(0=LEN(ReferenceData!$AO$3),"",ReferenceData!$AO$3),"")</f>
        <v/>
      </c>
      <c r="AP3" t="str">
        <f>IFERROR(IF(0=LEN(ReferenceData!$AP$3),"",ReferenceData!$AP$3),"")</f>
        <v/>
      </c>
      <c r="AQ3" t="str">
        <f>IFERROR(IF(0=LEN(ReferenceData!$AQ$3),"",ReferenceData!$AQ$3),"")</f>
        <v/>
      </c>
      <c r="AR3" t="str">
        <f>IFERROR(IF(0=LEN(ReferenceData!$AR$3),"",ReferenceData!$AR$3),"")</f>
        <v/>
      </c>
      <c r="AS3" t="str">
        <f>IFERROR(IF(0=LEN(ReferenceData!$AS$3),"",ReferenceData!$AS$3),"")</f>
        <v/>
      </c>
      <c r="AT3" t="str">
        <f>IFERROR(IF(0=LEN(ReferenceData!$AT$3),"",ReferenceData!$AT$3),"")</f>
        <v/>
      </c>
      <c r="AU3" t="str">
        <f>IFERROR(IF(0=LEN(ReferenceData!$AU$3),"",ReferenceData!$AU$3),"")</f>
        <v/>
      </c>
      <c r="AV3" t="str">
        <f>IFERROR(IF(0=LEN(ReferenceData!$AV$3),"",ReferenceData!$AV$3),"")</f>
        <v/>
      </c>
      <c r="AW3" t="str">
        <f>IFERROR(IF(0=LEN(ReferenceData!$AW$3),"",ReferenceData!$AW$3),"")</f>
        <v/>
      </c>
      <c r="AX3" t="str">
        <f>IFERROR(IF(0=LEN(ReferenceData!$AX$3),"",ReferenceData!$AX$3),"")</f>
        <v/>
      </c>
      <c r="AY3" t="str">
        <f>IFERROR(IF(0=LEN(ReferenceData!$AY$3),"",ReferenceData!$AY$3),"")</f>
        <v/>
      </c>
      <c r="AZ3" t="str">
        <f>IFERROR(IF(0=LEN(ReferenceData!$AZ$3),"",ReferenceData!$AZ$3),"")</f>
        <v/>
      </c>
      <c r="BA3" t="str">
        <f>IFERROR(IF(0=LEN(ReferenceData!$BA$3),"",ReferenceData!$BA$3),"")</f>
        <v/>
      </c>
      <c r="BB3" t="str">
        <f>IFERROR(IF(0=LEN(ReferenceData!$BB$3),"",ReferenceData!$BB$3),"")</f>
        <v/>
      </c>
      <c r="BC3" t="str">
        <f>IFERROR(IF(0=LEN(ReferenceData!$BC$3),"",ReferenceData!$BC$3),"")</f>
        <v/>
      </c>
      <c r="BD3" t="str">
        <f>IFERROR(IF(0=LEN(ReferenceData!$BD$3),"",ReferenceData!$BD$3),"")</f>
        <v/>
      </c>
      <c r="BE3" t="str">
        <f>IFERROR(IF(0=LEN(ReferenceData!$BE$3),"",ReferenceData!$BE$3),"")</f>
        <v/>
      </c>
      <c r="BF3" t="str">
        <f>IFERROR(IF(0=LEN(ReferenceData!$BF$3),"",ReferenceData!$BF$3),"")</f>
        <v/>
      </c>
      <c r="BG3" t="str">
        <f>IFERROR(IF(0=LEN(ReferenceData!$BG$3),"",ReferenceData!$BG$3),"")</f>
        <v/>
      </c>
      <c r="BH3" t="str">
        <f>IFERROR(IF(0=LEN(ReferenceData!$BH$3),"",ReferenceData!$BH$3),"")</f>
        <v/>
      </c>
      <c r="BI3" t="str">
        <f>IFERROR(IF(0=LEN(ReferenceData!$BI$3),"",ReferenceData!$BI$3),"")</f>
        <v/>
      </c>
      <c r="BJ3" t="str">
        <f>IFERROR(IF(0=LEN(ReferenceData!$BJ$3),"",ReferenceData!$BJ$3),"")</f>
        <v/>
      </c>
      <c r="BK3" t="str">
        <f>IFERROR(IF(0=LEN(ReferenceData!$BK$3),"",ReferenceData!$BK$3),"")</f>
        <v/>
      </c>
      <c r="BL3" t="str">
        <f>IFERROR(IF(0=LEN(ReferenceData!$BL$3),"",ReferenceData!$BL$3),"")</f>
        <v/>
      </c>
      <c r="BM3" t="str">
        <f>IFERROR(IF(0=LEN(ReferenceData!$BM$3),"",ReferenceData!$BM$3),"")</f>
        <v/>
      </c>
    </row>
    <row r="4" spans="1:65">
      <c r="A4" t="str">
        <f>IFERROR(IF(0=LEN(ReferenceData!$A$4),"",ReferenceData!$A$4),"")</f>
        <v>租赁收入</v>
      </c>
      <c r="B4" t="str">
        <f>IFERROR(IF(0=LEN(ReferenceData!$B$4),"",ReferenceData!$B$4),"")</f>
        <v/>
      </c>
      <c r="C4" t="str">
        <f>IFERROR(IF(0=LEN(ReferenceData!$C$4),"",ReferenceData!$C$4),"")</f>
        <v/>
      </c>
      <c r="D4" t="str">
        <f>IFERROR(IF(0=LEN(ReferenceData!$D$4),"",ReferenceData!$D$4),"")</f>
        <v/>
      </c>
      <c r="E4" t="str">
        <f>IFERROR(IF(0=LEN(ReferenceData!$E$4),"",ReferenceData!$E$4),"")</f>
        <v>Median</v>
      </c>
      <c r="F4" t="str">
        <f ca="1">IFERROR(IF(0=LEN(ReferenceData!$F$4),"",ReferenceData!$F$4),"")</f>
        <v/>
      </c>
      <c r="G4">
        <f ca="1">IFERROR(IF(0=LEN(ReferenceData!$G$4),"",ReferenceData!$G$4),"")</f>
        <v>296.26650000000001</v>
      </c>
      <c r="H4">
        <f ca="1">IFERROR(IF(0=LEN(ReferenceData!$H$4),"",ReferenceData!$H$4),"")</f>
        <v>295.11900000000003</v>
      </c>
      <c r="I4">
        <f ca="1">IFERROR(IF(0=LEN(ReferenceData!$I$4),"",ReferenceData!$I$4),"")</f>
        <v>290.71199999999999</v>
      </c>
      <c r="J4">
        <f ca="1">IFERROR(IF(0=LEN(ReferenceData!$J$4),"",ReferenceData!$J$4),"")</f>
        <v>287.21949999999998</v>
      </c>
      <c r="K4">
        <f ca="1">IFERROR(IF(0=LEN(ReferenceData!$K$4),"",ReferenceData!$K$4),"")</f>
        <v>262.26900000000001</v>
      </c>
      <c r="L4">
        <f ca="1">IFERROR(IF(0=LEN(ReferenceData!$L$4),"",ReferenceData!$L$4),"")</f>
        <v>247.208</v>
      </c>
      <c r="M4">
        <f ca="1">IFERROR(IF(0=LEN(ReferenceData!$M$4),"",ReferenceData!$M$4),"")</f>
        <v>242.74700000000001</v>
      </c>
      <c r="N4">
        <f ca="1">IFERROR(IF(0=LEN(ReferenceData!$N$4),"",ReferenceData!$N$4),"")</f>
        <v>238.81099999999998</v>
      </c>
      <c r="O4">
        <f ca="1">IFERROR(IF(0=LEN(ReferenceData!$O$4),"",ReferenceData!$O$4),"")</f>
        <v>237.88650000000001</v>
      </c>
      <c r="P4">
        <f ca="1">IFERROR(IF(0=LEN(ReferenceData!$P$4),"",ReferenceData!$P$4),"")</f>
        <v>228.71749999999997</v>
      </c>
      <c r="Q4">
        <f ca="1">IFERROR(IF(0=LEN(ReferenceData!$Q$4),"",ReferenceData!$Q$4),"")</f>
        <v>224.46449999999999</v>
      </c>
      <c r="R4">
        <f ca="1">IFERROR(IF(0=LEN(ReferenceData!$R$4),"",ReferenceData!$R$4),"")</f>
        <v>220.994</v>
      </c>
      <c r="S4">
        <f ca="1">IFERROR(IF(0=LEN(ReferenceData!$S$4),"",ReferenceData!$S$4),"")</f>
        <v>218.29300000000001</v>
      </c>
      <c r="T4">
        <f ca="1">IFERROR(IF(0=LEN(ReferenceData!$T$4),"",ReferenceData!$T$4),"")</f>
        <v>215.0855</v>
      </c>
      <c r="U4">
        <f ca="1">IFERROR(IF(0=LEN(ReferenceData!$U$4),"",ReferenceData!$U$4),"")</f>
        <v>212.16</v>
      </c>
      <c r="V4">
        <f ca="1">IFERROR(IF(0=LEN(ReferenceData!$V$4),"",ReferenceData!$V$4),"")</f>
        <v>187.245</v>
      </c>
      <c r="W4">
        <f ca="1">IFERROR(IF(0=LEN(ReferenceData!$W$4),"",ReferenceData!$W$4),"")</f>
        <v>184.6985</v>
      </c>
      <c r="X4">
        <f ca="1">IFERROR(IF(0=LEN(ReferenceData!$X$4),"",ReferenceData!$X$4),"")</f>
        <v>164.137</v>
      </c>
      <c r="Y4">
        <f ca="1">IFERROR(IF(0=LEN(ReferenceData!$Y$4),"",ReferenceData!$Y$4),"")</f>
        <v>159.46749999999997</v>
      </c>
      <c r="Z4">
        <f ca="1">IFERROR(IF(0=LEN(ReferenceData!$Z$4),"",ReferenceData!$Z$4),"")</f>
        <v>162.38499999999999</v>
      </c>
      <c r="AA4">
        <f ca="1">IFERROR(IF(0=LEN(ReferenceData!$AA$4),"",ReferenceData!$AA$4),"")</f>
        <v>152.45499999999998</v>
      </c>
      <c r="AB4">
        <f ca="1">IFERROR(IF(0=LEN(ReferenceData!$AB$4),"",ReferenceData!$AB$4),"")</f>
        <v>145.52699999999999</v>
      </c>
      <c r="AC4">
        <f ca="1">IFERROR(IF(0=LEN(ReferenceData!$AC$4),"",ReferenceData!$AC$4),"")</f>
        <v>140.76999999999998</v>
      </c>
      <c r="AD4">
        <f ca="1">IFERROR(IF(0=LEN(ReferenceData!$AD$4),"",ReferenceData!$AD$4),"")</f>
        <v>135.864</v>
      </c>
      <c r="AE4">
        <f ca="1">IFERROR(IF(0=LEN(ReferenceData!$AE$4),"",ReferenceData!$AE$4),"")</f>
        <v>129.74299999999999</v>
      </c>
      <c r="AF4">
        <f ca="1">IFERROR(IF(0=LEN(ReferenceData!$AF$4),"",ReferenceData!$AF$4),"")</f>
        <v>128.779</v>
      </c>
      <c r="AG4">
        <f ca="1">IFERROR(IF(0=LEN(ReferenceData!$AG$4),"",ReferenceData!$AG$4),"")</f>
        <v>126.5365</v>
      </c>
      <c r="AH4">
        <f ca="1">IFERROR(IF(0=LEN(ReferenceData!$AH$4),"",ReferenceData!$AH$4),"")</f>
        <v>123.5215</v>
      </c>
      <c r="AI4">
        <f ca="1">IFERROR(IF(0=LEN(ReferenceData!$AI$4),"",ReferenceData!$AI$4),"")</f>
        <v>119.7795</v>
      </c>
      <c r="AJ4">
        <f ca="1">IFERROR(IF(0=LEN(ReferenceData!$AJ$4),"",ReferenceData!$AJ$4),"")</f>
        <v>117.6395</v>
      </c>
      <c r="AK4">
        <f ca="1">IFERROR(IF(0=LEN(ReferenceData!$AK$4),"",ReferenceData!$AK$4),"")</f>
        <v>114.38849999999999</v>
      </c>
      <c r="AL4">
        <f ca="1">IFERROR(IF(0=LEN(ReferenceData!$AL$4),"",ReferenceData!$AL$4),"")</f>
        <v>114.27850000000001</v>
      </c>
      <c r="AM4">
        <f ca="1">IFERROR(IF(0=LEN(ReferenceData!$AM$4),"",ReferenceData!$AM$4),"")</f>
        <v>114.49950000000001</v>
      </c>
      <c r="AN4">
        <f ca="1">IFERROR(IF(0=LEN(ReferenceData!$AN$4),"",ReferenceData!$AN$4),"")</f>
        <v>116.714</v>
      </c>
      <c r="AO4">
        <f ca="1">IFERROR(IF(0=LEN(ReferenceData!$AO$4),"",ReferenceData!$AO$4),"")</f>
        <v>118.66500000000001</v>
      </c>
      <c r="AP4">
        <f ca="1">IFERROR(IF(0=LEN(ReferenceData!$AP$4),"",ReferenceData!$AP$4),"")</f>
        <v>120.20699999999999</v>
      </c>
      <c r="AQ4">
        <f ca="1">IFERROR(IF(0=LEN(ReferenceData!$AQ$4),"",ReferenceData!$AQ$4),"")</f>
        <v>120.816</v>
      </c>
      <c r="AR4">
        <f ca="1">IFERROR(IF(0=LEN(ReferenceData!$AR$4),"",ReferenceData!$AR$4),"")</f>
        <v>120.4605</v>
      </c>
      <c r="AS4">
        <f ca="1">IFERROR(IF(0=LEN(ReferenceData!$AS$4),"",ReferenceData!$AS$4),"")</f>
        <v>118.337</v>
      </c>
      <c r="AT4">
        <f ca="1">IFERROR(IF(0=LEN(ReferenceData!$AT$4),"",ReferenceData!$AT$4),"")</f>
        <v>112.14750000000001</v>
      </c>
      <c r="AU4">
        <f ca="1">IFERROR(IF(0=LEN(ReferenceData!$AU$4),"",ReferenceData!$AU$4),"")</f>
        <v>111.477</v>
      </c>
      <c r="AV4">
        <f ca="1">IFERROR(IF(0=LEN(ReferenceData!$AV$4),"",ReferenceData!$AV$4),"")</f>
        <v>111.602</v>
      </c>
      <c r="AW4">
        <f ca="1">IFERROR(IF(0=LEN(ReferenceData!$AW$4),"",ReferenceData!$AW$4),"")</f>
        <v>108.94149999999999</v>
      </c>
      <c r="AX4">
        <f ca="1">IFERROR(IF(0=LEN(ReferenceData!$AX$4),"",ReferenceData!$AX$4),"")</f>
        <v>105.536</v>
      </c>
      <c r="AY4">
        <f ca="1">IFERROR(IF(0=LEN(ReferenceData!$AY$4),"",ReferenceData!$AY$4),"")</f>
        <v>107.571</v>
      </c>
      <c r="AZ4">
        <f ca="1">IFERROR(IF(0=LEN(ReferenceData!$AZ$4),"",ReferenceData!$AZ$4),"")</f>
        <v>111.03099999999999</v>
      </c>
      <c r="BA4">
        <f ca="1">IFERROR(IF(0=LEN(ReferenceData!$BA$4),"",ReferenceData!$BA$4),"")</f>
        <v>107.7285</v>
      </c>
      <c r="BB4">
        <f ca="1">IFERROR(IF(0=LEN(ReferenceData!$BB$4),"",ReferenceData!$BB$4),"")</f>
        <v>107.744</v>
      </c>
      <c r="BC4">
        <f ca="1">IFERROR(IF(0=LEN(ReferenceData!$BC$4),"",ReferenceData!$BC$4),"")</f>
        <v>102.086</v>
      </c>
      <c r="BD4">
        <f ca="1">IFERROR(IF(0=LEN(ReferenceData!$BD$4),"",ReferenceData!$BD$4),"")</f>
        <v>109.2565</v>
      </c>
      <c r="BE4">
        <f ca="1">IFERROR(IF(0=LEN(ReferenceData!$BE$4),"",ReferenceData!$BE$4),"")</f>
        <v>101.55199999999999</v>
      </c>
      <c r="BF4">
        <f ca="1">IFERROR(IF(0=LEN(ReferenceData!$BF$4),"",ReferenceData!$BF$4),"")</f>
        <v>89.481999999999999</v>
      </c>
      <c r="BG4">
        <f ca="1">IFERROR(IF(0=LEN(ReferenceData!$BG$4),"",ReferenceData!$BG$4),"")</f>
        <v>90.849000000000004</v>
      </c>
      <c r="BH4">
        <f ca="1">IFERROR(IF(0=LEN(ReferenceData!$BH$4),"",ReferenceData!$BH$4),"")</f>
        <v>92.346999999999994</v>
      </c>
      <c r="BI4">
        <f ca="1">IFERROR(IF(0=LEN(ReferenceData!$BI$4),"",ReferenceData!$BI$4),"")</f>
        <v>93.226996999999997</v>
      </c>
      <c r="BJ4">
        <f ca="1">IFERROR(IF(0=LEN(ReferenceData!$BJ$4),"",ReferenceData!$BJ$4),"")</f>
        <v>96.305000000000007</v>
      </c>
      <c r="BK4">
        <f ca="1">IFERROR(IF(0=LEN(ReferenceData!$BK$4),"",ReferenceData!$BK$4),"")</f>
        <v>96.035003660000001</v>
      </c>
      <c r="BL4">
        <f ca="1">IFERROR(IF(0=LEN(ReferenceData!$BL$4),"",ReferenceData!$BL$4),"")</f>
        <v>117.7254985</v>
      </c>
      <c r="BM4">
        <f ca="1">IFERROR(IF(0=LEN(ReferenceData!$BM$4),"",ReferenceData!$BM$4),"")</f>
        <v>117.769999</v>
      </c>
    </row>
    <row r="5" spans="1:65">
      <c r="A5" t="str">
        <f>IFERROR(IF(0=LEN(ReferenceData!$A$5),"",ReferenceData!$A$5),"")</f>
        <v xml:space="preserve">    American Campus Communities In</v>
      </c>
      <c r="B5" t="str">
        <f>IFERROR(IF(0=LEN(ReferenceData!$B$5),"",ReferenceData!$B$5),"")</f>
        <v>ACC US Equity</v>
      </c>
      <c r="C5" t="str">
        <f>IFERROR(IF(0=LEN(ReferenceData!$C$5),"",ReferenceData!$C$5),"")</f>
        <v>IS030</v>
      </c>
      <c r="D5" t="str">
        <f>IFERROR(IF(0=LEN(ReferenceData!$D$5),"",ReferenceData!$D$5),"")</f>
        <v>IS_RENT_INC</v>
      </c>
      <c r="E5" t="str">
        <f>IFERROR(IF(0=LEN(ReferenceData!$E$5),"",ReferenceData!$E$5),"")</f>
        <v>动态</v>
      </c>
      <c r="F5" t="str">
        <f ca="1">IFERROR(IF(0=LEN(ReferenceData!$F$5),"",ReferenceData!$F$5),"")</f>
        <v/>
      </c>
      <c r="G5">
        <f ca="1">IFERROR(IF(0=LEN(ReferenceData!$G$5),"",ReferenceData!$G$5),"")</f>
        <v>217.971</v>
      </c>
      <c r="H5">
        <f ca="1">IFERROR(IF(0=LEN(ReferenceData!$H$5),"",ReferenceData!$H$5),"")</f>
        <v>190.36799999999999</v>
      </c>
      <c r="I5">
        <f ca="1">IFERROR(IF(0=LEN(ReferenceData!$I$5),"",ReferenceData!$I$5),"")</f>
        <v>175.327</v>
      </c>
      <c r="J5">
        <f ca="1">IFERROR(IF(0=LEN(ReferenceData!$J$5),"",ReferenceData!$J$5),"")</f>
        <v>188.989</v>
      </c>
      <c r="K5">
        <f ca="1">IFERROR(IF(0=LEN(ReferenceData!$K$5),"",ReferenceData!$K$5),"")</f>
        <v>199.72900000000001</v>
      </c>
      <c r="L5">
        <f ca="1">IFERROR(IF(0=LEN(ReferenceData!$L$5),"",ReferenceData!$L$5),"")</f>
        <v>192.452</v>
      </c>
      <c r="M5">
        <f ca="1">IFERROR(IF(0=LEN(ReferenceData!$M$5),"",ReferenceData!$M$5),"")</f>
        <v>180.89599999999999</v>
      </c>
      <c r="N5">
        <f ca="1">IFERROR(IF(0=LEN(ReferenceData!$N$5),"",ReferenceData!$N$5),"")</f>
        <v>195.74799999999999</v>
      </c>
      <c r="O5">
        <f ca="1">IFERROR(IF(0=LEN(ReferenceData!$O$5),"",ReferenceData!$O$5),"")</f>
        <v>197.38499999999999</v>
      </c>
      <c r="P5">
        <f ca="1">IFERROR(IF(0=LEN(ReferenceData!$P$5),"",ReferenceData!$P$5),"")</f>
        <v>176.84</v>
      </c>
      <c r="Q5">
        <f ca="1">IFERROR(IF(0=LEN(ReferenceData!$Q$5),"",ReferenceData!$Q$5),"")</f>
        <v>173.172</v>
      </c>
      <c r="R5">
        <f ca="1">IFERROR(IF(0=LEN(ReferenceData!$R$5),"",ReferenceData!$R$5),"")</f>
        <v>189.09800000000001</v>
      </c>
      <c r="S5">
        <f ca="1">IFERROR(IF(0=LEN(ReferenceData!$S$5),"",ReferenceData!$S$5),"")</f>
        <v>193.58500000000001</v>
      </c>
      <c r="T5">
        <f ca="1">IFERROR(IF(0=LEN(ReferenceData!$T$5),"",ReferenceData!$T$5),"")</f>
        <v>177.602</v>
      </c>
      <c r="U5">
        <f ca="1">IFERROR(IF(0=LEN(ReferenceData!$U$5),"",ReferenceData!$U$5),"")</f>
        <v>167.791</v>
      </c>
      <c r="V5">
        <f ca="1">IFERROR(IF(0=LEN(ReferenceData!$V$5),"",ReferenceData!$V$5),"")</f>
        <v>180.13800000000001</v>
      </c>
      <c r="W5">
        <f ca="1">IFERROR(IF(0=LEN(ReferenceData!$W$5),"",ReferenceData!$W$5),"")</f>
        <v>179.07599999999999</v>
      </c>
      <c r="X5">
        <f ca="1">IFERROR(IF(0=LEN(ReferenceData!$X$5),"",ReferenceData!$X$5),"")</f>
        <v>155.73400000000001</v>
      </c>
      <c r="Y5">
        <f ca="1">IFERROR(IF(0=LEN(ReferenceData!$Y$5),"",ReferenceData!$Y$5),"")</f>
        <v>150.30099999999999</v>
      </c>
      <c r="Z5">
        <f ca="1">IFERROR(IF(0=LEN(ReferenceData!$Z$5),"",ReferenceData!$Z$5),"")</f>
        <v>160.37700000000001</v>
      </c>
      <c r="AA5">
        <f ca="1">IFERROR(IF(0=LEN(ReferenceData!$AA$5),"",ReferenceData!$AA$5),"")</f>
        <v>145.703</v>
      </c>
      <c r="AB5">
        <f ca="1">IFERROR(IF(0=LEN(ReferenceData!$AB$5),"",ReferenceData!$AB$5),"")</f>
        <v>109.149</v>
      </c>
      <c r="AC5">
        <f ca="1">IFERROR(IF(0=LEN(ReferenceData!$AC$5),"",ReferenceData!$AC$5),"")</f>
        <v>95.221999999999994</v>
      </c>
      <c r="AD5">
        <f ca="1">IFERROR(IF(0=LEN(ReferenceData!$AD$5),"",ReferenceData!$AD$5),"")</f>
        <v>102.786</v>
      </c>
      <c r="AE5">
        <f ca="1">IFERROR(IF(0=LEN(ReferenceData!$AE$5),"",ReferenceData!$AE$5),"")</f>
        <v>101.429</v>
      </c>
      <c r="AF5">
        <f ca="1">IFERROR(IF(0=LEN(ReferenceData!$AF$5),"",ReferenceData!$AF$5),"")</f>
        <v>91.430999999999997</v>
      </c>
      <c r="AG5">
        <f ca="1">IFERROR(IF(0=LEN(ReferenceData!$AG$5),"",ReferenceData!$AG$5),"")</f>
        <v>86.257999999999996</v>
      </c>
      <c r="AH5">
        <f ca="1">IFERROR(IF(0=LEN(ReferenceData!$AH$5),"",ReferenceData!$AH$5),"")</f>
        <v>93.272000000000006</v>
      </c>
      <c r="AI5">
        <f ca="1">IFERROR(IF(0=LEN(ReferenceData!$AI$5),"",ReferenceData!$AI$5),"")</f>
        <v>90.653000000000006</v>
      </c>
      <c r="AJ5">
        <f ca="1">IFERROR(IF(0=LEN(ReferenceData!$AJ$5),"",ReferenceData!$AJ$5),"")</f>
        <v>76.968000000000004</v>
      </c>
      <c r="AK5">
        <f ca="1">IFERROR(IF(0=LEN(ReferenceData!$AK$5),"",ReferenceData!$AK$5),"")</f>
        <v>69.917000000000002</v>
      </c>
      <c r="AL5">
        <f ca="1">IFERROR(IF(0=LEN(ReferenceData!$AL$5),"",ReferenceData!$AL$5),"")</f>
        <v>76.930000000000007</v>
      </c>
      <c r="AM5">
        <f ca="1">IFERROR(IF(0=LEN(ReferenceData!$AM$5),"",ReferenceData!$AM$5),"")</f>
        <v>77.590999999999994</v>
      </c>
      <c r="AN5">
        <f ca="1">IFERROR(IF(0=LEN(ReferenceData!$AN$5),"",ReferenceData!$AN$5),"")</f>
        <v>72.146000000000001</v>
      </c>
      <c r="AO5">
        <f ca="1">IFERROR(IF(0=LEN(ReferenceData!$AO$5),"",ReferenceData!$AO$5),"")</f>
        <v>68.075000000000003</v>
      </c>
      <c r="AP5">
        <f ca="1">IFERROR(IF(0=LEN(ReferenceData!$AP$5),"",ReferenceData!$AP$5),"")</f>
        <v>72.209000000000003</v>
      </c>
      <c r="AQ5">
        <f ca="1">IFERROR(IF(0=LEN(ReferenceData!$AQ$5),"",ReferenceData!$AQ$5),"")</f>
        <v>73.090999999999994</v>
      </c>
      <c r="AR5">
        <f ca="1">IFERROR(IF(0=LEN(ReferenceData!$AR$5),"",ReferenceData!$AR$5),"")</f>
        <v>64.963999999999999</v>
      </c>
      <c r="AS5">
        <f ca="1">IFERROR(IF(0=LEN(ReferenceData!$AS$5),"",ReferenceData!$AS$5),"")</f>
        <v>41.241999999999997</v>
      </c>
      <c r="AT5">
        <f ca="1">IFERROR(IF(0=LEN(ReferenceData!$AT$5),"",ReferenceData!$AT$5),"")</f>
        <v>38.424999999999997</v>
      </c>
      <c r="AU5">
        <f ca="1">IFERROR(IF(0=LEN(ReferenceData!$AU$5),"",ReferenceData!$AU$5),"")</f>
        <v>37.895000000000003</v>
      </c>
      <c r="AV5">
        <f ca="1">IFERROR(IF(0=LEN(ReferenceData!$AV$5),"",ReferenceData!$AV$5),"")</f>
        <v>34.128</v>
      </c>
      <c r="AW5">
        <f ca="1">IFERROR(IF(0=LEN(ReferenceData!$AW$5),"",ReferenceData!$AW$5),"")</f>
        <v>31.747</v>
      </c>
      <c r="AX5">
        <f ca="1">IFERROR(IF(0=LEN(ReferenceData!$AX$5),"",ReferenceData!$AX$5),"")</f>
        <v>33.481999999999999</v>
      </c>
      <c r="AY5">
        <f ca="1">IFERROR(IF(0=LEN(ReferenceData!$AY$5),"",ReferenceData!$AY$5),"")</f>
        <v>31.087</v>
      </c>
      <c r="AZ5">
        <f ca="1">IFERROR(IF(0=LEN(ReferenceData!$AZ$5),"",ReferenceData!$AZ$5),"")</f>
        <v>28.311</v>
      </c>
      <c r="BA5">
        <f ca="1">IFERROR(IF(0=LEN(ReferenceData!$BA$5),"",ReferenceData!$BA$5),"")</f>
        <v>25.718</v>
      </c>
      <c r="BB5">
        <f ca="1">IFERROR(IF(0=LEN(ReferenceData!$BB$5),"",ReferenceData!$BB$5),"")</f>
        <v>24.106999999999999</v>
      </c>
      <c r="BC5">
        <f ca="1">IFERROR(IF(0=LEN(ReferenceData!$BC$5),"",ReferenceData!$BC$5),"")</f>
        <v>21.353000000000002</v>
      </c>
      <c r="BD5">
        <f ca="1">IFERROR(IF(0=LEN(ReferenceData!$BD$5),"",ReferenceData!$BD$5),"")</f>
        <v>17.792000000000002</v>
      </c>
      <c r="BE5">
        <f ca="1">IFERROR(IF(0=LEN(ReferenceData!$BE$5),"",ReferenceData!$BE$5),"")</f>
        <v>17.896999999999998</v>
      </c>
      <c r="BF5">
        <f ca="1">IFERROR(IF(0=LEN(ReferenceData!$BF$5),"",ReferenceData!$BF$5),"")</f>
        <v>17.981999999999999</v>
      </c>
      <c r="BG5">
        <f ca="1">IFERROR(IF(0=LEN(ReferenceData!$BG$5),"",ReferenceData!$BG$5),"")</f>
        <v>16.050999999999998</v>
      </c>
      <c r="BH5">
        <f ca="1">IFERROR(IF(0=LEN(ReferenceData!$BH$5),"",ReferenceData!$BH$5),"")</f>
        <v>7.5279999999999996</v>
      </c>
      <c r="BI5">
        <f ca="1">IFERROR(IF(0=LEN(ReferenceData!$BI$5),"",ReferenceData!$BI$5),"")</f>
        <v>10.928000450000001</v>
      </c>
      <c r="BJ5">
        <f ca="1">IFERROR(IF(0=LEN(ReferenceData!$BJ$5),"",ReferenceData!$BJ$5),"")</f>
        <v>14.102000240000001</v>
      </c>
      <c r="BK5">
        <f ca="1">IFERROR(IF(0=LEN(ReferenceData!$BK$5),"",ReferenceData!$BK$5),"")</f>
        <v>13.277000429999999</v>
      </c>
      <c r="BL5" t="str">
        <f ca="1">IFERROR(IF(0=LEN(ReferenceData!$BL$5),"",ReferenceData!$BL$5),"")</f>
        <v/>
      </c>
      <c r="BM5" t="str">
        <f ca="1">IFERROR(IF(0=LEN(ReferenceData!$BM$5),"",ReferenceData!$BM$5),"")</f>
        <v/>
      </c>
    </row>
    <row r="6" spans="1:65">
      <c r="A6" t="str">
        <f>IFERROR(IF(0=LEN(ReferenceData!$A$6),"",ReferenceData!$A$6),"")</f>
        <v xml:space="preserve">    AvalonBay Communities Inc</v>
      </c>
      <c r="B6" t="str">
        <f>IFERROR(IF(0=LEN(ReferenceData!$B$6),"",ReferenceData!$B$6),"")</f>
        <v>AVB US Equity</v>
      </c>
      <c r="C6" t="str">
        <f>IFERROR(IF(0=LEN(ReferenceData!$C$6),"",ReferenceData!$C$6),"")</f>
        <v>IS030</v>
      </c>
      <c r="D6" t="str">
        <f>IFERROR(IF(0=LEN(ReferenceData!$D$6),"",ReferenceData!$D$6),"")</f>
        <v>IS_RENT_INC</v>
      </c>
      <c r="E6" t="str">
        <f>IFERROR(IF(0=LEN(ReferenceData!$E$6),"",ReferenceData!$E$6),"")</f>
        <v>动态</v>
      </c>
      <c r="F6" t="str">
        <f ca="1">IFERROR(IF(0=LEN(ReferenceData!$F$6),"",ReferenceData!$F$6),"")</f>
        <v/>
      </c>
      <c r="G6">
        <f ca="1">IFERROR(IF(0=LEN(ReferenceData!$G$6),"",ReferenceData!$G$6),"")</f>
        <v>554.43499999999995</v>
      </c>
      <c r="H6">
        <f ca="1">IFERROR(IF(0=LEN(ReferenceData!$H$6),"",ReferenceData!$H$6),"")</f>
        <v>549.50699999999995</v>
      </c>
      <c r="I6">
        <f ca="1">IFERROR(IF(0=LEN(ReferenceData!$I$6),"",ReferenceData!$I$6),"")</f>
        <v>529.41399999999999</v>
      </c>
      <c r="J6">
        <f ca="1">IFERROR(IF(0=LEN(ReferenceData!$J$6),"",ReferenceData!$J$6),"")</f>
        <v>521.12599999999998</v>
      </c>
      <c r="K6">
        <f ca="1">IFERROR(IF(0=LEN(ReferenceData!$K$6),"",ReferenceData!$K$6),"")</f>
        <v>516.952</v>
      </c>
      <c r="L6">
        <f ca="1">IFERROR(IF(0=LEN(ReferenceData!$L$6),"",ReferenceData!$L$6),"")</f>
        <v>514.89099999999996</v>
      </c>
      <c r="M6">
        <f ca="1">IFERROR(IF(0=LEN(ReferenceData!$M$6),"",ReferenceData!$M$6),"")</f>
        <v>500.84</v>
      </c>
      <c r="N6">
        <f ca="1">IFERROR(IF(0=LEN(ReferenceData!$N$6),"",ReferenceData!$N$6),"")</f>
        <v>506.97399999999999</v>
      </c>
      <c r="O6">
        <f ca="1">IFERROR(IF(0=LEN(ReferenceData!$O$6),"",ReferenceData!$O$6),"")</f>
        <v>478.60700000000003</v>
      </c>
      <c r="P6">
        <f ca="1">IFERROR(IF(0=LEN(ReferenceData!$P$6),"",ReferenceData!$P$6),"")</f>
        <v>473.19900000000001</v>
      </c>
      <c r="Q6">
        <f ca="1">IFERROR(IF(0=LEN(ReferenceData!$Q$6),"",ReferenceData!$Q$6),"")</f>
        <v>454.517</v>
      </c>
      <c r="R6">
        <f ca="1">IFERROR(IF(0=LEN(ReferenceData!$R$6),"",ReferenceData!$R$6),"")</f>
        <v>439.75599999999997</v>
      </c>
      <c r="S6">
        <f ca="1">IFERROR(IF(0=LEN(ReferenceData!$S$6),"",ReferenceData!$S$6),"")</f>
        <v>437.85899999999998</v>
      </c>
      <c r="T6">
        <f ca="1">IFERROR(IF(0=LEN(ReferenceData!$T$6),"",ReferenceData!$T$6),"")</f>
        <v>428.02199999999999</v>
      </c>
      <c r="U6">
        <f ca="1">IFERROR(IF(0=LEN(ReferenceData!$U$6),"",ReferenceData!$U$6),"")</f>
        <v>411.13400000000001</v>
      </c>
      <c r="V6">
        <f ca="1">IFERROR(IF(0=LEN(ReferenceData!$V$6),"",ReferenceData!$V$6),"")</f>
        <v>396.99799999999999</v>
      </c>
      <c r="W6">
        <f ca="1">IFERROR(IF(0=LEN(ReferenceData!$W$6),"",ReferenceData!$W$6),"")</f>
        <v>390.86599999999999</v>
      </c>
      <c r="X6">
        <f ca="1">IFERROR(IF(0=LEN(ReferenceData!$X$6),"",ReferenceData!$X$6),"")</f>
        <v>386.17500000000001</v>
      </c>
      <c r="Y6">
        <f ca="1">IFERROR(IF(0=LEN(ReferenceData!$Y$6),"",ReferenceData!$Y$6),"")</f>
        <v>375.29399999999998</v>
      </c>
      <c r="Z6">
        <f ca="1">IFERROR(IF(0=LEN(ReferenceData!$Z$6),"",ReferenceData!$Z$6),"")</f>
        <v>299.08499999999998</v>
      </c>
      <c r="AA6">
        <f ca="1">IFERROR(IF(0=LEN(ReferenceData!$AA$6),"",ReferenceData!$AA$6),"")</f>
        <v>259.16899999999998</v>
      </c>
      <c r="AB6">
        <f ca="1">IFERROR(IF(0=LEN(ReferenceData!$AB$6),"",ReferenceData!$AB$6),"")</f>
        <v>258.78800000000001</v>
      </c>
      <c r="AC6">
        <f ca="1">IFERROR(IF(0=LEN(ReferenceData!$AC$6),"",ReferenceData!$AC$6),"")</f>
        <v>249.67500000000001</v>
      </c>
      <c r="AD6">
        <f ca="1">IFERROR(IF(0=LEN(ReferenceData!$AD$6),"",ReferenceData!$AD$6),"")</f>
        <v>243.483</v>
      </c>
      <c r="AE6">
        <f ca="1">IFERROR(IF(0=LEN(ReferenceData!$AE$6),"",ReferenceData!$AE$6),"")</f>
        <v>240.518</v>
      </c>
      <c r="AF6">
        <f ca="1">IFERROR(IF(0=LEN(ReferenceData!$AF$6),"",ReferenceData!$AF$6),"")</f>
        <v>241.286</v>
      </c>
      <c r="AG6">
        <f ca="1">IFERROR(IF(0=LEN(ReferenceData!$AG$6),"",ReferenceData!$AG$6),"")</f>
        <v>233.249</v>
      </c>
      <c r="AH6">
        <f ca="1">IFERROR(IF(0=LEN(ReferenceData!$AH$6),"",ReferenceData!$AH$6),"")</f>
        <v>226.21</v>
      </c>
      <c r="AI6">
        <f ca="1">IFERROR(IF(0=LEN(ReferenceData!$AI$6),"",ReferenceData!$AI$6),"")</f>
        <v>224.53100000000001</v>
      </c>
      <c r="AJ6">
        <f ca="1">IFERROR(IF(0=LEN(ReferenceData!$AJ$6),"",ReferenceData!$AJ$6),"")</f>
        <v>223.75800000000001</v>
      </c>
      <c r="AK6">
        <f ca="1">IFERROR(IF(0=LEN(ReferenceData!$AK$6),"",ReferenceData!$AK$6),"")</f>
        <v>218.65799999999999</v>
      </c>
      <c r="AL6">
        <f ca="1">IFERROR(IF(0=LEN(ReferenceData!$AL$6),"",ReferenceData!$AL$6),"")</f>
        <v>213.6</v>
      </c>
      <c r="AM6">
        <f ca="1">IFERROR(IF(0=LEN(ReferenceData!$AM$6),"",ReferenceData!$AM$6),"")</f>
        <v>212.38800000000001</v>
      </c>
      <c r="AN6">
        <f ca="1">IFERROR(IF(0=LEN(ReferenceData!$AN$6),"",ReferenceData!$AN$6),"")</f>
        <v>213.16499999999999</v>
      </c>
      <c r="AO6">
        <f ca="1">IFERROR(IF(0=LEN(ReferenceData!$AO$6),"",ReferenceData!$AO$6),"")</f>
        <v>210.18199999999999</v>
      </c>
      <c r="AP6">
        <f ca="1">IFERROR(IF(0=LEN(ReferenceData!$AP$6),"",ReferenceData!$AP$6),"")</f>
        <v>208.26499999999999</v>
      </c>
      <c r="AQ6">
        <f ca="1">IFERROR(IF(0=LEN(ReferenceData!$AQ$6),"",ReferenceData!$AQ$6),"")</f>
        <v>218.59</v>
      </c>
      <c r="AR6">
        <f ca="1">IFERROR(IF(0=LEN(ReferenceData!$AR$6),"",ReferenceData!$AR$6),"")</f>
        <v>213.768</v>
      </c>
      <c r="AS6">
        <f ca="1">IFERROR(IF(0=LEN(ReferenceData!$AS$6),"",ReferenceData!$AS$6),"")</f>
        <v>209.61199999999999</v>
      </c>
      <c r="AT6">
        <f ca="1">IFERROR(IF(0=LEN(ReferenceData!$AT$6),"",ReferenceData!$AT$6),"")</f>
        <v>202.535</v>
      </c>
      <c r="AU6">
        <f ca="1">IFERROR(IF(0=LEN(ReferenceData!$AU$6),"",ReferenceData!$AU$6),"")</f>
        <v>198.83099999999999</v>
      </c>
      <c r="AV6">
        <f ca="1">IFERROR(IF(0=LEN(ReferenceData!$AV$6),"",ReferenceData!$AV$6),"")</f>
        <v>195.042</v>
      </c>
      <c r="AW6">
        <f ca="1">IFERROR(IF(0=LEN(ReferenceData!$AW$6),"",ReferenceData!$AW$6),"")</f>
        <v>189.43600000000001</v>
      </c>
      <c r="AX6">
        <f ca="1">IFERROR(IF(0=LEN(ReferenceData!$AX$6),"",ReferenceData!$AX$6),"")</f>
        <v>187.17099999999999</v>
      </c>
      <c r="AY6">
        <f ca="1">IFERROR(IF(0=LEN(ReferenceData!$AY$6),"",ReferenceData!$AY$6),"")</f>
        <v>187.715</v>
      </c>
      <c r="AZ6">
        <f ca="1">IFERROR(IF(0=LEN(ReferenceData!$AZ$6),"",ReferenceData!$AZ$6),"")</f>
        <v>182.06100000000001</v>
      </c>
      <c r="BA6">
        <f ca="1">IFERROR(IF(0=LEN(ReferenceData!$BA$6),"",ReferenceData!$BA$6),"")</f>
        <v>177.68799999999999</v>
      </c>
      <c r="BB6">
        <f ca="1">IFERROR(IF(0=LEN(ReferenceData!$BB$6),"",ReferenceData!$BB$6),"")</f>
        <v>173.952</v>
      </c>
      <c r="BC6">
        <f ca="1">IFERROR(IF(0=LEN(ReferenceData!$BC$6),"",ReferenceData!$BC$6),"")</f>
        <v>171.96899999999999</v>
      </c>
      <c r="BD6">
        <f ca="1">IFERROR(IF(0=LEN(ReferenceData!$BD$6),"",ReferenceData!$BD$6),"")</f>
        <v>169.43799999999999</v>
      </c>
      <c r="BE6">
        <f ca="1">IFERROR(IF(0=LEN(ReferenceData!$BE$6),"",ReferenceData!$BE$6),"")</f>
        <v>164.28899999999999</v>
      </c>
      <c r="BF6">
        <f ca="1">IFERROR(IF(0=LEN(ReferenceData!$BF$6),"",ReferenceData!$BF$6),"")</f>
        <v>159.54499999999999</v>
      </c>
      <c r="BG6">
        <f ca="1">IFERROR(IF(0=LEN(ReferenceData!$BG$6),"",ReferenceData!$BG$6),"")</f>
        <v>138.65199999999999</v>
      </c>
      <c r="BH6">
        <f ca="1">IFERROR(IF(0=LEN(ReferenceData!$BH$6),"",ReferenceData!$BH$6),"")</f>
        <v>155.756</v>
      </c>
      <c r="BI6">
        <f ca="1">IFERROR(IF(0=LEN(ReferenceData!$BI$6),"",ReferenceData!$BI$6),"")</f>
        <v>162.101</v>
      </c>
      <c r="BJ6">
        <f ca="1">IFERROR(IF(0=LEN(ReferenceData!$BJ$6),"",ReferenceData!$BJ$6),"")</f>
        <v>156.73099999999999</v>
      </c>
      <c r="BK6">
        <f ca="1">IFERROR(IF(0=LEN(ReferenceData!$BK$6),"",ReferenceData!$BK$6),"")</f>
        <v>151.7440033</v>
      </c>
      <c r="BL6">
        <f ca="1">IFERROR(IF(0=LEN(ReferenceData!$BL$6),"",ReferenceData!$BL$6),"")</f>
        <v>150.94800000000001</v>
      </c>
      <c r="BM6">
        <f ca="1">IFERROR(IF(0=LEN(ReferenceData!$BM$6),"",ReferenceData!$BM$6),"")</f>
        <v>149.101</v>
      </c>
    </row>
    <row r="7" spans="1:65">
      <c r="A7" t="str">
        <f>IFERROR(IF(0=LEN(ReferenceData!$A$7),"",ReferenceData!$A$7),"")</f>
        <v xml:space="preserve">    Camden Property Trust</v>
      </c>
      <c r="B7" t="str">
        <f>IFERROR(IF(0=LEN(ReferenceData!$B$7),"",ReferenceData!$B$7),"")</f>
        <v>CPT US Equity</v>
      </c>
      <c r="C7" t="str">
        <f>IFERROR(IF(0=LEN(ReferenceData!$C$7),"",ReferenceData!$C$7),"")</f>
        <v>IS030</v>
      </c>
      <c r="D7" t="str">
        <f>IFERROR(IF(0=LEN(ReferenceData!$D$7),"",ReferenceData!$D$7),"")</f>
        <v>IS_RENT_INC</v>
      </c>
      <c r="E7" t="str">
        <f>IFERROR(IF(0=LEN(ReferenceData!$E$7),"",ReferenceData!$E$7),"")</f>
        <v>动态</v>
      </c>
      <c r="F7" t="str">
        <f ca="1">IFERROR(IF(0=LEN(ReferenceData!$F$7),"",ReferenceData!$F$7),"")</f>
        <v/>
      </c>
      <c r="G7">
        <f ca="1">IFERROR(IF(0=LEN(ReferenceData!$G$7),"",ReferenceData!$G$7),"")</f>
        <v>197.27799999999999</v>
      </c>
      <c r="H7">
        <f ca="1">IFERROR(IF(0=LEN(ReferenceData!$H$7),"",ReferenceData!$H$7),"")</f>
        <v>194.69</v>
      </c>
      <c r="I7">
        <f ca="1">IFERROR(IF(0=LEN(ReferenceData!$I$7),"",ReferenceData!$I$7),"")</f>
        <v>190.47</v>
      </c>
      <c r="J7">
        <f ca="1">IFERROR(IF(0=LEN(ReferenceData!$J$7),"",ReferenceData!$J$7),"")</f>
        <v>188.102</v>
      </c>
      <c r="K7">
        <f ca="1">IFERROR(IF(0=LEN(ReferenceData!$K$7),"",ReferenceData!$K$7),"")</f>
        <v>186.46100000000001</v>
      </c>
      <c r="L7">
        <f ca="1">IFERROR(IF(0=LEN(ReferenceData!$L$7),"",ReferenceData!$L$7),"")</f>
        <v>187.77099999999999</v>
      </c>
      <c r="M7">
        <f ca="1">IFERROR(IF(0=LEN(ReferenceData!$M$7),"",ReferenceData!$M$7),"")</f>
        <v>189.24600000000001</v>
      </c>
      <c r="N7">
        <f ca="1">IFERROR(IF(0=LEN(ReferenceData!$N$7),"",ReferenceData!$N$7),"")</f>
        <v>187.119</v>
      </c>
      <c r="O7">
        <f ca="1">IFERROR(IF(0=LEN(ReferenceData!$O$7),"",ReferenceData!$O$7),"")</f>
        <v>185.63300000000001</v>
      </c>
      <c r="P7">
        <f ca="1">IFERROR(IF(0=LEN(ReferenceData!$P$7),"",ReferenceData!$P$7),"")</f>
        <v>182.65</v>
      </c>
      <c r="Q7">
        <f ca="1">IFERROR(IF(0=LEN(ReferenceData!$Q$7),"",ReferenceData!$Q$7),"")</f>
        <v>178.31299999999999</v>
      </c>
      <c r="R7">
        <f ca="1">IFERROR(IF(0=LEN(ReferenceData!$R$7),"",ReferenceData!$R$7),"")</f>
        <v>186.857</v>
      </c>
      <c r="S7">
        <f ca="1">IFERROR(IF(0=LEN(ReferenceData!$S$7),"",ReferenceData!$S$7),"")</f>
        <v>188.22499999999999</v>
      </c>
      <c r="T7">
        <f ca="1">IFERROR(IF(0=LEN(ReferenceData!$T$7),"",ReferenceData!$T$7),"")</f>
        <v>184.24700000000001</v>
      </c>
      <c r="U7">
        <f ca="1">IFERROR(IF(0=LEN(ReferenceData!$U$7),"",ReferenceData!$U$7),"")</f>
        <v>180.43799999999999</v>
      </c>
      <c r="V7">
        <f ca="1">IFERROR(IF(0=LEN(ReferenceData!$V$7),"",ReferenceData!$V$7),"")</f>
        <v>178.964</v>
      </c>
      <c r="W7">
        <f ca="1">IFERROR(IF(0=LEN(ReferenceData!$W$7),"",ReferenceData!$W$7),"")</f>
        <v>177.79499999999999</v>
      </c>
      <c r="X7">
        <f ca="1">IFERROR(IF(0=LEN(ReferenceData!$X$7),"",ReferenceData!$X$7),"")</f>
        <v>172.54</v>
      </c>
      <c r="Y7">
        <f ca="1">IFERROR(IF(0=LEN(ReferenceData!$Y$7),"",ReferenceData!$Y$7),"")</f>
        <v>168.63399999999999</v>
      </c>
      <c r="Z7">
        <f ca="1">IFERROR(IF(0=LEN(ReferenceData!$Z$7),"",ReferenceData!$Z$7),"")</f>
        <v>164.393</v>
      </c>
      <c r="AA7">
        <f ca="1">IFERROR(IF(0=LEN(ReferenceData!$AA$7),"",ReferenceData!$AA$7),"")</f>
        <v>159.20699999999999</v>
      </c>
      <c r="AB7">
        <f ca="1">IFERROR(IF(0=LEN(ReferenceData!$AB$7),"",ReferenceData!$AB$7),"")</f>
        <v>155.98400000000001</v>
      </c>
      <c r="AC7">
        <f ca="1">IFERROR(IF(0=LEN(ReferenceData!$AC$7),"",ReferenceData!$AC$7),"")</f>
        <v>151.77500000000001</v>
      </c>
      <c r="AD7">
        <f ca="1">IFERROR(IF(0=LEN(ReferenceData!$AD$7),"",ReferenceData!$AD$7),"")</f>
        <v>146.25399999999999</v>
      </c>
      <c r="AE7">
        <f ca="1">IFERROR(IF(0=LEN(ReferenceData!$AE$7),"",ReferenceData!$AE$7),"")</f>
        <v>137.113</v>
      </c>
      <c r="AF7">
        <f ca="1">IFERROR(IF(0=LEN(ReferenceData!$AF$7),"",ReferenceData!$AF$7),"")</f>
        <v>140.33199999999999</v>
      </c>
      <c r="AG7">
        <f ca="1">IFERROR(IF(0=LEN(ReferenceData!$AG$7),"",ReferenceData!$AG$7),"")</f>
        <v>138.167</v>
      </c>
      <c r="AH7">
        <f ca="1">IFERROR(IF(0=LEN(ReferenceData!$AH$7),"",ReferenceData!$AH$7),"")</f>
        <v>135.83500000000001</v>
      </c>
      <c r="AI7">
        <f ca="1">IFERROR(IF(0=LEN(ReferenceData!$AI$7),"",ReferenceData!$AI$7),"")</f>
        <v>132.09399999999999</v>
      </c>
      <c r="AJ7">
        <f ca="1">IFERROR(IF(0=LEN(ReferenceData!$AJ$7),"",ReferenceData!$AJ$7),"")</f>
        <v>131.911</v>
      </c>
      <c r="AK7">
        <f ca="1">IFERROR(IF(0=LEN(ReferenceData!$AK$7),"",ReferenceData!$AK$7),"")</f>
        <v>129.614</v>
      </c>
      <c r="AL7">
        <f ca="1">IFERROR(IF(0=LEN(ReferenceData!$AL$7),"",ReferenceData!$AL$7),"")</f>
        <v>128.851</v>
      </c>
      <c r="AM7">
        <f ca="1">IFERROR(IF(0=LEN(ReferenceData!$AM$7),"",ReferenceData!$AM$7),"")</f>
        <v>128.995</v>
      </c>
      <c r="AN7">
        <f ca="1">IFERROR(IF(0=LEN(ReferenceData!$AN$7),"",ReferenceData!$AN$7),"")</f>
        <v>132.75800000000001</v>
      </c>
      <c r="AO7">
        <f ca="1">IFERROR(IF(0=LEN(ReferenceData!$AO$7),"",ReferenceData!$AO$7),"")</f>
        <v>134.85400000000001</v>
      </c>
      <c r="AP7">
        <f ca="1">IFERROR(IF(0=LEN(ReferenceData!$AP$7),"",ReferenceData!$AP$7),"")</f>
        <v>136.5</v>
      </c>
      <c r="AQ7">
        <f ca="1">IFERROR(IF(0=LEN(ReferenceData!$AQ$7),"",ReferenceData!$AQ$7),"")</f>
        <v>137.92099999999999</v>
      </c>
      <c r="AR7">
        <f ca="1">IFERROR(IF(0=LEN(ReferenceData!$AR$7),"",ReferenceData!$AR$7),"")</f>
        <v>138.97900000000001</v>
      </c>
      <c r="AS7">
        <f ca="1">IFERROR(IF(0=LEN(ReferenceData!$AS$7),"",ReferenceData!$AS$7),"")</f>
        <v>136.55500000000001</v>
      </c>
      <c r="AT7">
        <f ca="1">IFERROR(IF(0=LEN(ReferenceData!$AT$7),"",ReferenceData!$AT$7),"")</f>
        <v>134.26300000000001</v>
      </c>
      <c r="AU7">
        <f ca="1">IFERROR(IF(0=LEN(ReferenceData!$AU$7),"",ReferenceData!$AU$7),"")</f>
        <v>124.742</v>
      </c>
      <c r="AV7">
        <f ca="1">IFERROR(IF(0=LEN(ReferenceData!$AV$7),"",ReferenceData!$AV$7),"")</f>
        <v>133.92099999999999</v>
      </c>
      <c r="AW7">
        <f ca="1">IFERROR(IF(0=LEN(ReferenceData!$AW$7),"",ReferenceData!$AW$7),"")</f>
        <v>133.798</v>
      </c>
      <c r="AX7">
        <f ca="1">IFERROR(IF(0=LEN(ReferenceData!$AX$7),"",ReferenceData!$AX$7),"")</f>
        <v>133.036</v>
      </c>
      <c r="AY7">
        <f ca="1">IFERROR(IF(0=LEN(ReferenceData!$AY$7),"",ReferenceData!$AY$7),"")</f>
        <v>131.505</v>
      </c>
      <c r="AZ7">
        <f ca="1">IFERROR(IF(0=LEN(ReferenceData!$AZ$7),"",ReferenceData!$AZ$7),"")</f>
        <v>135.21199999999999</v>
      </c>
      <c r="BA7">
        <f ca="1">IFERROR(IF(0=LEN(ReferenceData!$BA$7),"",ReferenceData!$BA$7),"")</f>
        <v>131.74</v>
      </c>
      <c r="BB7">
        <f ca="1">IFERROR(IF(0=LEN(ReferenceData!$BB$7),"",ReferenceData!$BB$7),"")</f>
        <v>133.255</v>
      </c>
      <c r="BC7">
        <f ca="1">IFERROR(IF(0=LEN(ReferenceData!$BC$7),"",ReferenceData!$BC$7),"")</f>
        <v>118.46</v>
      </c>
      <c r="BD7">
        <f ca="1">IFERROR(IF(0=LEN(ReferenceData!$BD$7),"",ReferenceData!$BD$7),"")</f>
        <v>136.63200000000001</v>
      </c>
      <c r="BE7">
        <f ca="1">IFERROR(IF(0=LEN(ReferenceData!$BE$7),"",ReferenceData!$BE$7),"")</f>
        <v>123.44199999999999</v>
      </c>
      <c r="BF7">
        <f ca="1">IFERROR(IF(0=LEN(ReferenceData!$BF$7),"",ReferenceData!$BF$7),"")</f>
        <v>100.687</v>
      </c>
      <c r="BG7">
        <f ca="1">IFERROR(IF(0=LEN(ReferenceData!$BG$7),"",ReferenceData!$BG$7),"")</f>
        <v>90.849000000000004</v>
      </c>
      <c r="BH7">
        <f ca="1">IFERROR(IF(0=LEN(ReferenceData!$BH$7),"",ReferenceData!$BH$7),"")</f>
        <v>92.346999999999994</v>
      </c>
      <c r="BI7">
        <f ca="1">IFERROR(IF(0=LEN(ReferenceData!$BI$7),"",ReferenceData!$BI$7),"")</f>
        <v>93.226996999999997</v>
      </c>
      <c r="BJ7">
        <f ca="1">IFERROR(IF(0=LEN(ReferenceData!$BJ$7),"",ReferenceData!$BJ$7),"")</f>
        <v>96.305000000000007</v>
      </c>
      <c r="BK7">
        <f ca="1">IFERROR(IF(0=LEN(ReferenceData!$BK$7),"",ReferenceData!$BK$7),"")</f>
        <v>96.035003660000001</v>
      </c>
      <c r="BL7">
        <f ca="1">IFERROR(IF(0=LEN(ReferenceData!$BL$7),"",ReferenceData!$BL$7),"")</f>
        <v>93.587997000000001</v>
      </c>
      <c r="BM7">
        <f ca="1">IFERROR(IF(0=LEN(ReferenceData!$BM$7),"",ReferenceData!$BM$7),"")</f>
        <v>91.599997999999999</v>
      </c>
    </row>
    <row r="8" spans="1:65">
      <c r="A8" t="str">
        <f>IFERROR(IF(0=LEN(ReferenceData!$A$8),"",ReferenceData!$A$8),"")</f>
        <v xml:space="preserve">    Education Realty Trust Inc</v>
      </c>
      <c r="B8" t="str">
        <f>IFERROR(IF(0=LEN(ReferenceData!$B$8),"",ReferenceData!$B$8),"")</f>
        <v>EDR US Equity</v>
      </c>
      <c r="C8" t="str">
        <f>IFERROR(IF(0=LEN(ReferenceData!$C$8),"",ReferenceData!$C$8),"")</f>
        <v>IS030</v>
      </c>
      <c r="D8" t="str">
        <f>IFERROR(IF(0=LEN(ReferenceData!$D$8),"",ReferenceData!$D$8),"")</f>
        <v>IS_RENT_INC</v>
      </c>
      <c r="E8" t="str">
        <f>IFERROR(IF(0=LEN(ReferenceData!$E$8),"",ReferenceData!$E$8),"")</f>
        <v>动态</v>
      </c>
      <c r="F8" t="str">
        <f ca="1">IFERROR(IF(0=LEN(ReferenceData!$F$8),"",ReferenceData!$F$8),"")</f>
        <v/>
      </c>
      <c r="G8">
        <f ca="1">IFERROR(IF(0=LEN(ReferenceData!$G$8),"",ReferenceData!$G$8),"")</f>
        <v>93.700999999999993</v>
      </c>
      <c r="H8">
        <f ca="1">IFERROR(IF(0=LEN(ReferenceData!$H$8),"",ReferenceData!$H$8),"")</f>
        <v>73.28</v>
      </c>
      <c r="I8">
        <f ca="1">IFERROR(IF(0=LEN(ReferenceData!$I$8),"",ReferenceData!$I$8),"")</f>
        <v>72.055000000000007</v>
      </c>
      <c r="J8">
        <f ca="1">IFERROR(IF(0=LEN(ReferenceData!$J$8),"",ReferenceData!$J$8),"")</f>
        <v>83.037999999999997</v>
      </c>
      <c r="K8">
        <f ca="1">IFERROR(IF(0=LEN(ReferenceData!$K$8),"",ReferenceData!$K$8),"")</f>
        <v>82.555999999999997</v>
      </c>
      <c r="L8">
        <f ca="1">IFERROR(IF(0=LEN(ReferenceData!$L$8),"",ReferenceData!$L$8),"")</f>
        <v>64.481999999999999</v>
      </c>
      <c r="M8">
        <f ca="1">IFERROR(IF(0=LEN(ReferenceData!$M$8),"",ReferenceData!$M$8),"")</f>
        <v>63.975999999999999</v>
      </c>
      <c r="N8">
        <f ca="1">IFERROR(IF(0=LEN(ReferenceData!$N$8),"",ReferenceData!$N$8),"")</f>
        <v>72.001999999999995</v>
      </c>
      <c r="O8">
        <f ca="1">IFERROR(IF(0=LEN(ReferenceData!$O$8),"",ReferenceData!$O$8),"")</f>
        <v>73.846000000000004</v>
      </c>
      <c r="P8">
        <f ca="1">IFERROR(IF(0=LEN(ReferenceData!$P$8),"",ReferenceData!$P$8),"")</f>
        <v>56.834000000000003</v>
      </c>
      <c r="Q8">
        <f ca="1">IFERROR(IF(0=LEN(ReferenceData!$Q$8),"",ReferenceData!$Q$8),"")</f>
        <v>56.1</v>
      </c>
      <c r="R8">
        <f ca="1">IFERROR(IF(0=LEN(ReferenceData!$R$8),"",ReferenceData!$R$8),"")</f>
        <v>62.478999999999999</v>
      </c>
      <c r="S8">
        <f ca="1">IFERROR(IF(0=LEN(ReferenceData!$S$8),"",ReferenceData!$S$8),"")</f>
        <v>63.86</v>
      </c>
      <c r="T8">
        <f ca="1">IFERROR(IF(0=LEN(ReferenceData!$T$8),"",ReferenceData!$T$8),"")</f>
        <v>49.947000000000003</v>
      </c>
      <c r="U8">
        <f ca="1">IFERROR(IF(0=LEN(ReferenceData!$U$8),"",ReferenceData!$U$8),"")</f>
        <v>48.497</v>
      </c>
      <c r="V8">
        <f ca="1">IFERROR(IF(0=LEN(ReferenceData!$V$8),"",ReferenceData!$V$8),"")</f>
        <v>52.725000000000001</v>
      </c>
      <c r="W8">
        <f ca="1">IFERROR(IF(0=LEN(ReferenceData!$W$8),"",ReferenceData!$W$8),"")</f>
        <v>53.212000000000003</v>
      </c>
      <c r="X8">
        <f ca="1">IFERROR(IF(0=LEN(ReferenceData!$X$8),"",ReferenceData!$X$8),"")</f>
        <v>41.712000000000003</v>
      </c>
      <c r="Y8">
        <f ca="1">IFERROR(IF(0=LEN(ReferenceData!$Y$8),"",ReferenceData!$Y$8),"")</f>
        <v>39.456000000000003</v>
      </c>
      <c r="Z8">
        <f ca="1">IFERROR(IF(0=LEN(ReferenceData!$Z$8),"",ReferenceData!$Z$8),"")</f>
        <v>43.311</v>
      </c>
      <c r="AA8">
        <f ca="1">IFERROR(IF(0=LEN(ReferenceData!$AA$8),"",ReferenceData!$AA$8),"")</f>
        <v>39.874000000000002</v>
      </c>
      <c r="AB8">
        <f ca="1">IFERROR(IF(0=LEN(ReferenceData!$AB$8),"",ReferenceData!$AB$8),"")</f>
        <v>31.844000000000001</v>
      </c>
      <c r="AC8">
        <f ca="1">IFERROR(IF(0=LEN(ReferenceData!$AC$8),"",ReferenceData!$AC$8),"")</f>
        <v>31.576000000000001</v>
      </c>
      <c r="AD8">
        <f ca="1">IFERROR(IF(0=LEN(ReferenceData!$AD$8),"",ReferenceData!$AD$8),"")</f>
        <v>33.749000000000002</v>
      </c>
      <c r="AE8">
        <f ca="1">IFERROR(IF(0=LEN(ReferenceData!$AE$8),"",ReferenceData!$AE$8),"")</f>
        <v>31.161000000000001</v>
      </c>
      <c r="AF8">
        <f ca="1">IFERROR(IF(0=LEN(ReferenceData!$AF$8),"",ReferenceData!$AF$8),"")</f>
        <v>25.934000000000001</v>
      </c>
      <c r="AG8">
        <f ca="1">IFERROR(IF(0=LEN(ReferenceData!$AG$8),"",ReferenceData!$AG$8),"")</f>
        <v>27.631</v>
      </c>
      <c r="AH8">
        <f ca="1">IFERROR(IF(0=LEN(ReferenceData!$AH$8),"",ReferenceData!$AH$8),"")</f>
        <v>28.555</v>
      </c>
      <c r="AI8">
        <f ca="1">IFERROR(IF(0=LEN(ReferenceData!$AI$8),"",ReferenceData!$AI$8),"")</f>
        <v>30.286000000000001</v>
      </c>
      <c r="AJ8">
        <f ca="1">IFERROR(IF(0=LEN(ReferenceData!$AJ$8),"",ReferenceData!$AJ$8),"")</f>
        <v>29.041</v>
      </c>
      <c r="AK8">
        <f ca="1">IFERROR(IF(0=LEN(ReferenceData!$AK$8),"",ReferenceData!$AK$8),"")</f>
        <v>25.292000000000002</v>
      </c>
      <c r="AL8">
        <f ca="1">IFERROR(IF(0=LEN(ReferenceData!$AL$8),"",ReferenceData!$AL$8),"")</f>
        <v>27.219000000000001</v>
      </c>
      <c r="AM8">
        <f ca="1">IFERROR(IF(0=LEN(ReferenceData!$AM$8),"",ReferenceData!$AM$8),"")</f>
        <v>27.73</v>
      </c>
      <c r="AN8">
        <f ca="1">IFERROR(IF(0=LEN(ReferenceData!$AN$8),"",ReferenceData!$AN$8),"")</f>
        <v>28.628</v>
      </c>
      <c r="AO8">
        <f ca="1">IFERROR(IF(0=LEN(ReferenceData!$AO$8),"",ReferenceData!$AO$8),"")</f>
        <v>29.536999999999999</v>
      </c>
      <c r="AP8">
        <f ca="1">IFERROR(IF(0=LEN(ReferenceData!$AP$8),"",ReferenceData!$AP$8),"")</f>
        <v>30.91</v>
      </c>
      <c r="AQ8">
        <f ca="1">IFERROR(IF(0=LEN(ReferenceData!$AQ$8),"",ReferenceData!$AQ$8),"")</f>
        <v>34.366999999999997</v>
      </c>
      <c r="AR8">
        <f ca="1">IFERROR(IF(0=LEN(ReferenceData!$AR$8),"",ReferenceData!$AR$8),"")</f>
        <v>27.638999999999999</v>
      </c>
      <c r="AS8">
        <f ca="1">IFERROR(IF(0=LEN(ReferenceData!$AS$8),"",ReferenceData!$AS$8),"")</f>
        <v>34.234000000000002</v>
      </c>
      <c r="AT8">
        <f ca="1">IFERROR(IF(0=LEN(ReferenceData!$AT$8),"",ReferenceData!$AT$8),"")</f>
        <v>28.85</v>
      </c>
      <c r="AU8">
        <f ca="1">IFERROR(IF(0=LEN(ReferenceData!$AU$8),"",ReferenceData!$AU$8),"")</f>
        <v>27.456</v>
      </c>
      <c r="AV8">
        <f ca="1">IFERROR(IF(0=LEN(ReferenceData!$AV$8),"",ReferenceData!$AV$8),"")</f>
        <v>25.559000000000001</v>
      </c>
      <c r="AW8">
        <f ca="1">IFERROR(IF(0=LEN(ReferenceData!$AW$8),"",ReferenceData!$AW$8),"")</f>
        <v>26.692</v>
      </c>
      <c r="AX8">
        <f ca="1">IFERROR(IF(0=LEN(ReferenceData!$AX$8),"",ReferenceData!$AX$8),"")</f>
        <v>27.561</v>
      </c>
      <c r="AY8">
        <f ca="1">IFERROR(IF(0=LEN(ReferenceData!$AY$8),"",ReferenceData!$AY$8),"")</f>
        <v>25.981999999999999</v>
      </c>
      <c r="AZ8">
        <f ca="1">IFERROR(IF(0=LEN(ReferenceData!$AZ$8),"",ReferenceData!$AZ$8),"")</f>
        <v>24.021000000000001</v>
      </c>
      <c r="BA8">
        <f ca="1">IFERROR(IF(0=LEN(ReferenceData!$BA$8),"",ReferenceData!$BA$8),"")</f>
        <v>25.085999999999999</v>
      </c>
      <c r="BB8">
        <f ca="1">IFERROR(IF(0=LEN(ReferenceData!$BB$8),"",ReferenceData!$BB$8),"")</f>
        <v>27.763000000000002</v>
      </c>
      <c r="BC8">
        <f ca="1">IFERROR(IF(0=LEN(ReferenceData!$BC$8),"",ReferenceData!$BC$8),"")</f>
        <v>25.53</v>
      </c>
      <c r="BD8">
        <f ca="1">IFERROR(IF(0=LEN(ReferenceData!$BD$8),"",ReferenceData!$BD$8),"")</f>
        <v>22.512</v>
      </c>
      <c r="BE8">
        <f ca="1">IFERROR(IF(0=LEN(ReferenceData!$BE$8),"",ReferenceData!$BE$8),"")</f>
        <v>20.474</v>
      </c>
      <c r="BF8">
        <f ca="1">IFERROR(IF(0=LEN(ReferenceData!$BF$8),"",ReferenceData!$BF$8),"")</f>
        <v>15.805</v>
      </c>
      <c r="BG8" t="str">
        <f ca="1">IFERROR(IF(0=LEN(ReferenceData!$BG$8),"",ReferenceData!$BG$8),"")</f>
        <v/>
      </c>
      <c r="BH8" t="str">
        <f ca="1">IFERROR(IF(0=LEN(ReferenceData!$BH$8),"",ReferenceData!$BH$8),"")</f>
        <v/>
      </c>
      <c r="BI8" t="str">
        <f ca="1">IFERROR(IF(0=LEN(ReferenceData!$BI$8),"",ReferenceData!$BI$8),"")</f>
        <v/>
      </c>
      <c r="BJ8" t="str">
        <f ca="1">IFERROR(IF(0=LEN(ReferenceData!$BJ$8),"",ReferenceData!$BJ$8),"")</f>
        <v/>
      </c>
      <c r="BK8" t="str">
        <f ca="1">IFERROR(IF(0=LEN(ReferenceData!$BK$8),"",ReferenceData!$BK$8),"")</f>
        <v/>
      </c>
      <c r="BL8" t="str">
        <f ca="1">IFERROR(IF(0=LEN(ReferenceData!$BL$8),"",ReferenceData!$BL$8),"")</f>
        <v/>
      </c>
      <c r="BM8" t="str">
        <f ca="1">IFERROR(IF(0=LEN(ReferenceData!$BM$8),"",ReferenceData!$BM$8),"")</f>
        <v/>
      </c>
    </row>
    <row r="9" spans="1:65">
      <c r="A9" t="str">
        <f>IFERROR(IF(0=LEN(ReferenceData!$A$9),"",ReferenceData!$A$9),"")</f>
        <v xml:space="preserve">    Equity Residential</v>
      </c>
      <c r="B9" t="str">
        <f>IFERROR(IF(0=LEN(ReferenceData!$B$9),"",ReferenceData!$B$9),"")</f>
        <v>EQR US Equity</v>
      </c>
      <c r="C9" t="str">
        <f>IFERROR(IF(0=LEN(ReferenceData!$C$9),"",ReferenceData!$C$9),"")</f>
        <v>IS030</v>
      </c>
      <c r="D9" t="str">
        <f>IFERROR(IF(0=LEN(ReferenceData!$D$9),"",ReferenceData!$D$9),"")</f>
        <v>IS_RENT_INC</v>
      </c>
      <c r="E9" t="str">
        <f>IFERROR(IF(0=LEN(ReferenceData!$E$9),"",ReferenceData!$E$9),"")</f>
        <v>动态</v>
      </c>
      <c r="F9" t="str">
        <f ca="1">IFERROR(IF(0=LEN(ReferenceData!$F$9),"",ReferenceData!$F$9),"")</f>
        <v/>
      </c>
      <c r="G9">
        <f ca="1">IFERROR(IF(0=LEN(ReferenceData!$G$9),"",ReferenceData!$G$9),"")</f>
        <v>630.51900000000001</v>
      </c>
      <c r="H9">
        <f ca="1">IFERROR(IF(0=LEN(ReferenceData!$H$9),"",ReferenceData!$H$9),"")</f>
        <v>623.95100000000002</v>
      </c>
      <c r="I9">
        <f ca="1">IFERROR(IF(0=LEN(ReferenceData!$I$9),"",ReferenceData!$I$9),"")</f>
        <v>612.29899999999998</v>
      </c>
      <c r="J9">
        <f ca="1">IFERROR(IF(0=LEN(ReferenceData!$J$9),"",ReferenceData!$J$9),"")</f>
        <v>603.91999999999996</v>
      </c>
      <c r="K9">
        <f ca="1">IFERROR(IF(0=LEN(ReferenceData!$K$9),"",ReferenceData!$K$9),"")</f>
        <v>605.27300000000002</v>
      </c>
      <c r="L9">
        <f ca="1">IFERROR(IF(0=LEN(ReferenceData!$L$9),"",ReferenceData!$L$9),"")</f>
        <v>605.85599999999999</v>
      </c>
      <c r="M9">
        <f ca="1">IFERROR(IF(0=LEN(ReferenceData!$M$9),"",ReferenceData!$M$9),"")</f>
        <v>594.93899999999996</v>
      </c>
      <c r="N9">
        <f ca="1">IFERROR(IF(0=LEN(ReferenceData!$N$9),"",ReferenceData!$N$9),"")</f>
        <v>616.16499999999996</v>
      </c>
      <c r="O9">
        <f ca="1">IFERROR(IF(0=LEN(ReferenceData!$O$9),"",ReferenceData!$O$9),"")</f>
        <v>701.21900000000005</v>
      </c>
      <c r="P9">
        <f ca="1">IFERROR(IF(0=LEN(ReferenceData!$P$9),"",ReferenceData!$P$9),"")</f>
        <v>694.245</v>
      </c>
      <c r="Q9">
        <f ca="1">IFERROR(IF(0=LEN(ReferenceData!$Q$9),"",ReferenceData!$Q$9),"")</f>
        <v>676.50800000000004</v>
      </c>
      <c r="R9">
        <f ca="1">IFERROR(IF(0=LEN(ReferenceData!$R$9),"",ReferenceData!$R$9),"")</f>
        <v>664.60599999999999</v>
      </c>
      <c r="S9">
        <f ca="1">IFERROR(IF(0=LEN(ReferenceData!$S$9),"",ReferenceData!$S$9),"")</f>
        <v>662.81899999999996</v>
      </c>
      <c r="T9">
        <f ca="1">IFERROR(IF(0=LEN(ReferenceData!$T$9),"",ReferenceData!$T$9),"")</f>
        <v>662.00099999999998</v>
      </c>
      <c r="U9">
        <f ca="1">IFERROR(IF(0=LEN(ReferenceData!$U$9),"",ReferenceData!$U$9),"")</f>
        <v>649.76599999999996</v>
      </c>
      <c r="V9">
        <f ca="1">IFERROR(IF(0=LEN(ReferenceData!$V$9),"",ReferenceData!$V$9),"")</f>
        <v>630.72500000000002</v>
      </c>
      <c r="W9">
        <f ca="1">IFERROR(IF(0=LEN(ReferenceData!$W$9),"",ReferenceData!$W$9),"")</f>
        <v>636.83500000000004</v>
      </c>
      <c r="X9">
        <f ca="1">IFERROR(IF(0=LEN(ReferenceData!$X$9),"",ReferenceData!$X$9),"")</f>
        <v>624.06299999999999</v>
      </c>
      <c r="Y9">
        <f ca="1">IFERROR(IF(0=LEN(ReferenceData!$Y$9),"",ReferenceData!$Y$9),"")</f>
        <v>614.54399999999998</v>
      </c>
      <c r="Z9">
        <f ca="1">IFERROR(IF(0=LEN(ReferenceData!$Z$9),"",ReferenceData!$Z$9),"")</f>
        <v>502.56200000000001</v>
      </c>
      <c r="AA9">
        <f ca="1">IFERROR(IF(0=LEN(ReferenceData!$AA$9),"",ReferenceData!$AA$9),"")</f>
        <v>450.238</v>
      </c>
      <c r="AB9">
        <f ca="1">IFERROR(IF(0=LEN(ReferenceData!$AB$9),"",ReferenceData!$AB$9),"")</f>
        <v>448.64699999999999</v>
      </c>
      <c r="AC9">
        <f ca="1">IFERROR(IF(0=LEN(ReferenceData!$AC$9),"",ReferenceData!$AC$9),"")</f>
        <v>446.13900000000001</v>
      </c>
      <c r="AD9">
        <f ca="1">IFERROR(IF(0=LEN(ReferenceData!$AD$9),"",ReferenceData!$AD$9),"")</f>
        <v>444.38400000000001</v>
      </c>
      <c r="AE9">
        <f ca="1">IFERROR(IF(0=LEN(ReferenceData!$AE$9),"",ReferenceData!$AE$9),"")</f>
        <v>490.00599999999997</v>
      </c>
      <c r="AF9">
        <f ca="1">IFERROR(IF(0=LEN(ReferenceData!$AF$9),"",ReferenceData!$AF$9),"")</f>
        <v>490.94400000000002</v>
      </c>
      <c r="AG9">
        <f ca="1">IFERROR(IF(0=LEN(ReferenceData!$AG$9),"",ReferenceData!$AG$9),"")</f>
        <v>478.41899999999998</v>
      </c>
      <c r="AH9">
        <f ca="1">IFERROR(IF(0=LEN(ReferenceData!$AH$9),"",ReferenceData!$AH$9),"")</f>
        <v>464.55</v>
      </c>
      <c r="AI9">
        <f ca="1">IFERROR(IF(0=LEN(ReferenceData!$AI$9),"",ReferenceData!$AI$9),"")</f>
        <v>458.86799999999999</v>
      </c>
      <c r="AJ9">
        <f ca="1">IFERROR(IF(0=LEN(ReferenceData!$AJ$9),"",ReferenceData!$AJ$9),"")</f>
        <v>451.83199999999999</v>
      </c>
      <c r="AK9">
        <f ca="1">IFERROR(IF(0=LEN(ReferenceData!$AK$9),"",ReferenceData!$AK$9),"")</f>
        <v>444.33300000000003</v>
      </c>
      <c r="AL9">
        <f ca="1">IFERROR(IF(0=LEN(ReferenceData!$AL$9),"",ReferenceData!$AL$9),"")</f>
        <v>462.577</v>
      </c>
      <c r="AM9">
        <f ca="1">IFERROR(IF(0=LEN(ReferenceData!$AM$9),"",ReferenceData!$AM$9),"")</f>
        <v>458.85599999999999</v>
      </c>
      <c r="AN9">
        <f ca="1">IFERROR(IF(0=LEN(ReferenceData!$AN$9),"",ReferenceData!$AN$9),"")</f>
        <v>477.58800000000002</v>
      </c>
      <c r="AO9">
        <f ca="1">IFERROR(IF(0=LEN(ReferenceData!$AO$9),"",ReferenceData!$AO$9),"")</f>
        <v>477.92099999999999</v>
      </c>
      <c r="AP9">
        <f ca="1">IFERROR(IF(0=LEN(ReferenceData!$AP$9),"",ReferenceData!$AP$9),"")</f>
        <v>480.21499999999997</v>
      </c>
      <c r="AQ9">
        <f ca="1">IFERROR(IF(0=LEN(ReferenceData!$AQ$9),"",ReferenceData!$AQ$9),"")</f>
        <v>497.80099999999999</v>
      </c>
      <c r="AR9">
        <f ca="1">IFERROR(IF(0=LEN(ReferenceData!$AR$9),"",ReferenceData!$AR$9),"")</f>
        <v>508.61900000000003</v>
      </c>
      <c r="AS9">
        <f ca="1">IFERROR(IF(0=LEN(ReferenceData!$AS$9),"",ReferenceData!$AS$9),"")</f>
        <v>510.56700000000001</v>
      </c>
      <c r="AT9">
        <f ca="1">IFERROR(IF(0=LEN(ReferenceData!$AT$9),"",ReferenceData!$AT$9),"")</f>
        <v>500.34699999999998</v>
      </c>
      <c r="AU9">
        <f ca="1">IFERROR(IF(0=LEN(ReferenceData!$AU$9),"",ReferenceData!$AU$9),"")</f>
        <v>502.77100000000002</v>
      </c>
      <c r="AV9">
        <f ca="1">IFERROR(IF(0=LEN(ReferenceData!$AV$9),"",ReferenceData!$AV$9),"")</f>
        <v>498.86799999999999</v>
      </c>
      <c r="AW9">
        <f ca="1">IFERROR(IF(0=LEN(ReferenceData!$AW$9),"",ReferenceData!$AW$9),"")</f>
        <v>489.12400000000002</v>
      </c>
      <c r="AX9">
        <f ca="1">IFERROR(IF(0=LEN(ReferenceData!$AX$9),"",ReferenceData!$AX$9),"")</f>
        <v>473.58199999999999</v>
      </c>
      <c r="AY9">
        <f ca="1">IFERROR(IF(0=LEN(ReferenceData!$AY$9),"",ReferenceData!$AY$9),"")</f>
        <v>319.447</v>
      </c>
      <c r="AZ9">
        <f ca="1">IFERROR(IF(0=LEN(ReferenceData!$AZ$9),"",ReferenceData!$AZ$9),"")</f>
        <v>511.79399999999998</v>
      </c>
      <c r="BA9">
        <f ca="1">IFERROR(IF(0=LEN(ReferenceData!$BA$9),"",ReferenceData!$BA$9),"")</f>
        <v>489.61900000000003</v>
      </c>
      <c r="BB9">
        <f ca="1">IFERROR(IF(0=LEN(ReferenceData!$BB$9),"",ReferenceData!$BB$9),"")</f>
        <v>459.971</v>
      </c>
      <c r="BC9">
        <f ca="1">IFERROR(IF(0=LEN(ReferenceData!$BC$9),"",ReferenceData!$BC$9),"")</f>
        <v>390.46199999999999</v>
      </c>
      <c r="BD9">
        <f ca="1">IFERROR(IF(0=LEN(ReferenceData!$BD$9),"",ReferenceData!$BD$9),"")</f>
        <v>428.35700000000003</v>
      </c>
      <c r="BE9">
        <f ca="1">IFERROR(IF(0=LEN(ReferenceData!$BE$9),"",ReferenceData!$BE$9),"")</f>
        <v>412.20699999999999</v>
      </c>
      <c r="BF9">
        <f ca="1">IFERROR(IF(0=LEN(ReferenceData!$BF$9),"",ReferenceData!$BF$9),"")</f>
        <v>441.392</v>
      </c>
      <c r="BG9">
        <f ca="1">IFERROR(IF(0=LEN(ReferenceData!$BG$9),"",ReferenceData!$BG$9),"")</f>
        <v>395.46499999999997</v>
      </c>
      <c r="BH9">
        <f ca="1">IFERROR(IF(0=LEN(ReferenceData!$BH$9),"",ReferenceData!$BH$9),"")</f>
        <v>454.12799999999999</v>
      </c>
      <c r="BI9">
        <f ca="1">IFERROR(IF(0=LEN(ReferenceData!$BI$9),"",ReferenceData!$BI$9),"")</f>
        <v>485.06200000000001</v>
      </c>
      <c r="BJ9">
        <f ca="1">IFERROR(IF(0=LEN(ReferenceData!$BJ$9),"",ReferenceData!$BJ$9),"")</f>
        <v>459.654</v>
      </c>
      <c r="BK9">
        <f ca="1">IFERROR(IF(0=LEN(ReferenceData!$BK$9),"",ReferenceData!$BK$9),"")</f>
        <v>419.05100800000002</v>
      </c>
      <c r="BL9">
        <f ca="1">IFERROR(IF(0=LEN(ReferenceData!$BL$9),"",ReferenceData!$BL$9),"")</f>
        <v>435.68798800000002</v>
      </c>
      <c r="BM9">
        <f ca="1">IFERROR(IF(0=LEN(ReferenceData!$BM$9),"",ReferenceData!$BM$9),"")</f>
        <v>434.733002</v>
      </c>
    </row>
    <row r="10" spans="1:65">
      <c r="A10" t="str">
        <f>IFERROR(IF(0=LEN(ReferenceData!$A$10),"",ReferenceData!$A$10),"")</f>
        <v xml:space="preserve">    Essex Property Trust Inc</v>
      </c>
      <c r="B10" t="str">
        <f>IFERROR(IF(0=LEN(ReferenceData!$B$10),"",ReferenceData!$B$10),"")</f>
        <v>ESS US Equity</v>
      </c>
      <c r="C10" t="str">
        <f>IFERROR(IF(0=LEN(ReferenceData!$C$10),"",ReferenceData!$C$10),"")</f>
        <v>IS030</v>
      </c>
      <c r="D10" t="str">
        <f>IFERROR(IF(0=LEN(ReferenceData!$D$10),"",ReferenceData!$D$10),"")</f>
        <v>IS_RENT_INC</v>
      </c>
      <c r="E10" t="str">
        <f>IFERROR(IF(0=LEN(ReferenceData!$E$10),"",ReferenceData!$E$10),"")</f>
        <v>动态</v>
      </c>
      <c r="F10" t="str">
        <f ca="1">IFERROR(IF(0=LEN(ReferenceData!$F$10),"",ReferenceData!$F$10),"")</f>
        <v/>
      </c>
      <c r="G10">
        <f ca="1">IFERROR(IF(0=LEN(ReferenceData!$G$10),"",ReferenceData!$G$10),"")</f>
        <v>342.41699999999997</v>
      </c>
      <c r="H10">
        <f ca="1">IFERROR(IF(0=LEN(ReferenceData!$H$10),"",ReferenceData!$H$10),"")</f>
        <v>341.97399999999999</v>
      </c>
      <c r="I10">
        <f ca="1">IFERROR(IF(0=LEN(ReferenceData!$I$10),"",ReferenceData!$I$10),"")</f>
        <v>336.76600000000002</v>
      </c>
      <c r="J10">
        <f ca="1">IFERROR(IF(0=LEN(ReferenceData!$J$10),"",ReferenceData!$J$10),"")</f>
        <v>333.16800000000001</v>
      </c>
      <c r="K10">
        <f ca="1">IFERROR(IF(0=LEN(ReferenceData!$K$10),"",ReferenceData!$K$10),"")</f>
        <v>326.90499999999997</v>
      </c>
      <c r="L10">
        <f ca="1">IFERROR(IF(0=LEN(ReferenceData!$L$10),"",ReferenceData!$L$10),"")</f>
        <v>327.07799999999997</v>
      </c>
      <c r="M10">
        <f ca="1">IFERROR(IF(0=LEN(ReferenceData!$M$10),"",ReferenceData!$M$10),"")</f>
        <v>319.56200000000001</v>
      </c>
      <c r="N10">
        <f ca="1">IFERROR(IF(0=LEN(ReferenceData!$N$10),"",ReferenceData!$N$10),"")</f>
        <v>312.178</v>
      </c>
      <c r="O10">
        <f ca="1">IFERROR(IF(0=LEN(ReferenceData!$O$10),"",ReferenceData!$O$10),"")</f>
        <v>308.64600000000002</v>
      </c>
      <c r="P10">
        <f ca="1">IFERROR(IF(0=LEN(ReferenceData!$P$10),"",ReferenceData!$P$10),"")</f>
        <v>302.52199999999999</v>
      </c>
      <c r="Q10">
        <f ca="1">IFERROR(IF(0=LEN(ReferenceData!$Q$10),"",ReferenceData!$Q$10),"")</f>
        <v>294.101</v>
      </c>
      <c r="R10">
        <f ca="1">IFERROR(IF(0=LEN(ReferenceData!$R$10),"",ReferenceData!$R$10),"")</f>
        <v>280.22899999999998</v>
      </c>
      <c r="S10">
        <f ca="1">IFERROR(IF(0=LEN(ReferenceData!$S$10),"",ReferenceData!$S$10),"")</f>
        <v>276.77800000000002</v>
      </c>
      <c r="T10">
        <f ca="1">IFERROR(IF(0=LEN(ReferenceData!$T$10),"",ReferenceData!$T$10),"")</f>
        <v>268.11799999999999</v>
      </c>
      <c r="U10">
        <f ca="1">IFERROR(IF(0=LEN(ReferenceData!$U$10),"",ReferenceData!$U$10),"")</f>
        <v>256.61399999999998</v>
      </c>
      <c r="V10">
        <f ca="1">IFERROR(IF(0=LEN(ReferenceData!$V$10),"",ReferenceData!$V$10),"")</f>
        <v>159.34899999999999</v>
      </c>
      <c r="W10">
        <f ca="1">IFERROR(IF(0=LEN(ReferenceData!$W$10),"",ReferenceData!$W$10),"")</f>
        <v>155.98599999999999</v>
      </c>
      <c r="X10">
        <f ca="1">IFERROR(IF(0=LEN(ReferenceData!$X$10),"",ReferenceData!$X$10),"")</f>
        <v>152.17699999999999</v>
      </c>
      <c r="Y10">
        <f ca="1">IFERROR(IF(0=LEN(ReferenceData!$Y$10),"",ReferenceData!$Y$10),"")</f>
        <v>148.78100000000001</v>
      </c>
      <c r="Z10">
        <f ca="1">IFERROR(IF(0=LEN(ReferenceData!$Z$10),"",ReferenceData!$Z$10),"")</f>
        <v>145.05699999999999</v>
      </c>
      <c r="AA10">
        <f ca="1">IFERROR(IF(0=LEN(ReferenceData!$AA$10),"",ReferenceData!$AA$10),"")</f>
        <v>140.29400000000001</v>
      </c>
      <c r="AB10">
        <f ca="1">IFERROR(IF(0=LEN(ReferenceData!$AB$10),"",ReferenceData!$AB$10),"")</f>
        <v>135.07</v>
      </c>
      <c r="AC10">
        <f ca="1">IFERROR(IF(0=LEN(ReferenceData!$AC$10),"",ReferenceData!$AC$10),"")</f>
        <v>129.76499999999999</v>
      </c>
      <c r="AD10">
        <f ca="1">IFERROR(IF(0=LEN(ReferenceData!$AD$10),"",ReferenceData!$AD$10),"")</f>
        <v>125.474</v>
      </c>
      <c r="AE10">
        <f ca="1">IFERROR(IF(0=LEN(ReferenceData!$AE$10),"",ReferenceData!$AE$10),"")</f>
        <v>122.373</v>
      </c>
      <c r="AF10">
        <f ca="1">IFERROR(IF(0=LEN(ReferenceData!$AF$10),"",ReferenceData!$AF$10),"")</f>
        <v>117.226</v>
      </c>
      <c r="AG10">
        <f ca="1">IFERROR(IF(0=LEN(ReferenceData!$AG$10),"",ReferenceData!$AG$10),"")</f>
        <v>114.90600000000001</v>
      </c>
      <c r="AH10">
        <f ca="1">IFERROR(IF(0=LEN(ReferenceData!$AH$10),"",ReferenceData!$AH$10),"")</f>
        <v>111.208</v>
      </c>
      <c r="AI10">
        <f ca="1">IFERROR(IF(0=LEN(ReferenceData!$AI$10),"",ReferenceData!$AI$10),"")</f>
        <v>107.465</v>
      </c>
      <c r="AJ10">
        <f ca="1">IFERROR(IF(0=LEN(ReferenceData!$AJ$10),"",ReferenceData!$AJ$10),"")</f>
        <v>103.36799999999999</v>
      </c>
      <c r="AK10">
        <f ca="1">IFERROR(IF(0=LEN(ReferenceData!$AK$10),"",ReferenceData!$AK$10),"")</f>
        <v>99.162999999999997</v>
      </c>
      <c r="AL10">
        <f ca="1">IFERROR(IF(0=LEN(ReferenceData!$AL$10),"",ReferenceData!$AL$10),"")</f>
        <v>99.706000000000003</v>
      </c>
      <c r="AM10">
        <f ca="1">IFERROR(IF(0=LEN(ReferenceData!$AM$10),"",ReferenceData!$AM$10),"")</f>
        <v>100.004</v>
      </c>
      <c r="AN10">
        <f ca="1">IFERROR(IF(0=LEN(ReferenceData!$AN$10),"",ReferenceData!$AN$10),"")</f>
        <v>100.67</v>
      </c>
      <c r="AO10">
        <f ca="1">IFERROR(IF(0=LEN(ReferenceData!$AO$10),"",ReferenceData!$AO$10),"")</f>
        <v>102.476</v>
      </c>
      <c r="AP10">
        <f ca="1">IFERROR(IF(0=LEN(ReferenceData!$AP$10),"",ReferenceData!$AP$10),"")</f>
        <v>103.914</v>
      </c>
      <c r="AQ10">
        <f ca="1">IFERROR(IF(0=LEN(ReferenceData!$AQ$10),"",ReferenceData!$AQ$10),"")</f>
        <v>103.711</v>
      </c>
      <c r="AR10">
        <f ca="1">IFERROR(IF(0=LEN(ReferenceData!$AR$10),"",ReferenceData!$AR$10),"")</f>
        <v>101.94199999999999</v>
      </c>
      <c r="AS10">
        <f ca="1">IFERROR(IF(0=LEN(ReferenceData!$AS$10),"",ReferenceData!$AS$10),"")</f>
        <v>100.119</v>
      </c>
      <c r="AT10">
        <f ca="1">IFERROR(IF(0=LEN(ReferenceData!$AT$10),"",ReferenceData!$AT$10),"")</f>
        <v>98.73</v>
      </c>
      <c r="AU10">
        <f ca="1">IFERROR(IF(0=LEN(ReferenceData!$AU$10),"",ReferenceData!$AU$10),"")</f>
        <v>98.212000000000003</v>
      </c>
      <c r="AV10">
        <f ca="1">IFERROR(IF(0=LEN(ReferenceData!$AV$10),"",ReferenceData!$AV$10),"")</f>
        <v>95.012</v>
      </c>
      <c r="AW10">
        <f ca="1">IFERROR(IF(0=LEN(ReferenceData!$AW$10),"",ReferenceData!$AW$10),"")</f>
        <v>94.194000000000003</v>
      </c>
      <c r="AX10">
        <f ca="1">IFERROR(IF(0=LEN(ReferenceData!$AX$10),"",ReferenceData!$AX$10),"")</f>
        <v>89.665999999999997</v>
      </c>
      <c r="AY10">
        <f ca="1">IFERROR(IF(0=LEN(ReferenceData!$AY$10),"",ReferenceData!$AY$10),"")</f>
        <v>88.117999999999995</v>
      </c>
      <c r="AZ10">
        <f ca="1">IFERROR(IF(0=LEN(ReferenceData!$AZ$10),"",ReferenceData!$AZ$10),"")</f>
        <v>86.85</v>
      </c>
      <c r="BA10">
        <f ca="1">IFERROR(IF(0=LEN(ReferenceData!$BA$10),"",ReferenceData!$BA$10),"")</f>
        <v>83.716999999999999</v>
      </c>
      <c r="BB10">
        <f ca="1">IFERROR(IF(0=LEN(ReferenceData!$BB$10),"",ReferenceData!$BB$10),"")</f>
        <v>82.233000000000004</v>
      </c>
      <c r="BC10">
        <f ca="1">IFERROR(IF(0=LEN(ReferenceData!$BC$10),"",ReferenceData!$BC$10),"")</f>
        <v>71.150000000000006</v>
      </c>
      <c r="BD10">
        <f ca="1">IFERROR(IF(0=LEN(ReferenceData!$BD$10),"",ReferenceData!$BD$10),"")</f>
        <v>81.881</v>
      </c>
      <c r="BE10">
        <f ca="1">IFERROR(IF(0=LEN(ReferenceData!$BE$10),"",ReferenceData!$BE$10),"")</f>
        <v>79.662000000000006</v>
      </c>
      <c r="BF10">
        <f ca="1">IFERROR(IF(0=LEN(ReferenceData!$BF$10),"",ReferenceData!$BF$10),"")</f>
        <v>78.277000000000001</v>
      </c>
      <c r="BG10">
        <f ca="1">IFERROR(IF(0=LEN(ReferenceData!$BG$10),"",ReferenceData!$BG$10),"")</f>
        <v>71.917998999999995</v>
      </c>
      <c r="BH10">
        <f ca="1">IFERROR(IF(0=LEN(ReferenceData!$BH$10),"",ReferenceData!$BH$10),"")</f>
        <v>71.733000000000004</v>
      </c>
      <c r="BI10">
        <f ca="1">IFERROR(IF(0=LEN(ReferenceData!$BI$10),"",ReferenceData!$BI$10),"")</f>
        <v>67.907996999999995</v>
      </c>
      <c r="BJ10">
        <f ca="1">IFERROR(IF(0=LEN(ReferenceData!$BJ$10),"",ReferenceData!$BJ$10),"")</f>
        <v>64.209000000000003</v>
      </c>
      <c r="BK10">
        <f ca="1">IFERROR(IF(0=LEN(ReferenceData!$BK$10),"",ReferenceData!$BK$10),"")</f>
        <v>62.235000999999997</v>
      </c>
      <c r="BL10">
        <f ca="1">IFERROR(IF(0=LEN(ReferenceData!$BL$10),"",ReferenceData!$BL$10),"")</f>
        <v>60.849997999999999</v>
      </c>
      <c r="BM10">
        <f ca="1">IFERROR(IF(0=LEN(ReferenceData!$BM$10),"",ReferenceData!$BM$10),"")</f>
        <v>60.960999000000001</v>
      </c>
    </row>
    <row r="11" spans="1:65">
      <c r="A11" t="str">
        <f>IFERROR(IF(0=LEN(ReferenceData!$A$11),"",ReferenceData!$A$11),"")</f>
        <v xml:space="preserve">    Mid-America Apartment Communit</v>
      </c>
      <c r="B11" t="str">
        <f>IFERROR(IF(0=LEN(ReferenceData!$B$11),"",ReferenceData!$B$11),"")</f>
        <v>MAA US Equity</v>
      </c>
      <c r="C11" t="str">
        <f>IFERROR(IF(0=LEN(ReferenceData!$C$11),"",ReferenceData!$C$11),"")</f>
        <v>IS030</v>
      </c>
      <c r="D11" t="str">
        <f>IFERROR(IF(0=LEN(ReferenceData!$D$11),"",ReferenceData!$D$11),"")</f>
        <v>IS_RENT_INC</v>
      </c>
      <c r="E11" t="str">
        <f>IFERROR(IF(0=LEN(ReferenceData!$E$11),"",ReferenceData!$E$11),"")</f>
        <v>动态</v>
      </c>
      <c r="F11" t="str">
        <f ca="1">IFERROR(IF(0=LEN(ReferenceData!$F$11),"",ReferenceData!$F$11),"")</f>
        <v/>
      </c>
      <c r="G11">
        <f ca="1">IFERROR(IF(0=LEN(ReferenceData!$G$11),"",ReferenceData!$G$11),"")</f>
        <v>382.738</v>
      </c>
      <c r="H11">
        <f ca="1">IFERROR(IF(0=LEN(ReferenceData!$H$11),"",ReferenceData!$H$11),"")</f>
        <v>357.61900000000003</v>
      </c>
      <c r="I11">
        <f ca="1">IFERROR(IF(0=LEN(ReferenceData!$I$11),"",ReferenceData!$I$11),"")</f>
        <v>355.83199999999999</v>
      </c>
      <c r="J11">
        <f ca="1">IFERROR(IF(0=LEN(ReferenceData!$J$11),"",ReferenceData!$J$11),"")</f>
        <v>351.17700000000002</v>
      </c>
      <c r="K11">
        <f ca="1">IFERROR(IF(0=LEN(ReferenceData!$K$11),"",ReferenceData!$K$11),"")</f>
        <v>284.45699999999999</v>
      </c>
      <c r="L11">
        <f ca="1">IFERROR(IF(0=LEN(ReferenceData!$L$11),"",ReferenceData!$L$11),"")</f>
        <v>254.161</v>
      </c>
      <c r="M11">
        <f ca="1">IFERROR(IF(0=LEN(ReferenceData!$M$11),"",ReferenceData!$M$11),"")</f>
        <v>249.32599999999999</v>
      </c>
      <c r="N11">
        <f ca="1">IFERROR(IF(0=LEN(ReferenceData!$N$11),"",ReferenceData!$N$11),"")</f>
        <v>245.66499999999999</v>
      </c>
      <c r="O11">
        <f ca="1">IFERROR(IF(0=LEN(ReferenceData!$O$11),"",ReferenceData!$O$11),"")</f>
        <v>241.42099999999999</v>
      </c>
      <c r="P11">
        <f ca="1">IFERROR(IF(0=LEN(ReferenceData!$P$11),"",ReferenceData!$P$11),"")</f>
        <v>239.67</v>
      </c>
      <c r="Q11">
        <f ca="1">IFERROR(IF(0=LEN(ReferenceData!$Q$11),"",ReferenceData!$Q$11),"")</f>
        <v>236.16499999999999</v>
      </c>
      <c r="R11">
        <f ca="1">IFERROR(IF(0=LEN(ReferenceData!$R$11),"",ReferenceData!$R$11),"")</f>
        <v>234.941</v>
      </c>
      <c r="S11">
        <f ca="1">IFERROR(IF(0=LEN(ReferenceData!$S$11),"",ReferenceData!$S$11),"")</f>
        <v>230.482</v>
      </c>
      <c r="T11">
        <f ca="1">IFERROR(IF(0=LEN(ReferenceData!$T$11),"",ReferenceData!$T$11),"")</f>
        <v>226.584</v>
      </c>
      <c r="U11">
        <f ca="1">IFERROR(IF(0=LEN(ReferenceData!$U$11),"",ReferenceData!$U$11),"")</f>
        <v>223.36099999999999</v>
      </c>
      <c r="V11">
        <f ca="1">IFERROR(IF(0=LEN(ReferenceData!$V$11),"",ReferenceData!$V$11),"")</f>
        <v>220.988</v>
      </c>
      <c r="W11">
        <f ca="1">IFERROR(IF(0=LEN(ReferenceData!$W$11),"",ReferenceData!$W$11),"")</f>
        <v>216.762</v>
      </c>
      <c r="X11">
        <f ca="1">IFERROR(IF(0=LEN(ReferenceData!$X$11),"",ReferenceData!$X$11),"")</f>
        <v>124.61199999999999</v>
      </c>
      <c r="Y11">
        <f ca="1">IFERROR(IF(0=LEN(ReferenceData!$Y$11),"",ReferenceData!$Y$11),"")</f>
        <v>121.128</v>
      </c>
      <c r="Z11">
        <f ca="1">IFERROR(IF(0=LEN(ReferenceData!$Z$11),"",ReferenceData!$Z$11),"")</f>
        <v>117.705</v>
      </c>
      <c r="AA11">
        <f ca="1">IFERROR(IF(0=LEN(ReferenceData!$AA$11),"",ReferenceData!$AA$11),"")</f>
        <v>125.80800000000001</v>
      </c>
      <c r="AB11">
        <f ca="1">IFERROR(IF(0=LEN(ReferenceData!$AB$11),"",ReferenceData!$AB$11),"")</f>
        <v>113.015</v>
      </c>
      <c r="AC11">
        <f ca="1">IFERROR(IF(0=LEN(ReferenceData!$AC$11),"",ReferenceData!$AC$11),"")</f>
        <v>108.959</v>
      </c>
      <c r="AD11">
        <f ca="1">IFERROR(IF(0=LEN(ReferenceData!$AD$11),"",ReferenceData!$AD$11),"")</f>
        <v>106.342</v>
      </c>
      <c r="AE11">
        <f ca="1">IFERROR(IF(0=LEN(ReferenceData!$AE$11),"",ReferenceData!$AE$11),"")</f>
        <v>112.774</v>
      </c>
      <c r="AF11">
        <f ca="1">IFERROR(IF(0=LEN(ReferenceData!$AF$11),"",ReferenceData!$AF$11),"")</f>
        <v>101.004</v>
      </c>
      <c r="AG11">
        <f ca="1">IFERROR(IF(0=LEN(ReferenceData!$AG$11),"",ReferenceData!$AG$11),"")</f>
        <v>97.995999999999995</v>
      </c>
      <c r="AH11">
        <f ca="1">IFERROR(IF(0=LEN(ReferenceData!$AH$11),"",ReferenceData!$AH$11),"")</f>
        <v>95.742000000000004</v>
      </c>
      <c r="AI11">
        <f ca="1">IFERROR(IF(0=LEN(ReferenceData!$AI$11),"",ReferenceData!$AI$11),"")</f>
        <v>104.277</v>
      </c>
      <c r="AJ11">
        <f ca="1">IFERROR(IF(0=LEN(ReferenceData!$AJ$11),"",ReferenceData!$AJ$11),"")</f>
        <v>92.388000000000005</v>
      </c>
      <c r="AK11">
        <f ca="1">IFERROR(IF(0=LEN(ReferenceData!$AK$11),"",ReferenceData!$AK$11),"")</f>
        <v>90.591999999999999</v>
      </c>
      <c r="AL11">
        <f ca="1">IFERROR(IF(0=LEN(ReferenceData!$AL$11),"",ReferenceData!$AL$11),"")</f>
        <v>90.308000000000007</v>
      </c>
      <c r="AM11">
        <f ca="1">IFERROR(IF(0=LEN(ReferenceData!$AM$11),"",ReferenceData!$AM$11),"")</f>
        <v>95.230999999999995</v>
      </c>
      <c r="AN11">
        <f ca="1">IFERROR(IF(0=LEN(ReferenceData!$AN$11),"",ReferenceData!$AN$11),"")</f>
        <v>89.22</v>
      </c>
      <c r="AO11">
        <f ca="1">IFERROR(IF(0=LEN(ReferenceData!$AO$11),"",ReferenceData!$AO$11),"")</f>
        <v>89.593000000000004</v>
      </c>
      <c r="AP11">
        <f ca="1">IFERROR(IF(0=LEN(ReferenceData!$AP$11),"",ReferenceData!$AP$11),"")</f>
        <v>89.197999999999993</v>
      </c>
      <c r="AQ11">
        <f ca="1">IFERROR(IF(0=LEN(ReferenceData!$AQ$11),"",ReferenceData!$AQ$11),"")</f>
        <v>93.893000000000001</v>
      </c>
      <c r="AR11">
        <f ca="1">IFERROR(IF(0=LEN(ReferenceData!$AR$11),"",ReferenceData!$AR$11),"")</f>
        <v>89.343999999999994</v>
      </c>
      <c r="AS11">
        <f ca="1">IFERROR(IF(0=LEN(ReferenceData!$AS$11),"",ReferenceData!$AS$11),"")</f>
        <v>87.277000000000001</v>
      </c>
      <c r="AT11">
        <f ca="1">IFERROR(IF(0=LEN(ReferenceData!$AT$11),"",ReferenceData!$AT$11),"")</f>
        <v>86.596999999999994</v>
      </c>
      <c r="AU11">
        <f ca="1">IFERROR(IF(0=LEN(ReferenceData!$AU$11),"",ReferenceData!$AU$11),"")</f>
        <v>89.634</v>
      </c>
      <c r="AV11">
        <f ca="1">IFERROR(IF(0=LEN(ReferenceData!$AV$11),"",ReferenceData!$AV$11),"")</f>
        <v>3.91</v>
      </c>
      <c r="AW11">
        <f ca="1">IFERROR(IF(0=LEN(ReferenceData!$AW$11),"",ReferenceData!$AW$11),"")</f>
        <v>82.875</v>
      </c>
      <c r="AX11">
        <f ca="1">IFERROR(IF(0=LEN(ReferenceData!$AX$11),"",ReferenceData!$AX$11),"")</f>
        <v>81.212000000000003</v>
      </c>
      <c r="AY11">
        <f ca="1">IFERROR(IF(0=LEN(ReferenceData!$AY$11),"",ReferenceData!$AY$11),"")</f>
        <v>94.694999999999993</v>
      </c>
      <c r="AZ11">
        <f ca="1">IFERROR(IF(0=LEN(ReferenceData!$AZ$11),"",ReferenceData!$AZ$11),"")</f>
        <v>78.597999999999999</v>
      </c>
      <c r="BA11">
        <f ca="1">IFERROR(IF(0=LEN(ReferenceData!$BA$11),"",ReferenceData!$BA$11),"")</f>
        <v>76.305000000000007</v>
      </c>
      <c r="BB11">
        <f ca="1">IFERROR(IF(0=LEN(ReferenceData!$BB$11),"",ReferenceData!$BB$11),"")</f>
        <v>73.853999999999999</v>
      </c>
      <c r="BC11">
        <f ca="1">IFERROR(IF(0=LEN(ReferenceData!$BC$11),"",ReferenceData!$BC$11),"")</f>
        <v>85.712000000000003</v>
      </c>
      <c r="BD11">
        <f ca="1">IFERROR(IF(0=LEN(ReferenceData!$BD$11),"",ReferenceData!$BD$11),"")</f>
        <v>74.870999999999995</v>
      </c>
      <c r="BE11">
        <f ca="1">IFERROR(IF(0=LEN(ReferenceData!$BE$11),"",ReferenceData!$BE$11),"")</f>
        <v>72.414000000000001</v>
      </c>
      <c r="BF11">
        <f ca="1">IFERROR(IF(0=LEN(ReferenceData!$BF$11),"",ReferenceData!$BF$11),"")</f>
        <v>71.575000000000003</v>
      </c>
      <c r="BG11">
        <f ca="1">IFERROR(IF(0=LEN(ReferenceData!$BG$11),"",ReferenceData!$BG$11),"")</f>
        <v>68.551002999999994</v>
      </c>
      <c r="BH11">
        <f ca="1">IFERROR(IF(0=LEN(ReferenceData!$BH$11),"",ReferenceData!$BH$11),"")</f>
        <v>64.861999999999995</v>
      </c>
      <c r="BI11">
        <f ca="1">IFERROR(IF(0=LEN(ReferenceData!$BI$11),"",ReferenceData!$BI$11),"")</f>
        <v>63.353000999999999</v>
      </c>
      <c r="BJ11">
        <f ca="1">IFERROR(IF(0=LEN(ReferenceData!$BJ$11),"",ReferenceData!$BJ$11),"")</f>
        <v>62.917999000000002</v>
      </c>
      <c r="BK11">
        <f ca="1">IFERROR(IF(0=LEN(ReferenceData!$BK$11),"",ReferenceData!$BK$11),"")</f>
        <v>63.375</v>
      </c>
      <c r="BL11">
        <f ca="1">IFERROR(IF(0=LEN(ReferenceData!$BL$11),"",ReferenceData!$BL$11),"")</f>
        <v>57</v>
      </c>
      <c r="BM11">
        <f ca="1">IFERROR(IF(0=LEN(ReferenceData!$BM$11),"",ReferenceData!$BM$11),"")</f>
        <v>56.048000000000002</v>
      </c>
    </row>
    <row r="12" spans="1:65">
      <c r="A12" t="str">
        <f>IFERROR(IF(0=LEN(ReferenceData!$A$12),"",ReferenceData!$A$12),"")</f>
        <v xml:space="preserve">    UDR Inc</v>
      </c>
      <c r="B12" t="str">
        <f>IFERROR(IF(0=LEN(ReferenceData!$B$12),"",ReferenceData!$B$12),"")</f>
        <v>UDR US Equity</v>
      </c>
      <c r="C12" t="str">
        <f>IFERROR(IF(0=LEN(ReferenceData!$C$12),"",ReferenceData!$C$12),"")</f>
        <v>IS030</v>
      </c>
      <c r="D12" t="str">
        <f>IFERROR(IF(0=LEN(ReferenceData!$D$12),"",ReferenceData!$D$12),"")</f>
        <v>IS_RENT_INC</v>
      </c>
      <c r="E12" t="str">
        <f>IFERROR(IF(0=LEN(ReferenceData!$E$12),"",ReferenceData!$E$12),"")</f>
        <v>动态</v>
      </c>
      <c r="F12" t="str">
        <f ca="1">IFERROR(IF(0=LEN(ReferenceData!$F$12),"",ReferenceData!$F$12),"")</f>
        <v/>
      </c>
      <c r="G12">
        <f ca="1">IFERROR(IF(0=LEN(ReferenceData!$G$12),"",ReferenceData!$G$12),"")</f>
        <v>250.11600000000001</v>
      </c>
      <c r="H12">
        <f ca="1">IFERROR(IF(0=LEN(ReferenceData!$H$12),"",ReferenceData!$H$12),"")</f>
        <v>248.26400000000001</v>
      </c>
      <c r="I12">
        <f ca="1">IFERROR(IF(0=LEN(ReferenceData!$I$12),"",ReferenceData!$I$12),"")</f>
        <v>244.65799999999999</v>
      </c>
      <c r="J12">
        <f ca="1">IFERROR(IF(0=LEN(ReferenceData!$J$12),"",ReferenceData!$J$12),"")</f>
        <v>241.27099999999999</v>
      </c>
      <c r="K12">
        <f ca="1">IFERROR(IF(0=LEN(ReferenceData!$K$12),"",ReferenceData!$K$12),"")</f>
        <v>240.08099999999999</v>
      </c>
      <c r="L12">
        <f ca="1">IFERROR(IF(0=LEN(ReferenceData!$L$12),"",ReferenceData!$L$12),"")</f>
        <v>240.255</v>
      </c>
      <c r="M12">
        <f ca="1">IFERROR(IF(0=LEN(ReferenceData!$M$12),"",ReferenceData!$M$12),"")</f>
        <v>236.16800000000001</v>
      </c>
      <c r="N12">
        <f ca="1">IFERROR(IF(0=LEN(ReferenceData!$N$12),"",ReferenceData!$N$12),"")</f>
        <v>231.95699999999999</v>
      </c>
      <c r="O12">
        <f ca="1">IFERROR(IF(0=LEN(ReferenceData!$O$12),"",ReferenceData!$O$12),"")</f>
        <v>234.352</v>
      </c>
      <c r="P12">
        <f ca="1">IFERROR(IF(0=LEN(ReferenceData!$P$12),"",ReferenceData!$P$12),"")</f>
        <v>217.76499999999999</v>
      </c>
      <c r="Q12">
        <f ca="1">IFERROR(IF(0=LEN(ReferenceData!$Q$12),"",ReferenceData!$Q$12),"")</f>
        <v>212.76400000000001</v>
      </c>
      <c r="R12">
        <f ca="1">IFERROR(IF(0=LEN(ReferenceData!$R$12),"",ReferenceData!$R$12),"")</f>
        <v>207.047</v>
      </c>
      <c r="S12">
        <f ca="1">IFERROR(IF(0=LEN(ReferenceData!$S$12),"",ReferenceData!$S$12),"")</f>
        <v>206.10400000000001</v>
      </c>
      <c r="T12">
        <f ca="1">IFERROR(IF(0=LEN(ReferenceData!$T$12),"",ReferenceData!$T$12),"")</f>
        <v>203.58699999999999</v>
      </c>
      <c r="U12">
        <f ca="1">IFERROR(IF(0=LEN(ReferenceData!$U$12),"",ReferenceData!$U$12),"")</f>
        <v>200.959</v>
      </c>
      <c r="V12">
        <f ca="1">IFERROR(IF(0=LEN(ReferenceData!$V$12),"",ReferenceData!$V$12),"")</f>
        <v>194.352</v>
      </c>
      <c r="W12">
        <f ca="1">IFERROR(IF(0=LEN(ReferenceData!$W$12),"",ReferenceData!$W$12),"")</f>
        <v>190.321</v>
      </c>
      <c r="X12">
        <f ca="1">IFERROR(IF(0=LEN(ReferenceData!$X$12),"",ReferenceData!$X$12),"")</f>
        <v>187.917</v>
      </c>
      <c r="Y12">
        <f ca="1">IFERROR(IF(0=LEN(ReferenceData!$Y$12),"",ReferenceData!$Y$12),"")</f>
        <v>186.285</v>
      </c>
      <c r="Z12">
        <f ca="1">IFERROR(IF(0=LEN(ReferenceData!$Z$12),"",ReferenceData!$Z$12),"")</f>
        <v>181.96100000000001</v>
      </c>
      <c r="AA12">
        <f ca="1">IFERROR(IF(0=LEN(ReferenceData!$AA$12),"",ReferenceData!$AA$12),"")</f>
        <v>180.149</v>
      </c>
      <c r="AB12">
        <f ca="1">IFERROR(IF(0=LEN(ReferenceData!$AB$12),"",ReferenceData!$AB$12),"")</f>
        <v>181.76599999999999</v>
      </c>
      <c r="AC12">
        <f ca="1">IFERROR(IF(0=LEN(ReferenceData!$AC$12),"",ReferenceData!$AC$12),"")</f>
        <v>177.47499999999999</v>
      </c>
      <c r="AD12">
        <f ca="1">IFERROR(IF(0=LEN(ReferenceData!$AD$12),"",ReferenceData!$AD$12),"")</f>
        <v>172.24199999999999</v>
      </c>
      <c r="AE12">
        <f ca="1">IFERROR(IF(0=LEN(ReferenceData!$AE$12),"",ReferenceData!$AE$12),"")</f>
        <v>170.68700000000001</v>
      </c>
      <c r="AF12">
        <f ca="1">IFERROR(IF(0=LEN(ReferenceData!$AF$12),"",ReferenceData!$AF$12),"")</f>
        <v>163.85900000000001</v>
      </c>
      <c r="AG12">
        <f ca="1">IFERROR(IF(0=LEN(ReferenceData!$AG$12),"",ReferenceData!$AG$12),"")</f>
        <v>150.637</v>
      </c>
      <c r="AH12">
        <f ca="1">IFERROR(IF(0=LEN(ReferenceData!$AH$12),"",ReferenceData!$AH$12),"")</f>
        <v>137.81200000000001</v>
      </c>
      <c r="AI12">
        <f ca="1">IFERROR(IF(0=LEN(ReferenceData!$AI$12),"",ReferenceData!$AI$12),"")</f>
        <v>152.39599999999999</v>
      </c>
      <c r="AJ12">
        <f ca="1">IFERROR(IF(0=LEN(ReferenceData!$AJ$12),"",ReferenceData!$AJ$12),"")</f>
        <v>150.13900000000001</v>
      </c>
      <c r="AK12">
        <f ca="1">IFERROR(IF(0=LEN(ReferenceData!$AK$12),"",ReferenceData!$AK$12),"")</f>
        <v>146.64699999999999</v>
      </c>
      <c r="AL12">
        <f ca="1">IFERROR(IF(0=LEN(ReferenceData!$AL$12),"",ReferenceData!$AL$12),"")</f>
        <v>145.15299999999999</v>
      </c>
      <c r="AM12">
        <f ca="1">IFERROR(IF(0=LEN(ReferenceData!$AM$12),"",ReferenceData!$AM$12),"")</f>
        <v>149.6</v>
      </c>
      <c r="AN12">
        <f ca="1">IFERROR(IF(0=LEN(ReferenceData!$AN$12),"",ReferenceData!$AN$12),"")</f>
        <v>149.756</v>
      </c>
      <c r="AO12">
        <f ca="1">IFERROR(IF(0=LEN(ReferenceData!$AO$12),"",ReferenceData!$AO$12),"")</f>
        <v>151.84399999999999</v>
      </c>
      <c r="AP12">
        <f ca="1">IFERROR(IF(0=LEN(ReferenceData!$AP$12),"",ReferenceData!$AP$12),"")</f>
        <v>150.61500000000001</v>
      </c>
      <c r="AQ12">
        <f ca="1">IFERROR(IF(0=LEN(ReferenceData!$AQ$12),"",ReferenceData!$AQ$12),"")</f>
        <v>149.453</v>
      </c>
      <c r="AR12">
        <f ca="1">IFERROR(IF(0=LEN(ReferenceData!$AR$12),"",ReferenceData!$AR$12),"")</f>
        <v>147.41399999999999</v>
      </c>
      <c r="AS12">
        <f ca="1">IFERROR(IF(0=LEN(ReferenceData!$AS$12),"",ReferenceData!$AS$12),"")</f>
        <v>139.95500000000001</v>
      </c>
      <c r="AT12">
        <f ca="1">IFERROR(IF(0=LEN(ReferenceData!$AT$12),"",ReferenceData!$AT$12),"")</f>
        <v>125.565</v>
      </c>
      <c r="AU12">
        <f ca="1">IFERROR(IF(0=LEN(ReferenceData!$AU$12),"",ReferenceData!$AU$12),"")</f>
        <v>125.128</v>
      </c>
      <c r="AV12">
        <f ca="1">IFERROR(IF(0=LEN(ReferenceData!$AV$12),"",ReferenceData!$AV$12),"")</f>
        <v>128.19200000000001</v>
      </c>
      <c r="AW12">
        <f ca="1">IFERROR(IF(0=LEN(ReferenceData!$AW$12),"",ReferenceData!$AW$12),"")</f>
        <v>123.68899999999999</v>
      </c>
      <c r="AX12">
        <f ca="1">IFERROR(IF(0=LEN(ReferenceData!$AX$12),"",ReferenceData!$AX$12),"")</f>
        <v>121.40600000000001</v>
      </c>
      <c r="AY12">
        <f ca="1">IFERROR(IF(0=LEN(ReferenceData!$AY$12),"",ReferenceData!$AY$12),"")</f>
        <v>120.447</v>
      </c>
      <c r="AZ12">
        <f ca="1">IFERROR(IF(0=LEN(ReferenceData!$AZ$12),"",ReferenceData!$AZ$12),"")</f>
        <v>170.393</v>
      </c>
      <c r="BA12">
        <f ca="1">IFERROR(IF(0=LEN(ReferenceData!$BA$12),"",ReferenceData!$BA$12),"")</f>
        <v>165.197</v>
      </c>
      <c r="BB12">
        <f ca="1">IFERROR(IF(0=LEN(ReferenceData!$BB$12),"",ReferenceData!$BB$12),"")</f>
        <v>166.43199999999999</v>
      </c>
      <c r="BC12">
        <f ca="1">IFERROR(IF(0=LEN(ReferenceData!$BC$12),"",ReferenceData!$BC$12),"")</f>
        <v>148.16200000000001</v>
      </c>
      <c r="BD12">
        <f ca="1">IFERROR(IF(0=LEN(ReferenceData!$BD$12),"",ReferenceData!$BD$12),"")</f>
        <v>157.715</v>
      </c>
      <c r="BE12">
        <f ca="1">IFERROR(IF(0=LEN(ReferenceData!$BE$12),"",ReferenceData!$BE$12),"")</f>
        <v>157.39099999999999</v>
      </c>
      <c r="BF12">
        <f ca="1">IFERROR(IF(0=LEN(ReferenceData!$BF$12),"",ReferenceData!$BF$12),"")</f>
        <v>158.636</v>
      </c>
      <c r="BG12">
        <f ca="1">IFERROR(IF(0=LEN(ReferenceData!$BG$12),"",ReferenceData!$BG$12),"")</f>
        <v>118.19</v>
      </c>
      <c r="BH12">
        <f ca="1">IFERROR(IF(0=LEN(ReferenceData!$BH$12),"",ReferenceData!$BH$12),"")</f>
        <v>142.59</v>
      </c>
      <c r="BI12">
        <f ca="1">IFERROR(IF(0=LEN(ReferenceData!$BI$12),"",ReferenceData!$BI$12),"")</f>
        <v>156.75399999999999</v>
      </c>
      <c r="BJ12">
        <f ca="1">IFERROR(IF(0=LEN(ReferenceData!$BJ$12),"",ReferenceData!$BJ$12),"")</f>
        <v>154.874</v>
      </c>
      <c r="BK12">
        <f ca="1">IFERROR(IF(0=LEN(ReferenceData!$BK$12),"",ReferenceData!$BK$12),"")</f>
        <v>150.67400000000001</v>
      </c>
      <c r="BL12">
        <f ca="1">IFERROR(IF(0=LEN(ReferenceData!$BL$12),"",ReferenceData!$BL$12),"")</f>
        <v>141.863</v>
      </c>
      <c r="BM12">
        <f ca="1">IFERROR(IF(0=LEN(ReferenceData!$BM$12),"",ReferenceData!$BM$12),"")</f>
        <v>143.94</v>
      </c>
    </row>
    <row r="13" spans="1:65">
      <c r="A13" t="str">
        <f>IFERROR(IF(0=LEN(ReferenceData!$A$13),"",ReferenceData!$A$13),"")</f>
        <v>其他租赁收入</v>
      </c>
      <c r="B13" t="str">
        <f>IFERROR(IF(0=LEN(ReferenceData!$B$13),"",ReferenceData!$B$13),"")</f>
        <v/>
      </c>
      <c r="C13" t="str">
        <f>IFERROR(IF(0=LEN(ReferenceData!$C$13),"",ReferenceData!$C$13),"")</f>
        <v/>
      </c>
      <c r="D13" t="str">
        <f>IFERROR(IF(0=LEN(ReferenceData!$D$13),"",ReferenceData!$D$13),"")</f>
        <v/>
      </c>
      <c r="E13" t="str">
        <f>IFERROR(IF(0=LEN(ReferenceData!$E$13),"",ReferenceData!$E$13),"")</f>
        <v>Median</v>
      </c>
      <c r="F13" t="str">
        <f ca="1">IFERROR(IF(0=LEN(ReferenceData!$F$13),"",ReferenceData!$F$13),"")</f>
        <v/>
      </c>
      <c r="G13">
        <f ca="1">IFERROR(IF(0=LEN(ReferenceData!$G$13),"",ReferenceData!$G$13),"")</f>
        <v>91.786000000000001</v>
      </c>
      <c r="H13">
        <f ca="1">IFERROR(IF(0=LEN(ReferenceData!$H$13),"",ReferenceData!$H$13),"")</f>
        <v>71.084999999999994</v>
      </c>
      <c r="I13">
        <f ca="1">IFERROR(IF(0=LEN(ReferenceData!$I$13),"",ReferenceData!$I$13),"")</f>
        <v>70.070999999999998</v>
      </c>
      <c r="J13">
        <f ca="1">IFERROR(IF(0=LEN(ReferenceData!$J$13),"",ReferenceData!$J$13),"")</f>
        <v>80.784999999999997</v>
      </c>
      <c r="K13">
        <f ca="1">IFERROR(IF(0=LEN(ReferenceData!$K$13),"",ReferenceData!$K$13),"")</f>
        <v>80.436999999999998</v>
      </c>
      <c r="L13">
        <f ca="1">IFERROR(IF(0=LEN(ReferenceData!$L$13),"",ReferenceData!$L$13),"")</f>
        <v>61.877000000000002</v>
      </c>
      <c r="M13">
        <f ca="1">IFERROR(IF(0=LEN(ReferenceData!$M$13),"",ReferenceData!$M$13),"")</f>
        <v>61.69</v>
      </c>
      <c r="N13">
        <f ca="1">IFERROR(IF(0=LEN(ReferenceData!$N$13),"",ReferenceData!$N$13),"")</f>
        <v>70.183000000000007</v>
      </c>
      <c r="O13">
        <f ca="1">IFERROR(IF(0=LEN(ReferenceData!$O$13),"",ReferenceData!$O$13),"")</f>
        <v>71.781000000000006</v>
      </c>
      <c r="P13">
        <f ca="1">IFERROR(IF(0=LEN(ReferenceData!$P$13),"",ReferenceData!$P$13),"")</f>
        <v>54.725000000000001</v>
      </c>
      <c r="Q13">
        <f ca="1">IFERROR(IF(0=LEN(ReferenceData!$Q$13),"",ReferenceData!$Q$13),"")</f>
        <v>53.734000000000002</v>
      </c>
      <c r="R13">
        <f ca="1">IFERROR(IF(0=LEN(ReferenceData!$R$13),"",ReferenceData!$R$13),"")</f>
        <v>60.383000000000003</v>
      </c>
      <c r="S13">
        <f ca="1">IFERROR(IF(0=LEN(ReferenceData!$S$13),"",ReferenceData!$S$13),"")</f>
        <v>61.645000000000003</v>
      </c>
      <c r="T13">
        <f ca="1">IFERROR(IF(0=LEN(ReferenceData!$T$13),"",ReferenceData!$T$13),"")</f>
        <v>47.656999999999996</v>
      </c>
      <c r="U13">
        <f ca="1">IFERROR(IF(0=LEN(ReferenceData!$U$13),"",ReferenceData!$U$13),"")</f>
        <v>46.308999999999997</v>
      </c>
      <c r="V13">
        <f ca="1">IFERROR(IF(0=LEN(ReferenceData!$V$13),"",ReferenceData!$V$13),"")</f>
        <v>50.710999999999999</v>
      </c>
      <c r="W13">
        <f ca="1">IFERROR(IF(0=LEN(ReferenceData!$W$13),"",ReferenceData!$W$13),"")</f>
        <v>51.139000000000003</v>
      </c>
      <c r="X13">
        <f ca="1">IFERROR(IF(0=LEN(ReferenceData!$X$13),"",ReferenceData!$X$13),"")</f>
        <v>39.549999999999997</v>
      </c>
      <c r="Y13">
        <f ca="1">IFERROR(IF(0=LEN(ReferenceData!$Y$13),"",ReferenceData!$Y$13),"")</f>
        <v>37.335000000000001</v>
      </c>
      <c r="Z13">
        <f ca="1">IFERROR(IF(0=LEN(ReferenceData!$Z$13),"",ReferenceData!$Z$13),"")</f>
        <v>39.453000000000003</v>
      </c>
      <c r="AA13">
        <f ca="1">IFERROR(IF(0=LEN(ReferenceData!$AA$13),"",ReferenceData!$AA$13),"")</f>
        <v>37.695</v>
      </c>
      <c r="AB13">
        <f ca="1">IFERROR(IF(0=LEN(ReferenceData!$AB$13),"",ReferenceData!$AB$13),"")</f>
        <v>28.829000000000001</v>
      </c>
      <c r="AC13">
        <f ca="1">IFERROR(IF(0=LEN(ReferenceData!$AC$13),"",ReferenceData!$AC$13),"")</f>
        <v>29.295000000000002</v>
      </c>
      <c r="AD13">
        <f ca="1">IFERROR(IF(0=LEN(ReferenceData!$AD$13),"",ReferenceData!$AD$13),"")</f>
        <v>31.631</v>
      </c>
      <c r="AE13">
        <f ca="1">IFERROR(IF(0=LEN(ReferenceData!$AE$13),"",ReferenceData!$AE$13),"")</f>
        <v>28.933</v>
      </c>
      <c r="AF13">
        <f ca="1">IFERROR(IF(0=LEN(ReferenceData!$AF$13),"",ReferenceData!$AF$13),"")</f>
        <v>23.431000000000001</v>
      </c>
      <c r="AG13">
        <f ca="1">IFERROR(IF(0=LEN(ReferenceData!$AG$13),"",ReferenceData!$AG$13),"")</f>
        <v>25.613</v>
      </c>
      <c r="AH13">
        <f ca="1">IFERROR(IF(0=LEN(ReferenceData!$AH$13),"",ReferenceData!$AH$13),"")</f>
        <v>26.7</v>
      </c>
      <c r="AI13">
        <f ca="1">IFERROR(IF(0=LEN(ReferenceData!$AI$13),"",ReferenceData!$AI$13),"")</f>
        <v>26.783999999999999</v>
      </c>
      <c r="AJ13">
        <f ca="1">IFERROR(IF(0=LEN(ReferenceData!$AJ$13),"",ReferenceData!$AJ$13),"")</f>
        <v>21.888999999999999</v>
      </c>
      <c r="AK13">
        <f ca="1">IFERROR(IF(0=LEN(ReferenceData!$AK$13),"",ReferenceData!$AK$13),"")</f>
        <v>23.335000000000001</v>
      </c>
      <c r="AL13">
        <f ca="1">IFERROR(IF(0=LEN(ReferenceData!$AL$13),"",ReferenceData!$AL$13),"")</f>
        <v>25.311</v>
      </c>
      <c r="AM13">
        <f ca="1">IFERROR(IF(0=LEN(ReferenceData!$AM$13),"",ReferenceData!$AM$13),"")</f>
        <v>25.757000000000001</v>
      </c>
      <c r="AN13">
        <f ca="1">IFERROR(IF(0=LEN(ReferenceData!$AN$13),"",ReferenceData!$AN$13),"")</f>
        <v>25.105</v>
      </c>
      <c r="AO13">
        <f ca="1">IFERROR(IF(0=LEN(ReferenceData!$AO$13),"",ReferenceData!$AO$13),"")</f>
        <v>27.501000000000001</v>
      </c>
      <c r="AP13">
        <f ca="1">IFERROR(IF(0=LEN(ReferenceData!$AP$13),"",ReferenceData!$AP$13),"")</f>
        <v>28.72</v>
      </c>
      <c r="AQ13" t="str">
        <f ca="1">IFERROR(IF(0=LEN(ReferenceData!$AQ$13),"",ReferenceData!$AQ$13),"")</f>
        <v/>
      </c>
      <c r="AR13" t="str">
        <f ca="1">IFERROR(IF(0=LEN(ReferenceData!$AR$13),"",ReferenceData!$AR$13),"")</f>
        <v/>
      </c>
      <c r="AS13" t="str">
        <f ca="1">IFERROR(IF(0=LEN(ReferenceData!$AS$13),"",ReferenceData!$AS$13),"")</f>
        <v/>
      </c>
      <c r="AT13" t="str">
        <f ca="1">IFERROR(IF(0=LEN(ReferenceData!$AT$13),"",ReferenceData!$AT$13),"")</f>
        <v/>
      </c>
      <c r="AU13" t="str">
        <f ca="1">IFERROR(IF(0=LEN(ReferenceData!$AU$13),"",ReferenceData!$AU$13),"")</f>
        <v/>
      </c>
      <c r="AV13" t="str">
        <f ca="1">IFERROR(IF(0=LEN(ReferenceData!$AV$13),"",ReferenceData!$AV$13),"")</f>
        <v/>
      </c>
      <c r="AW13" t="str">
        <f ca="1">IFERROR(IF(0=LEN(ReferenceData!$AW$13),"",ReferenceData!$AW$13),"")</f>
        <v/>
      </c>
      <c r="AX13" t="str">
        <f ca="1">IFERROR(IF(0=LEN(ReferenceData!$AX$13),"",ReferenceData!$AX$13),"")</f>
        <v/>
      </c>
      <c r="AY13" t="str">
        <f ca="1">IFERROR(IF(0=LEN(ReferenceData!$AY$13),"",ReferenceData!$AY$13),"")</f>
        <v/>
      </c>
      <c r="AZ13" t="str">
        <f ca="1">IFERROR(IF(0=LEN(ReferenceData!$AZ$13),"",ReferenceData!$AZ$13),"")</f>
        <v/>
      </c>
      <c r="BA13" t="str">
        <f ca="1">IFERROR(IF(0=LEN(ReferenceData!$BA$13),"",ReferenceData!$BA$13),"")</f>
        <v/>
      </c>
      <c r="BB13" t="str">
        <f ca="1">IFERROR(IF(0=LEN(ReferenceData!$BB$13),"",ReferenceData!$BB$13),"")</f>
        <v/>
      </c>
      <c r="BC13" t="str">
        <f ca="1">IFERROR(IF(0=LEN(ReferenceData!$BC$13),"",ReferenceData!$BC$13),"")</f>
        <v/>
      </c>
      <c r="BD13" t="str">
        <f ca="1">IFERROR(IF(0=LEN(ReferenceData!$BD$13),"",ReferenceData!$BD$13),"")</f>
        <v/>
      </c>
      <c r="BE13" t="str">
        <f ca="1">IFERROR(IF(0=LEN(ReferenceData!$BE$13),"",ReferenceData!$BE$13),"")</f>
        <v/>
      </c>
      <c r="BF13" t="str">
        <f ca="1">IFERROR(IF(0=LEN(ReferenceData!$BF$13),"",ReferenceData!$BF$13),"")</f>
        <v/>
      </c>
      <c r="BG13" t="str">
        <f ca="1">IFERROR(IF(0=LEN(ReferenceData!$BG$13),"",ReferenceData!$BG$13),"")</f>
        <v/>
      </c>
      <c r="BH13" t="str">
        <f ca="1">IFERROR(IF(0=LEN(ReferenceData!$BH$13),"",ReferenceData!$BH$13),"")</f>
        <v/>
      </c>
      <c r="BI13" t="str">
        <f ca="1">IFERROR(IF(0=LEN(ReferenceData!$BI$13),"",ReferenceData!$BI$13),"")</f>
        <v/>
      </c>
      <c r="BJ13" t="str">
        <f ca="1">IFERROR(IF(0=LEN(ReferenceData!$BJ$13),"",ReferenceData!$BJ$13),"")</f>
        <v/>
      </c>
      <c r="BK13" t="str">
        <f ca="1">IFERROR(IF(0=LEN(ReferenceData!$BK$13),"",ReferenceData!$BK$13),"")</f>
        <v/>
      </c>
      <c r="BL13" t="str">
        <f ca="1">IFERROR(IF(0=LEN(ReferenceData!$BL$13),"",ReferenceData!$BL$13),"")</f>
        <v/>
      </c>
      <c r="BM13" t="str">
        <f ca="1">IFERROR(IF(0=LEN(ReferenceData!$BM$13),"",ReferenceData!$BM$13),"")</f>
        <v/>
      </c>
    </row>
    <row r="14" spans="1:65">
      <c r="A14" t="str">
        <f>IFERROR(IF(0=LEN(ReferenceData!$A$14),"",ReferenceData!$A$14),"")</f>
        <v xml:space="preserve">    American Campus Communities In</v>
      </c>
      <c r="B14" t="str">
        <f>IFERROR(IF(0=LEN(ReferenceData!$B$14),"",ReferenceData!$B$14),"")</f>
        <v>ACC US Equity</v>
      </c>
      <c r="C14" t="str">
        <f>IFERROR(IF(0=LEN(ReferenceData!$C$14),"",ReferenceData!$C$14),"")</f>
        <v>IM275</v>
      </c>
      <c r="D14" t="str">
        <f>IFERROR(IF(0=LEN(ReferenceData!$D$14),"",ReferenceData!$D$14),"")</f>
        <v>IS_OTHER_RENTAL_INCOME</v>
      </c>
      <c r="E14" t="str">
        <f>IFERROR(IF(0=LEN(ReferenceData!$E$14),"",ReferenceData!$E$14),"")</f>
        <v>动态</v>
      </c>
      <c r="F14" t="str">
        <f ca="1">IFERROR(IF(0=LEN(ReferenceData!$F$14),"",ReferenceData!$F$14),"")</f>
        <v/>
      </c>
      <c r="G14" t="str">
        <f ca="1">IFERROR(IF(0=LEN(ReferenceData!$G$14),"",ReferenceData!$G$14),"")</f>
        <v/>
      </c>
      <c r="H14" t="str">
        <f ca="1">IFERROR(IF(0=LEN(ReferenceData!$H$14),"",ReferenceData!$H$14),"")</f>
        <v/>
      </c>
      <c r="I14" t="str">
        <f ca="1">IFERROR(IF(0=LEN(ReferenceData!$I$14),"",ReferenceData!$I$14),"")</f>
        <v/>
      </c>
      <c r="J14" t="str">
        <f ca="1">IFERROR(IF(0=LEN(ReferenceData!$J$14),"",ReferenceData!$J$14),"")</f>
        <v/>
      </c>
      <c r="K14" t="str">
        <f ca="1">IFERROR(IF(0=LEN(ReferenceData!$K$14),"",ReferenceData!$K$14),"")</f>
        <v/>
      </c>
      <c r="L14" t="str">
        <f ca="1">IFERROR(IF(0=LEN(ReferenceData!$L$14),"",ReferenceData!$L$14),"")</f>
        <v/>
      </c>
      <c r="M14" t="str">
        <f ca="1">IFERROR(IF(0=LEN(ReferenceData!$M$14),"",ReferenceData!$M$14),"")</f>
        <v/>
      </c>
      <c r="N14" t="str">
        <f ca="1">IFERROR(IF(0=LEN(ReferenceData!$N$14),"",ReferenceData!$N$14),"")</f>
        <v/>
      </c>
      <c r="O14" t="str">
        <f ca="1">IFERROR(IF(0=LEN(ReferenceData!$O$14),"",ReferenceData!$O$14),"")</f>
        <v/>
      </c>
      <c r="P14" t="str">
        <f ca="1">IFERROR(IF(0=LEN(ReferenceData!$P$14),"",ReferenceData!$P$14),"")</f>
        <v/>
      </c>
      <c r="Q14" t="str">
        <f ca="1">IFERROR(IF(0=LEN(ReferenceData!$Q$14),"",ReferenceData!$Q$14),"")</f>
        <v/>
      </c>
      <c r="R14" t="str">
        <f ca="1">IFERROR(IF(0=LEN(ReferenceData!$R$14),"",ReferenceData!$R$14),"")</f>
        <v/>
      </c>
      <c r="S14" t="str">
        <f ca="1">IFERROR(IF(0=LEN(ReferenceData!$S$14),"",ReferenceData!$S$14),"")</f>
        <v/>
      </c>
      <c r="T14" t="str">
        <f ca="1">IFERROR(IF(0=LEN(ReferenceData!$T$14),"",ReferenceData!$T$14),"")</f>
        <v/>
      </c>
      <c r="U14" t="str">
        <f ca="1">IFERROR(IF(0=LEN(ReferenceData!$U$14),"",ReferenceData!$U$14),"")</f>
        <v/>
      </c>
      <c r="V14" t="str">
        <f ca="1">IFERROR(IF(0=LEN(ReferenceData!$V$14),"",ReferenceData!$V$14),"")</f>
        <v/>
      </c>
      <c r="W14" t="str">
        <f ca="1">IFERROR(IF(0=LEN(ReferenceData!$W$14),"",ReferenceData!$W$14),"")</f>
        <v/>
      </c>
      <c r="X14" t="str">
        <f ca="1">IFERROR(IF(0=LEN(ReferenceData!$X$14),"",ReferenceData!$X$14),"")</f>
        <v/>
      </c>
      <c r="Y14" t="str">
        <f ca="1">IFERROR(IF(0=LEN(ReferenceData!$Y$14),"",ReferenceData!$Y$14),"")</f>
        <v/>
      </c>
      <c r="Z14" t="str">
        <f ca="1">IFERROR(IF(0=LEN(ReferenceData!$Z$14),"",ReferenceData!$Z$14),"")</f>
        <v/>
      </c>
      <c r="AA14" t="str">
        <f ca="1">IFERROR(IF(0=LEN(ReferenceData!$AA$14),"",ReferenceData!$AA$14),"")</f>
        <v/>
      </c>
      <c r="AB14" t="str">
        <f ca="1">IFERROR(IF(0=LEN(ReferenceData!$AB$14),"",ReferenceData!$AB$14),"")</f>
        <v/>
      </c>
      <c r="AC14" t="str">
        <f ca="1">IFERROR(IF(0=LEN(ReferenceData!$AC$14),"",ReferenceData!$AC$14),"")</f>
        <v/>
      </c>
      <c r="AD14" t="str">
        <f ca="1">IFERROR(IF(0=LEN(ReferenceData!$AD$14),"",ReferenceData!$AD$14),"")</f>
        <v/>
      </c>
      <c r="AE14" t="str">
        <f ca="1">IFERROR(IF(0=LEN(ReferenceData!$AE$14),"",ReferenceData!$AE$14),"")</f>
        <v/>
      </c>
      <c r="AF14" t="str">
        <f ca="1">IFERROR(IF(0=LEN(ReferenceData!$AF$14),"",ReferenceData!$AF$14),"")</f>
        <v/>
      </c>
      <c r="AG14" t="str">
        <f ca="1">IFERROR(IF(0=LEN(ReferenceData!$AG$14),"",ReferenceData!$AG$14),"")</f>
        <v/>
      </c>
      <c r="AH14" t="str">
        <f ca="1">IFERROR(IF(0=LEN(ReferenceData!$AH$14),"",ReferenceData!$AH$14),"")</f>
        <v/>
      </c>
      <c r="AI14" t="str">
        <f ca="1">IFERROR(IF(0=LEN(ReferenceData!$AI$14),"",ReferenceData!$AI$14),"")</f>
        <v/>
      </c>
      <c r="AJ14" t="str">
        <f ca="1">IFERROR(IF(0=LEN(ReferenceData!$AJ$14),"",ReferenceData!$AJ$14),"")</f>
        <v/>
      </c>
      <c r="AK14" t="str">
        <f ca="1">IFERROR(IF(0=LEN(ReferenceData!$AK$14),"",ReferenceData!$AK$14),"")</f>
        <v/>
      </c>
      <c r="AL14" t="str">
        <f ca="1">IFERROR(IF(0=LEN(ReferenceData!$AL$14),"",ReferenceData!$AL$14),"")</f>
        <v/>
      </c>
      <c r="AM14" t="str">
        <f ca="1">IFERROR(IF(0=LEN(ReferenceData!$AM$14),"",ReferenceData!$AM$14),"")</f>
        <v/>
      </c>
      <c r="AN14" t="str">
        <f ca="1">IFERROR(IF(0=LEN(ReferenceData!$AN$14),"",ReferenceData!$AN$14),"")</f>
        <v/>
      </c>
      <c r="AO14" t="str">
        <f ca="1">IFERROR(IF(0=LEN(ReferenceData!$AO$14),"",ReferenceData!$AO$14),"")</f>
        <v/>
      </c>
      <c r="AP14" t="str">
        <f ca="1">IFERROR(IF(0=LEN(ReferenceData!$AP$14),"",ReferenceData!$AP$14),"")</f>
        <v/>
      </c>
      <c r="AQ14" t="str">
        <f ca="1">IFERROR(IF(0=LEN(ReferenceData!$AQ$14),"",ReferenceData!$AQ$14),"")</f>
        <v/>
      </c>
      <c r="AR14" t="str">
        <f ca="1">IFERROR(IF(0=LEN(ReferenceData!$AR$14),"",ReferenceData!$AR$14),"")</f>
        <v/>
      </c>
      <c r="AS14" t="str">
        <f ca="1">IFERROR(IF(0=LEN(ReferenceData!$AS$14),"",ReferenceData!$AS$14),"")</f>
        <v/>
      </c>
      <c r="AT14" t="str">
        <f ca="1">IFERROR(IF(0=LEN(ReferenceData!$AT$14),"",ReferenceData!$AT$14),"")</f>
        <v/>
      </c>
      <c r="AU14" t="str">
        <f ca="1">IFERROR(IF(0=LEN(ReferenceData!$AU$14),"",ReferenceData!$AU$14),"")</f>
        <v/>
      </c>
      <c r="AV14" t="str">
        <f ca="1">IFERROR(IF(0=LEN(ReferenceData!$AV$14),"",ReferenceData!$AV$14),"")</f>
        <v/>
      </c>
      <c r="AW14" t="str">
        <f ca="1">IFERROR(IF(0=LEN(ReferenceData!$AW$14),"",ReferenceData!$AW$14),"")</f>
        <v/>
      </c>
      <c r="AX14" t="str">
        <f ca="1">IFERROR(IF(0=LEN(ReferenceData!$AX$14),"",ReferenceData!$AX$14),"")</f>
        <v/>
      </c>
      <c r="AY14" t="str">
        <f ca="1">IFERROR(IF(0=LEN(ReferenceData!$AY$14),"",ReferenceData!$AY$14),"")</f>
        <v/>
      </c>
      <c r="AZ14" t="str">
        <f ca="1">IFERROR(IF(0=LEN(ReferenceData!$AZ$14),"",ReferenceData!$AZ$14),"")</f>
        <v/>
      </c>
      <c r="BA14" t="str">
        <f ca="1">IFERROR(IF(0=LEN(ReferenceData!$BA$14),"",ReferenceData!$BA$14),"")</f>
        <v/>
      </c>
      <c r="BB14" t="str">
        <f ca="1">IFERROR(IF(0=LEN(ReferenceData!$BB$14),"",ReferenceData!$BB$14),"")</f>
        <v/>
      </c>
      <c r="BC14" t="str">
        <f ca="1">IFERROR(IF(0=LEN(ReferenceData!$BC$14),"",ReferenceData!$BC$14),"")</f>
        <v/>
      </c>
      <c r="BD14" t="str">
        <f ca="1">IFERROR(IF(0=LEN(ReferenceData!$BD$14),"",ReferenceData!$BD$14),"")</f>
        <v/>
      </c>
      <c r="BE14" t="str">
        <f ca="1">IFERROR(IF(0=LEN(ReferenceData!$BE$14),"",ReferenceData!$BE$14),"")</f>
        <v/>
      </c>
      <c r="BF14" t="str">
        <f ca="1">IFERROR(IF(0=LEN(ReferenceData!$BF$14),"",ReferenceData!$BF$14),"")</f>
        <v/>
      </c>
      <c r="BG14" t="str">
        <f ca="1">IFERROR(IF(0=LEN(ReferenceData!$BG$14),"",ReferenceData!$BG$14),"")</f>
        <v/>
      </c>
      <c r="BH14" t="str">
        <f ca="1">IFERROR(IF(0=LEN(ReferenceData!$BH$14),"",ReferenceData!$BH$14),"")</f>
        <v/>
      </c>
      <c r="BI14" t="str">
        <f ca="1">IFERROR(IF(0=LEN(ReferenceData!$BI$14),"",ReferenceData!$BI$14),"")</f>
        <v/>
      </c>
      <c r="BJ14" t="str">
        <f ca="1">IFERROR(IF(0=LEN(ReferenceData!$BJ$14),"",ReferenceData!$BJ$14),"")</f>
        <v/>
      </c>
      <c r="BK14" t="str">
        <f ca="1">IFERROR(IF(0=LEN(ReferenceData!$BK$14),"",ReferenceData!$BK$14),"")</f>
        <v/>
      </c>
      <c r="BL14" t="str">
        <f ca="1">IFERROR(IF(0=LEN(ReferenceData!$BL$14),"",ReferenceData!$BL$14),"")</f>
        <v/>
      </c>
      <c r="BM14" t="str">
        <f ca="1">IFERROR(IF(0=LEN(ReferenceData!$BM$14),"",ReferenceData!$BM$14),"")</f>
        <v/>
      </c>
    </row>
    <row r="15" spans="1:65">
      <c r="A15" t="str">
        <f>IFERROR(IF(0=LEN(ReferenceData!$A$15),"",ReferenceData!$A$15),"")</f>
        <v xml:space="preserve">    AvalonBay Communities Inc</v>
      </c>
      <c r="B15" t="str">
        <f>IFERROR(IF(0=LEN(ReferenceData!$B$15),"",ReferenceData!$B$15),"")</f>
        <v>AVB US Equity</v>
      </c>
      <c r="C15" t="str">
        <f>IFERROR(IF(0=LEN(ReferenceData!$C$15),"",ReferenceData!$C$15),"")</f>
        <v>IM275</v>
      </c>
      <c r="D15" t="str">
        <f>IFERROR(IF(0=LEN(ReferenceData!$D$15),"",ReferenceData!$D$15),"")</f>
        <v>IS_OTHER_RENTAL_INCOME</v>
      </c>
      <c r="E15" t="str">
        <f>IFERROR(IF(0=LEN(ReferenceData!$E$15),"",ReferenceData!$E$15),"")</f>
        <v>动态</v>
      </c>
      <c r="F15" t="str">
        <f ca="1">IFERROR(IF(0=LEN(ReferenceData!$F$15),"",ReferenceData!$F$15),"")</f>
        <v/>
      </c>
      <c r="G15" t="str">
        <f ca="1">IFERROR(IF(0=LEN(ReferenceData!$G$15),"",ReferenceData!$G$15),"")</f>
        <v/>
      </c>
      <c r="H15" t="str">
        <f ca="1">IFERROR(IF(0=LEN(ReferenceData!$H$15),"",ReferenceData!$H$15),"")</f>
        <v/>
      </c>
      <c r="I15" t="str">
        <f ca="1">IFERROR(IF(0=LEN(ReferenceData!$I$15),"",ReferenceData!$I$15),"")</f>
        <v/>
      </c>
      <c r="J15" t="str">
        <f ca="1">IFERROR(IF(0=LEN(ReferenceData!$J$15),"",ReferenceData!$J$15),"")</f>
        <v/>
      </c>
      <c r="K15" t="str">
        <f ca="1">IFERROR(IF(0=LEN(ReferenceData!$K$15),"",ReferenceData!$K$15),"")</f>
        <v/>
      </c>
      <c r="L15" t="str">
        <f ca="1">IFERROR(IF(0=LEN(ReferenceData!$L$15),"",ReferenceData!$L$15),"")</f>
        <v/>
      </c>
      <c r="M15" t="str">
        <f ca="1">IFERROR(IF(0=LEN(ReferenceData!$M$15),"",ReferenceData!$M$15),"")</f>
        <v/>
      </c>
      <c r="N15" t="str">
        <f ca="1">IFERROR(IF(0=LEN(ReferenceData!$N$15),"",ReferenceData!$N$15),"")</f>
        <v/>
      </c>
      <c r="O15" t="str">
        <f ca="1">IFERROR(IF(0=LEN(ReferenceData!$O$15),"",ReferenceData!$O$15),"")</f>
        <v/>
      </c>
      <c r="P15" t="str">
        <f ca="1">IFERROR(IF(0=LEN(ReferenceData!$P$15),"",ReferenceData!$P$15),"")</f>
        <v/>
      </c>
      <c r="Q15" t="str">
        <f ca="1">IFERROR(IF(0=LEN(ReferenceData!$Q$15),"",ReferenceData!$Q$15),"")</f>
        <v/>
      </c>
      <c r="R15" t="str">
        <f ca="1">IFERROR(IF(0=LEN(ReferenceData!$R$15),"",ReferenceData!$R$15),"")</f>
        <v/>
      </c>
      <c r="S15" t="str">
        <f ca="1">IFERROR(IF(0=LEN(ReferenceData!$S$15),"",ReferenceData!$S$15),"")</f>
        <v/>
      </c>
      <c r="T15" t="str">
        <f ca="1">IFERROR(IF(0=LEN(ReferenceData!$T$15),"",ReferenceData!$T$15),"")</f>
        <v/>
      </c>
      <c r="U15" t="str">
        <f ca="1">IFERROR(IF(0=LEN(ReferenceData!$U$15),"",ReferenceData!$U$15),"")</f>
        <v/>
      </c>
      <c r="V15" t="str">
        <f ca="1">IFERROR(IF(0=LEN(ReferenceData!$V$15),"",ReferenceData!$V$15),"")</f>
        <v/>
      </c>
      <c r="W15" t="str">
        <f ca="1">IFERROR(IF(0=LEN(ReferenceData!$W$15),"",ReferenceData!$W$15),"")</f>
        <v/>
      </c>
      <c r="X15" t="str">
        <f ca="1">IFERROR(IF(0=LEN(ReferenceData!$X$15),"",ReferenceData!$X$15),"")</f>
        <v/>
      </c>
      <c r="Y15" t="str">
        <f ca="1">IFERROR(IF(0=LEN(ReferenceData!$Y$15),"",ReferenceData!$Y$15),"")</f>
        <v/>
      </c>
      <c r="Z15" t="str">
        <f ca="1">IFERROR(IF(0=LEN(ReferenceData!$Z$15),"",ReferenceData!$Z$15),"")</f>
        <v/>
      </c>
      <c r="AA15" t="str">
        <f ca="1">IFERROR(IF(0=LEN(ReferenceData!$AA$15),"",ReferenceData!$AA$15),"")</f>
        <v/>
      </c>
      <c r="AB15" t="str">
        <f ca="1">IFERROR(IF(0=LEN(ReferenceData!$AB$15),"",ReferenceData!$AB$15),"")</f>
        <v/>
      </c>
      <c r="AC15" t="str">
        <f ca="1">IFERROR(IF(0=LEN(ReferenceData!$AC$15),"",ReferenceData!$AC$15),"")</f>
        <v/>
      </c>
      <c r="AD15" t="str">
        <f ca="1">IFERROR(IF(0=LEN(ReferenceData!$AD$15),"",ReferenceData!$AD$15),"")</f>
        <v/>
      </c>
      <c r="AE15" t="str">
        <f ca="1">IFERROR(IF(0=LEN(ReferenceData!$AE$15),"",ReferenceData!$AE$15),"")</f>
        <v/>
      </c>
      <c r="AF15" t="str">
        <f ca="1">IFERROR(IF(0=LEN(ReferenceData!$AF$15),"",ReferenceData!$AF$15),"")</f>
        <v/>
      </c>
      <c r="AG15" t="str">
        <f ca="1">IFERROR(IF(0=LEN(ReferenceData!$AG$15),"",ReferenceData!$AG$15),"")</f>
        <v/>
      </c>
      <c r="AH15" t="str">
        <f ca="1">IFERROR(IF(0=LEN(ReferenceData!$AH$15),"",ReferenceData!$AH$15),"")</f>
        <v/>
      </c>
      <c r="AI15" t="str">
        <f ca="1">IFERROR(IF(0=LEN(ReferenceData!$AI$15),"",ReferenceData!$AI$15),"")</f>
        <v/>
      </c>
      <c r="AJ15" t="str">
        <f ca="1">IFERROR(IF(0=LEN(ReferenceData!$AJ$15),"",ReferenceData!$AJ$15),"")</f>
        <v/>
      </c>
      <c r="AK15" t="str">
        <f ca="1">IFERROR(IF(0=LEN(ReferenceData!$AK$15),"",ReferenceData!$AK$15),"")</f>
        <v/>
      </c>
      <c r="AL15" t="str">
        <f ca="1">IFERROR(IF(0=LEN(ReferenceData!$AL$15),"",ReferenceData!$AL$15),"")</f>
        <v/>
      </c>
      <c r="AM15" t="str">
        <f ca="1">IFERROR(IF(0=LEN(ReferenceData!$AM$15),"",ReferenceData!$AM$15),"")</f>
        <v/>
      </c>
      <c r="AN15" t="str">
        <f ca="1">IFERROR(IF(0=LEN(ReferenceData!$AN$15),"",ReferenceData!$AN$15),"")</f>
        <v/>
      </c>
      <c r="AO15" t="str">
        <f ca="1">IFERROR(IF(0=LEN(ReferenceData!$AO$15),"",ReferenceData!$AO$15),"")</f>
        <v/>
      </c>
      <c r="AP15" t="str">
        <f ca="1">IFERROR(IF(0=LEN(ReferenceData!$AP$15),"",ReferenceData!$AP$15),"")</f>
        <v/>
      </c>
      <c r="AQ15" t="str">
        <f ca="1">IFERROR(IF(0=LEN(ReferenceData!$AQ$15),"",ReferenceData!$AQ$15),"")</f>
        <v/>
      </c>
      <c r="AR15" t="str">
        <f ca="1">IFERROR(IF(0=LEN(ReferenceData!$AR$15),"",ReferenceData!$AR$15),"")</f>
        <v/>
      </c>
      <c r="AS15" t="str">
        <f ca="1">IFERROR(IF(0=LEN(ReferenceData!$AS$15),"",ReferenceData!$AS$15),"")</f>
        <v/>
      </c>
      <c r="AT15" t="str">
        <f ca="1">IFERROR(IF(0=LEN(ReferenceData!$AT$15),"",ReferenceData!$AT$15),"")</f>
        <v/>
      </c>
      <c r="AU15" t="str">
        <f ca="1">IFERROR(IF(0=LEN(ReferenceData!$AU$15),"",ReferenceData!$AU$15),"")</f>
        <v/>
      </c>
      <c r="AV15" t="str">
        <f ca="1">IFERROR(IF(0=LEN(ReferenceData!$AV$15),"",ReferenceData!$AV$15),"")</f>
        <v/>
      </c>
      <c r="AW15" t="str">
        <f ca="1">IFERROR(IF(0=LEN(ReferenceData!$AW$15),"",ReferenceData!$AW$15),"")</f>
        <v/>
      </c>
      <c r="AX15" t="str">
        <f ca="1">IFERROR(IF(0=LEN(ReferenceData!$AX$15),"",ReferenceData!$AX$15),"")</f>
        <v/>
      </c>
      <c r="AY15" t="str">
        <f ca="1">IFERROR(IF(0=LEN(ReferenceData!$AY$15),"",ReferenceData!$AY$15),"")</f>
        <v/>
      </c>
      <c r="AZ15" t="str">
        <f ca="1">IFERROR(IF(0=LEN(ReferenceData!$AZ$15),"",ReferenceData!$AZ$15),"")</f>
        <v/>
      </c>
      <c r="BA15" t="str">
        <f ca="1">IFERROR(IF(0=LEN(ReferenceData!$BA$15),"",ReferenceData!$BA$15),"")</f>
        <v/>
      </c>
      <c r="BB15" t="str">
        <f ca="1">IFERROR(IF(0=LEN(ReferenceData!$BB$15),"",ReferenceData!$BB$15),"")</f>
        <v/>
      </c>
      <c r="BC15" t="str">
        <f ca="1">IFERROR(IF(0=LEN(ReferenceData!$BC$15),"",ReferenceData!$BC$15),"")</f>
        <v/>
      </c>
      <c r="BD15" t="str">
        <f ca="1">IFERROR(IF(0=LEN(ReferenceData!$BD$15),"",ReferenceData!$BD$15),"")</f>
        <v/>
      </c>
      <c r="BE15" t="str">
        <f ca="1">IFERROR(IF(0=LEN(ReferenceData!$BE$15),"",ReferenceData!$BE$15),"")</f>
        <v/>
      </c>
      <c r="BF15" t="str">
        <f ca="1">IFERROR(IF(0=LEN(ReferenceData!$BF$15),"",ReferenceData!$BF$15),"")</f>
        <v/>
      </c>
      <c r="BG15" t="str">
        <f ca="1">IFERROR(IF(0=LEN(ReferenceData!$BG$15),"",ReferenceData!$BG$15),"")</f>
        <v/>
      </c>
      <c r="BH15" t="str">
        <f ca="1">IFERROR(IF(0=LEN(ReferenceData!$BH$15),"",ReferenceData!$BH$15),"")</f>
        <v/>
      </c>
      <c r="BI15" t="str">
        <f ca="1">IFERROR(IF(0=LEN(ReferenceData!$BI$15),"",ReferenceData!$BI$15),"")</f>
        <v/>
      </c>
      <c r="BJ15" t="str">
        <f ca="1">IFERROR(IF(0=LEN(ReferenceData!$BJ$15),"",ReferenceData!$BJ$15),"")</f>
        <v/>
      </c>
      <c r="BK15" t="str">
        <f ca="1">IFERROR(IF(0=LEN(ReferenceData!$BK$15),"",ReferenceData!$BK$15),"")</f>
        <v/>
      </c>
      <c r="BL15" t="str">
        <f ca="1">IFERROR(IF(0=LEN(ReferenceData!$BL$15),"",ReferenceData!$BL$15),"")</f>
        <v/>
      </c>
      <c r="BM15" t="str">
        <f ca="1">IFERROR(IF(0=LEN(ReferenceData!$BM$15),"",ReferenceData!$BM$15),"")</f>
        <v/>
      </c>
    </row>
    <row r="16" spans="1:65">
      <c r="A16" t="str">
        <f>IFERROR(IF(0=LEN(ReferenceData!$A$16),"",ReferenceData!$A$16),"")</f>
        <v xml:space="preserve">    Camden Property Trust</v>
      </c>
      <c r="B16" t="str">
        <f>IFERROR(IF(0=LEN(ReferenceData!$B$16),"",ReferenceData!$B$16),"")</f>
        <v>CPT US Equity</v>
      </c>
      <c r="C16" t="str">
        <f>IFERROR(IF(0=LEN(ReferenceData!$C$16),"",ReferenceData!$C$16),"")</f>
        <v>IM275</v>
      </c>
      <c r="D16" t="str">
        <f>IFERROR(IF(0=LEN(ReferenceData!$D$16),"",ReferenceData!$D$16),"")</f>
        <v>IS_OTHER_RENTAL_INCOME</v>
      </c>
      <c r="E16" t="str">
        <f>IFERROR(IF(0=LEN(ReferenceData!$E$16),"",ReferenceData!$E$16),"")</f>
        <v>动态</v>
      </c>
      <c r="F16" t="str">
        <f ca="1">IFERROR(IF(0=LEN(ReferenceData!$F$16),"",ReferenceData!$F$16),"")</f>
        <v/>
      </c>
      <c r="G16" t="str">
        <f ca="1">IFERROR(IF(0=LEN(ReferenceData!$G$16),"",ReferenceData!$G$16),"")</f>
        <v/>
      </c>
      <c r="H16" t="str">
        <f ca="1">IFERROR(IF(0=LEN(ReferenceData!$H$16),"",ReferenceData!$H$16),"")</f>
        <v/>
      </c>
      <c r="I16" t="str">
        <f ca="1">IFERROR(IF(0=LEN(ReferenceData!$I$16),"",ReferenceData!$I$16),"")</f>
        <v/>
      </c>
      <c r="J16" t="str">
        <f ca="1">IFERROR(IF(0=LEN(ReferenceData!$J$16),"",ReferenceData!$J$16),"")</f>
        <v/>
      </c>
      <c r="K16" t="str">
        <f ca="1">IFERROR(IF(0=LEN(ReferenceData!$K$16),"",ReferenceData!$K$16),"")</f>
        <v/>
      </c>
      <c r="L16" t="str">
        <f ca="1">IFERROR(IF(0=LEN(ReferenceData!$L$16),"",ReferenceData!$L$16),"")</f>
        <v/>
      </c>
      <c r="M16" t="str">
        <f ca="1">IFERROR(IF(0=LEN(ReferenceData!$M$16),"",ReferenceData!$M$16),"")</f>
        <v/>
      </c>
      <c r="N16" t="str">
        <f ca="1">IFERROR(IF(0=LEN(ReferenceData!$N$16),"",ReferenceData!$N$16),"")</f>
        <v/>
      </c>
      <c r="O16" t="str">
        <f ca="1">IFERROR(IF(0=LEN(ReferenceData!$O$16),"",ReferenceData!$O$16),"")</f>
        <v/>
      </c>
      <c r="P16" t="str">
        <f ca="1">IFERROR(IF(0=LEN(ReferenceData!$P$16),"",ReferenceData!$P$16),"")</f>
        <v/>
      </c>
      <c r="Q16" t="str">
        <f ca="1">IFERROR(IF(0=LEN(ReferenceData!$Q$16),"",ReferenceData!$Q$16),"")</f>
        <v/>
      </c>
      <c r="R16" t="str">
        <f ca="1">IFERROR(IF(0=LEN(ReferenceData!$R$16),"",ReferenceData!$R$16),"")</f>
        <v/>
      </c>
      <c r="S16" t="str">
        <f ca="1">IFERROR(IF(0=LEN(ReferenceData!$S$16),"",ReferenceData!$S$16),"")</f>
        <v/>
      </c>
      <c r="T16" t="str">
        <f ca="1">IFERROR(IF(0=LEN(ReferenceData!$T$16),"",ReferenceData!$T$16),"")</f>
        <v/>
      </c>
      <c r="U16" t="str">
        <f ca="1">IFERROR(IF(0=LEN(ReferenceData!$U$16),"",ReferenceData!$U$16),"")</f>
        <v/>
      </c>
      <c r="V16" t="str">
        <f ca="1">IFERROR(IF(0=LEN(ReferenceData!$V$16),"",ReferenceData!$V$16),"")</f>
        <v/>
      </c>
      <c r="W16" t="str">
        <f ca="1">IFERROR(IF(0=LEN(ReferenceData!$W$16),"",ReferenceData!$W$16),"")</f>
        <v/>
      </c>
      <c r="X16" t="str">
        <f ca="1">IFERROR(IF(0=LEN(ReferenceData!$X$16),"",ReferenceData!$X$16),"")</f>
        <v/>
      </c>
      <c r="Y16" t="str">
        <f ca="1">IFERROR(IF(0=LEN(ReferenceData!$Y$16),"",ReferenceData!$Y$16),"")</f>
        <v/>
      </c>
      <c r="Z16" t="str">
        <f ca="1">IFERROR(IF(0=LEN(ReferenceData!$Z$16),"",ReferenceData!$Z$16),"")</f>
        <v/>
      </c>
      <c r="AA16" t="str">
        <f ca="1">IFERROR(IF(0=LEN(ReferenceData!$AA$16),"",ReferenceData!$AA$16),"")</f>
        <v/>
      </c>
      <c r="AB16" t="str">
        <f ca="1">IFERROR(IF(0=LEN(ReferenceData!$AB$16),"",ReferenceData!$AB$16),"")</f>
        <v/>
      </c>
      <c r="AC16" t="str">
        <f ca="1">IFERROR(IF(0=LEN(ReferenceData!$AC$16),"",ReferenceData!$AC$16),"")</f>
        <v/>
      </c>
      <c r="AD16" t="str">
        <f ca="1">IFERROR(IF(0=LEN(ReferenceData!$AD$16),"",ReferenceData!$AD$16),"")</f>
        <v/>
      </c>
      <c r="AE16" t="str">
        <f ca="1">IFERROR(IF(0=LEN(ReferenceData!$AE$16),"",ReferenceData!$AE$16),"")</f>
        <v/>
      </c>
      <c r="AF16" t="str">
        <f ca="1">IFERROR(IF(0=LEN(ReferenceData!$AF$16),"",ReferenceData!$AF$16),"")</f>
        <v/>
      </c>
      <c r="AG16" t="str">
        <f ca="1">IFERROR(IF(0=LEN(ReferenceData!$AG$16),"",ReferenceData!$AG$16),"")</f>
        <v/>
      </c>
      <c r="AH16" t="str">
        <f ca="1">IFERROR(IF(0=LEN(ReferenceData!$AH$16),"",ReferenceData!$AH$16),"")</f>
        <v/>
      </c>
      <c r="AI16" t="str">
        <f ca="1">IFERROR(IF(0=LEN(ReferenceData!$AI$16),"",ReferenceData!$AI$16),"")</f>
        <v/>
      </c>
      <c r="AJ16" t="str">
        <f ca="1">IFERROR(IF(0=LEN(ReferenceData!$AJ$16),"",ReferenceData!$AJ$16),"")</f>
        <v/>
      </c>
      <c r="AK16" t="str">
        <f ca="1">IFERROR(IF(0=LEN(ReferenceData!$AK$16),"",ReferenceData!$AK$16),"")</f>
        <v/>
      </c>
      <c r="AL16" t="str">
        <f ca="1">IFERROR(IF(0=LEN(ReferenceData!$AL$16),"",ReferenceData!$AL$16),"")</f>
        <v/>
      </c>
      <c r="AM16" t="str">
        <f ca="1">IFERROR(IF(0=LEN(ReferenceData!$AM$16),"",ReferenceData!$AM$16),"")</f>
        <v/>
      </c>
      <c r="AN16" t="str">
        <f ca="1">IFERROR(IF(0=LEN(ReferenceData!$AN$16),"",ReferenceData!$AN$16),"")</f>
        <v/>
      </c>
      <c r="AO16" t="str">
        <f ca="1">IFERROR(IF(0=LEN(ReferenceData!$AO$16),"",ReferenceData!$AO$16),"")</f>
        <v/>
      </c>
      <c r="AP16" t="str">
        <f ca="1">IFERROR(IF(0=LEN(ReferenceData!$AP$16),"",ReferenceData!$AP$16),"")</f>
        <v/>
      </c>
      <c r="AQ16" t="str">
        <f ca="1">IFERROR(IF(0=LEN(ReferenceData!$AQ$16),"",ReferenceData!$AQ$16),"")</f>
        <v/>
      </c>
      <c r="AR16" t="str">
        <f ca="1">IFERROR(IF(0=LEN(ReferenceData!$AR$16),"",ReferenceData!$AR$16),"")</f>
        <v/>
      </c>
      <c r="AS16" t="str">
        <f ca="1">IFERROR(IF(0=LEN(ReferenceData!$AS$16),"",ReferenceData!$AS$16),"")</f>
        <v/>
      </c>
      <c r="AT16" t="str">
        <f ca="1">IFERROR(IF(0=LEN(ReferenceData!$AT$16),"",ReferenceData!$AT$16),"")</f>
        <v/>
      </c>
      <c r="AU16" t="str">
        <f ca="1">IFERROR(IF(0=LEN(ReferenceData!$AU$16),"",ReferenceData!$AU$16),"")</f>
        <v/>
      </c>
      <c r="AV16" t="str">
        <f ca="1">IFERROR(IF(0=LEN(ReferenceData!$AV$16),"",ReferenceData!$AV$16),"")</f>
        <v/>
      </c>
      <c r="AW16" t="str">
        <f ca="1">IFERROR(IF(0=LEN(ReferenceData!$AW$16),"",ReferenceData!$AW$16),"")</f>
        <v/>
      </c>
      <c r="AX16" t="str">
        <f ca="1">IFERROR(IF(0=LEN(ReferenceData!$AX$16),"",ReferenceData!$AX$16),"")</f>
        <v/>
      </c>
      <c r="AY16" t="str">
        <f ca="1">IFERROR(IF(0=LEN(ReferenceData!$AY$16),"",ReferenceData!$AY$16),"")</f>
        <v/>
      </c>
      <c r="AZ16" t="str">
        <f ca="1">IFERROR(IF(0=LEN(ReferenceData!$AZ$16),"",ReferenceData!$AZ$16),"")</f>
        <v/>
      </c>
      <c r="BA16" t="str">
        <f ca="1">IFERROR(IF(0=LEN(ReferenceData!$BA$16),"",ReferenceData!$BA$16),"")</f>
        <v/>
      </c>
      <c r="BB16" t="str">
        <f ca="1">IFERROR(IF(0=LEN(ReferenceData!$BB$16),"",ReferenceData!$BB$16),"")</f>
        <v/>
      </c>
      <c r="BC16" t="str">
        <f ca="1">IFERROR(IF(0=LEN(ReferenceData!$BC$16),"",ReferenceData!$BC$16),"")</f>
        <v/>
      </c>
      <c r="BD16" t="str">
        <f ca="1">IFERROR(IF(0=LEN(ReferenceData!$BD$16),"",ReferenceData!$BD$16),"")</f>
        <v/>
      </c>
      <c r="BE16" t="str">
        <f ca="1">IFERROR(IF(0=LEN(ReferenceData!$BE$16),"",ReferenceData!$BE$16),"")</f>
        <v/>
      </c>
      <c r="BF16" t="str">
        <f ca="1">IFERROR(IF(0=LEN(ReferenceData!$BF$16),"",ReferenceData!$BF$16),"")</f>
        <v/>
      </c>
      <c r="BG16" t="str">
        <f ca="1">IFERROR(IF(0=LEN(ReferenceData!$BG$16),"",ReferenceData!$BG$16),"")</f>
        <v/>
      </c>
      <c r="BH16" t="str">
        <f ca="1">IFERROR(IF(0=LEN(ReferenceData!$BH$16),"",ReferenceData!$BH$16),"")</f>
        <v/>
      </c>
      <c r="BI16" t="str">
        <f ca="1">IFERROR(IF(0=LEN(ReferenceData!$BI$16),"",ReferenceData!$BI$16),"")</f>
        <v/>
      </c>
      <c r="BJ16" t="str">
        <f ca="1">IFERROR(IF(0=LEN(ReferenceData!$BJ$16),"",ReferenceData!$BJ$16),"")</f>
        <v/>
      </c>
      <c r="BK16" t="str">
        <f ca="1">IFERROR(IF(0=LEN(ReferenceData!$BK$16),"",ReferenceData!$BK$16),"")</f>
        <v/>
      </c>
      <c r="BL16" t="str">
        <f ca="1">IFERROR(IF(0=LEN(ReferenceData!$BL$16),"",ReferenceData!$BL$16),"")</f>
        <v/>
      </c>
      <c r="BM16" t="str">
        <f ca="1">IFERROR(IF(0=LEN(ReferenceData!$BM$16),"",ReferenceData!$BM$16),"")</f>
        <v/>
      </c>
    </row>
    <row r="17" spans="1:65">
      <c r="A17" t="str">
        <f>IFERROR(IF(0=LEN(ReferenceData!$A$17),"",ReferenceData!$A$17),"")</f>
        <v xml:space="preserve">    Education Realty Trust Inc</v>
      </c>
      <c r="B17" t="str">
        <f>IFERROR(IF(0=LEN(ReferenceData!$B$17),"",ReferenceData!$B$17),"")</f>
        <v>EDR US Equity</v>
      </c>
      <c r="C17" t="str">
        <f>IFERROR(IF(0=LEN(ReferenceData!$C$17),"",ReferenceData!$C$17),"")</f>
        <v>IM275</v>
      </c>
      <c r="D17" t="str">
        <f>IFERROR(IF(0=LEN(ReferenceData!$D$17),"",ReferenceData!$D$17),"")</f>
        <v>IS_OTHER_RENTAL_INCOME</v>
      </c>
      <c r="E17" t="str">
        <f>IFERROR(IF(0=LEN(ReferenceData!$E$17),"",ReferenceData!$E$17),"")</f>
        <v>动态</v>
      </c>
      <c r="F17" t="str">
        <f ca="1">IFERROR(IF(0=LEN(ReferenceData!$F$17),"",ReferenceData!$F$17),"")</f>
        <v/>
      </c>
      <c r="G17">
        <f ca="1">IFERROR(IF(0=LEN(ReferenceData!$G$17),"",ReferenceData!$G$17),"")</f>
        <v>91.786000000000001</v>
      </c>
      <c r="H17">
        <f ca="1">IFERROR(IF(0=LEN(ReferenceData!$H$17),"",ReferenceData!$H$17),"")</f>
        <v>71.084999999999994</v>
      </c>
      <c r="I17">
        <f ca="1">IFERROR(IF(0=LEN(ReferenceData!$I$17),"",ReferenceData!$I$17),"")</f>
        <v>70.070999999999998</v>
      </c>
      <c r="J17">
        <f ca="1">IFERROR(IF(0=LEN(ReferenceData!$J$17),"",ReferenceData!$J$17),"")</f>
        <v>80.784999999999997</v>
      </c>
      <c r="K17">
        <f ca="1">IFERROR(IF(0=LEN(ReferenceData!$K$17),"",ReferenceData!$K$17),"")</f>
        <v>80.436999999999998</v>
      </c>
      <c r="L17">
        <f ca="1">IFERROR(IF(0=LEN(ReferenceData!$L$17),"",ReferenceData!$L$17),"")</f>
        <v>61.877000000000002</v>
      </c>
      <c r="M17">
        <f ca="1">IFERROR(IF(0=LEN(ReferenceData!$M$17),"",ReferenceData!$M$17),"")</f>
        <v>61.69</v>
      </c>
      <c r="N17">
        <f ca="1">IFERROR(IF(0=LEN(ReferenceData!$N$17),"",ReferenceData!$N$17),"")</f>
        <v>70.183000000000007</v>
      </c>
      <c r="O17">
        <f ca="1">IFERROR(IF(0=LEN(ReferenceData!$O$17),"",ReferenceData!$O$17),"")</f>
        <v>71.781000000000006</v>
      </c>
      <c r="P17">
        <f ca="1">IFERROR(IF(0=LEN(ReferenceData!$P$17),"",ReferenceData!$P$17),"")</f>
        <v>54.725000000000001</v>
      </c>
      <c r="Q17">
        <f ca="1">IFERROR(IF(0=LEN(ReferenceData!$Q$17),"",ReferenceData!$Q$17),"")</f>
        <v>53.734000000000002</v>
      </c>
      <c r="R17">
        <f ca="1">IFERROR(IF(0=LEN(ReferenceData!$R$17),"",ReferenceData!$R$17),"")</f>
        <v>60.383000000000003</v>
      </c>
      <c r="S17">
        <f ca="1">IFERROR(IF(0=LEN(ReferenceData!$S$17),"",ReferenceData!$S$17),"")</f>
        <v>61.645000000000003</v>
      </c>
      <c r="T17">
        <f ca="1">IFERROR(IF(0=LEN(ReferenceData!$T$17),"",ReferenceData!$T$17),"")</f>
        <v>47.656999999999996</v>
      </c>
      <c r="U17">
        <f ca="1">IFERROR(IF(0=LEN(ReferenceData!$U$17),"",ReferenceData!$U$17),"")</f>
        <v>46.308999999999997</v>
      </c>
      <c r="V17">
        <f ca="1">IFERROR(IF(0=LEN(ReferenceData!$V$17),"",ReferenceData!$V$17),"")</f>
        <v>50.710999999999999</v>
      </c>
      <c r="W17">
        <f ca="1">IFERROR(IF(0=LEN(ReferenceData!$W$17),"",ReferenceData!$W$17),"")</f>
        <v>51.139000000000003</v>
      </c>
      <c r="X17">
        <f ca="1">IFERROR(IF(0=LEN(ReferenceData!$X$17),"",ReferenceData!$X$17),"")</f>
        <v>39.549999999999997</v>
      </c>
      <c r="Y17">
        <f ca="1">IFERROR(IF(0=LEN(ReferenceData!$Y$17),"",ReferenceData!$Y$17),"")</f>
        <v>37.335000000000001</v>
      </c>
      <c r="Z17">
        <f ca="1">IFERROR(IF(0=LEN(ReferenceData!$Z$17),"",ReferenceData!$Z$17),"")</f>
        <v>39.453000000000003</v>
      </c>
      <c r="AA17">
        <f ca="1">IFERROR(IF(0=LEN(ReferenceData!$AA$17),"",ReferenceData!$AA$17),"")</f>
        <v>37.695</v>
      </c>
      <c r="AB17">
        <f ca="1">IFERROR(IF(0=LEN(ReferenceData!$AB$17),"",ReferenceData!$AB$17),"")</f>
        <v>28.829000000000001</v>
      </c>
      <c r="AC17">
        <f ca="1">IFERROR(IF(0=LEN(ReferenceData!$AC$17),"",ReferenceData!$AC$17),"")</f>
        <v>29.295000000000002</v>
      </c>
      <c r="AD17">
        <f ca="1">IFERROR(IF(0=LEN(ReferenceData!$AD$17),"",ReferenceData!$AD$17),"")</f>
        <v>31.631</v>
      </c>
      <c r="AE17">
        <f ca="1">IFERROR(IF(0=LEN(ReferenceData!$AE$17),"",ReferenceData!$AE$17),"")</f>
        <v>28.933</v>
      </c>
      <c r="AF17">
        <f ca="1">IFERROR(IF(0=LEN(ReferenceData!$AF$17),"",ReferenceData!$AF$17),"")</f>
        <v>23.431000000000001</v>
      </c>
      <c r="AG17">
        <f ca="1">IFERROR(IF(0=LEN(ReferenceData!$AG$17),"",ReferenceData!$AG$17),"")</f>
        <v>25.613</v>
      </c>
      <c r="AH17">
        <f ca="1">IFERROR(IF(0=LEN(ReferenceData!$AH$17),"",ReferenceData!$AH$17),"")</f>
        <v>26.7</v>
      </c>
      <c r="AI17">
        <f ca="1">IFERROR(IF(0=LEN(ReferenceData!$AI$17),"",ReferenceData!$AI$17),"")</f>
        <v>26.783999999999999</v>
      </c>
      <c r="AJ17">
        <f ca="1">IFERROR(IF(0=LEN(ReferenceData!$AJ$17),"",ReferenceData!$AJ$17),"")</f>
        <v>21.888999999999999</v>
      </c>
      <c r="AK17">
        <f ca="1">IFERROR(IF(0=LEN(ReferenceData!$AK$17),"",ReferenceData!$AK$17),"")</f>
        <v>23.335000000000001</v>
      </c>
      <c r="AL17">
        <f ca="1">IFERROR(IF(0=LEN(ReferenceData!$AL$17),"",ReferenceData!$AL$17),"")</f>
        <v>25.311</v>
      </c>
      <c r="AM17">
        <f ca="1">IFERROR(IF(0=LEN(ReferenceData!$AM$17),"",ReferenceData!$AM$17),"")</f>
        <v>25.757000000000001</v>
      </c>
      <c r="AN17">
        <f ca="1">IFERROR(IF(0=LEN(ReferenceData!$AN$17),"",ReferenceData!$AN$17),"")</f>
        <v>25.105</v>
      </c>
      <c r="AO17">
        <f ca="1">IFERROR(IF(0=LEN(ReferenceData!$AO$17),"",ReferenceData!$AO$17),"")</f>
        <v>27.501000000000001</v>
      </c>
      <c r="AP17">
        <f ca="1">IFERROR(IF(0=LEN(ReferenceData!$AP$17),"",ReferenceData!$AP$17),"")</f>
        <v>28.72</v>
      </c>
      <c r="AQ17" t="str">
        <f ca="1">IFERROR(IF(0=LEN(ReferenceData!$AQ$17),"",ReferenceData!$AQ$17),"")</f>
        <v/>
      </c>
      <c r="AR17" t="str">
        <f ca="1">IFERROR(IF(0=LEN(ReferenceData!$AR$17),"",ReferenceData!$AR$17),"")</f>
        <v/>
      </c>
      <c r="AS17" t="str">
        <f ca="1">IFERROR(IF(0=LEN(ReferenceData!$AS$17),"",ReferenceData!$AS$17),"")</f>
        <v/>
      </c>
      <c r="AT17" t="str">
        <f ca="1">IFERROR(IF(0=LEN(ReferenceData!$AT$17),"",ReferenceData!$AT$17),"")</f>
        <v/>
      </c>
      <c r="AU17" t="str">
        <f ca="1">IFERROR(IF(0=LEN(ReferenceData!$AU$17),"",ReferenceData!$AU$17),"")</f>
        <v/>
      </c>
      <c r="AV17" t="str">
        <f ca="1">IFERROR(IF(0=LEN(ReferenceData!$AV$17),"",ReferenceData!$AV$17),"")</f>
        <v/>
      </c>
      <c r="AW17" t="str">
        <f ca="1">IFERROR(IF(0=LEN(ReferenceData!$AW$17),"",ReferenceData!$AW$17),"")</f>
        <v/>
      </c>
      <c r="AX17" t="str">
        <f ca="1">IFERROR(IF(0=LEN(ReferenceData!$AX$17),"",ReferenceData!$AX$17),"")</f>
        <v/>
      </c>
      <c r="AY17" t="str">
        <f ca="1">IFERROR(IF(0=LEN(ReferenceData!$AY$17),"",ReferenceData!$AY$17),"")</f>
        <v/>
      </c>
      <c r="AZ17" t="str">
        <f ca="1">IFERROR(IF(0=LEN(ReferenceData!$AZ$17),"",ReferenceData!$AZ$17),"")</f>
        <v/>
      </c>
      <c r="BA17" t="str">
        <f ca="1">IFERROR(IF(0=LEN(ReferenceData!$BA$17),"",ReferenceData!$BA$17),"")</f>
        <v/>
      </c>
      <c r="BB17" t="str">
        <f ca="1">IFERROR(IF(0=LEN(ReferenceData!$BB$17),"",ReferenceData!$BB$17),"")</f>
        <v/>
      </c>
      <c r="BC17" t="str">
        <f ca="1">IFERROR(IF(0=LEN(ReferenceData!$BC$17),"",ReferenceData!$BC$17),"")</f>
        <v/>
      </c>
      <c r="BD17" t="str">
        <f ca="1">IFERROR(IF(0=LEN(ReferenceData!$BD$17),"",ReferenceData!$BD$17),"")</f>
        <v/>
      </c>
      <c r="BE17" t="str">
        <f ca="1">IFERROR(IF(0=LEN(ReferenceData!$BE$17),"",ReferenceData!$BE$17),"")</f>
        <v/>
      </c>
      <c r="BF17" t="str">
        <f ca="1">IFERROR(IF(0=LEN(ReferenceData!$BF$17),"",ReferenceData!$BF$17),"")</f>
        <v/>
      </c>
      <c r="BG17" t="str">
        <f ca="1">IFERROR(IF(0=LEN(ReferenceData!$BG$17),"",ReferenceData!$BG$17),"")</f>
        <v/>
      </c>
      <c r="BH17" t="str">
        <f ca="1">IFERROR(IF(0=LEN(ReferenceData!$BH$17),"",ReferenceData!$BH$17),"")</f>
        <v/>
      </c>
      <c r="BI17" t="str">
        <f ca="1">IFERROR(IF(0=LEN(ReferenceData!$BI$17),"",ReferenceData!$BI$17),"")</f>
        <v/>
      </c>
      <c r="BJ17" t="str">
        <f ca="1">IFERROR(IF(0=LEN(ReferenceData!$BJ$17),"",ReferenceData!$BJ$17),"")</f>
        <v/>
      </c>
      <c r="BK17" t="str">
        <f ca="1">IFERROR(IF(0=LEN(ReferenceData!$BK$17),"",ReferenceData!$BK$17),"")</f>
        <v/>
      </c>
      <c r="BL17" t="str">
        <f ca="1">IFERROR(IF(0=LEN(ReferenceData!$BL$17),"",ReferenceData!$BL$17),"")</f>
        <v/>
      </c>
      <c r="BM17" t="str">
        <f ca="1">IFERROR(IF(0=LEN(ReferenceData!$BM$17),"",ReferenceData!$BM$17),"")</f>
        <v/>
      </c>
    </row>
    <row r="18" spans="1:65">
      <c r="A18" t="str">
        <f>IFERROR(IF(0=LEN(ReferenceData!$A$18),"",ReferenceData!$A$18),"")</f>
        <v xml:space="preserve">    Equity Residential</v>
      </c>
      <c r="B18" t="str">
        <f>IFERROR(IF(0=LEN(ReferenceData!$B$18),"",ReferenceData!$B$18),"")</f>
        <v>EQR US Equity</v>
      </c>
      <c r="C18" t="str">
        <f>IFERROR(IF(0=LEN(ReferenceData!$C$18),"",ReferenceData!$C$18),"")</f>
        <v>IM275</v>
      </c>
      <c r="D18" t="str">
        <f>IFERROR(IF(0=LEN(ReferenceData!$D$18),"",ReferenceData!$D$18),"")</f>
        <v>IS_OTHER_RENTAL_INCOME</v>
      </c>
      <c r="E18" t="str">
        <f>IFERROR(IF(0=LEN(ReferenceData!$E$18),"",ReferenceData!$E$18),"")</f>
        <v>动态</v>
      </c>
      <c r="F18" t="str">
        <f ca="1">IFERROR(IF(0=LEN(ReferenceData!$F$18),"",ReferenceData!$F$18),"")</f>
        <v/>
      </c>
      <c r="G18" t="str">
        <f ca="1">IFERROR(IF(0=LEN(ReferenceData!$G$18),"",ReferenceData!$G$18),"")</f>
        <v/>
      </c>
      <c r="H18" t="str">
        <f ca="1">IFERROR(IF(0=LEN(ReferenceData!$H$18),"",ReferenceData!$H$18),"")</f>
        <v/>
      </c>
      <c r="I18" t="str">
        <f ca="1">IFERROR(IF(0=LEN(ReferenceData!$I$18),"",ReferenceData!$I$18),"")</f>
        <v/>
      </c>
      <c r="J18" t="str">
        <f ca="1">IFERROR(IF(0=LEN(ReferenceData!$J$18),"",ReferenceData!$J$18),"")</f>
        <v/>
      </c>
      <c r="K18" t="str">
        <f ca="1">IFERROR(IF(0=LEN(ReferenceData!$K$18),"",ReferenceData!$K$18),"")</f>
        <v/>
      </c>
      <c r="L18" t="str">
        <f ca="1">IFERROR(IF(0=LEN(ReferenceData!$L$18),"",ReferenceData!$L$18),"")</f>
        <v/>
      </c>
      <c r="M18" t="str">
        <f ca="1">IFERROR(IF(0=LEN(ReferenceData!$M$18),"",ReferenceData!$M$18),"")</f>
        <v/>
      </c>
      <c r="N18" t="str">
        <f ca="1">IFERROR(IF(0=LEN(ReferenceData!$N$18),"",ReferenceData!$N$18),"")</f>
        <v/>
      </c>
      <c r="O18" t="str">
        <f ca="1">IFERROR(IF(0=LEN(ReferenceData!$O$18),"",ReferenceData!$O$18),"")</f>
        <v/>
      </c>
      <c r="P18" t="str">
        <f ca="1">IFERROR(IF(0=LEN(ReferenceData!$P$18),"",ReferenceData!$P$18),"")</f>
        <v/>
      </c>
      <c r="Q18" t="str">
        <f ca="1">IFERROR(IF(0=LEN(ReferenceData!$Q$18),"",ReferenceData!$Q$18),"")</f>
        <v/>
      </c>
      <c r="R18" t="str">
        <f ca="1">IFERROR(IF(0=LEN(ReferenceData!$R$18),"",ReferenceData!$R$18),"")</f>
        <v/>
      </c>
      <c r="S18" t="str">
        <f ca="1">IFERROR(IF(0=LEN(ReferenceData!$S$18),"",ReferenceData!$S$18),"")</f>
        <v/>
      </c>
      <c r="T18" t="str">
        <f ca="1">IFERROR(IF(0=LEN(ReferenceData!$T$18),"",ReferenceData!$T$18),"")</f>
        <v/>
      </c>
      <c r="U18" t="str">
        <f ca="1">IFERROR(IF(0=LEN(ReferenceData!$U$18),"",ReferenceData!$U$18),"")</f>
        <v/>
      </c>
      <c r="V18" t="str">
        <f ca="1">IFERROR(IF(0=LEN(ReferenceData!$V$18),"",ReferenceData!$V$18),"")</f>
        <v/>
      </c>
      <c r="W18" t="str">
        <f ca="1">IFERROR(IF(0=LEN(ReferenceData!$W$18),"",ReferenceData!$W$18),"")</f>
        <v/>
      </c>
      <c r="X18" t="str">
        <f ca="1">IFERROR(IF(0=LEN(ReferenceData!$X$18),"",ReferenceData!$X$18),"")</f>
        <v/>
      </c>
      <c r="Y18" t="str">
        <f ca="1">IFERROR(IF(0=LEN(ReferenceData!$Y$18),"",ReferenceData!$Y$18),"")</f>
        <v/>
      </c>
      <c r="Z18" t="str">
        <f ca="1">IFERROR(IF(0=LEN(ReferenceData!$Z$18),"",ReferenceData!$Z$18),"")</f>
        <v/>
      </c>
      <c r="AA18" t="str">
        <f ca="1">IFERROR(IF(0=LEN(ReferenceData!$AA$18),"",ReferenceData!$AA$18),"")</f>
        <v/>
      </c>
      <c r="AB18" t="str">
        <f ca="1">IFERROR(IF(0=LEN(ReferenceData!$AB$18),"",ReferenceData!$AB$18),"")</f>
        <v/>
      </c>
      <c r="AC18" t="str">
        <f ca="1">IFERROR(IF(0=LEN(ReferenceData!$AC$18),"",ReferenceData!$AC$18),"")</f>
        <v/>
      </c>
      <c r="AD18" t="str">
        <f ca="1">IFERROR(IF(0=LEN(ReferenceData!$AD$18),"",ReferenceData!$AD$18),"")</f>
        <v/>
      </c>
      <c r="AE18" t="str">
        <f ca="1">IFERROR(IF(0=LEN(ReferenceData!$AE$18),"",ReferenceData!$AE$18),"")</f>
        <v/>
      </c>
      <c r="AF18" t="str">
        <f ca="1">IFERROR(IF(0=LEN(ReferenceData!$AF$18),"",ReferenceData!$AF$18),"")</f>
        <v/>
      </c>
      <c r="AG18" t="str">
        <f ca="1">IFERROR(IF(0=LEN(ReferenceData!$AG$18),"",ReferenceData!$AG$18),"")</f>
        <v/>
      </c>
      <c r="AH18" t="str">
        <f ca="1">IFERROR(IF(0=LEN(ReferenceData!$AH$18),"",ReferenceData!$AH$18),"")</f>
        <v/>
      </c>
      <c r="AI18" t="str">
        <f ca="1">IFERROR(IF(0=LEN(ReferenceData!$AI$18),"",ReferenceData!$AI$18),"")</f>
        <v/>
      </c>
      <c r="AJ18" t="str">
        <f ca="1">IFERROR(IF(0=LEN(ReferenceData!$AJ$18),"",ReferenceData!$AJ$18),"")</f>
        <v/>
      </c>
      <c r="AK18" t="str">
        <f ca="1">IFERROR(IF(0=LEN(ReferenceData!$AK$18),"",ReferenceData!$AK$18),"")</f>
        <v/>
      </c>
      <c r="AL18" t="str">
        <f ca="1">IFERROR(IF(0=LEN(ReferenceData!$AL$18),"",ReferenceData!$AL$18),"")</f>
        <v/>
      </c>
      <c r="AM18" t="str">
        <f ca="1">IFERROR(IF(0=LEN(ReferenceData!$AM$18),"",ReferenceData!$AM$18),"")</f>
        <v/>
      </c>
      <c r="AN18" t="str">
        <f ca="1">IFERROR(IF(0=LEN(ReferenceData!$AN$18),"",ReferenceData!$AN$18),"")</f>
        <v/>
      </c>
      <c r="AO18" t="str">
        <f ca="1">IFERROR(IF(0=LEN(ReferenceData!$AO$18),"",ReferenceData!$AO$18),"")</f>
        <v/>
      </c>
      <c r="AP18" t="str">
        <f ca="1">IFERROR(IF(0=LEN(ReferenceData!$AP$18),"",ReferenceData!$AP$18),"")</f>
        <v/>
      </c>
      <c r="AQ18" t="str">
        <f ca="1">IFERROR(IF(0=LEN(ReferenceData!$AQ$18),"",ReferenceData!$AQ$18),"")</f>
        <v/>
      </c>
      <c r="AR18" t="str">
        <f ca="1">IFERROR(IF(0=LEN(ReferenceData!$AR$18),"",ReferenceData!$AR$18),"")</f>
        <v/>
      </c>
      <c r="AS18" t="str">
        <f ca="1">IFERROR(IF(0=LEN(ReferenceData!$AS$18),"",ReferenceData!$AS$18),"")</f>
        <v/>
      </c>
      <c r="AT18" t="str">
        <f ca="1">IFERROR(IF(0=LEN(ReferenceData!$AT$18),"",ReferenceData!$AT$18),"")</f>
        <v/>
      </c>
      <c r="AU18" t="str">
        <f ca="1">IFERROR(IF(0=LEN(ReferenceData!$AU$18),"",ReferenceData!$AU$18),"")</f>
        <v/>
      </c>
      <c r="AV18" t="str">
        <f ca="1">IFERROR(IF(0=LEN(ReferenceData!$AV$18),"",ReferenceData!$AV$18),"")</f>
        <v/>
      </c>
      <c r="AW18" t="str">
        <f ca="1">IFERROR(IF(0=LEN(ReferenceData!$AW$18),"",ReferenceData!$AW$18),"")</f>
        <v/>
      </c>
      <c r="AX18" t="str">
        <f ca="1">IFERROR(IF(0=LEN(ReferenceData!$AX$18),"",ReferenceData!$AX$18),"")</f>
        <v/>
      </c>
      <c r="AY18" t="str">
        <f ca="1">IFERROR(IF(0=LEN(ReferenceData!$AY$18),"",ReferenceData!$AY$18),"")</f>
        <v/>
      </c>
      <c r="AZ18" t="str">
        <f ca="1">IFERROR(IF(0=LEN(ReferenceData!$AZ$18),"",ReferenceData!$AZ$18),"")</f>
        <v/>
      </c>
      <c r="BA18" t="str">
        <f ca="1">IFERROR(IF(0=LEN(ReferenceData!$BA$18),"",ReferenceData!$BA$18),"")</f>
        <v/>
      </c>
      <c r="BB18" t="str">
        <f ca="1">IFERROR(IF(0=LEN(ReferenceData!$BB$18),"",ReferenceData!$BB$18),"")</f>
        <v/>
      </c>
      <c r="BC18" t="str">
        <f ca="1">IFERROR(IF(0=LEN(ReferenceData!$BC$18),"",ReferenceData!$BC$18),"")</f>
        <v/>
      </c>
      <c r="BD18" t="str">
        <f ca="1">IFERROR(IF(0=LEN(ReferenceData!$BD$18),"",ReferenceData!$BD$18),"")</f>
        <v/>
      </c>
      <c r="BE18" t="str">
        <f ca="1">IFERROR(IF(0=LEN(ReferenceData!$BE$18),"",ReferenceData!$BE$18),"")</f>
        <v/>
      </c>
      <c r="BF18" t="str">
        <f ca="1">IFERROR(IF(0=LEN(ReferenceData!$BF$18),"",ReferenceData!$BF$18),"")</f>
        <v/>
      </c>
      <c r="BG18" t="str">
        <f ca="1">IFERROR(IF(0=LEN(ReferenceData!$BG$18),"",ReferenceData!$BG$18),"")</f>
        <v/>
      </c>
      <c r="BH18" t="str">
        <f ca="1">IFERROR(IF(0=LEN(ReferenceData!$BH$18),"",ReferenceData!$BH$18),"")</f>
        <v/>
      </c>
      <c r="BI18" t="str">
        <f ca="1">IFERROR(IF(0=LEN(ReferenceData!$BI$18),"",ReferenceData!$BI$18),"")</f>
        <v/>
      </c>
      <c r="BJ18" t="str">
        <f ca="1">IFERROR(IF(0=LEN(ReferenceData!$BJ$18),"",ReferenceData!$BJ$18),"")</f>
        <v/>
      </c>
      <c r="BK18" t="str">
        <f ca="1">IFERROR(IF(0=LEN(ReferenceData!$BK$18),"",ReferenceData!$BK$18),"")</f>
        <v/>
      </c>
      <c r="BL18" t="str">
        <f ca="1">IFERROR(IF(0=LEN(ReferenceData!$BL$18),"",ReferenceData!$BL$18),"")</f>
        <v/>
      </c>
      <c r="BM18" t="str">
        <f ca="1">IFERROR(IF(0=LEN(ReferenceData!$BM$18),"",ReferenceData!$BM$18),"")</f>
        <v/>
      </c>
    </row>
    <row r="19" spans="1:65">
      <c r="A19" t="str">
        <f>IFERROR(IF(0=LEN(ReferenceData!$A$19),"",ReferenceData!$A$19),"")</f>
        <v xml:space="preserve">    Essex Property Trust Inc</v>
      </c>
      <c r="B19" t="str">
        <f>IFERROR(IF(0=LEN(ReferenceData!$B$19),"",ReferenceData!$B$19),"")</f>
        <v>ESS US Equity</v>
      </c>
      <c r="C19" t="str">
        <f>IFERROR(IF(0=LEN(ReferenceData!$C$19),"",ReferenceData!$C$19),"")</f>
        <v>IM275</v>
      </c>
      <c r="D19" t="str">
        <f>IFERROR(IF(0=LEN(ReferenceData!$D$19),"",ReferenceData!$D$19),"")</f>
        <v>IS_OTHER_RENTAL_INCOME</v>
      </c>
      <c r="E19" t="str">
        <f>IFERROR(IF(0=LEN(ReferenceData!$E$19),"",ReferenceData!$E$19),"")</f>
        <v>动态</v>
      </c>
      <c r="F19" t="str">
        <f ca="1">IFERROR(IF(0=LEN(ReferenceData!$F$19),"",ReferenceData!$F$19),"")</f>
        <v/>
      </c>
      <c r="G19" t="str">
        <f ca="1">IFERROR(IF(0=LEN(ReferenceData!$G$19),"",ReferenceData!$G$19),"")</f>
        <v/>
      </c>
      <c r="H19" t="str">
        <f ca="1">IFERROR(IF(0=LEN(ReferenceData!$H$19),"",ReferenceData!$H$19),"")</f>
        <v/>
      </c>
      <c r="I19" t="str">
        <f ca="1">IFERROR(IF(0=LEN(ReferenceData!$I$19),"",ReferenceData!$I$19),"")</f>
        <v/>
      </c>
      <c r="J19" t="str">
        <f ca="1">IFERROR(IF(0=LEN(ReferenceData!$J$19),"",ReferenceData!$J$19),"")</f>
        <v/>
      </c>
      <c r="K19" t="str">
        <f ca="1">IFERROR(IF(0=LEN(ReferenceData!$K$19),"",ReferenceData!$K$19),"")</f>
        <v/>
      </c>
      <c r="L19" t="str">
        <f ca="1">IFERROR(IF(0=LEN(ReferenceData!$L$19),"",ReferenceData!$L$19),"")</f>
        <v/>
      </c>
      <c r="M19" t="str">
        <f ca="1">IFERROR(IF(0=LEN(ReferenceData!$M$19),"",ReferenceData!$M$19),"")</f>
        <v/>
      </c>
      <c r="N19" t="str">
        <f ca="1">IFERROR(IF(0=LEN(ReferenceData!$N$19),"",ReferenceData!$N$19),"")</f>
        <v/>
      </c>
      <c r="O19" t="str">
        <f ca="1">IFERROR(IF(0=LEN(ReferenceData!$O$19),"",ReferenceData!$O$19),"")</f>
        <v/>
      </c>
      <c r="P19" t="str">
        <f ca="1">IFERROR(IF(0=LEN(ReferenceData!$P$19),"",ReferenceData!$P$19),"")</f>
        <v/>
      </c>
      <c r="Q19" t="str">
        <f ca="1">IFERROR(IF(0=LEN(ReferenceData!$Q$19),"",ReferenceData!$Q$19),"")</f>
        <v/>
      </c>
      <c r="R19" t="str">
        <f ca="1">IFERROR(IF(0=LEN(ReferenceData!$R$19),"",ReferenceData!$R$19),"")</f>
        <v/>
      </c>
      <c r="S19" t="str">
        <f ca="1">IFERROR(IF(0=LEN(ReferenceData!$S$19),"",ReferenceData!$S$19),"")</f>
        <v/>
      </c>
      <c r="T19" t="str">
        <f ca="1">IFERROR(IF(0=LEN(ReferenceData!$T$19),"",ReferenceData!$T$19),"")</f>
        <v/>
      </c>
      <c r="U19" t="str">
        <f ca="1">IFERROR(IF(0=LEN(ReferenceData!$U$19),"",ReferenceData!$U$19),"")</f>
        <v/>
      </c>
      <c r="V19" t="str">
        <f ca="1">IFERROR(IF(0=LEN(ReferenceData!$V$19),"",ReferenceData!$V$19),"")</f>
        <v/>
      </c>
      <c r="W19" t="str">
        <f ca="1">IFERROR(IF(0=LEN(ReferenceData!$W$19),"",ReferenceData!$W$19),"")</f>
        <v/>
      </c>
      <c r="X19" t="str">
        <f ca="1">IFERROR(IF(0=LEN(ReferenceData!$X$19),"",ReferenceData!$X$19),"")</f>
        <v/>
      </c>
      <c r="Y19" t="str">
        <f ca="1">IFERROR(IF(0=LEN(ReferenceData!$Y$19),"",ReferenceData!$Y$19),"")</f>
        <v/>
      </c>
      <c r="Z19" t="str">
        <f ca="1">IFERROR(IF(0=LEN(ReferenceData!$Z$19),"",ReferenceData!$Z$19),"")</f>
        <v/>
      </c>
      <c r="AA19" t="str">
        <f ca="1">IFERROR(IF(0=LEN(ReferenceData!$AA$19),"",ReferenceData!$AA$19),"")</f>
        <v/>
      </c>
      <c r="AB19" t="str">
        <f ca="1">IFERROR(IF(0=LEN(ReferenceData!$AB$19),"",ReferenceData!$AB$19),"")</f>
        <v/>
      </c>
      <c r="AC19" t="str">
        <f ca="1">IFERROR(IF(0=LEN(ReferenceData!$AC$19),"",ReferenceData!$AC$19),"")</f>
        <v/>
      </c>
      <c r="AD19" t="str">
        <f ca="1">IFERROR(IF(0=LEN(ReferenceData!$AD$19),"",ReferenceData!$AD$19),"")</f>
        <v/>
      </c>
      <c r="AE19" t="str">
        <f ca="1">IFERROR(IF(0=LEN(ReferenceData!$AE$19),"",ReferenceData!$AE$19),"")</f>
        <v/>
      </c>
      <c r="AF19" t="str">
        <f ca="1">IFERROR(IF(0=LEN(ReferenceData!$AF$19),"",ReferenceData!$AF$19),"")</f>
        <v/>
      </c>
      <c r="AG19" t="str">
        <f ca="1">IFERROR(IF(0=LEN(ReferenceData!$AG$19),"",ReferenceData!$AG$19),"")</f>
        <v/>
      </c>
      <c r="AH19" t="str">
        <f ca="1">IFERROR(IF(0=LEN(ReferenceData!$AH$19),"",ReferenceData!$AH$19),"")</f>
        <v/>
      </c>
      <c r="AI19" t="str">
        <f ca="1">IFERROR(IF(0=LEN(ReferenceData!$AI$19),"",ReferenceData!$AI$19),"")</f>
        <v/>
      </c>
      <c r="AJ19" t="str">
        <f ca="1">IFERROR(IF(0=LEN(ReferenceData!$AJ$19),"",ReferenceData!$AJ$19),"")</f>
        <v/>
      </c>
      <c r="AK19" t="str">
        <f ca="1">IFERROR(IF(0=LEN(ReferenceData!$AK$19),"",ReferenceData!$AK$19),"")</f>
        <v/>
      </c>
      <c r="AL19" t="str">
        <f ca="1">IFERROR(IF(0=LEN(ReferenceData!$AL$19),"",ReferenceData!$AL$19),"")</f>
        <v/>
      </c>
      <c r="AM19" t="str">
        <f ca="1">IFERROR(IF(0=LEN(ReferenceData!$AM$19),"",ReferenceData!$AM$19),"")</f>
        <v/>
      </c>
      <c r="AN19" t="str">
        <f ca="1">IFERROR(IF(0=LEN(ReferenceData!$AN$19),"",ReferenceData!$AN$19),"")</f>
        <v/>
      </c>
      <c r="AO19" t="str">
        <f ca="1">IFERROR(IF(0=LEN(ReferenceData!$AO$19),"",ReferenceData!$AO$19),"")</f>
        <v/>
      </c>
      <c r="AP19" t="str">
        <f ca="1">IFERROR(IF(0=LEN(ReferenceData!$AP$19),"",ReferenceData!$AP$19),"")</f>
        <v/>
      </c>
      <c r="AQ19" t="str">
        <f ca="1">IFERROR(IF(0=LEN(ReferenceData!$AQ$19),"",ReferenceData!$AQ$19),"")</f>
        <v/>
      </c>
      <c r="AR19" t="str">
        <f ca="1">IFERROR(IF(0=LEN(ReferenceData!$AR$19),"",ReferenceData!$AR$19),"")</f>
        <v/>
      </c>
      <c r="AS19" t="str">
        <f ca="1">IFERROR(IF(0=LEN(ReferenceData!$AS$19),"",ReferenceData!$AS$19),"")</f>
        <v/>
      </c>
      <c r="AT19" t="str">
        <f ca="1">IFERROR(IF(0=LEN(ReferenceData!$AT$19),"",ReferenceData!$AT$19),"")</f>
        <v/>
      </c>
      <c r="AU19" t="str">
        <f ca="1">IFERROR(IF(0=LEN(ReferenceData!$AU$19),"",ReferenceData!$AU$19),"")</f>
        <v/>
      </c>
      <c r="AV19" t="str">
        <f ca="1">IFERROR(IF(0=LEN(ReferenceData!$AV$19),"",ReferenceData!$AV$19),"")</f>
        <v/>
      </c>
      <c r="AW19" t="str">
        <f ca="1">IFERROR(IF(0=LEN(ReferenceData!$AW$19),"",ReferenceData!$AW$19),"")</f>
        <v/>
      </c>
      <c r="AX19" t="str">
        <f ca="1">IFERROR(IF(0=LEN(ReferenceData!$AX$19),"",ReferenceData!$AX$19),"")</f>
        <v/>
      </c>
      <c r="AY19" t="str">
        <f ca="1">IFERROR(IF(0=LEN(ReferenceData!$AY$19),"",ReferenceData!$AY$19),"")</f>
        <v/>
      </c>
      <c r="AZ19" t="str">
        <f ca="1">IFERROR(IF(0=LEN(ReferenceData!$AZ$19),"",ReferenceData!$AZ$19),"")</f>
        <v/>
      </c>
      <c r="BA19" t="str">
        <f ca="1">IFERROR(IF(0=LEN(ReferenceData!$BA$19),"",ReferenceData!$BA$19),"")</f>
        <v/>
      </c>
      <c r="BB19" t="str">
        <f ca="1">IFERROR(IF(0=LEN(ReferenceData!$BB$19),"",ReferenceData!$BB$19),"")</f>
        <v/>
      </c>
      <c r="BC19" t="str">
        <f ca="1">IFERROR(IF(0=LEN(ReferenceData!$BC$19),"",ReferenceData!$BC$19),"")</f>
        <v/>
      </c>
      <c r="BD19" t="str">
        <f ca="1">IFERROR(IF(0=LEN(ReferenceData!$BD$19),"",ReferenceData!$BD$19),"")</f>
        <v/>
      </c>
      <c r="BE19" t="str">
        <f ca="1">IFERROR(IF(0=LEN(ReferenceData!$BE$19),"",ReferenceData!$BE$19),"")</f>
        <v/>
      </c>
      <c r="BF19" t="str">
        <f ca="1">IFERROR(IF(0=LEN(ReferenceData!$BF$19),"",ReferenceData!$BF$19),"")</f>
        <v/>
      </c>
      <c r="BG19" t="str">
        <f ca="1">IFERROR(IF(0=LEN(ReferenceData!$BG$19),"",ReferenceData!$BG$19),"")</f>
        <v/>
      </c>
      <c r="BH19" t="str">
        <f ca="1">IFERROR(IF(0=LEN(ReferenceData!$BH$19),"",ReferenceData!$BH$19),"")</f>
        <v/>
      </c>
      <c r="BI19" t="str">
        <f ca="1">IFERROR(IF(0=LEN(ReferenceData!$BI$19),"",ReferenceData!$BI$19),"")</f>
        <v/>
      </c>
      <c r="BJ19" t="str">
        <f ca="1">IFERROR(IF(0=LEN(ReferenceData!$BJ$19),"",ReferenceData!$BJ$19),"")</f>
        <v/>
      </c>
      <c r="BK19" t="str">
        <f ca="1">IFERROR(IF(0=LEN(ReferenceData!$BK$19),"",ReferenceData!$BK$19),"")</f>
        <v/>
      </c>
      <c r="BL19" t="str">
        <f ca="1">IFERROR(IF(0=LEN(ReferenceData!$BL$19),"",ReferenceData!$BL$19),"")</f>
        <v/>
      </c>
      <c r="BM19" t="str">
        <f ca="1">IFERROR(IF(0=LEN(ReferenceData!$BM$19),"",ReferenceData!$BM$19),"")</f>
        <v/>
      </c>
    </row>
    <row r="20" spans="1:65">
      <c r="A20" t="str">
        <f>IFERROR(IF(0=LEN(ReferenceData!$A$20),"",ReferenceData!$A$20),"")</f>
        <v xml:space="preserve">    Mid-America Apartment Communit</v>
      </c>
      <c r="B20" t="str">
        <f>IFERROR(IF(0=LEN(ReferenceData!$B$20),"",ReferenceData!$B$20),"")</f>
        <v>MAA US Equity</v>
      </c>
      <c r="C20" t="str">
        <f>IFERROR(IF(0=LEN(ReferenceData!$C$20),"",ReferenceData!$C$20),"")</f>
        <v>IM275</v>
      </c>
      <c r="D20" t="str">
        <f>IFERROR(IF(0=LEN(ReferenceData!$D$20),"",ReferenceData!$D$20),"")</f>
        <v>IS_OTHER_RENTAL_INCOME</v>
      </c>
      <c r="E20" t="str">
        <f>IFERROR(IF(0=LEN(ReferenceData!$E$20),"",ReferenceData!$E$20),"")</f>
        <v>动态</v>
      </c>
      <c r="F20" t="str">
        <f ca="1">IFERROR(IF(0=LEN(ReferenceData!$F$20),"",ReferenceData!$F$20),"")</f>
        <v/>
      </c>
      <c r="G20" t="str">
        <f ca="1">IFERROR(IF(0=LEN(ReferenceData!$G$20),"",ReferenceData!$G$20),"")</f>
        <v/>
      </c>
      <c r="H20" t="str">
        <f ca="1">IFERROR(IF(0=LEN(ReferenceData!$H$20),"",ReferenceData!$H$20),"")</f>
        <v/>
      </c>
      <c r="I20" t="str">
        <f ca="1">IFERROR(IF(0=LEN(ReferenceData!$I$20),"",ReferenceData!$I$20),"")</f>
        <v/>
      </c>
      <c r="J20" t="str">
        <f ca="1">IFERROR(IF(0=LEN(ReferenceData!$J$20),"",ReferenceData!$J$20),"")</f>
        <v/>
      </c>
      <c r="K20" t="str">
        <f ca="1">IFERROR(IF(0=LEN(ReferenceData!$K$20),"",ReferenceData!$K$20),"")</f>
        <v/>
      </c>
      <c r="L20" t="str">
        <f ca="1">IFERROR(IF(0=LEN(ReferenceData!$L$20),"",ReferenceData!$L$20),"")</f>
        <v/>
      </c>
      <c r="M20" t="str">
        <f ca="1">IFERROR(IF(0=LEN(ReferenceData!$M$20),"",ReferenceData!$M$20),"")</f>
        <v/>
      </c>
      <c r="N20" t="str">
        <f ca="1">IFERROR(IF(0=LEN(ReferenceData!$N$20),"",ReferenceData!$N$20),"")</f>
        <v/>
      </c>
      <c r="O20" t="str">
        <f ca="1">IFERROR(IF(0=LEN(ReferenceData!$O$20),"",ReferenceData!$O$20),"")</f>
        <v/>
      </c>
      <c r="P20" t="str">
        <f ca="1">IFERROR(IF(0=LEN(ReferenceData!$P$20),"",ReferenceData!$P$20),"")</f>
        <v/>
      </c>
      <c r="Q20" t="str">
        <f ca="1">IFERROR(IF(0=LEN(ReferenceData!$Q$20),"",ReferenceData!$Q$20),"")</f>
        <v/>
      </c>
      <c r="R20" t="str">
        <f ca="1">IFERROR(IF(0=LEN(ReferenceData!$R$20),"",ReferenceData!$R$20),"")</f>
        <v/>
      </c>
      <c r="S20" t="str">
        <f ca="1">IFERROR(IF(0=LEN(ReferenceData!$S$20),"",ReferenceData!$S$20),"")</f>
        <v/>
      </c>
      <c r="T20" t="str">
        <f ca="1">IFERROR(IF(0=LEN(ReferenceData!$T$20),"",ReferenceData!$T$20),"")</f>
        <v/>
      </c>
      <c r="U20" t="str">
        <f ca="1">IFERROR(IF(0=LEN(ReferenceData!$U$20),"",ReferenceData!$U$20),"")</f>
        <v/>
      </c>
      <c r="V20" t="str">
        <f ca="1">IFERROR(IF(0=LEN(ReferenceData!$V$20),"",ReferenceData!$V$20),"")</f>
        <v/>
      </c>
      <c r="W20" t="str">
        <f ca="1">IFERROR(IF(0=LEN(ReferenceData!$W$20),"",ReferenceData!$W$20),"")</f>
        <v/>
      </c>
      <c r="X20" t="str">
        <f ca="1">IFERROR(IF(0=LEN(ReferenceData!$X$20),"",ReferenceData!$X$20),"")</f>
        <v/>
      </c>
      <c r="Y20" t="str">
        <f ca="1">IFERROR(IF(0=LEN(ReferenceData!$Y$20),"",ReferenceData!$Y$20),"")</f>
        <v/>
      </c>
      <c r="Z20" t="str">
        <f ca="1">IFERROR(IF(0=LEN(ReferenceData!$Z$20),"",ReferenceData!$Z$20),"")</f>
        <v/>
      </c>
      <c r="AA20" t="str">
        <f ca="1">IFERROR(IF(0=LEN(ReferenceData!$AA$20),"",ReferenceData!$AA$20),"")</f>
        <v/>
      </c>
      <c r="AB20" t="str">
        <f ca="1">IFERROR(IF(0=LEN(ReferenceData!$AB$20),"",ReferenceData!$AB$20),"")</f>
        <v/>
      </c>
      <c r="AC20" t="str">
        <f ca="1">IFERROR(IF(0=LEN(ReferenceData!$AC$20),"",ReferenceData!$AC$20),"")</f>
        <v/>
      </c>
      <c r="AD20" t="str">
        <f ca="1">IFERROR(IF(0=LEN(ReferenceData!$AD$20),"",ReferenceData!$AD$20),"")</f>
        <v/>
      </c>
      <c r="AE20" t="str">
        <f ca="1">IFERROR(IF(0=LEN(ReferenceData!$AE$20),"",ReferenceData!$AE$20),"")</f>
        <v/>
      </c>
      <c r="AF20" t="str">
        <f ca="1">IFERROR(IF(0=LEN(ReferenceData!$AF$20),"",ReferenceData!$AF$20),"")</f>
        <v/>
      </c>
      <c r="AG20" t="str">
        <f ca="1">IFERROR(IF(0=LEN(ReferenceData!$AG$20),"",ReferenceData!$AG$20),"")</f>
        <v/>
      </c>
      <c r="AH20" t="str">
        <f ca="1">IFERROR(IF(0=LEN(ReferenceData!$AH$20),"",ReferenceData!$AH$20),"")</f>
        <v/>
      </c>
      <c r="AI20" t="str">
        <f ca="1">IFERROR(IF(0=LEN(ReferenceData!$AI$20),"",ReferenceData!$AI$20),"")</f>
        <v/>
      </c>
      <c r="AJ20" t="str">
        <f ca="1">IFERROR(IF(0=LEN(ReferenceData!$AJ$20),"",ReferenceData!$AJ$20),"")</f>
        <v/>
      </c>
      <c r="AK20" t="str">
        <f ca="1">IFERROR(IF(0=LEN(ReferenceData!$AK$20),"",ReferenceData!$AK$20),"")</f>
        <v/>
      </c>
      <c r="AL20" t="str">
        <f ca="1">IFERROR(IF(0=LEN(ReferenceData!$AL$20),"",ReferenceData!$AL$20),"")</f>
        <v/>
      </c>
      <c r="AM20" t="str">
        <f ca="1">IFERROR(IF(0=LEN(ReferenceData!$AM$20),"",ReferenceData!$AM$20),"")</f>
        <v/>
      </c>
      <c r="AN20" t="str">
        <f ca="1">IFERROR(IF(0=LEN(ReferenceData!$AN$20),"",ReferenceData!$AN$20),"")</f>
        <v/>
      </c>
      <c r="AO20" t="str">
        <f ca="1">IFERROR(IF(0=LEN(ReferenceData!$AO$20),"",ReferenceData!$AO$20),"")</f>
        <v/>
      </c>
      <c r="AP20" t="str">
        <f ca="1">IFERROR(IF(0=LEN(ReferenceData!$AP$20),"",ReferenceData!$AP$20),"")</f>
        <v/>
      </c>
      <c r="AQ20" t="str">
        <f ca="1">IFERROR(IF(0=LEN(ReferenceData!$AQ$20),"",ReferenceData!$AQ$20),"")</f>
        <v/>
      </c>
      <c r="AR20" t="str">
        <f ca="1">IFERROR(IF(0=LEN(ReferenceData!$AR$20),"",ReferenceData!$AR$20),"")</f>
        <v/>
      </c>
      <c r="AS20" t="str">
        <f ca="1">IFERROR(IF(0=LEN(ReferenceData!$AS$20),"",ReferenceData!$AS$20),"")</f>
        <v/>
      </c>
      <c r="AT20" t="str">
        <f ca="1">IFERROR(IF(0=LEN(ReferenceData!$AT$20),"",ReferenceData!$AT$20),"")</f>
        <v/>
      </c>
      <c r="AU20" t="str">
        <f ca="1">IFERROR(IF(0=LEN(ReferenceData!$AU$20),"",ReferenceData!$AU$20),"")</f>
        <v/>
      </c>
      <c r="AV20" t="str">
        <f ca="1">IFERROR(IF(0=LEN(ReferenceData!$AV$20),"",ReferenceData!$AV$20),"")</f>
        <v/>
      </c>
      <c r="AW20" t="str">
        <f ca="1">IFERROR(IF(0=LEN(ReferenceData!$AW$20),"",ReferenceData!$AW$20),"")</f>
        <v/>
      </c>
      <c r="AX20" t="str">
        <f ca="1">IFERROR(IF(0=LEN(ReferenceData!$AX$20),"",ReferenceData!$AX$20),"")</f>
        <v/>
      </c>
      <c r="AY20" t="str">
        <f ca="1">IFERROR(IF(0=LEN(ReferenceData!$AY$20),"",ReferenceData!$AY$20),"")</f>
        <v/>
      </c>
      <c r="AZ20" t="str">
        <f ca="1">IFERROR(IF(0=LEN(ReferenceData!$AZ$20),"",ReferenceData!$AZ$20),"")</f>
        <v/>
      </c>
      <c r="BA20" t="str">
        <f ca="1">IFERROR(IF(0=LEN(ReferenceData!$BA$20),"",ReferenceData!$BA$20),"")</f>
        <v/>
      </c>
      <c r="BB20" t="str">
        <f ca="1">IFERROR(IF(0=LEN(ReferenceData!$BB$20),"",ReferenceData!$BB$20),"")</f>
        <v/>
      </c>
      <c r="BC20" t="str">
        <f ca="1">IFERROR(IF(0=LEN(ReferenceData!$BC$20),"",ReferenceData!$BC$20),"")</f>
        <v/>
      </c>
      <c r="BD20" t="str">
        <f ca="1">IFERROR(IF(0=LEN(ReferenceData!$BD$20),"",ReferenceData!$BD$20),"")</f>
        <v/>
      </c>
      <c r="BE20" t="str">
        <f ca="1">IFERROR(IF(0=LEN(ReferenceData!$BE$20),"",ReferenceData!$BE$20),"")</f>
        <v/>
      </c>
      <c r="BF20" t="str">
        <f ca="1">IFERROR(IF(0=LEN(ReferenceData!$BF$20),"",ReferenceData!$BF$20),"")</f>
        <v/>
      </c>
      <c r="BG20" t="str">
        <f ca="1">IFERROR(IF(0=LEN(ReferenceData!$BG$20),"",ReferenceData!$BG$20),"")</f>
        <v/>
      </c>
      <c r="BH20" t="str">
        <f ca="1">IFERROR(IF(0=LEN(ReferenceData!$BH$20),"",ReferenceData!$BH$20),"")</f>
        <v/>
      </c>
      <c r="BI20" t="str">
        <f ca="1">IFERROR(IF(0=LEN(ReferenceData!$BI$20),"",ReferenceData!$BI$20),"")</f>
        <v/>
      </c>
      <c r="BJ20" t="str">
        <f ca="1">IFERROR(IF(0=LEN(ReferenceData!$BJ$20),"",ReferenceData!$BJ$20),"")</f>
        <v/>
      </c>
      <c r="BK20" t="str">
        <f ca="1">IFERROR(IF(0=LEN(ReferenceData!$BK$20),"",ReferenceData!$BK$20),"")</f>
        <v/>
      </c>
      <c r="BL20" t="str">
        <f ca="1">IFERROR(IF(0=LEN(ReferenceData!$BL$20),"",ReferenceData!$BL$20),"")</f>
        <v/>
      </c>
      <c r="BM20" t="str">
        <f ca="1">IFERROR(IF(0=LEN(ReferenceData!$BM$20),"",ReferenceData!$BM$20),"")</f>
        <v/>
      </c>
    </row>
    <row r="21" spans="1:65">
      <c r="A21" t="str">
        <f>IFERROR(IF(0=LEN(ReferenceData!$A$21),"",ReferenceData!$A$21),"")</f>
        <v xml:space="preserve">    UDR Inc</v>
      </c>
      <c r="B21" t="str">
        <f>IFERROR(IF(0=LEN(ReferenceData!$B$21),"",ReferenceData!$B$21),"")</f>
        <v>UDR US Equity</v>
      </c>
      <c r="C21" t="str">
        <f>IFERROR(IF(0=LEN(ReferenceData!$C$21),"",ReferenceData!$C$21),"")</f>
        <v>IM275</v>
      </c>
      <c r="D21" t="str">
        <f>IFERROR(IF(0=LEN(ReferenceData!$D$21),"",ReferenceData!$D$21),"")</f>
        <v>IS_OTHER_RENTAL_INCOME</v>
      </c>
      <c r="E21" t="str">
        <f>IFERROR(IF(0=LEN(ReferenceData!$E$21),"",ReferenceData!$E$21),"")</f>
        <v>动态</v>
      </c>
      <c r="F21" t="str">
        <f ca="1">IFERROR(IF(0=LEN(ReferenceData!$F$21),"",ReferenceData!$F$21),"")</f>
        <v/>
      </c>
      <c r="G21" t="str">
        <f ca="1">IFERROR(IF(0=LEN(ReferenceData!$G$21),"",ReferenceData!$G$21),"")</f>
        <v/>
      </c>
      <c r="H21" t="str">
        <f ca="1">IFERROR(IF(0=LEN(ReferenceData!$H$21),"",ReferenceData!$H$21),"")</f>
        <v/>
      </c>
      <c r="I21" t="str">
        <f ca="1">IFERROR(IF(0=LEN(ReferenceData!$I$21),"",ReferenceData!$I$21),"")</f>
        <v/>
      </c>
      <c r="J21" t="str">
        <f ca="1">IFERROR(IF(0=LEN(ReferenceData!$J$21),"",ReferenceData!$J$21),"")</f>
        <v/>
      </c>
      <c r="K21" t="str">
        <f ca="1">IFERROR(IF(0=LEN(ReferenceData!$K$21),"",ReferenceData!$K$21),"")</f>
        <v/>
      </c>
      <c r="L21" t="str">
        <f ca="1">IFERROR(IF(0=LEN(ReferenceData!$L$21),"",ReferenceData!$L$21),"")</f>
        <v/>
      </c>
      <c r="M21" t="str">
        <f ca="1">IFERROR(IF(0=LEN(ReferenceData!$M$21),"",ReferenceData!$M$21),"")</f>
        <v/>
      </c>
      <c r="N21" t="str">
        <f ca="1">IFERROR(IF(0=LEN(ReferenceData!$N$21),"",ReferenceData!$N$21),"")</f>
        <v/>
      </c>
      <c r="O21" t="str">
        <f ca="1">IFERROR(IF(0=LEN(ReferenceData!$O$21),"",ReferenceData!$O$21),"")</f>
        <v/>
      </c>
      <c r="P21" t="str">
        <f ca="1">IFERROR(IF(0=LEN(ReferenceData!$P$21),"",ReferenceData!$P$21),"")</f>
        <v/>
      </c>
      <c r="Q21" t="str">
        <f ca="1">IFERROR(IF(0=LEN(ReferenceData!$Q$21),"",ReferenceData!$Q$21),"")</f>
        <v/>
      </c>
      <c r="R21" t="str">
        <f ca="1">IFERROR(IF(0=LEN(ReferenceData!$R$21),"",ReferenceData!$R$21),"")</f>
        <v/>
      </c>
      <c r="S21" t="str">
        <f ca="1">IFERROR(IF(0=LEN(ReferenceData!$S$21),"",ReferenceData!$S$21),"")</f>
        <v/>
      </c>
      <c r="T21" t="str">
        <f ca="1">IFERROR(IF(0=LEN(ReferenceData!$T$21),"",ReferenceData!$T$21),"")</f>
        <v/>
      </c>
      <c r="U21" t="str">
        <f ca="1">IFERROR(IF(0=LEN(ReferenceData!$U$21),"",ReferenceData!$U$21),"")</f>
        <v/>
      </c>
      <c r="V21" t="str">
        <f ca="1">IFERROR(IF(0=LEN(ReferenceData!$V$21),"",ReferenceData!$V$21),"")</f>
        <v/>
      </c>
      <c r="W21" t="str">
        <f ca="1">IFERROR(IF(0=LEN(ReferenceData!$W$21),"",ReferenceData!$W$21),"")</f>
        <v/>
      </c>
      <c r="X21" t="str">
        <f ca="1">IFERROR(IF(0=LEN(ReferenceData!$X$21),"",ReferenceData!$X$21),"")</f>
        <v/>
      </c>
      <c r="Y21" t="str">
        <f ca="1">IFERROR(IF(0=LEN(ReferenceData!$Y$21),"",ReferenceData!$Y$21),"")</f>
        <v/>
      </c>
      <c r="Z21" t="str">
        <f ca="1">IFERROR(IF(0=LEN(ReferenceData!$Z$21),"",ReferenceData!$Z$21),"")</f>
        <v/>
      </c>
      <c r="AA21" t="str">
        <f ca="1">IFERROR(IF(0=LEN(ReferenceData!$AA$21),"",ReferenceData!$AA$21),"")</f>
        <v/>
      </c>
      <c r="AB21" t="str">
        <f ca="1">IFERROR(IF(0=LEN(ReferenceData!$AB$21),"",ReferenceData!$AB$21),"")</f>
        <v/>
      </c>
      <c r="AC21" t="str">
        <f ca="1">IFERROR(IF(0=LEN(ReferenceData!$AC$21),"",ReferenceData!$AC$21),"")</f>
        <v/>
      </c>
      <c r="AD21" t="str">
        <f ca="1">IFERROR(IF(0=LEN(ReferenceData!$AD$21),"",ReferenceData!$AD$21),"")</f>
        <v/>
      </c>
      <c r="AE21" t="str">
        <f ca="1">IFERROR(IF(0=LEN(ReferenceData!$AE$21),"",ReferenceData!$AE$21),"")</f>
        <v/>
      </c>
      <c r="AF21" t="str">
        <f ca="1">IFERROR(IF(0=LEN(ReferenceData!$AF$21),"",ReferenceData!$AF$21),"")</f>
        <v/>
      </c>
      <c r="AG21" t="str">
        <f ca="1">IFERROR(IF(0=LEN(ReferenceData!$AG$21),"",ReferenceData!$AG$21),"")</f>
        <v/>
      </c>
      <c r="AH21" t="str">
        <f ca="1">IFERROR(IF(0=LEN(ReferenceData!$AH$21),"",ReferenceData!$AH$21),"")</f>
        <v/>
      </c>
      <c r="AI21" t="str">
        <f ca="1">IFERROR(IF(0=LEN(ReferenceData!$AI$21),"",ReferenceData!$AI$21),"")</f>
        <v/>
      </c>
      <c r="AJ21" t="str">
        <f ca="1">IFERROR(IF(0=LEN(ReferenceData!$AJ$21),"",ReferenceData!$AJ$21),"")</f>
        <v/>
      </c>
      <c r="AK21" t="str">
        <f ca="1">IFERROR(IF(0=LEN(ReferenceData!$AK$21),"",ReferenceData!$AK$21),"")</f>
        <v/>
      </c>
      <c r="AL21" t="str">
        <f ca="1">IFERROR(IF(0=LEN(ReferenceData!$AL$21),"",ReferenceData!$AL$21),"")</f>
        <v/>
      </c>
      <c r="AM21" t="str">
        <f ca="1">IFERROR(IF(0=LEN(ReferenceData!$AM$21),"",ReferenceData!$AM$21),"")</f>
        <v/>
      </c>
      <c r="AN21" t="str">
        <f ca="1">IFERROR(IF(0=LEN(ReferenceData!$AN$21),"",ReferenceData!$AN$21),"")</f>
        <v/>
      </c>
      <c r="AO21" t="str">
        <f ca="1">IFERROR(IF(0=LEN(ReferenceData!$AO$21),"",ReferenceData!$AO$21),"")</f>
        <v/>
      </c>
      <c r="AP21" t="str">
        <f ca="1">IFERROR(IF(0=LEN(ReferenceData!$AP$21),"",ReferenceData!$AP$21),"")</f>
        <v/>
      </c>
      <c r="AQ21" t="str">
        <f ca="1">IFERROR(IF(0=LEN(ReferenceData!$AQ$21),"",ReferenceData!$AQ$21),"")</f>
        <v/>
      </c>
      <c r="AR21" t="str">
        <f ca="1">IFERROR(IF(0=LEN(ReferenceData!$AR$21),"",ReferenceData!$AR$21),"")</f>
        <v/>
      </c>
      <c r="AS21" t="str">
        <f ca="1">IFERROR(IF(0=LEN(ReferenceData!$AS$21),"",ReferenceData!$AS$21),"")</f>
        <v/>
      </c>
      <c r="AT21" t="str">
        <f ca="1">IFERROR(IF(0=LEN(ReferenceData!$AT$21),"",ReferenceData!$AT$21),"")</f>
        <v/>
      </c>
      <c r="AU21" t="str">
        <f ca="1">IFERROR(IF(0=LEN(ReferenceData!$AU$21),"",ReferenceData!$AU$21),"")</f>
        <v/>
      </c>
      <c r="AV21" t="str">
        <f ca="1">IFERROR(IF(0=LEN(ReferenceData!$AV$21),"",ReferenceData!$AV$21),"")</f>
        <v/>
      </c>
      <c r="AW21" t="str">
        <f ca="1">IFERROR(IF(0=LEN(ReferenceData!$AW$21),"",ReferenceData!$AW$21),"")</f>
        <v/>
      </c>
      <c r="AX21" t="str">
        <f ca="1">IFERROR(IF(0=LEN(ReferenceData!$AX$21),"",ReferenceData!$AX$21),"")</f>
        <v/>
      </c>
      <c r="AY21" t="str">
        <f ca="1">IFERROR(IF(0=LEN(ReferenceData!$AY$21),"",ReferenceData!$AY$21),"")</f>
        <v/>
      </c>
      <c r="AZ21" t="str">
        <f ca="1">IFERROR(IF(0=LEN(ReferenceData!$AZ$21),"",ReferenceData!$AZ$21),"")</f>
        <v/>
      </c>
      <c r="BA21" t="str">
        <f ca="1">IFERROR(IF(0=LEN(ReferenceData!$BA$21),"",ReferenceData!$BA$21),"")</f>
        <v/>
      </c>
      <c r="BB21" t="str">
        <f ca="1">IFERROR(IF(0=LEN(ReferenceData!$BB$21),"",ReferenceData!$BB$21),"")</f>
        <v/>
      </c>
      <c r="BC21" t="str">
        <f ca="1">IFERROR(IF(0=LEN(ReferenceData!$BC$21),"",ReferenceData!$BC$21),"")</f>
        <v/>
      </c>
      <c r="BD21" t="str">
        <f ca="1">IFERROR(IF(0=LEN(ReferenceData!$BD$21),"",ReferenceData!$BD$21),"")</f>
        <v/>
      </c>
      <c r="BE21" t="str">
        <f ca="1">IFERROR(IF(0=LEN(ReferenceData!$BE$21),"",ReferenceData!$BE$21),"")</f>
        <v/>
      </c>
      <c r="BF21" t="str">
        <f ca="1">IFERROR(IF(0=LEN(ReferenceData!$BF$21),"",ReferenceData!$BF$21),"")</f>
        <v/>
      </c>
      <c r="BG21" t="str">
        <f ca="1">IFERROR(IF(0=LEN(ReferenceData!$BG$21),"",ReferenceData!$BG$21),"")</f>
        <v/>
      </c>
      <c r="BH21" t="str">
        <f ca="1">IFERROR(IF(0=LEN(ReferenceData!$BH$21),"",ReferenceData!$BH$21),"")</f>
        <v/>
      </c>
      <c r="BI21" t="str">
        <f ca="1">IFERROR(IF(0=LEN(ReferenceData!$BI$21),"",ReferenceData!$BI$21),"")</f>
        <v/>
      </c>
      <c r="BJ21" t="str">
        <f ca="1">IFERROR(IF(0=LEN(ReferenceData!$BJ$21),"",ReferenceData!$BJ$21),"")</f>
        <v/>
      </c>
      <c r="BK21" t="str">
        <f ca="1">IFERROR(IF(0=LEN(ReferenceData!$BK$21),"",ReferenceData!$BK$21),"")</f>
        <v/>
      </c>
      <c r="BL21" t="str">
        <f ca="1">IFERROR(IF(0=LEN(ReferenceData!$BL$21),"",ReferenceData!$BL$21),"")</f>
        <v/>
      </c>
      <c r="BM21" t="str">
        <f ca="1">IFERROR(IF(0=LEN(ReferenceData!$BM$21),"",ReferenceData!$BM$21),"")</f>
        <v/>
      </c>
    </row>
    <row r="22" spans="1:65">
      <c r="A22" t="str">
        <f>IFERROR(IF(0=LEN(ReferenceData!$A$22),"",ReferenceData!$A$22),"")</f>
        <v>其他营业收入</v>
      </c>
      <c r="B22" t="str">
        <f>IFERROR(IF(0=LEN(ReferenceData!$B$22),"",ReferenceData!$B$22),"")</f>
        <v/>
      </c>
      <c r="C22" t="str">
        <f>IFERROR(IF(0=LEN(ReferenceData!$C$22),"",ReferenceData!$C$22),"")</f>
        <v/>
      </c>
      <c r="D22" t="str">
        <f>IFERROR(IF(0=LEN(ReferenceData!$D$22),"",ReferenceData!$D$22),"")</f>
        <v/>
      </c>
      <c r="E22" t="str">
        <f>IFERROR(IF(0=LEN(ReferenceData!$E$22),"",ReferenceData!$E$22),"")</f>
        <v>Median</v>
      </c>
      <c r="F22" t="str">
        <f ca="1">IFERROR(IF(0=LEN(ReferenceData!$F$22),"",ReferenceData!$F$22),"")</f>
        <v/>
      </c>
      <c r="G22" t="str">
        <f ca="1">IFERROR(IF(0=LEN(ReferenceData!$G$22),"",ReferenceData!$G$22),"")</f>
        <v/>
      </c>
      <c r="H22">
        <f ca="1">IFERROR(IF(0=LEN(ReferenceData!$H$22),"",ReferenceData!$H$22),"")</f>
        <v>1.4135</v>
      </c>
      <c r="I22">
        <f ca="1">IFERROR(IF(0=LEN(ReferenceData!$I$22),"",ReferenceData!$I$22),"")</f>
        <v>0.69650000000000001</v>
      </c>
      <c r="J22">
        <f ca="1">IFERROR(IF(0=LEN(ReferenceData!$J$22),"",ReferenceData!$J$22),"")</f>
        <v>0.66749999999999998</v>
      </c>
      <c r="K22">
        <f ca="1">IFERROR(IF(0=LEN(ReferenceData!$K$22),"",ReferenceData!$K$22),"")</f>
        <v>0.77900000000000003</v>
      </c>
      <c r="L22">
        <f ca="1">IFERROR(IF(0=LEN(ReferenceData!$L$22),"",ReferenceData!$L$22),"")</f>
        <v>0.79149999999999998</v>
      </c>
      <c r="M22">
        <f ca="1">IFERROR(IF(0=LEN(ReferenceData!$M$22),"",ReferenceData!$M$22),"")</f>
        <v>1.3089999999999999</v>
      </c>
      <c r="N22">
        <f ca="1">IFERROR(IF(0=LEN(ReferenceData!$N$22),"",ReferenceData!$N$22),"")</f>
        <v>0.91849999999999998</v>
      </c>
      <c r="O22">
        <f ca="1">IFERROR(IF(0=LEN(ReferenceData!$O$22),"",ReferenceData!$O$22),"")</f>
        <v>1.2929999999999999</v>
      </c>
      <c r="P22">
        <f ca="1">IFERROR(IF(0=LEN(ReferenceData!$P$22),"",ReferenceData!$P$22),"")</f>
        <v>0.85750000000000004</v>
      </c>
      <c r="Q22">
        <f ca="1">IFERROR(IF(0=LEN(ReferenceData!$Q$22),"",ReferenceData!$Q$22),"")</f>
        <v>1.1890000000000001</v>
      </c>
      <c r="R22">
        <f ca="1">IFERROR(IF(0=LEN(ReferenceData!$R$22),"",ReferenceData!$R$22),"")</f>
        <v>0.69699999999999995</v>
      </c>
      <c r="S22">
        <f ca="1">IFERROR(IF(0=LEN(ReferenceData!$S$22),"",ReferenceData!$S$22),"")</f>
        <v>0.65800000000000003</v>
      </c>
      <c r="T22">
        <f ca="1">IFERROR(IF(0=LEN(ReferenceData!$T$22),"",ReferenceData!$T$22),"")</f>
        <v>1.2825</v>
      </c>
      <c r="U22">
        <f ca="1">IFERROR(IF(0=LEN(ReferenceData!$U$22),"",ReferenceData!$U$22),"")</f>
        <v>1.0945</v>
      </c>
      <c r="V22">
        <f ca="1">IFERROR(IF(0=LEN(ReferenceData!$V$22),"",ReferenceData!$V$22),"")</f>
        <v>0.53</v>
      </c>
      <c r="W22">
        <f ca="1">IFERROR(IF(0=LEN(ReferenceData!$W$22),"",ReferenceData!$W$22),"")</f>
        <v>0.76449999999999996</v>
      </c>
      <c r="X22">
        <f ca="1">IFERROR(IF(0=LEN(ReferenceData!$X$22),"",ReferenceData!$X$22),"")</f>
        <v>0.75249999999999995</v>
      </c>
      <c r="Y22">
        <f ca="1">IFERROR(IF(0=LEN(ReferenceData!$Y$22),"",ReferenceData!$Y$22),"")</f>
        <v>0.49349999999999999</v>
      </c>
      <c r="Z22">
        <f ca="1">IFERROR(IF(0=LEN(ReferenceData!$Z$22),"",ReferenceData!$Z$22),"")</f>
        <v>0.53800000000000003</v>
      </c>
      <c r="AA22" t="str">
        <f ca="1">IFERROR(IF(0=LEN(ReferenceData!$AA$22),"",ReferenceData!$AA$22),"")</f>
        <v/>
      </c>
      <c r="AB22">
        <f ca="1">IFERROR(IF(0=LEN(ReferenceData!$AB$22),"",ReferenceData!$AB$22),"")</f>
        <v>0.96050000000000002</v>
      </c>
      <c r="AC22">
        <f ca="1">IFERROR(IF(0=LEN(ReferenceData!$AC$22),"",ReferenceData!$AC$22),"")</f>
        <v>1.3585</v>
      </c>
      <c r="AD22">
        <f ca="1">IFERROR(IF(0=LEN(ReferenceData!$AD$22),"",ReferenceData!$AD$22),"")</f>
        <v>1.2184999999999999</v>
      </c>
      <c r="AE22" t="str">
        <f ca="1">IFERROR(IF(0=LEN(ReferenceData!$AE$22),"",ReferenceData!$AE$22),"")</f>
        <v/>
      </c>
      <c r="AF22">
        <f ca="1">IFERROR(IF(0=LEN(ReferenceData!$AF$22),"",ReferenceData!$AF$22),"")</f>
        <v>0.98750000000000004</v>
      </c>
      <c r="AG22">
        <f ca="1">IFERROR(IF(0=LEN(ReferenceData!$AG$22),"",ReferenceData!$AG$22),"")</f>
        <v>0.51600000000000001</v>
      </c>
      <c r="AH22">
        <f ca="1">IFERROR(IF(0=LEN(ReferenceData!$AH$22),"",ReferenceData!$AH$22),"")</f>
        <v>2.0825</v>
      </c>
      <c r="AI22" t="str">
        <f ca="1">IFERROR(IF(0=LEN(ReferenceData!$AI$22),"",ReferenceData!$AI$22),"")</f>
        <v/>
      </c>
      <c r="AJ22">
        <f ca="1">IFERROR(IF(0=LEN(ReferenceData!$AJ$22),"",ReferenceData!$AJ$22),"")</f>
        <v>1.0960000000000001</v>
      </c>
      <c r="AK22">
        <f ca="1">IFERROR(IF(0=LEN(ReferenceData!$AK$22),"",ReferenceData!$AK$22),"")</f>
        <v>0.93500000000000005</v>
      </c>
      <c r="AL22">
        <f ca="1">IFERROR(IF(0=LEN(ReferenceData!$AL$22),"",ReferenceData!$AL$22),"")</f>
        <v>0.41299999999999998</v>
      </c>
      <c r="AM22" t="str">
        <f ca="1">IFERROR(IF(0=LEN(ReferenceData!$AM$22),"",ReferenceData!$AM$22),"")</f>
        <v/>
      </c>
      <c r="AN22">
        <f ca="1">IFERROR(IF(0=LEN(ReferenceData!$AN$22),"",ReferenceData!$AN$22),"")</f>
        <v>1.1019999999999999</v>
      </c>
      <c r="AO22">
        <f ca="1">IFERROR(IF(0=LEN(ReferenceData!$AO$22),"",ReferenceData!$AO$22),"")</f>
        <v>1.3880000000000001</v>
      </c>
      <c r="AP22">
        <f ca="1">IFERROR(IF(0=LEN(ReferenceData!$AP$22),"",ReferenceData!$AP$22),"")</f>
        <v>0.9425</v>
      </c>
      <c r="AQ22" t="str">
        <f ca="1">IFERROR(IF(0=LEN(ReferenceData!$AQ$22),"",ReferenceData!$AQ$22),"")</f>
        <v/>
      </c>
      <c r="AR22" t="str">
        <f ca="1">IFERROR(IF(0=LEN(ReferenceData!$AR$22),"",ReferenceData!$AR$22),"")</f>
        <v/>
      </c>
      <c r="AS22" t="str">
        <f ca="1">IFERROR(IF(0=LEN(ReferenceData!$AS$22),"",ReferenceData!$AS$22),"")</f>
        <v/>
      </c>
      <c r="AT22" t="str">
        <f ca="1">IFERROR(IF(0=LEN(ReferenceData!$AT$22),"",ReferenceData!$AT$22),"")</f>
        <v/>
      </c>
      <c r="AU22" t="str">
        <f ca="1">IFERROR(IF(0=LEN(ReferenceData!$AU$22),"",ReferenceData!$AU$22),"")</f>
        <v/>
      </c>
      <c r="AV22" t="str">
        <f ca="1">IFERROR(IF(0=LEN(ReferenceData!$AV$22),"",ReferenceData!$AV$22),"")</f>
        <v/>
      </c>
      <c r="AW22" t="str">
        <f ca="1">IFERROR(IF(0=LEN(ReferenceData!$AW$22),"",ReferenceData!$AW$22),"")</f>
        <v/>
      </c>
      <c r="AX22" t="str">
        <f ca="1">IFERROR(IF(0=LEN(ReferenceData!$AX$22),"",ReferenceData!$AX$22),"")</f>
        <v/>
      </c>
      <c r="AY22" t="str">
        <f ca="1">IFERROR(IF(0=LEN(ReferenceData!$AY$22),"",ReferenceData!$AY$22),"")</f>
        <v/>
      </c>
      <c r="AZ22" t="str">
        <f ca="1">IFERROR(IF(0=LEN(ReferenceData!$AZ$22),"",ReferenceData!$AZ$22),"")</f>
        <v/>
      </c>
      <c r="BA22" t="str">
        <f ca="1">IFERROR(IF(0=LEN(ReferenceData!$BA$22),"",ReferenceData!$BA$22),"")</f>
        <v/>
      </c>
      <c r="BB22" t="str">
        <f ca="1">IFERROR(IF(0=LEN(ReferenceData!$BB$22),"",ReferenceData!$BB$22),"")</f>
        <v/>
      </c>
      <c r="BC22" t="str">
        <f ca="1">IFERROR(IF(0=LEN(ReferenceData!$BC$22),"",ReferenceData!$BC$22),"")</f>
        <v/>
      </c>
      <c r="BD22" t="str">
        <f ca="1">IFERROR(IF(0=LEN(ReferenceData!$BD$22),"",ReferenceData!$BD$22),"")</f>
        <v/>
      </c>
      <c r="BE22" t="str">
        <f ca="1">IFERROR(IF(0=LEN(ReferenceData!$BE$22),"",ReferenceData!$BE$22),"")</f>
        <v/>
      </c>
      <c r="BF22" t="str">
        <f ca="1">IFERROR(IF(0=LEN(ReferenceData!$BF$22),"",ReferenceData!$BF$22),"")</f>
        <v/>
      </c>
      <c r="BG22" t="str">
        <f ca="1">IFERROR(IF(0=LEN(ReferenceData!$BG$22),"",ReferenceData!$BG$22),"")</f>
        <v/>
      </c>
      <c r="BH22" t="str">
        <f ca="1">IFERROR(IF(0=LEN(ReferenceData!$BH$22),"",ReferenceData!$BH$22),"")</f>
        <v/>
      </c>
      <c r="BI22" t="str">
        <f ca="1">IFERROR(IF(0=LEN(ReferenceData!$BI$22),"",ReferenceData!$BI$22),"")</f>
        <v/>
      </c>
      <c r="BJ22" t="str">
        <f ca="1">IFERROR(IF(0=LEN(ReferenceData!$BJ$22),"",ReferenceData!$BJ$22),"")</f>
        <v/>
      </c>
      <c r="BK22" t="str">
        <f ca="1">IFERROR(IF(0=LEN(ReferenceData!$BK$22),"",ReferenceData!$BK$22),"")</f>
        <v/>
      </c>
      <c r="BL22" t="str">
        <f ca="1">IFERROR(IF(0=LEN(ReferenceData!$BL$22),"",ReferenceData!$BL$22),"")</f>
        <v/>
      </c>
      <c r="BM22" t="str">
        <f ca="1">IFERROR(IF(0=LEN(ReferenceData!$BM$22),"",ReferenceData!$BM$22),"")</f>
        <v/>
      </c>
    </row>
    <row r="23" spans="1:65">
      <c r="A23" t="str">
        <f>IFERROR(IF(0=LEN(ReferenceData!$A$23),"",ReferenceData!$A$23),"")</f>
        <v xml:space="preserve">    American Campus Communities In</v>
      </c>
      <c r="B23" t="str">
        <f>IFERROR(IF(0=LEN(ReferenceData!$B$23),"",ReferenceData!$B$23),"")</f>
        <v>ACC US Equity</v>
      </c>
      <c r="C23" t="str">
        <f>IFERROR(IF(0=LEN(ReferenceData!$C$23),"",ReferenceData!$C$23),"")</f>
        <v>IM281</v>
      </c>
      <c r="D23" t="str">
        <f>IFERROR(IF(0=LEN(ReferenceData!$D$23),"",ReferenceData!$D$23),"")</f>
        <v>IS_NON_REAL_ESTATE_INCOME</v>
      </c>
      <c r="E23" t="str">
        <f>IFERROR(IF(0=LEN(ReferenceData!$E$23),"",ReferenceData!$E$23),"")</f>
        <v>动态</v>
      </c>
      <c r="F23" t="str">
        <f ca="1">IFERROR(IF(0=LEN(ReferenceData!$F$23),"",ReferenceData!$F$23),"")</f>
        <v/>
      </c>
      <c r="G23">
        <f ca="1">IFERROR(IF(0=LEN(ReferenceData!$G$23),"",ReferenceData!$G$23),"")</f>
        <v>3.528</v>
      </c>
      <c r="H23">
        <f ca="1">IFERROR(IF(0=LEN(ReferenceData!$H$23),"",ReferenceData!$H$23),"")</f>
        <v>4.2789999999999999</v>
      </c>
      <c r="I23">
        <f ca="1">IFERROR(IF(0=LEN(ReferenceData!$I$23),"",ReferenceData!$I$23),"")</f>
        <v>1.393</v>
      </c>
      <c r="J23">
        <f ca="1">IFERROR(IF(0=LEN(ReferenceData!$J$23),"",ReferenceData!$J$23),"")</f>
        <v>1.335</v>
      </c>
      <c r="K23">
        <f ca="1">IFERROR(IF(0=LEN(ReferenceData!$K$23),"",ReferenceData!$K$23),"")</f>
        <v>1.5580000000000001</v>
      </c>
      <c r="L23">
        <f ca="1">IFERROR(IF(0=LEN(ReferenceData!$L$23),"",ReferenceData!$L$23),"")</f>
        <v>1.583</v>
      </c>
      <c r="M23">
        <f ca="1">IFERROR(IF(0=LEN(ReferenceData!$M$23),"",ReferenceData!$M$23),"")</f>
        <v>2.8340000000000001</v>
      </c>
      <c r="N23">
        <f ca="1">IFERROR(IF(0=LEN(ReferenceData!$N$23),"",ReferenceData!$N$23),"")</f>
        <v>1.837</v>
      </c>
      <c r="O23">
        <f ca="1">IFERROR(IF(0=LEN(ReferenceData!$O$23),"",ReferenceData!$O$23),"")</f>
        <v>2.5859999999999999</v>
      </c>
      <c r="P23">
        <f ca="1">IFERROR(IF(0=LEN(ReferenceData!$P$23),"",ReferenceData!$P$23),"")</f>
        <v>1.7150000000000001</v>
      </c>
      <c r="Q23">
        <f ca="1">IFERROR(IF(0=LEN(ReferenceData!$Q$23),"",ReferenceData!$Q$23),"")</f>
        <v>2.3780000000000001</v>
      </c>
      <c r="R23">
        <f ca="1">IFERROR(IF(0=LEN(ReferenceData!$R$23),"",ReferenceData!$R$23),"")</f>
        <v>1.3939999999999999</v>
      </c>
      <c r="S23">
        <f ca="1">IFERROR(IF(0=LEN(ReferenceData!$S$23),"",ReferenceData!$S$23),"")</f>
        <v>1.3160000000000001</v>
      </c>
      <c r="T23">
        <f ca="1">IFERROR(IF(0=LEN(ReferenceData!$T$23),"",ReferenceData!$T$23),"")</f>
        <v>2.5649999999999999</v>
      </c>
      <c r="U23">
        <f ca="1">IFERROR(IF(0=LEN(ReferenceData!$U$23),"",ReferenceData!$U$23),"")</f>
        <v>2.1890000000000001</v>
      </c>
      <c r="V23">
        <f ca="1">IFERROR(IF(0=LEN(ReferenceData!$V$23),"",ReferenceData!$V$23),"")</f>
        <v>1.06</v>
      </c>
      <c r="W23">
        <f ca="1">IFERROR(IF(0=LEN(ReferenceData!$W$23),"",ReferenceData!$W$23),"")</f>
        <v>1.5289999999999999</v>
      </c>
      <c r="X23">
        <f ca="1">IFERROR(IF(0=LEN(ReferenceData!$X$23),"",ReferenceData!$X$23),"")</f>
        <v>1.5049999999999999</v>
      </c>
      <c r="Y23">
        <f ca="1">IFERROR(IF(0=LEN(ReferenceData!$Y$23),"",ReferenceData!$Y$23),"")</f>
        <v>0.98699999999999999</v>
      </c>
      <c r="Z23">
        <f ca="1">IFERROR(IF(0=LEN(ReferenceData!$Z$23),"",ReferenceData!$Z$23),"")</f>
        <v>1.0760000000000001</v>
      </c>
      <c r="AA23">
        <f ca="1">IFERROR(IF(0=LEN(ReferenceData!$AA$23),"",ReferenceData!$AA$23),"")</f>
        <v>1.77</v>
      </c>
      <c r="AB23">
        <f ca="1">IFERROR(IF(0=LEN(ReferenceData!$AB$23),"",ReferenceData!$AB$23),"")</f>
        <v>1.921</v>
      </c>
      <c r="AC23">
        <f ca="1">IFERROR(IF(0=LEN(ReferenceData!$AC$23),"",ReferenceData!$AC$23),"")</f>
        <v>4.0510000000000002</v>
      </c>
      <c r="AD23">
        <f ca="1">IFERROR(IF(0=LEN(ReferenceData!$AD$23),"",ReferenceData!$AD$23),"")</f>
        <v>2.4369999999999998</v>
      </c>
      <c r="AE23">
        <f ca="1">IFERROR(IF(0=LEN(ReferenceData!$AE$23),"",ReferenceData!$AE$23),"")</f>
        <v>1.6779999999999999</v>
      </c>
      <c r="AF23">
        <f ca="1">IFERROR(IF(0=LEN(ReferenceData!$AF$23),"",ReferenceData!$AF$23),"")</f>
        <v>1.9750000000000001</v>
      </c>
      <c r="AG23">
        <f ca="1">IFERROR(IF(0=LEN(ReferenceData!$AG$23),"",ReferenceData!$AG$23),"")</f>
        <v>1.032</v>
      </c>
      <c r="AH23">
        <f ca="1">IFERROR(IF(0=LEN(ReferenceData!$AH$23),"",ReferenceData!$AH$23),"")</f>
        <v>4.165</v>
      </c>
      <c r="AI23">
        <f ca="1">IFERROR(IF(0=LEN(ReferenceData!$AI$23),"",ReferenceData!$AI$23),"")</f>
        <v>1.41</v>
      </c>
      <c r="AJ23">
        <f ca="1">IFERROR(IF(0=LEN(ReferenceData!$AJ$23),"",ReferenceData!$AJ$23),"")</f>
        <v>6.4930000000000003</v>
      </c>
      <c r="AK23">
        <f ca="1">IFERROR(IF(0=LEN(ReferenceData!$AK$23),"",ReferenceData!$AK$23),"")</f>
        <v>1.87</v>
      </c>
      <c r="AL23">
        <f ca="1">IFERROR(IF(0=LEN(ReferenceData!$AL$23),"",ReferenceData!$AL$23),"")</f>
        <v>0.82599999999999996</v>
      </c>
      <c r="AM23">
        <f ca="1">IFERROR(IF(0=LEN(ReferenceData!$AM$23),"",ReferenceData!$AM$23),"")</f>
        <v>2.601</v>
      </c>
      <c r="AN23">
        <f ca="1">IFERROR(IF(0=LEN(ReferenceData!$AN$23),"",ReferenceData!$AN$23),"")</f>
        <v>2.5169999999999999</v>
      </c>
      <c r="AO23">
        <f ca="1">IFERROR(IF(0=LEN(ReferenceData!$AO$23),"",ReferenceData!$AO$23),"")</f>
        <v>2.31</v>
      </c>
      <c r="AP23">
        <f ca="1">IFERROR(IF(0=LEN(ReferenceData!$AP$23),"",ReferenceData!$AP$23),"")</f>
        <v>1.292</v>
      </c>
      <c r="AQ23" t="str">
        <f ca="1">IFERROR(IF(0=LEN(ReferenceData!$AQ$23),"",ReferenceData!$AQ$23),"")</f>
        <v/>
      </c>
      <c r="AR23" t="str">
        <f ca="1">IFERROR(IF(0=LEN(ReferenceData!$AR$23),"",ReferenceData!$AR$23),"")</f>
        <v/>
      </c>
      <c r="AS23" t="str">
        <f ca="1">IFERROR(IF(0=LEN(ReferenceData!$AS$23),"",ReferenceData!$AS$23),"")</f>
        <v/>
      </c>
      <c r="AT23" t="str">
        <f ca="1">IFERROR(IF(0=LEN(ReferenceData!$AT$23),"",ReferenceData!$AT$23),"")</f>
        <v/>
      </c>
      <c r="AU23" t="str">
        <f ca="1">IFERROR(IF(0=LEN(ReferenceData!$AU$23),"",ReferenceData!$AU$23),"")</f>
        <v/>
      </c>
      <c r="AV23" t="str">
        <f ca="1">IFERROR(IF(0=LEN(ReferenceData!$AV$23),"",ReferenceData!$AV$23),"")</f>
        <v/>
      </c>
      <c r="AW23" t="str">
        <f ca="1">IFERROR(IF(0=LEN(ReferenceData!$AW$23),"",ReferenceData!$AW$23),"")</f>
        <v/>
      </c>
      <c r="AX23" t="str">
        <f ca="1">IFERROR(IF(0=LEN(ReferenceData!$AX$23),"",ReferenceData!$AX$23),"")</f>
        <v/>
      </c>
      <c r="AY23" t="str">
        <f ca="1">IFERROR(IF(0=LEN(ReferenceData!$AY$23),"",ReferenceData!$AY$23),"")</f>
        <v/>
      </c>
      <c r="AZ23" t="str">
        <f ca="1">IFERROR(IF(0=LEN(ReferenceData!$AZ$23),"",ReferenceData!$AZ$23),"")</f>
        <v/>
      </c>
      <c r="BA23" t="str">
        <f ca="1">IFERROR(IF(0=LEN(ReferenceData!$BA$23),"",ReferenceData!$BA$23),"")</f>
        <v/>
      </c>
      <c r="BB23" t="str">
        <f ca="1">IFERROR(IF(0=LEN(ReferenceData!$BB$23),"",ReferenceData!$BB$23),"")</f>
        <v/>
      </c>
      <c r="BC23" t="str">
        <f ca="1">IFERROR(IF(0=LEN(ReferenceData!$BC$23),"",ReferenceData!$BC$23),"")</f>
        <v/>
      </c>
      <c r="BD23" t="str">
        <f ca="1">IFERROR(IF(0=LEN(ReferenceData!$BD$23),"",ReferenceData!$BD$23),"")</f>
        <v/>
      </c>
      <c r="BE23" t="str">
        <f ca="1">IFERROR(IF(0=LEN(ReferenceData!$BE$23),"",ReferenceData!$BE$23),"")</f>
        <v/>
      </c>
      <c r="BF23" t="str">
        <f ca="1">IFERROR(IF(0=LEN(ReferenceData!$BF$23),"",ReferenceData!$BF$23),"")</f>
        <v/>
      </c>
      <c r="BG23" t="str">
        <f ca="1">IFERROR(IF(0=LEN(ReferenceData!$BG$23),"",ReferenceData!$BG$23),"")</f>
        <v/>
      </c>
      <c r="BH23" t="str">
        <f ca="1">IFERROR(IF(0=LEN(ReferenceData!$BH$23),"",ReferenceData!$BH$23),"")</f>
        <v/>
      </c>
      <c r="BI23" t="str">
        <f ca="1">IFERROR(IF(0=LEN(ReferenceData!$BI$23),"",ReferenceData!$BI$23),"")</f>
        <v/>
      </c>
      <c r="BJ23" t="str">
        <f ca="1">IFERROR(IF(0=LEN(ReferenceData!$BJ$23),"",ReferenceData!$BJ$23),"")</f>
        <v/>
      </c>
      <c r="BK23" t="str">
        <f ca="1">IFERROR(IF(0=LEN(ReferenceData!$BK$23),"",ReferenceData!$BK$23),"")</f>
        <v/>
      </c>
      <c r="BL23" t="str">
        <f ca="1">IFERROR(IF(0=LEN(ReferenceData!$BL$23),"",ReferenceData!$BL$23),"")</f>
        <v/>
      </c>
      <c r="BM23" t="str">
        <f ca="1">IFERROR(IF(0=LEN(ReferenceData!$BM$23),"",ReferenceData!$BM$23),"")</f>
        <v/>
      </c>
    </row>
    <row r="24" spans="1:65">
      <c r="A24" t="str">
        <f>IFERROR(IF(0=LEN(ReferenceData!$A$24),"",ReferenceData!$A$24),"")</f>
        <v xml:space="preserve">    AvalonBay Communities Inc</v>
      </c>
      <c r="B24" t="str">
        <f>IFERROR(IF(0=LEN(ReferenceData!$B$24),"",ReferenceData!$B$24),"")</f>
        <v>AVB US Equity</v>
      </c>
      <c r="C24" t="str">
        <f>IFERROR(IF(0=LEN(ReferenceData!$C$24),"",ReferenceData!$C$24),"")</f>
        <v>IM281</v>
      </c>
      <c r="D24" t="str">
        <f>IFERROR(IF(0=LEN(ReferenceData!$D$24),"",ReferenceData!$D$24),"")</f>
        <v>IS_NON_REAL_ESTATE_INCOME</v>
      </c>
      <c r="E24" t="str">
        <f>IFERROR(IF(0=LEN(ReferenceData!$E$24),"",ReferenceData!$E$24),"")</f>
        <v>动态</v>
      </c>
      <c r="F24" t="str">
        <f ca="1">IFERROR(IF(0=LEN(ReferenceData!$F$24),"",ReferenceData!$F$24),"")</f>
        <v/>
      </c>
      <c r="G24">
        <f ca="1">IFERROR(IF(0=LEN(ReferenceData!$G$24),"",ReferenceData!$G$24),"")</f>
        <v>0</v>
      </c>
      <c r="H24">
        <f ca="1">IFERROR(IF(0=LEN(ReferenceData!$H$24),"",ReferenceData!$H$24),"")</f>
        <v>0</v>
      </c>
      <c r="I24">
        <f ca="1">IFERROR(IF(0=LEN(ReferenceData!$I$24),"",ReferenceData!$I$24),"")</f>
        <v>0</v>
      </c>
      <c r="J24">
        <f ca="1">IFERROR(IF(0=LEN(ReferenceData!$J$24),"",ReferenceData!$J$24),"")</f>
        <v>0</v>
      </c>
      <c r="K24">
        <f ca="1">IFERROR(IF(0=LEN(ReferenceData!$K$24),"",ReferenceData!$K$24),"")</f>
        <v>0</v>
      </c>
      <c r="L24">
        <f ca="1">IFERROR(IF(0=LEN(ReferenceData!$L$24),"",ReferenceData!$L$24),"")</f>
        <v>0</v>
      </c>
      <c r="M24">
        <f ca="1">IFERROR(IF(0=LEN(ReferenceData!$M$24),"",ReferenceData!$M$24),"")</f>
        <v>0</v>
      </c>
      <c r="N24">
        <f ca="1">IFERROR(IF(0=LEN(ReferenceData!$N$24),"",ReferenceData!$N$24),"")</f>
        <v>0</v>
      </c>
      <c r="O24">
        <f ca="1">IFERROR(IF(0=LEN(ReferenceData!$O$24),"",ReferenceData!$O$24),"")</f>
        <v>0</v>
      </c>
      <c r="P24">
        <f ca="1">IFERROR(IF(0=LEN(ReferenceData!$P$24),"",ReferenceData!$P$24),"")</f>
        <v>0</v>
      </c>
      <c r="Q24">
        <f ca="1">IFERROR(IF(0=LEN(ReferenceData!$Q$24),"",ReferenceData!$Q$24),"")</f>
        <v>0</v>
      </c>
      <c r="R24">
        <f ca="1">IFERROR(IF(0=LEN(ReferenceData!$R$24),"",ReferenceData!$R$24),"")</f>
        <v>0</v>
      </c>
      <c r="S24">
        <f ca="1">IFERROR(IF(0=LEN(ReferenceData!$S$24),"",ReferenceData!$S$24),"")</f>
        <v>0</v>
      </c>
      <c r="T24">
        <f ca="1">IFERROR(IF(0=LEN(ReferenceData!$T$24),"",ReferenceData!$T$24),"")</f>
        <v>0</v>
      </c>
      <c r="U24">
        <f ca="1">IFERROR(IF(0=LEN(ReferenceData!$U$24),"",ReferenceData!$U$24),"")</f>
        <v>0</v>
      </c>
      <c r="V24">
        <f ca="1">IFERROR(IF(0=LEN(ReferenceData!$V$24),"",ReferenceData!$V$24),"")</f>
        <v>0</v>
      </c>
      <c r="W24">
        <f ca="1">IFERROR(IF(0=LEN(ReferenceData!$W$24),"",ReferenceData!$W$24),"")</f>
        <v>0</v>
      </c>
      <c r="X24">
        <f ca="1">IFERROR(IF(0=LEN(ReferenceData!$X$24),"",ReferenceData!$X$24),"")</f>
        <v>0</v>
      </c>
      <c r="Y24">
        <f ca="1">IFERROR(IF(0=LEN(ReferenceData!$Y$24),"",ReferenceData!$Y$24),"")</f>
        <v>0</v>
      </c>
      <c r="Z24">
        <f ca="1">IFERROR(IF(0=LEN(ReferenceData!$Z$24),"",ReferenceData!$Z$24),"")</f>
        <v>0</v>
      </c>
      <c r="AA24">
        <f ca="1">IFERROR(IF(0=LEN(ReferenceData!$AA$24),"",ReferenceData!$AA$24),"")</f>
        <v>0</v>
      </c>
      <c r="AB24">
        <f ca="1">IFERROR(IF(0=LEN(ReferenceData!$AB$24),"",ReferenceData!$AB$24),"")</f>
        <v>0</v>
      </c>
      <c r="AC24">
        <f ca="1">IFERROR(IF(0=LEN(ReferenceData!$AC$24),"",ReferenceData!$AC$24),"")</f>
        <v>0</v>
      </c>
      <c r="AD24">
        <f ca="1">IFERROR(IF(0=LEN(ReferenceData!$AD$24),"",ReferenceData!$AD$24),"")</f>
        <v>0</v>
      </c>
      <c r="AE24">
        <f ca="1">IFERROR(IF(0=LEN(ReferenceData!$AE$24),"",ReferenceData!$AE$24),"")</f>
        <v>0</v>
      </c>
      <c r="AF24">
        <f ca="1">IFERROR(IF(0=LEN(ReferenceData!$AF$24),"",ReferenceData!$AF$24),"")</f>
        <v>0</v>
      </c>
      <c r="AG24">
        <f ca="1">IFERROR(IF(0=LEN(ReferenceData!$AG$24),"",ReferenceData!$AG$24),"")</f>
        <v>0</v>
      </c>
      <c r="AH24">
        <f ca="1">IFERROR(IF(0=LEN(ReferenceData!$AH$24),"",ReferenceData!$AH$24),"")</f>
        <v>0</v>
      </c>
      <c r="AI24">
        <f ca="1">IFERROR(IF(0=LEN(ReferenceData!$AI$24),"",ReferenceData!$AI$24),"")</f>
        <v>0</v>
      </c>
      <c r="AJ24">
        <f ca="1">IFERROR(IF(0=LEN(ReferenceData!$AJ$24),"",ReferenceData!$AJ$24),"")</f>
        <v>0</v>
      </c>
      <c r="AK24">
        <f ca="1">IFERROR(IF(0=LEN(ReferenceData!$AK$24),"",ReferenceData!$AK$24),"")</f>
        <v>0</v>
      </c>
      <c r="AL24">
        <f ca="1">IFERROR(IF(0=LEN(ReferenceData!$AL$24),"",ReferenceData!$AL$24),"")</f>
        <v>0</v>
      </c>
      <c r="AM24">
        <f ca="1">IFERROR(IF(0=LEN(ReferenceData!$AM$24),"",ReferenceData!$AM$24),"")</f>
        <v>0</v>
      </c>
      <c r="AN24">
        <f ca="1">IFERROR(IF(0=LEN(ReferenceData!$AN$24),"",ReferenceData!$AN$24),"")</f>
        <v>0</v>
      </c>
      <c r="AO24">
        <f ca="1">IFERROR(IF(0=LEN(ReferenceData!$AO$24),"",ReferenceData!$AO$24),"")</f>
        <v>0</v>
      </c>
      <c r="AP24">
        <f ca="1">IFERROR(IF(0=LEN(ReferenceData!$AP$24),"",ReferenceData!$AP$24),"")</f>
        <v>0</v>
      </c>
      <c r="AQ24" t="str">
        <f ca="1">IFERROR(IF(0=LEN(ReferenceData!$AQ$24),"",ReferenceData!$AQ$24),"")</f>
        <v/>
      </c>
      <c r="AR24" t="str">
        <f ca="1">IFERROR(IF(0=LEN(ReferenceData!$AR$24),"",ReferenceData!$AR$24),"")</f>
        <v/>
      </c>
      <c r="AS24" t="str">
        <f ca="1">IFERROR(IF(0=LEN(ReferenceData!$AS$24),"",ReferenceData!$AS$24),"")</f>
        <v/>
      </c>
      <c r="AT24" t="str">
        <f ca="1">IFERROR(IF(0=LEN(ReferenceData!$AT$24),"",ReferenceData!$AT$24),"")</f>
        <v/>
      </c>
      <c r="AU24" t="str">
        <f ca="1">IFERROR(IF(0=LEN(ReferenceData!$AU$24),"",ReferenceData!$AU$24),"")</f>
        <v/>
      </c>
      <c r="AV24" t="str">
        <f ca="1">IFERROR(IF(0=LEN(ReferenceData!$AV$24),"",ReferenceData!$AV$24),"")</f>
        <v/>
      </c>
      <c r="AW24" t="str">
        <f ca="1">IFERROR(IF(0=LEN(ReferenceData!$AW$24),"",ReferenceData!$AW$24),"")</f>
        <v/>
      </c>
      <c r="AX24" t="str">
        <f ca="1">IFERROR(IF(0=LEN(ReferenceData!$AX$24),"",ReferenceData!$AX$24),"")</f>
        <v/>
      </c>
      <c r="AY24" t="str">
        <f ca="1">IFERROR(IF(0=LEN(ReferenceData!$AY$24),"",ReferenceData!$AY$24),"")</f>
        <v/>
      </c>
      <c r="AZ24" t="str">
        <f ca="1">IFERROR(IF(0=LEN(ReferenceData!$AZ$24),"",ReferenceData!$AZ$24),"")</f>
        <v/>
      </c>
      <c r="BA24" t="str">
        <f ca="1">IFERROR(IF(0=LEN(ReferenceData!$BA$24),"",ReferenceData!$BA$24),"")</f>
        <v/>
      </c>
      <c r="BB24" t="str">
        <f ca="1">IFERROR(IF(0=LEN(ReferenceData!$BB$24),"",ReferenceData!$BB$24),"")</f>
        <v/>
      </c>
      <c r="BC24" t="str">
        <f ca="1">IFERROR(IF(0=LEN(ReferenceData!$BC$24),"",ReferenceData!$BC$24),"")</f>
        <v/>
      </c>
      <c r="BD24" t="str">
        <f ca="1">IFERROR(IF(0=LEN(ReferenceData!$BD$24),"",ReferenceData!$BD$24),"")</f>
        <v/>
      </c>
      <c r="BE24" t="str">
        <f ca="1">IFERROR(IF(0=LEN(ReferenceData!$BE$24),"",ReferenceData!$BE$24),"")</f>
        <v/>
      </c>
      <c r="BF24" t="str">
        <f ca="1">IFERROR(IF(0=LEN(ReferenceData!$BF$24),"",ReferenceData!$BF$24),"")</f>
        <v/>
      </c>
      <c r="BG24" t="str">
        <f ca="1">IFERROR(IF(0=LEN(ReferenceData!$BG$24),"",ReferenceData!$BG$24),"")</f>
        <v/>
      </c>
      <c r="BH24" t="str">
        <f ca="1">IFERROR(IF(0=LEN(ReferenceData!$BH$24),"",ReferenceData!$BH$24),"")</f>
        <v/>
      </c>
      <c r="BI24" t="str">
        <f ca="1">IFERROR(IF(0=LEN(ReferenceData!$BI$24),"",ReferenceData!$BI$24),"")</f>
        <v/>
      </c>
      <c r="BJ24" t="str">
        <f ca="1">IFERROR(IF(0=LEN(ReferenceData!$BJ$24),"",ReferenceData!$BJ$24),"")</f>
        <v/>
      </c>
      <c r="BK24" t="str">
        <f ca="1">IFERROR(IF(0=LEN(ReferenceData!$BK$24),"",ReferenceData!$BK$24),"")</f>
        <v/>
      </c>
      <c r="BL24" t="str">
        <f ca="1">IFERROR(IF(0=LEN(ReferenceData!$BL$24),"",ReferenceData!$BL$24),"")</f>
        <v/>
      </c>
      <c r="BM24" t="str">
        <f ca="1">IFERROR(IF(0=LEN(ReferenceData!$BM$24),"",ReferenceData!$BM$24),"")</f>
        <v/>
      </c>
    </row>
    <row r="25" spans="1:65">
      <c r="A25" t="str">
        <f>IFERROR(IF(0=LEN(ReferenceData!$A$25),"",ReferenceData!$A$25),"")</f>
        <v xml:space="preserve">    Camden Property Trust</v>
      </c>
      <c r="B25" t="str">
        <f>IFERROR(IF(0=LEN(ReferenceData!$B$25),"",ReferenceData!$B$25),"")</f>
        <v>CPT US Equity</v>
      </c>
      <c r="C25" t="str">
        <f>IFERROR(IF(0=LEN(ReferenceData!$C$25),"",ReferenceData!$C$25),"")</f>
        <v>IM281</v>
      </c>
      <c r="D25" t="str">
        <f>IFERROR(IF(0=LEN(ReferenceData!$D$25),"",ReferenceData!$D$25),"")</f>
        <v>IS_NON_REAL_ESTATE_INCOME</v>
      </c>
      <c r="E25" t="str">
        <f>IFERROR(IF(0=LEN(ReferenceData!$E$25),"",ReferenceData!$E$25),"")</f>
        <v>动态</v>
      </c>
      <c r="F25" t="str">
        <f ca="1">IFERROR(IF(0=LEN(ReferenceData!$F$25),"",ReferenceData!$F$25),"")</f>
        <v/>
      </c>
      <c r="G25">
        <f ca="1">IFERROR(IF(0=LEN(ReferenceData!$G$25),"",ReferenceData!$G$25),"")</f>
        <v>32.548999999999999</v>
      </c>
      <c r="H25">
        <f ca="1">IFERROR(IF(0=LEN(ReferenceData!$H$25),"",ReferenceData!$H$25),"")</f>
        <v>33.488</v>
      </c>
      <c r="I25">
        <f ca="1">IFERROR(IF(0=LEN(ReferenceData!$I$25),"",ReferenceData!$I$25),"")</f>
        <v>32.9</v>
      </c>
      <c r="J25">
        <f ca="1">IFERROR(IF(0=LEN(ReferenceData!$J$25),"",ReferenceData!$J$25),"")</f>
        <v>31.419</v>
      </c>
      <c r="K25">
        <f ca="1">IFERROR(IF(0=LEN(ReferenceData!$K$25),"",ReferenceData!$K$25),"")</f>
        <v>30.678000000000001</v>
      </c>
      <c r="L25">
        <f ca="1">IFERROR(IF(0=LEN(ReferenceData!$L$25),"",ReferenceData!$L$25),"")</f>
        <v>32.463999999999999</v>
      </c>
      <c r="M25">
        <f ca="1">IFERROR(IF(0=LEN(ReferenceData!$M$25),"",ReferenceData!$M$25),"")</f>
        <v>32.231999999999999</v>
      </c>
      <c r="N25">
        <f ca="1">IFERROR(IF(0=LEN(ReferenceData!$N$25),"",ReferenceData!$N$25),"")</f>
        <v>30.475999999999999</v>
      </c>
      <c r="O25">
        <f ca="1">IFERROR(IF(0=LEN(ReferenceData!$O$25),"",ReferenceData!$O$25),"")</f>
        <v>29.352</v>
      </c>
      <c r="P25">
        <f ca="1">IFERROR(IF(0=LEN(ReferenceData!$P$25),"",ReferenceData!$P$25),"")</f>
        <v>29.943000000000001</v>
      </c>
      <c r="Q25">
        <f ca="1">IFERROR(IF(0=LEN(ReferenceData!$Q$25),"",ReferenceData!$Q$25),"")</f>
        <v>28.119</v>
      </c>
      <c r="R25">
        <f ca="1">IFERROR(IF(0=LEN(ReferenceData!$R$25),"",ReferenceData!$R$25),"")</f>
        <v>28.577000000000002</v>
      </c>
      <c r="S25">
        <f ca="1">IFERROR(IF(0=LEN(ReferenceData!$S$25),"",ReferenceData!$S$25),"")</f>
        <v>28.234000000000002</v>
      </c>
      <c r="T25">
        <f ca="1">IFERROR(IF(0=LEN(ReferenceData!$T$25),"",ReferenceData!$T$25),"")</f>
        <v>28.850999999999999</v>
      </c>
      <c r="U25">
        <f ca="1">IFERROR(IF(0=LEN(ReferenceData!$U$25),"",ReferenceData!$U$25),"")</f>
        <v>28.053999999999998</v>
      </c>
      <c r="V25">
        <f ca="1">IFERROR(IF(0=LEN(ReferenceData!$V$25),"",ReferenceData!$V$25),"")</f>
        <v>26.965</v>
      </c>
      <c r="W25">
        <f ca="1">IFERROR(IF(0=LEN(ReferenceData!$W$25),"",ReferenceData!$W$25),"")</f>
        <v>26.521999999999998</v>
      </c>
      <c r="X25">
        <f ca="1">IFERROR(IF(0=LEN(ReferenceData!$X$25),"",ReferenceData!$X$25),"")</f>
        <v>27.2</v>
      </c>
      <c r="Y25">
        <f ca="1">IFERROR(IF(0=LEN(ReferenceData!$Y$25),"",ReferenceData!$Y$25),"")</f>
        <v>26.349</v>
      </c>
      <c r="Z25">
        <f ca="1">IFERROR(IF(0=LEN(ReferenceData!$Z$25),"",ReferenceData!$Z$25),"")</f>
        <v>25.417999999999999</v>
      </c>
      <c r="AA25">
        <f ca="1">IFERROR(IF(0=LEN(ReferenceData!$AA$25),"",ReferenceData!$AA$25),"")</f>
        <v>24.591000000000001</v>
      </c>
      <c r="AB25">
        <f ca="1">IFERROR(IF(0=LEN(ReferenceData!$AB$25),"",ReferenceData!$AB$25),"")</f>
        <v>25.779</v>
      </c>
      <c r="AC25">
        <f ca="1">IFERROR(IF(0=LEN(ReferenceData!$AC$25),"",ReferenceData!$AC$25),"")</f>
        <v>25.143000000000001</v>
      </c>
      <c r="AD25">
        <f ca="1">IFERROR(IF(0=LEN(ReferenceData!$AD$25),"",ReferenceData!$AD$25),"")</f>
        <v>23.445</v>
      </c>
      <c r="AE25">
        <f ca="1">IFERROR(IF(0=LEN(ReferenceData!$AE$25),"",ReferenceData!$AE$25),"")</f>
        <v>21.774999999999999</v>
      </c>
      <c r="AF25">
        <f ca="1">IFERROR(IF(0=LEN(ReferenceData!$AF$25),"",ReferenceData!$AF$25),"")</f>
        <v>23.891999999999999</v>
      </c>
      <c r="AG25">
        <f ca="1">IFERROR(IF(0=LEN(ReferenceData!$AG$25),"",ReferenceData!$AG$25),"")</f>
        <v>23.234999999999999</v>
      </c>
      <c r="AH25">
        <f ca="1">IFERROR(IF(0=LEN(ReferenceData!$AH$25),"",ReferenceData!$AH$25),"")</f>
        <v>21.766999999999999</v>
      </c>
      <c r="AI25">
        <f ca="1">IFERROR(IF(0=LEN(ReferenceData!$AI$25),"",ReferenceData!$AI$25),"")</f>
        <v>21.052</v>
      </c>
      <c r="AJ25">
        <f ca="1">IFERROR(IF(0=LEN(ReferenceData!$AJ$25),"",ReferenceData!$AJ$25),"")</f>
        <v>22.363</v>
      </c>
      <c r="AK25">
        <f ca="1">IFERROR(IF(0=LEN(ReferenceData!$AK$25),"",ReferenceData!$AK$25),"")</f>
        <v>21.677</v>
      </c>
      <c r="AL25">
        <f ca="1">IFERROR(IF(0=LEN(ReferenceData!$AL$25),"",ReferenceData!$AL$25),"")</f>
        <v>20.600999999999999</v>
      </c>
      <c r="AM25">
        <f ca="1">IFERROR(IF(0=LEN(ReferenceData!$AM$25),"",ReferenceData!$AM$25),"")</f>
        <v>21.166</v>
      </c>
      <c r="AN25">
        <f ca="1">IFERROR(IF(0=LEN(ReferenceData!$AN$25),"",ReferenceData!$AN$25),"")</f>
        <v>22.466999999999999</v>
      </c>
      <c r="AO25">
        <f ca="1">IFERROR(IF(0=LEN(ReferenceData!$AO$25),"",ReferenceData!$AO$25),"")</f>
        <v>21.454000000000001</v>
      </c>
      <c r="AP25">
        <f ca="1">IFERROR(IF(0=LEN(ReferenceData!$AP$25),"",ReferenceData!$AP$25),"")</f>
        <v>20.532</v>
      </c>
      <c r="AQ25" t="str">
        <f ca="1">IFERROR(IF(0=LEN(ReferenceData!$AQ$25),"",ReferenceData!$AQ$25),"")</f>
        <v/>
      </c>
      <c r="AR25" t="str">
        <f ca="1">IFERROR(IF(0=LEN(ReferenceData!$AR$25),"",ReferenceData!$AR$25),"")</f>
        <v/>
      </c>
      <c r="AS25" t="str">
        <f ca="1">IFERROR(IF(0=LEN(ReferenceData!$AS$25),"",ReferenceData!$AS$25),"")</f>
        <v/>
      </c>
      <c r="AT25" t="str">
        <f ca="1">IFERROR(IF(0=LEN(ReferenceData!$AT$25),"",ReferenceData!$AT$25),"")</f>
        <v/>
      </c>
      <c r="AU25" t="str">
        <f ca="1">IFERROR(IF(0=LEN(ReferenceData!$AU$25),"",ReferenceData!$AU$25),"")</f>
        <v/>
      </c>
      <c r="AV25" t="str">
        <f ca="1">IFERROR(IF(0=LEN(ReferenceData!$AV$25),"",ReferenceData!$AV$25),"")</f>
        <v/>
      </c>
      <c r="AW25" t="str">
        <f ca="1">IFERROR(IF(0=LEN(ReferenceData!$AW$25),"",ReferenceData!$AW$25),"")</f>
        <v/>
      </c>
      <c r="AX25" t="str">
        <f ca="1">IFERROR(IF(0=LEN(ReferenceData!$AX$25),"",ReferenceData!$AX$25),"")</f>
        <v/>
      </c>
      <c r="AY25" t="str">
        <f ca="1">IFERROR(IF(0=LEN(ReferenceData!$AY$25),"",ReferenceData!$AY$25),"")</f>
        <v/>
      </c>
      <c r="AZ25" t="str">
        <f ca="1">IFERROR(IF(0=LEN(ReferenceData!$AZ$25),"",ReferenceData!$AZ$25),"")</f>
        <v/>
      </c>
      <c r="BA25" t="str">
        <f ca="1">IFERROR(IF(0=LEN(ReferenceData!$BA$25),"",ReferenceData!$BA$25),"")</f>
        <v/>
      </c>
      <c r="BB25" t="str">
        <f ca="1">IFERROR(IF(0=LEN(ReferenceData!$BB$25),"",ReferenceData!$BB$25),"")</f>
        <v/>
      </c>
      <c r="BC25" t="str">
        <f ca="1">IFERROR(IF(0=LEN(ReferenceData!$BC$25),"",ReferenceData!$BC$25),"")</f>
        <v/>
      </c>
      <c r="BD25" t="str">
        <f ca="1">IFERROR(IF(0=LEN(ReferenceData!$BD$25),"",ReferenceData!$BD$25),"")</f>
        <v/>
      </c>
      <c r="BE25" t="str">
        <f ca="1">IFERROR(IF(0=LEN(ReferenceData!$BE$25),"",ReferenceData!$BE$25),"")</f>
        <v/>
      </c>
      <c r="BF25" t="str">
        <f ca="1">IFERROR(IF(0=LEN(ReferenceData!$BF$25),"",ReferenceData!$BF$25),"")</f>
        <v/>
      </c>
      <c r="BG25" t="str">
        <f ca="1">IFERROR(IF(0=LEN(ReferenceData!$BG$25),"",ReferenceData!$BG$25),"")</f>
        <v/>
      </c>
      <c r="BH25" t="str">
        <f ca="1">IFERROR(IF(0=LEN(ReferenceData!$BH$25),"",ReferenceData!$BH$25),"")</f>
        <v/>
      </c>
      <c r="BI25" t="str">
        <f ca="1">IFERROR(IF(0=LEN(ReferenceData!$BI$25),"",ReferenceData!$BI$25),"")</f>
        <v/>
      </c>
      <c r="BJ25" t="str">
        <f ca="1">IFERROR(IF(0=LEN(ReferenceData!$BJ$25),"",ReferenceData!$BJ$25),"")</f>
        <v/>
      </c>
      <c r="BK25" t="str">
        <f ca="1">IFERROR(IF(0=LEN(ReferenceData!$BK$25),"",ReferenceData!$BK$25),"")</f>
        <v/>
      </c>
      <c r="BL25" t="str">
        <f ca="1">IFERROR(IF(0=LEN(ReferenceData!$BL$25),"",ReferenceData!$BL$25),"")</f>
        <v/>
      </c>
      <c r="BM25" t="str">
        <f ca="1">IFERROR(IF(0=LEN(ReferenceData!$BM$25),"",ReferenceData!$BM$25),"")</f>
        <v/>
      </c>
    </row>
    <row r="26" spans="1:65">
      <c r="A26" t="str">
        <f>IFERROR(IF(0=LEN(ReferenceData!$A$26),"",ReferenceData!$A$26),"")</f>
        <v xml:space="preserve">    Education Realty Trust Inc</v>
      </c>
      <c r="B26" t="str">
        <f>IFERROR(IF(0=LEN(ReferenceData!$B$26),"",ReferenceData!$B$26),"")</f>
        <v>EDR US Equity</v>
      </c>
      <c r="C26" t="str">
        <f>IFERROR(IF(0=LEN(ReferenceData!$C$26),"",ReferenceData!$C$26),"")</f>
        <v>IM281</v>
      </c>
      <c r="D26" t="str">
        <f>IFERROR(IF(0=LEN(ReferenceData!$D$26),"",ReferenceData!$D$26),"")</f>
        <v>IS_NON_REAL_ESTATE_INCOME</v>
      </c>
      <c r="E26" t="str">
        <f>IFERROR(IF(0=LEN(ReferenceData!$E$26),"",ReferenceData!$E$26),"")</f>
        <v>动态</v>
      </c>
      <c r="F26" t="str">
        <f ca="1">IFERROR(IF(0=LEN(ReferenceData!$F$26),"",ReferenceData!$F$26),"")</f>
        <v/>
      </c>
      <c r="G26">
        <f ca="1">IFERROR(IF(0=LEN(ReferenceData!$G$26),"",ReferenceData!$G$26),"")</f>
        <v>0</v>
      </c>
      <c r="H26">
        <f ca="1">IFERROR(IF(0=LEN(ReferenceData!$H$26),"",ReferenceData!$H$26),"")</f>
        <v>0</v>
      </c>
      <c r="I26">
        <f ca="1">IFERROR(IF(0=LEN(ReferenceData!$I$26),"",ReferenceData!$I$26),"")</f>
        <v>0</v>
      </c>
      <c r="J26">
        <f ca="1">IFERROR(IF(0=LEN(ReferenceData!$J$26),"",ReferenceData!$J$26),"")</f>
        <v>0</v>
      </c>
      <c r="K26">
        <f ca="1">IFERROR(IF(0=LEN(ReferenceData!$K$26),"",ReferenceData!$K$26),"")</f>
        <v>0</v>
      </c>
      <c r="L26">
        <f ca="1">IFERROR(IF(0=LEN(ReferenceData!$L$26),"",ReferenceData!$L$26),"")</f>
        <v>0</v>
      </c>
      <c r="M26">
        <f ca="1">IFERROR(IF(0=LEN(ReferenceData!$M$26),"",ReferenceData!$M$26),"")</f>
        <v>0</v>
      </c>
      <c r="N26">
        <f ca="1">IFERROR(IF(0=LEN(ReferenceData!$N$26),"",ReferenceData!$N$26),"")</f>
        <v>0</v>
      </c>
      <c r="O26">
        <f ca="1">IFERROR(IF(0=LEN(ReferenceData!$O$26),"",ReferenceData!$O$26),"")</f>
        <v>0</v>
      </c>
      <c r="P26">
        <f ca="1">IFERROR(IF(0=LEN(ReferenceData!$P$26),"",ReferenceData!$P$26),"")</f>
        <v>0</v>
      </c>
      <c r="Q26">
        <f ca="1">IFERROR(IF(0=LEN(ReferenceData!$Q$26),"",ReferenceData!$Q$26),"")</f>
        <v>0</v>
      </c>
      <c r="R26">
        <f ca="1">IFERROR(IF(0=LEN(ReferenceData!$R$26),"",ReferenceData!$R$26),"")</f>
        <v>0</v>
      </c>
      <c r="S26">
        <f ca="1">IFERROR(IF(0=LEN(ReferenceData!$S$26),"",ReferenceData!$S$26),"")</f>
        <v>0</v>
      </c>
      <c r="T26">
        <f ca="1">IFERROR(IF(0=LEN(ReferenceData!$T$26),"",ReferenceData!$T$26),"")</f>
        <v>0</v>
      </c>
      <c r="U26">
        <f ca="1">IFERROR(IF(0=LEN(ReferenceData!$U$26),"",ReferenceData!$U$26),"")</f>
        <v>0</v>
      </c>
      <c r="V26">
        <f ca="1">IFERROR(IF(0=LEN(ReferenceData!$V$26),"",ReferenceData!$V$26),"")</f>
        <v>0</v>
      </c>
      <c r="W26">
        <f ca="1">IFERROR(IF(0=LEN(ReferenceData!$W$26),"",ReferenceData!$W$26),"")</f>
        <v>0</v>
      </c>
      <c r="X26">
        <f ca="1">IFERROR(IF(0=LEN(ReferenceData!$X$26),"",ReferenceData!$X$26),"")</f>
        <v>0</v>
      </c>
      <c r="Y26">
        <f ca="1">IFERROR(IF(0=LEN(ReferenceData!$Y$26),"",ReferenceData!$Y$26),"")</f>
        <v>0</v>
      </c>
      <c r="Z26">
        <f ca="1">IFERROR(IF(0=LEN(ReferenceData!$Z$26),"",ReferenceData!$Z$26),"")</f>
        <v>0</v>
      </c>
      <c r="AA26">
        <f ca="1">IFERROR(IF(0=LEN(ReferenceData!$AA$26),"",ReferenceData!$AA$26),"")</f>
        <v>0</v>
      </c>
      <c r="AB26">
        <f ca="1">IFERROR(IF(0=LEN(ReferenceData!$AB$26),"",ReferenceData!$AB$26),"")</f>
        <v>0</v>
      </c>
      <c r="AC26">
        <f ca="1">IFERROR(IF(0=LEN(ReferenceData!$AC$26),"",ReferenceData!$AC$26),"")</f>
        <v>0</v>
      </c>
      <c r="AD26">
        <f ca="1">IFERROR(IF(0=LEN(ReferenceData!$AD$26),"",ReferenceData!$AD$26),"")</f>
        <v>0</v>
      </c>
      <c r="AE26">
        <f ca="1">IFERROR(IF(0=LEN(ReferenceData!$AE$26),"",ReferenceData!$AE$26),"")</f>
        <v>0</v>
      </c>
      <c r="AF26">
        <f ca="1">IFERROR(IF(0=LEN(ReferenceData!$AF$26),"",ReferenceData!$AF$26),"")</f>
        <v>0</v>
      </c>
      <c r="AG26">
        <f ca="1">IFERROR(IF(0=LEN(ReferenceData!$AG$26),"",ReferenceData!$AG$26),"")</f>
        <v>0</v>
      </c>
      <c r="AH26">
        <f ca="1">IFERROR(IF(0=LEN(ReferenceData!$AH$26),"",ReferenceData!$AH$26),"")</f>
        <v>0</v>
      </c>
      <c r="AI26">
        <f ca="1">IFERROR(IF(0=LEN(ReferenceData!$AI$26),"",ReferenceData!$AI$26),"")</f>
        <v>0</v>
      </c>
      <c r="AJ26">
        <f ca="1">IFERROR(IF(0=LEN(ReferenceData!$AJ$26),"",ReferenceData!$AJ$26),"")</f>
        <v>0</v>
      </c>
      <c r="AK26">
        <f ca="1">IFERROR(IF(0=LEN(ReferenceData!$AK$26),"",ReferenceData!$AK$26),"")</f>
        <v>0</v>
      </c>
      <c r="AL26">
        <f ca="1">IFERROR(IF(0=LEN(ReferenceData!$AL$26),"",ReferenceData!$AL$26),"")</f>
        <v>0</v>
      </c>
      <c r="AM26">
        <f ca="1">IFERROR(IF(0=LEN(ReferenceData!$AM$26),"",ReferenceData!$AM$26),"")</f>
        <v>0</v>
      </c>
      <c r="AN26">
        <f ca="1">IFERROR(IF(0=LEN(ReferenceData!$AN$26),"",ReferenceData!$AN$26),"")</f>
        <v>0.57699999999999996</v>
      </c>
      <c r="AO26">
        <f ca="1">IFERROR(IF(0=LEN(ReferenceData!$AO$26),"",ReferenceData!$AO$26),"")</f>
        <v>0.46600000000000003</v>
      </c>
      <c r="AP26">
        <f ca="1">IFERROR(IF(0=LEN(ReferenceData!$AP$26),"",ReferenceData!$AP$26),"")</f>
        <v>0.59299999999999997</v>
      </c>
      <c r="AQ26" t="str">
        <f ca="1">IFERROR(IF(0=LEN(ReferenceData!$AQ$26),"",ReferenceData!$AQ$26),"")</f>
        <v/>
      </c>
      <c r="AR26" t="str">
        <f ca="1">IFERROR(IF(0=LEN(ReferenceData!$AR$26),"",ReferenceData!$AR$26),"")</f>
        <v/>
      </c>
      <c r="AS26" t="str">
        <f ca="1">IFERROR(IF(0=LEN(ReferenceData!$AS$26),"",ReferenceData!$AS$26),"")</f>
        <v/>
      </c>
      <c r="AT26" t="str">
        <f ca="1">IFERROR(IF(0=LEN(ReferenceData!$AT$26),"",ReferenceData!$AT$26),"")</f>
        <v/>
      </c>
      <c r="AU26" t="str">
        <f ca="1">IFERROR(IF(0=LEN(ReferenceData!$AU$26),"",ReferenceData!$AU$26),"")</f>
        <v/>
      </c>
      <c r="AV26" t="str">
        <f ca="1">IFERROR(IF(0=LEN(ReferenceData!$AV$26),"",ReferenceData!$AV$26),"")</f>
        <v/>
      </c>
      <c r="AW26" t="str">
        <f ca="1">IFERROR(IF(0=LEN(ReferenceData!$AW$26),"",ReferenceData!$AW$26),"")</f>
        <v/>
      </c>
      <c r="AX26" t="str">
        <f ca="1">IFERROR(IF(0=LEN(ReferenceData!$AX$26),"",ReferenceData!$AX$26),"")</f>
        <v/>
      </c>
      <c r="AY26" t="str">
        <f ca="1">IFERROR(IF(0=LEN(ReferenceData!$AY$26),"",ReferenceData!$AY$26),"")</f>
        <v/>
      </c>
      <c r="AZ26" t="str">
        <f ca="1">IFERROR(IF(0=LEN(ReferenceData!$AZ$26),"",ReferenceData!$AZ$26),"")</f>
        <v/>
      </c>
      <c r="BA26" t="str">
        <f ca="1">IFERROR(IF(0=LEN(ReferenceData!$BA$26),"",ReferenceData!$BA$26),"")</f>
        <v/>
      </c>
      <c r="BB26" t="str">
        <f ca="1">IFERROR(IF(0=LEN(ReferenceData!$BB$26),"",ReferenceData!$BB$26),"")</f>
        <v/>
      </c>
      <c r="BC26" t="str">
        <f ca="1">IFERROR(IF(0=LEN(ReferenceData!$BC$26),"",ReferenceData!$BC$26),"")</f>
        <v/>
      </c>
      <c r="BD26" t="str">
        <f ca="1">IFERROR(IF(0=LEN(ReferenceData!$BD$26),"",ReferenceData!$BD$26),"")</f>
        <v/>
      </c>
      <c r="BE26" t="str">
        <f ca="1">IFERROR(IF(0=LEN(ReferenceData!$BE$26),"",ReferenceData!$BE$26),"")</f>
        <v/>
      </c>
      <c r="BF26" t="str">
        <f ca="1">IFERROR(IF(0=LEN(ReferenceData!$BF$26),"",ReferenceData!$BF$26),"")</f>
        <v/>
      </c>
      <c r="BG26" t="str">
        <f ca="1">IFERROR(IF(0=LEN(ReferenceData!$BG$26),"",ReferenceData!$BG$26),"")</f>
        <v/>
      </c>
      <c r="BH26" t="str">
        <f ca="1">IFERROR(IF(0=LEN(ReferenceData!$BH$26),"",ReferenceData!$BH$26),"")</f>
        <v/>
      </c>
      <c r="BI26" t="str">
        <f ca="1">IFERROR(IF(0=LEN(ReferenceData!$BI$26),"",ReferenceData!$BI$26),"")</f>
        <v/>
      </c>
      <c r="BJ26" t="str">
        <f ca="1">IFERROR(IF(0=LEN(ReferenceData!$BJ$26),"",ReferenceData!$BJ$26),"")</f>
        <v/>
      </c>
      <c r="BK26" t="str">
        <f ca="1">IFERROR(IF(0=LEN(ReferenceData!$BK$26),"",ReferenceData!$BK$26),"")</f>
        <v/>
      </c>
      <c r="BL26" t="str">
        <f ca="1">IFERROR(IF(0=LEN(ReferenceData!$BL$26),"",ReferenceData!$BL$26),"")</f>
        <v/>
      </c>
      <c r="BM26" t="str">
        <f ca="1">IFERROR(IF(0=LEN(ReferenceData!$BM$26),"",ReferenceData!$BM$26),"")</f>
        <v/>
      </c>
    </row>
    <row r="27" spans="1:65">
      <c r="A27" t="str">
        <f>IFERROR(IF(0=LEN(ReferenceData!$A$27),"",ReferenceData!$A$27),"")</f>
        <v xml:space="preserve">    Equity Residential</v>
      </c>
      <c r="B27" t="str">
        <f>IFERROR(IF(0=LEN(ReferenceData!$B$27),"",ReferenceData!$B$27),"")</f>
        <v>EQR US Equity</v>
      </c>
      <c r="C27" t="str">
        <f>IFERROR(IF(0=LEN(ReferenceData!$C$27),"",ReferenceData!$C$27),"")</f>
        <v>IM281</v>
      </c>
      <c r="D27" t="str">
        <f>IFERROR(IF(0=LEN(ReferenceData!$D$27),"",ReferenceData!$D$27),"")</f>
        <v>IS_NON_REAL_ESTATE_INCOME</v>
      </c>
      <c r="E27" t="str">
        <f>IFERROR(IF(0=LEN(ReferenceData!$E$27),"",ReferenceData!$E$27),"")</f>
        <v>动态</v>
      </c>
      <c r="F27" t="str">
        <f ca="1">IFERROR(IF(0=LEN(ReferenceData!$F$27),"",ReferenceData!$F$27),"")</f>
        <v/>
      </c>
      <c r="G27">
        <f ca="1">IFERROR(IF(0=LEN(ReferenceData!$G$27),"",ReferenceData!$G$27),"")</f>
        <v>0</v>
      </c>
      <c r="H27">
        <f ca="1">IFERROR(IF(0=LEN(ReferenceData!$H$27),"",ReferenceData!$H$27),"")</f>
        <v>0</v>
      </c>
      <c r="I27">
        <f ca="1">IFERROR(IF(0=LEN(ReferenceData!$I$27),"",ReferenceData!$I$27),"")</f>
        <v>0</v>
      </c>
      <c r="J27">
        <f ca="1">IFERROR(IF(0=LEN(ReferenceData!$J$27),"",ReferenceData!$J$27),"")</f>
        <v>0</v>
      </c>
      <c r="K27">
        <f ca="1">IFERROR(IF(0=LEN(ReferenceData!$K$27),"",ReferenceData!$K$27),"")</f>
        <v>0</v>
      </c>
      <c r="L27">
        <f ca="1">IFERROR(IF(0=LEN(ReferenceData!$L$27),"",ReferenceData!$L$27),"")</f>
        <v>0</v>
      </c>
      <c r="M27">
        <f ca="1">IFERROR(IF(0=LEN(ReferenceData!$M$27),"",ReferenceData!$M$27),"")</f>
        <v>0</v>
      </c>
      <c r="N27">
        <f ca="1">IFERROR(IF(0=LEN(ReferenceData!$N$27),"",ReferenceData!$N$27),"")</f>
        <v>0</v>
      </c>
      <c r="O27">
        <f ca="1">IFERROR(IF(0=LEN(ReferenceData!$O$27),"",ReferenceData!$O$27),"")</f>
        <v>0</v>
      </c>
      <c r="P27">
        <f ca="1">IFERROR(IF(0=LEN(ReferenceData!$P$27),"",ReferenceData!$P$27),"")</f>
        <v>0</v>
      </c>
      <c r="Q27">
        <f ca="1">IFERROR(IF(0=LEN(ReferenceData!$Q$27),"",ReferenceData!$Q$27),"")</f>
        <v>0</v>
      </c>
      <c r="R27">
        <f ca="1">IFERROR(IF(0=LEN(ReferenceData!$R$27),"",ReferenceData!$R$27),"")</f>
        <v>0</v>
      </c>
      <c r="S27">
        <f ca="1">IFERROR(IF(0=LEN(ReferenceData!$S$27),"",ReferenceData!$S$27),"")</f>
        <v>0</v>
      </c>
      <c r="T27">
        <f ca="1">IFERROR(IF(0=LEN(ReferenceData!$T$27),"",ReferenceData!$T$27),"")</f>
        <v>0</v>
      </c>
      <c r="U27">
        <f ca="1">IFERROR(IF(0=LEN(ReferenceData!$U$27),"",ReferenceData!$U$27),"")</f>
        <v>0</v>
      </c>
      <c r="V27">
        <f ca="1">IFERROR(IF(0=LEN(ReferenceData!$V$27),"",ReferenceData!$V$27),"")</f>
        <v>0</v>
      </c>
      <c r="W27">
        <f ca="1">IFERROR(IF(0=LEN(ReferenceData!$W$27),"",ReferenceData!$W$27),"")</f>
        <v>0</v>
      </c>
      <c r="X27">
        <f ca="1">IFERROR(IF(0=LEN(ReferenceData!$X$27),"",ReferenceData!$X$27),"")</f>
        <v>0</v>
      </c>
      <c r="Y27">
        <f ca="1">IFERROR(IF(0=LEN(ReferenceData!$Y$27),"",ReferenceData!$Y$27),"")</f>
        <v>0</v>
      </c>
      <c r="Z27">
        <f ca="1">IFERROR(IF(0=LEN(ReferenceData!$Z$27),"",ReferenceData!$Z$27),"")</f>
        <v>0</v>
      </c>
      <c r="AA27">
        <f ca="1">IFERROR(IF(0=LEN(ReferenceData!$AA$27),"",ReferenceData!$AA$27),"")</f>
        <v>0</v>
      </c>
      <c r="AB27">
        <f ca="1">IFERROR(IF(0=LEN(ReferenceData!$AB$27),"",ReferenceData!$AB$27),"")</f>
        <v>0</v>
      </c>
      <c r="AC27">
        <f ca="1">IFERROR(IF(0=LEN(ReferenceData!$AC$27),"",ReferenceData!$AC$27),"")</f>
        <v>0</v>
      </c>
      <c r="AD27">
        <f ca="1">IFERROR(IF(0=LEN(ReferenceData!$AD$27),"",ReferenceData!$AD$27),"")</f>
        <v>0</v>
      </c>
      <c r="AE27">
        <f ca="1">IFERROR(IF(0=LEN(ReferenceData!$AE$27),"",ReferenceData!$AE$27),"")</f>
        <v>0</v>
      </c>
      <c r="AF27">
        <f ca="1">IFERROR(IF(0=LEN(ReferenceData!$AF$27),"",ReferenceData!$AF$27),"")</f>
        <v>0</v>
      </c>
      <c r="AG27">
        <f ca="1">IFERROR(IF(0=LEN(ReferenceData!$AG$27),"",ReferenceData!$AG$27),"")</f>
        <v>0</v>
      </c>
      <c r="AH27">
        <f ca="1">IFERROR(IF(0=LEN(ReferenceData!$AH$27),"",ReferenceData!$AH$27),"")</f>
        <v>0</v>
      </c>
      <c r="AI27">
        <f ca="1">IFERROR(IF(0=LEN(ReferenceData!$AI$27),"",ReferenceData!$AI$27),"")</f>
        <v>0</v>
      </c>
      <c r="AJ27">
        <f ca="1">IFERROR(IF(0=LEN(ReferenceData!$AJ$27),"",ReferenceData!$AJ$27),"")</f>
        <v>0</v>
      </c>
      <c r="AK27">
        <f ca="1">IFERROR(IF(0=LEN(ReferenceData!$AK$27),"",ReferenceData!$AK$27),"")</f>
        <v>0</v>
      </c>
      <c r="AL27">
        <f ca="1">IFERROR(IF(0=LEN(ReferenceData!$AL$27),"",ReferenceData!$AL$27),"")</f>
        <v>0</v>
      </c>
      <c r="AM27">
        <f ca="1">IFERROR(IF(0=LEN(ReferenceData!$AM$27),"",ReferenceData!$AM$27),"")</f>
        <v>0</v>
      </c>
      <c r="AN27">
        <f ca="1">IFERROR(IF(0=LEN(ReferenceData!$AN$27),"",ReferenceData!$AN$27),"")</f>
        <v>0</v>
      </c>
      <c r="AO27">
        <f ca="1">IFERROR(IF(0=LEN(ReferenceData!$AO$27),"",ReferenceData!$AO$27),"")</f>
        <v>0</v>
      </c>
      <c r="AP27">
        <f ca="1">IFERROR(IF(0=LEN(ReferenceData!$AP$27),"",ReferenceData!$AP$27),"")</f>
        <v>0</v>
      </c>
      <c r="AQ27" t="str">
        <f ca="1">IFERROR(IF(0=LEN(ReferenceData!$AQ$27),"",ReferenceData!$AQ$27),"")</f>
        <v/>
      </c>
      <c r="AR27" t="str">
        <f ca="1">IFERROR(IF(0=LEN(ReferenceData!$AR$27),"",ReferenceData!$AR$27),"")</f>
        <v/>
      </c>
      <c r="AS27" t="str">
        <f ca="1">IFERROR(IF(0=LEN(ReferenceData!$AS$27),"",ReferenceData!$AS$27),"")</f>
        <v/>
      </c>
      <c r="AT27" t="str">
        <f ca="1">IFERROR(IF(0=LEN(ReferenceData!$AT$27),"",ReferenceData!$AT$27),"")</f>
        <v/>
      </c>
      <c r="AU27" t="str">
        <f ca="1">IFERROR(IF(0=LEN(ReferenceData!$AU$27),"",ReferenceData!$AU$27),"")</f>
        <v/>
      </c>
      <c r="AV27" t="str">
        <f ca="1">IFERROR(IF(0=LEN(ReferenceData!$AV$27),"",ReferenceData!$AV$27),"")</f>
        <v/>
      </c>
      <c r="AW27" t="str">
        <f ca="1">IFERROR(IF(0=LEN(ReferenceData!$AW$27),"",ReferenceData!$AW$27),"")</f>
        <v/>
      </c>
      <c r="AX27" t="str">
        <f ca="1">IFERROR(IF(0=LEN(ReferenceData!$AX$27),"",ReferenceData!$AX$27),"")</f>
        <v/>
      </c>
      <c r="AY27" t="str">
        <f ca="1">IFERROR(IF(0=LEN(ReferenceData!$AY$27),"",ReferenceData!$AY$27),"")</f>
        <v/>
      </c>
      <c r="AZ27" t="str">
        <f ca="1">IFERROR(IF(0=LEN(ReferenceData!$AZ$27),"",ReferenceData!$AZ$27),"")</f>
        <v/>
      </c>
      <c r="BA27" t="str">
        <f ca="1">IFERROR(IF(0=LEN(ReferenceData!$BA$27),"",ReferenceData!$BA$27),"")</f>
        <v/>
      </c>
      <c r="BB27" t="str">
        <f ca="1">IFERROR(IF(0=LEN(ReferenceData!$BB$27),"",ReferenceData!$BB$27),"")</f>
        <v/>
      </c>
      <c r="BC27" t="str">
        <f ca="1">IFERROR(IF(0=LEN(ReferenceData!$BC$27),"",ReferenceData!$BC$27),"")</f>
        <v/>
      </c>
      <c r="BD27" t="str">
        <f ca="1">IFERROR(IF(0=LEN(ReferenceData!$BD$27),"",ReferenceData!$BD$27),"")</f>
        <v/>
      </c>
      <c r="BE27" t="str">
        <f ca="1">IFERROR(IF(0=LEN(ReferenceData!$BE$27),"",ReferenceData!$BE$27),"")</f>
        <v/>
      </c>
      <c r="BF27" t="str">
        <f ca="1">IFERROR(IF(0=LEN(ReferenceData!$BF$27),"",ReferenceData!$BF$27),"")</f>
        <v/>
      </c>
      <c r="BG27" t="str">
        <f ca="1">IFERROR(IF(0=LEN(ReferenceData!$BG$27),"",ReferenceData!$BG$27),"")</f>
        <v/>
      </c>
      <c r="BH27" t="str">
        <f ca="1">IFERROR(IF(0=LEN(ReferenceData!$BH$27),"",ReferenceData!$BH$27),"")</f>
        <v/>
      </c>
      <c r="BI27" t="str">
        <f ca="1">IFERROR(IF(0=LEN(ReferenceData!$BI$27),"",ReferenceData!$BI$27),"")</f>
        <v/>
      </c>
      <c r="BJ27" t="str">
        <f ca="1">IFERROR(IF(0=LEN(ReferenceData!$BJ$27),"",ReferenceData!$BJ$27),"")</f>
        <v/>
      </c>
      <c r="BK27" t="str">
        <f ca="1">IFERROR(IF(0=LEN(ReferenceData!$BK$27),"",ReferenceData!$BK$27),"")</f>
        <v/>
      </c>
      <c r="BL27" t="str">
        <f ca="1">IFERROR(IF(0=LEN(ReferenceData!$BL$27),"",ReferenceData!$BL$27),"")</f>
        <v/>
      </c>
      <c r="BM27" t="str">
        <f ca="1">IFERROR(IF(0=LEN(ReferenceData!$BM$27),"",ReferenceData!$BM$27),"")</f>
        <v/>
      </c>
    </row>
    <row r="28" spans="1:65">
      <c r="A28" t="str">
        <f>IFERROR(IF(0=LEN(ReferenceData!$A$28),"",ReferenceData!$A$28),"")</f>
        <v xml:space="preserve">    Essex Property Trust Inc</v>
      </c>
      <c r="B28" t="str">
        <f>IFERROR(IF(0=LEN(ReferenceData!$B$28),"",ReferenceData!$B$28),"")</f>
        <v>ESS US Equity</v>
      </c>
      <c r="C28" t="str">
        <f>IFERROR(IF(0=LEN(ReferenceData!$C$28),"",ReferenceData!$C$28),"")</f>
        <v>IM281</v>
      </c>
      <c r="D28" t="str">
        <f>IFERROR(IF(0=LEN(ReferenceData!$D$28),"",ReferenceData!$D$28),"")</f>
        <v>IS_NON_REAL_ESTATE_INCOME</v>
      </c>
      <c r="E28" t="str">
        <f>IFERROR(IF(0=LEN(ReferenceData!$E$28),"",ReferenceData!$E$28),"")</f>
        <v>动态</v>
      </c>
      <c r="F28" t="str">
        <f ca="1">IFERROR(IF(0=LEN(ReferenceData!$F$28),"",ReferenceData!$F$28),"")</f>
        <v/>
      </c>
      <c r="G28">
        <f ca="1">IFERROR(IF(0=LEN(ReferenceData!$G$28),"",ReferenceData!$G$28),"")</f>
        <v>0</v>
      </c>
      <c r="H28">
        <f ca="1">IFERROR(IF(0=LEN(ReferenceData!$H$28),"",ReferenceData!$H$28),"")</f>
        <v>0</v>
      </c>
      <c r="I28">
        <f ca="1">IFERROR(IF(0=LEN(ReferenceData!$I$28),"",ReferenceData!$I$28),"")</f>
        <v>0</v>
      </c>
      <c r="J28">
        <f ca="1">IFERROR(IF(0=LEN(ReferenceData!$J$28),"",ReferenceData!$J$28),"")</f>
        <v>0</v>
      </c>
      <c r="K28">
        <f ca="1">IFERROR(IF(0=LEN(ReferenceData!$K$28),"",ReferenceData!$K$28),"")</f>
        <v>0</v>
      </c>
      <c r="L28">
        <f ca="1">IFERROR(IF(0=LEN(ReferenceData!$L$28),"",ReferenceData!$L$28),"")</f>
        <v>0</v>
      </c>
      <c r="M28">
        <f ca="1">IFERROR(IF(0=LEN(ReferenceData!$M$28),"",ReferenceData!$M$28),"")</f>
        <v>0</v>
      </c>
      <c r="N28">
        <f ca="1">IFERROR(IF(0=LEN(ReferenceData!$N$28),"",ReferenceData!$N$28),"")</f>
        <v>0</v>
      </c>
      <c r="O28">
        <f ca="1">IFERROR(IF(0=LEN(ReferenceData!$O$28),"",ReferenceData!$O$28),"")</f>
        <v>0</v>
      </c>
      <c r="P28">
        <f ca="1">IFERROR(IF(0=LEN(ReferenceData!$P$28),"",ReferenceData!$P$28),"")</f>
        <v>0</v>
      </c>
      <c r="Q28">
        <f ca="1">IFERROR(IF(0=LEN(ReferenceData!$Q$28),"",ReferenceData!$Q$28),"")</f>
        <v>0</v>
      </c>
      <c r="R28">
        <f ca="1">IFERROR(IF(0=LEN(ReferenceData!$R$28),"",ReferenceData!$R$28),"")</f>
        <v>0</v>
      </c>
      <c r="S28">
        <f ca="1">IFERROR(IF(0=LEN(ReferenceData!$S$28),"",ReferenceData!$S$28),"")</f>
        <v>0</v>
      </c>
      <c r="T28">
        <f ca="1">IFERROR(IF(0=LEN(ReferenceData!$T$28),"",ReferenceData!$T$28),"")</f>
        <v>0</v>
      </c>
      <c r="U28">
        <f ca="1">IFERROR(IF(0=LEN(ReferenceData!$U$28),"",ReferenceData!$U$28),"")</f>
        <v>0</v>
      </c>
      <c r="V28">
        <f ca="1">IFERROR(IF(0=LEN(ReferenceData!$V$28),"",ReferenceData!$V$28),"")</f>
        <v>0</v>
      </c>
      <c r="W28">
        <f ca="1">IFERROR(IF(0=LEN(ReferenceData!$W$28),"",ReferenceData!$W$28),"")</f>
        <v>0</v>
      </c>
      <c r="X28">
        <f ca="1">IFERROR(IF(0=LEN(ReferenceData!$X$28),"",ReferenceData!$X$28),"")</f>
        <v>0</v>
      </c>
      <c r="Y28">
        <f ca="1">IFERROR(IF(0=LEN(ReferenceData!$Y$28),"",ReferenceData!$Y$28),"")</f>
        <v>0</v>
      </c>
      <c r="Z28">
        <f ca="1">IFERROR(IF(0=LEN(ReferenceData!$Z$28),"",ReferenceData!$Z$28),"")</f>
        <v>0</v>
      </c>
      <c r="AA28">
        <f ca="1">IFERROR(IF(0=LEN(ReferenceData!$AA$28),"",ReferenceData!$AA$28),"")</f>
        <v>0</v>
      </c>
      <c r="AB28">
        <f ca="1">IFERROR(IF(0=LEN(ReferenceData!$AB$28),"",ReferenceData!$AB$28),"")</f>
        <v>0</v>
      </c>
      <c r="AC28">
        <f ca="1">IFERROR(IF(0=LEN(ReferenceData!$AC$28),"",ReferenceData!$AC$28),"")</f>
        <v>0</v>
      </c>
      <c r="AD28">
        <f ca="1">IFERROR(IF(0=LEN(ReferenceData!$AD$28),"",ReferenceData!$AD$28),"")</f>
        <v>0</v>
      </c>
      <c r="AE28">
        <f ca="1">IFERROR(IF(0=LEN(ReferenceData!$AE$28),"",ReferenceData!$AE$28),"")</f>
        <v>0</v>
      </c>
      <c r="AF28">
        <f ca="1">IFERROR(IF(0=LEN(ReferenceData!$AF$28),"",ReferenceData!$AF$28),"")</f>
        <v>0</v>
      </c>
      <c r="AG28">
        <f ca="1">IFERROR(IF(0=LEN(ReferenceData!$AG$28),"",ReferenceData!$AG$28),"")</f>
        <v>0</v>
      </c>
      <c r="AH28">
        <f ca="1">IFERROR(IF(0=LEN(ReferenceData!$AH$28),"",ReferenceData!$AH$28),"")</f>
        <v>0</v>
      </c>
      <c r="AI28">
        <f ca="1">IFERROR(IF(0=LEN(ReferenceData!$AI$28),"",ReferenceData!$AI$28),"")</f>
        <v>0</v>
      </c>
      <c r="AJ28">
        <f ca="1">IFERROR(IF(0=LEN(ReferenceData!$AJ$28),"",ReferenceData!$AJ$28),"")</f>
        <v>0</v>
      </c>
      <c r="AK28">
        <f ca="1">IFERROR(IF(0=LEN(ReferenceData!$AK$28),"",ReferenceData!$AK$28),"")</f>
        <v>0</v>
      </c>
      <c r="AL28">
        <f ca="1">IFERROR(IF(0=LEN(ReferenceData!$AL$28),"",ReferenceData!$AL$28),"")</f>
        <v>0</v>
      </c>
      <c r="AM28">
        <f ca="1">IFERROR(IF(0=LEN(ReferenceData!$AM$28),"",ReferenceData!$AM$28),"")</f>
        <v>0</v>
      </c>
      <c r="AN28">
        <f ca="1">IFERROR(IF(0=LEN(ReferenceData!$AN$28),"",ReferenceData!$AN$28),"")</f>
        <v>0</v>
      </c>
      <c r="AO28">
        <f ca="1">IFERROR(IF(0=LEN(ReferenceData!$AO$28),"",ReferenceData!$AO$28),"")</f>
        <v>0</v>
      </c>
      <c r="AP28">
        <f ca="1">IFERROR(IF(0=LEN(ReferenceData!$AP$28),"",ReferenceData!$AP$28),"")</f>
        <v>0</v>
      </c>
      <c r="AQ28" t="str">
        <f ca="1">IFERROR(IF(0=LEN(ReferenceData!$AQ$28),"",ReferenceData!$AQ$28),"")</f>
        <v/>
      </c>
      <c r="AR28" t="str">
        <f ca="1">IFERROR(IF(0=LEN(ReferenceData!$AR$28),"",ReferenceData!$AR$28),"")</f>
        <v/>
      </c>
      <c r="AS28">
        <f ca="1">IFERROR(IF(0=LEN(ReferenceData!$AS$28),"",ReferenceData!$AS$28),"")</f>
        <v>0</v>
      </c>
      <c r="AT28" t="str">
        <f ca="1">IFERROR(IF(0=LEN(ReferenceData!$AT$28),"",ReferenceData!$AT$28),"")</f>
        <v/>
      </c>
      <c r="AU28" t="str">
        <f ca="1">IFERROR(IF(0=LEN(ReferenceData!$AU$28),"",ReferenceData!$AU$28),"")</f>
        <v/>
      </c>
      <c r="AV28" t="str">
        <f ca="1">IFERROR(IF(0=LEN(ReferenceData!$AV$28),"",ReferenceData!$AV$28),"")</f>
        <v/>
      </c>
      <c r="AW28" t="str">
        <f ca="1">IFERROR(IF(0=LEN(ReferenceData!$AW$28),"",ReferenceData!$AW$28),"")</f>
        <v/>
      </c>
      <c r="AX28" t="str">
        <f ca="1">IFERROR(IF(0=LEN(ReferenceData!$AX$28),"",ReferenceData!$AX$28),"")</f>
        <v/>
      </c>
      <c r="AY28" t="str">
        <f ca="1">IFERROR(IF(0=LEN(ReferenceData!$AY$28),"",ReferenceData!$AY$28),"")</f>
        <v/>
      </c>
      <c r="AZ28" t="str">
        <f ca="1">IFERROR(IF(0=LEN(ReferenceData!$AZ$28),"",ReferenceData!$AZ$28),"")</f>
        <v/>
      </c>
      <c r="BA28" t="str">
        <f ca="1">IFERROR(IF(0=LEN(ReferenceData!$BA$28),"",ReferenceData!$BA$28),"")</f>
        <v/>
      </c>
      <c r="BB28" t="str">
        <f ca="1">IFERROR(IF(0=LEN(ReferenceData!$BB$28),"",ReferenceData!$BB$28),"")</f>
        <v/>
      </c>
      <c r="BC28" t="str">
        <f ca="1">IFERROR(IF(0=LEN(ReferenceData!$BC$28),"",ReferenceData!$BC$28),"")</f>
        <v/>
      </c>
      <c r="BD28" t="str">
        <f ca="1">IFERROR(IF(0=LEN(ReferenceData!$BD$28),"",ReferenceData!$BD$28),"")</f>
        <v/>
      </c>
      <c r="BE28" t="str">
        <f ca="1">IFERROR(IF(0=LEN(ReferenceData!$BE$28),"",ReferenceData!$BE$28),"")</f>
        <v/>
      </c>
      <c r="BF28" t="str">
        <f ca="1">IFERROR(IF(0=LEN(ReferenceData!$BF$28),"",ReferenceData!$BF$28),"")</f>
        <v/>
      </c>
      <c r="BG28" t="str">
        <f ca="1">IFERROR(IF(0=LEN(ReferenceData!$BG$28),"",ReferenceData!$BG$28),"")</f>
        <v/>
      </c>
      <c r="BH28" t="str">
        <f ca="1">IFERROR(IF(0=LEN(ReferenceData!$BH$28),"",ReferenceData!$BH$28),"")</f>
        <v/>
      </c>
      <c r="BI28" t="str">
        <f ca="1">IFERROR(IF(0=LEN(ReferenceData!$BI$28),"",ReferenceData!$BI$28),"")</f>
        <v/>
      </c>
      <c r="BJ28" t="str">
        <f ca="1">IFERROR(IF(0=LEN(ReferenceData!$BJ$28),"",ReferenceData!$BJ$28),"")</f>
        <v/>
      </c>
      <c r="BK28" t="str">
        <f ca="1">IFERROR(IF(0=LEN(ReferenceData!$BK$28),"",ReferenceData!$BK$28),"")</f>
        <v/>
      </c>
      <c r="BL28" t="str">
        <f ca="1">IFERROR(IF(0=LEN(ReferenceData!$BL$28),"",ReferenceData!$BL$28),"")</f>
        <v/>
      </c>
      <c r="BM28" t="str">
        <f ca="1">IFERROR(IF(0=LEN(ReferenceData!$BM$28),"",ReferenceData!$BM$28),"")</f>
        <v/>
      </c>
    </row>
    <row r="29" spans="1:65">
      <c r="A29" t="str">
        <f>IFERROR(IF(0=LEN(ReferenceData!$A$29),"",ReferenceData!$A$29),"")</f>
        <v xml:space="preserve">    Mid-America Apartment Communit</v>
      </c>
      <c r="B29" t="str">
        <f>IFERROR(IF(0=LEN(ReferenceData!$B$29),"",ReferenceData!$B$29),"")</f>
        <v>MAA US Equity</v>
      </c>
      <c r="C29" t="str">
        <f>IFERROR(IF(0=LEN(ReferenceData!$C$29),"",ReferenceData!$C$29),"")</f>
        <v>IM281</v>
      </c>
      <c r="D29" t="str">
        <f>IFERROR(IF(0=LEN(ReferenceData!$D$29),"",ReferenceData!$D$29),"")</f>
        <v>IS_NON_REAL_ESTATE_INCOME</v>
      </c>
      <c r="E29" t="str">
        <f>IFERROR(IF(0=LEN(ReferenceData!$E$29),"",ReferenceData!$E$29),"")</f>
        <v>动态</v>
      </c>
      <c r="F29" t="str">
        <f ca="1">IFERROR(IF(0=LEN(ReferenceData!$F$29),"",ReferenceData!$F$29),"")</f>
        <v/>
      </c>
      <c r="G29">
        <f ca="1">IFERROR(IF(0=LEN(ReferenceData!$G$29),"",ReferenceData!$G$29),"")</f>
        <v>0</v>
      </c>
      <c r="H29">
        <f ca="1">IFERROR(IF(0=LEN(ReferenceData!$H$29),"",ReferenceData!$H$29),"")</f>
        <v>26.931000000000001</v>
      </c>
      <c r="I29">
        <f ca="1">IFERROR(IF(0=LEN(ReferenceData!$I$29),"",ReferenceData!$I$29),"")</f>
        <v>26.959</v>
      </c>
      <c r="J29">
        <f ca="1">IFERROR(IF(0=LEN(ReferenceData!$J$29),"",ReferenceData!$J$29),"")</f>
        <v>27.731000000000002</v>
      </c>
      <c r="K29">
        <f ca="1">IFERROR(IF(0=LEN(ReferenceData!$K$29),"",ReferenceData!$K$29),"")</f>
        <v>22.741</v>
      </c>
      <c r="L29">
        <f ca="1">IFERROR(IF(0=LEN(ReferenceData!$L$29),"",ReferenceData!$L$29),"")</f>
        <v>22.736999999999998</v>
      </c>
      <c r="M29">
        <f ca="1">IFERROR(IF(0=LEN(ReferenceData!$M$29),"",ReferenceData!$M$29),"")</f>
        <v>22.91</v>
      </c>
      <c r="N29">
        <f ca="1">IFERROR(IF(0=LEN(ReferenceData!$N$29),"",ReferenceData!$N$29),"")</f>
        <v>23.350999999999999</v>
      </c>
      <c r="O29">
        <f ca="1">IFERROR(IF(0=LEN(ReferenceData!$O$29),"",ReferenceData!$O$29),"")</f>
        <v>21.916</v>
      </c>
      <c r="P29">
        <f ca="1">IFERROR(IF(0=LEN(ReferenceData!$P$29),"",ReferenceData!$P$29),"")</f>
        <v>22.327999999999999</v>
      </c>
      <c r="Q29">
        <f ca="1">IFERROR(IF(0=LEN(ReferenceData!$Q$29),"",ReferenceData!$Q$29),"")</f>
        <v>22.725999999999999</v>
      </c>
      <c r="R29">
        <f ca="1">IFERROR(IF(0=LEN(ReferenceData!$R$29),"",ReferenceData!$R$29),"")</f>
        <v>23.611000000000001</v>
      </c>
      <c r="S29">
        <f ca="1">IFERROR(IF(0=LEN(ReferenceData!$S$29),"",ReferenceData!$S$29),"")</f>
        <v>22.736999999999998</v>
      </c>
      <c r="T29">
        <f ca="1">IFERROR(IF(0=LEN(ReferenceData!$T$29),"",ReferenceData!$T$29),"")</f>
        <v>22.978999999999999</v>
      </c>
      <c r="U29">
        <f ca="1">IFERROR(IF(0=LEN(ReferenceData!$U$29),"",ReferenceData!$U$29),"")</f>
        <v>21.882999999999999</v>
      </c>
      <c r="V29">
        <f ca="1">IFERROR(IF(0=LEN(ReferenceData!$V$29),"",ReferenceData!$V$29),"")</f>
        <v>22.402000000000001</v>
      </c>
      <c r="W29">
        <f ca="1">IFERROR(IF(0=LEN(ReferenceData!$W$29),"",ReferenceData!$W$29),"")</f>
        <v>22.663</v>
      </c>
      <c r="X29">
        <f ca="1">IFERROR(IF(0=LEN(ReferenceData!$X$29),"",ReferenceData!$X$29),"")</f>
        <v>10.648</v>
      </c>
      <c r="Y29">
        <f ca="1">IFERROR(IF(0=LEN(ReferenceData!$Y$29),"",ReferenceData!$Y$29),"")</f>
        <v>10.531000000000001</v>
      </c>
      <c r="Z29">
        <f ca="1">IFERROR(IF(0=LEN(ReferenceData!$Z$29),"",ReferenceData!$Z$29),"")</f>
        <v>10.038</v>
      </c>
      <c r="AA29">
        <f ca="1">IFERROR(IF(0=LEN(ReferenceData!$AA$29),"",ReferenceData!$AA$29),"")</f>
        <v>0</v>
      </c>
      <c r="AB29">
        <f ca="1">IFERROR(IF(0=LEN(ReferenceData!$AB$29),"",ReferenceData!$AB$29),"")</f>
        <v>9.9659999999999993</v>
      </c>
      <c r="AC29">
        <f ca="1">IFERROR(IF(0=LEN(ReferenceData!$AC$29),"",ReferenceData!$AC$29),"")</f>
        <v>9.84</v>
      </c>
      <c r="AD29">
        <f ca="1">IFERROR(IF(0=LEN(ReferenceData!$AD$29),"",ReferenceData!$AD$29),"")</f>
        <v>9.6750000000000007</v>
      </c>
      <c r="AE29">
        <f ca="1">IFERROR(IF(0=LEN(ReferenceData!$AE$29),"",ReferenceData!$AE$29),"")</f>
        <v>0</v>
      </c>
      <c r="AF29">
        <f ca="1">IFERROR(IF(0=LEN(ReferenceData!$AF$29),"",ReferenceData!$AF$29),"")</f>
        <v>9.0519999999999996</v>
      </c>
      <c r="AG29">
        <f ca="1">IFERROR(IF(0=LEN(ReferenceData!$AG$29),"",ReferenceData!$AG$29),"")</f>
        <v>8.9420000000000002</v>
      </c>
      <c r="AH29">
        <f ca="1">IFERROR(IF(0=LEN(ReferenceData!$AH$29),"",ReferenceData!$AH$29),"")</f>
        <v>8.98</v>
      </c>
      <c r="AI29">
        <f ca="1">IFERROR(IF(0=LEN(ReferenceData!$AI$29),"",ReferenceData!$AI$29),"")</f>
        <v>0</v>
      </c>
      <c r="AJ29">
        <f ca="1">IFERROR(IF(0=LEN(ReferenceData!$AJ$29),"",ReferenceData!$AJ$29),"")</f>
        <v>8.3070000000000004</v>
      </c>
      <c r="AK29">
        <f ca="1">IFERROR(IF(0=LEN(ReferenceData!$AK$29),"",ReferenceData!$AK$29),"")</f>
        <v>7.6479999999999997</v>
      </c>
      <c r="AL29">
        <f ca="1">IFERROR(IF(0=LEN(ReferenceData!$AL$29),"",ReferenceData!$AL$29),"")</f>
        <v>7.02</v>
      </c>
      <c r="AM29">
        <f ca="1">IFERROR(IF(0=LEN(ReferenceData!$AM$29),"",ReferenceData!$AM$29),"")</f>
        <v>0</v>
      </c>
      <c r="AN29">
        <f ca="1">IFERROR(IF(0=LEN(ReferenceData!$AN$29),"",ReferenceData!$AN$29),"")</f>
        <v>5.7009999999999996</v>
      </c>
      <c r="AO29">
        <f ca="1">IFERROR(IF(0=LEN(ReferenceData!$AO$29),"",ReferenceData!$AO$29),"")</f>
        <v>4.9059999999999997</v>
      </c>
      <c r="AP29">
        <f ca="1">IFERROR(IF(0=LEN(ReferenceData!$AP$29),"",ReferenceData!$AP$29),"")</f>
        <v>4.4020000000000001</v>
      </c>
      <c r="AQ29" t="str">
        <f ca="1">IFERROR(IF(0=LEN(ReferenceData!$AQ$29),"",ReferenceData!$AQ$29),"")</f>
        <v/>
      </c>
      <c r="AR29" t="str">
        <f ca="1">IFERROR(IF(0=LEN(ReferenceData!$AR$29),"",ReferenceData!$AR$29),"")</f>
        <v/>
      </c>
      <c r="AS29" t="str">
        <f ca="1">IFERROR(IF(0=LEN(ReferenceData!$AS$29),"",ReferenceData!$AS$29),"")</f>
        <v/>
      </c>
      <c r="AT29" t="str">
        <f ca="1">IFERROR(IF(0=LEN(ReferenceData!$AT$29),"",ReferenceData!$AT$29),"")</f>
        <v/>
      </c>
      <c r="AU29" t="str">
        <f ca="1">IFERROR(IF(0=LEN(ReferenceData!$AU$29),"",ReferenceData!$AU$29),"")</f>
        <v/>
      </c>
      <c r="AV29" t="str">
        <f ca="1">IFERROR(IF(0=LEN(ReferenceData!$AV$29),"",ReferenceData!$AV$29),"")</f>
        <v/>
      </c>
      <c r="AW29" t="str">
        <f ca="1">IFERROR(IF(0=LEN(ReferenceData!$AW$29),"",ReferenceData!$AW$29),"")</f>
        <v/>
      </c>
      <c r="AX29" t="str">
        <f ca="1">IFERROR(IF(0=LEN(ReferenceData!$AX$29),"",ReferenceData!$AX$29),"")</f>
        <v/>
      </c>
      <c r="AY29" t="str">
        <f ca="1">IFERROR(IF(0=LEN(ReferenceData!$AY$29),"",ReferenceData!$AY$29),"")</f>
        <v/>
      </c>
      <c r="AZ29" t="str">
        <f ca="1">IFERROR(IF(0=LEN(ReferenceData!$AZ$29),"",ReferenceData!$AZ$29),"")</f>
        <v/>
      </c>
      <c r="BA29" t="str">
        <f ca="1">IFERROR(IF(0=LEN(ReferenceData!$BA$29),"",ReferenceData!$BA$29),"")</f>
        <v/>
      </c>
      <c r="BB29" t="str">
        <f ca="1">IFERROR(IF(0=LEN(ReferenceData!$BB$29),"",ReferenceData!$BB$29),"")</f>
        <v/>
      </c>
      <c r="BC29" t="str">
        <f ca="1">IFERROR(IF(0=LEN(ReferenceData!$BC$29),"",ReferenceData!$BC$29),"")</f>
        <v/>
      </c>
      <c r="BD29" t="str">
        <f ca="1">IFERROR(IF(0=LEN(ReferenceData!$BD$29),"",ReferenceData!$BD$29),"")</f>
        <v/>
      </c>
      <c r="BE29" t="str">
        <f ca="1">IFERROR(IF(0=LEN(ReferenceData!$BE$29),"",ReferenceData!$BE$29),"")</f>
        <v/>
      </c>
      <c r="BF29" t="str">
        <f ca="1">IFERROR(IF(0=LEN(ReferenceData!$BF$29),"",ReferenceData!$BF$29),"")</f>
        <v/>
      </c>
      <c r="BG29" t="str">
        <f ca="1">IFERROR(IF(0=LEN(ReferenceData!$BG$29),"",ReferenceData!$BG$29),"")</f>
        <v/>
      </c>
      <c r="BH29" t="str">
        <f ca="1">IFERROR(IF(0=LEN(ReferenceData!$BH$29),"",ReferenceData!$BH$29),"")</f>
        <v/>
      </c>
      <c r="BI29" t="str">
        <f ca="1">IFERROR(IF(0=LEN(ReferenceData!$BI$29),"",ReferenceData!$BI$29),"")</f>
        <v/>
      </c>
      <c r="BJ29" t="str">
        <f ca="1">IFERROR(IF(0=LEN(ReferenceData!$BJ$29),"",ReferenceData!$BJ$29),"")</f>
        <v/>
      </c>
      <c r="BK29" t="str">
        <f ca="1">IFERROR(IF(0=LEN(ReferenceData!$BK$29),"",ReferenceData!$BK$29),"")</f>
        <v/>
      </c>
      <c r="BL29" t="str">
        <f ca="1">IFERROR(IF(0=LEN(ReferenceData!$BL$29),"",ReferenceData!$BL$29),"")</f>
        <v/>
      </c>
      <c r="BM29" t="str">
        <f ca="1">IFERROR(IF(0=LEN(ReferenceData!$BM$29),"",ReferenceData!$BM$29),"")</f>
        <v/>
      </c>
    </row>
    <row r="30" spans="1:65">
      <c r="A30" t="str">
        <f>IFERROR(IF(0=LEN(ReferenceData!$A$30),"",ReferenceData!$A$30),"")</f>
        <v xml:space="preserve">    UDR Inc</v>
      </c>
      <c r="B30" t="str">
        <f>IFERROR(IF(0=LEN(ReferenceData!$B$30),"",ReferenceData!$B$30),"")</f>
        <v>UDR US Equity</v>
      </c>
      <c r="C30" t="str">
        <f>IFERROR(IF(0=LEN(ReferenceData!$C$30),"",ReferenceData!$C$30),"")</f>
        <v>IM281</v>
      </c>
      <c r="D30" t="str">
        <f>IFERROR(IF(0=LEN(ReferenceData!$D$30),"",ReferenceData!$D$30),"")</f>
        <v>IS_NON_REAL_ESTATE_INCOME</v>
      </c>
      <c r="E30" t="str">
        <f>IFERROR(IF(0=LEN(ReferenceData!$E$30),"",ReferenceData!$E$30),"")</f>
        <v>动态</v>
      </c>
      <c r="F30" t="str">
        <f ca="1">IFERROR(IF(0=LEN(ReferenceData!$F$30),"",ReferenceData!$F$30),"")</f>
        <v/>
      </c>
      <c r="G30">
        <f ca="1">IFERROR(IF(0=LEN(ReferenceData!$G$30),"",ReferenceData!$G$30),"")</f>
        <v>2.7639999999999998</v>
      </c>
      <c r="H30">
        <f ca="1">IFERROR(IF(0=LEN(ReferenceData!$H$30),"",ReferenceData!$H$30),"")</f>
        <v>2.827</v>
      </c>
      <c r="I30">
        <f ca="1">IFERROR(IF(0=LEN(ReferenceData!$I$30),"",ReferenceData!$I$30),"")</f>
        <v>3.3210000000000002</v>
      </c>
      <c r="J30">
        <f ca="1">IFERROR(IF(0=LEN(ReferenceData!$J$30),"",ReferenceData!$J$30),"")</f>
        <v>2.57</v>
      </c>
      <c r="K30">
        <f ca="1">IFERROR(IF(0=LEN(ReferenceData!$K$30),"",ReferenceData!$K$30),"")</f>
        <v>2.927</v>
      </c>
      <c r="L30">
        <f ca="1">IFERROR(IF(0=LEN(ReferenceData!$L$30),"",ReferenceData!$L$30),"")</f>
        <v>2.9969999999999999</v>
      </c>
      <c r="M30">
        <f ca="1">IFERROR(IF(0=LEN(ReferenceData!$M$30),"",ReferenceData!$M$30),"")</f>
        <v>2.6179999999999999</v>
      </c>
      <c r="N30">
        <f ca="1">IFERROR(IF(0=LEN(ReferenceData!$N$30),"",ReferenceData!$N$30),"")</f>
        <v>2.8580000000000001</v>
      </c>
      <c r="O30">
        <f ca="1">IFERROR(IF(0=LEN(ReferenceData!$O$30),"",ReferenceData!$O$30),"")</f>
        <v>3.2530000000000001</v>
      </c>
      <c r="P30">
        <f ca="1">IFERROR(IF(0=LEN(ReferenceData!$P$30),"",ReferenceData!$P$30),"")</f>
        <v>3.653</v>
      </c>
      <c r="Q30">
        <f ca="1">IFERROR(IF(0=LEN(ReferenceData!$Q$30),"",ReferenceData!$Q$30),"")</f>
        <v>3.0979999999999999</v>
      </c>
      <c r="R30">
        <f ca="1">IFERROR(IF(0=LEN(ReferenceData!$R$30),"",ReferenceData!$R$30),"")</f>
        <v>12.706</v>
      </c>
      <c r="S30">
        <f ca="1">IFERROR(IF(0=LEN(ReferenceData!$S$30),"",ReferenceData!$S$30),"")</f>
        <v>3.4449999999999998</v>
      </c>
      <c r="T30">
        <f ca="1">IFERROR(IF(0=LEN(ReferenceData!$T$30),"",ReferenceData!$T$30),"")</f>
        <v>3.165</v>
      </c>
      <c r="U30">
        <f ca="1">IFERROR(IF(0=LEN(ReferenceData!$U$30),"",ReferenceData!$U$30),"")</f>
        <v>2.7469999999999999</v>
      </c>
      <c r="V30">
        <f ca="1">IFERROR(IF(0=LEN(ReferenceData!$V$30),"",ReferenceData!$V$30),"")</f>
        <v>3.6869999999999998</v>
      </c>
      <c r="W30">
        <f ca="1">IFERROR(IF(0=LEN(ReferenceData!$W$30),"",ReferenceData!$W$30),"")</f>
        <v>3.0950000000000002</v>
      </c>
      <c r="X30">
        <f ca="1">IFERROR(IF(0=LEN(ReferenceData!$X$30),"",ReferenceData!$X$30),"")</f>
        <v>3.2069999999999999</v>
      </c>
      <c r="Y30">
        <f ca="1">IFERROR(IF(0=LEN(ReferenceData!$Y$30),"",ReferenceData!$Y$30),"")</f>
        <v>3.2170000000000001</v>
      </c>
      <c r="Z30">
        <f ca="1">IFERROR(IF(0=LEN(ReferenceData!$Z$30),"",ReferenceData!$Z$30),"")</f>
        <v>2.923</v>
      </c>
      <c r="AA30">
        <f ca="1">IFERROR(IF(0=LEN(ReferenceData!$AA$30),"",ReferenceData!$AA$30),"")</f>
        <v>2.8849999999999998</v>
      </c>
      <c r="AB30">
        <f ca="1">IFERROR(IF(0=LEN(ReferenceData!$AB$30),"",ReferenceData!$AB$30),"")</f>
        <v>3.32</v>
      </c>
      <c r="AC30">
        <f ca="1">IFERROR(IF(0=LEN(ReferenceData!$AC$30),"",ReferenceData!$AC$30),"")</f>
        <v>2.7170000000000001</v>
      </c>
      <c r="AD30">
        <f ca="1">IFERROR(IF(0=LEN(ReferenceData!$AD$30),"",ReferenceData!$AD$30),"")</f>
        <v>2.9889999999999999</v>
      </c>
      <c r="AE30">
        <f ca="1">IFERROR(IF(0=LEN(ReferenceData!$AE$30),"",ReferenceData!$AE$30),"")</f>
        <v>0</v>
      </c>
      <c r="AF30">
        <f ca="1">IFERROR(IF(0=LEN(ReferenceData!$AF$30),"",ReferenceData!$AF$30),"")</f>
        <v>5.2290000000000001</v>
      </c>
      <c r="AG30">
        <f ca="1">IFERROR(IF(0=LEN(ReferenceData!$AG$30),"",ReferenceData!$AG$30),"")</f>
        <v>2.8530000000000002</v>
      </c>
      <c r="AH30">
        <f ca="1">IFERROR(IF(0=LEN(ReferenceData!$AH$30),"",ReferenceData!$AH$30),"")</f>
        <v>4.5359999999999996</v>
      </c>
      <c r="AI30">
        <f ca="1">IFERROR(IF(0=LEN(ReferenceData!$AI$30),"",ReferenceData!$AI$30),"")</f>
        <v>0</v>
      </c>
      <c r="AJ30">
        <f ca="1">IFERROR(IF(0=LEN(ReferenceData!$AJ$30),"",ReferenceData!$AJ$30),"")</f>
        <v>2.1920000000000002</v>
      </c>
      <c r="AK30">
        <f ca="1">IFERROR(IF(0=LEN(ReferenceData!$AK$30),"",ReferenceData!$AK$30),"")</f>
        <v>2.056</v>
      </c>
      <c r="AL30">
        <f ca="1">IFERROR(IF(0=LEN(ReferenceData!$AL$30),"",ReferenceData!$AL$30),"")</f>
        <v>1.4710000000000001</v>
      </c>
      <c r="AM30">
        <f ca="1">IFERROR(IF(0=LEN(ReferenceData!$AM$30),"",ReferenceData!$AM$30),"")</f>
        <v>0</v>
      </c>
      <c r="AN30">
        <f ca="1">IFERROR(IF(0=LEN(ReferenceData!$AN$30),"",ReferenceData!$AN$30),"")</f>
        <v>1.627</v>
      </c>
      <c r="AO30">
        <f ca="1">IFERROR(IF(0=LEN(ReferenceData!$AO$30),"",ReferenceData!$AO$30),"")</f>
        <v>3.9580000000000002</v>
      </c>
      <c r="AP30">
        <f ca="1">IFERROR(IF(0=LEN(ReferenceData!$AP$30),"",ReferenceData!$AP$30),"")</f>
        <v>5.024</v>
      </c>
      <c r="AQ30" t="str">
        <f ca="1">IFERROR(IF(0=LEN(ReferenceData!$AQ$30),"",ReferenceData!$AQ$30),"")</f>
        <v/>
      </c>
      <c r="AR30" t="str">
        <f ca="1">IFERROR(IF(0=LEN(ReferenceData!$AR$30),"",ReferenceData!$AR$30),"")</f>
        <v/>
      </c>
      <c r="AS30" t="str">
        <f ca="1">IFERROR(IF(0=LEN(ReferenceData!$AS$30),"",ReferenceData!$AS$30),"")</f>
        <v/>
      </c>
      <c r="AT30" t="str">
        <f ca="1">IFERROR(IF(0=LEN(ReferenceData!$AT$30),"",ReferenceData!$AT$30),"")</f>
        <v/>
      </c>
      <c r="AU30" t="str">
        <f ca="1">IFERROR(IF(0=LEN(ReferenceData!$AU$30),"",ReferenceData!$AU$30),"")</f>
        <v/>
      </c>
      <c r="AV30" t="str">
        <f ca="1">IFERROR(IF(0=LEN(ReferenceData!$AV$30),"",ReferenceData!$AV$30),"")</f>
        <v/>
      </c>
      <c r="AW30" t="str">
        <f ca="1">IFERROR(IF(0=LEN(ReferenceData!$AW$30),"",ReferenceData!$AW$30),"")</f>
        <v/>
      </c>
      <c r="AX30" t="str">
        <f ca="1">IFERROR(IF(0=LEN(ReferenceData!$AX$30),"",ReferenceData!$AX$30),"")</f>
        <v/>
      </c>
      <c r="AY30" t="str">
        <f ca="1">IFERROR(IF(0=LEN(ReferenceData!$AY$30),"",ReferenceData!$AY$30),"")</f>
        <v/>
      </c>
      <c r="AZ30" t="str">
        <f ca="1">IFERROR(IF(0=LEN(ReferenceData!$AZ$30),"",ReferenceData!$AZ$30),"")</f>
        <v/>
      </c>
      <c r="BA30" t="str">
        <f ca="1">IFERROR(IF(0=LEN(ReferenceData!$BA$30),"",ReferenceData!$BA$30),"")</f>
        <v/>
      </c>
      <c r="BB30" t="str">
        <f ca="1">IFERROR(IF(0=LEN(ReferenceData!$BB$30),"",ReferenceData!$BB$30),"")</f>
        <v/>
      </c>
      <c r="BC30" t="str">
        <f ca="1">IFERROR(IF(0=LEN(ReferenceData!$BC$30),"",ReferenceData!$BC$30),"")</f>
        <v/>
      </c>
      <c r="BD30" t="str">
        <f ca="1">IFERROR(IF(0=LEN(ReferenceData!$BD$30),"",ReferenceData!$BD$30),"")</f>
        <v/>
      </c>
      <c r="BE30" t="str">
        <f ca="1">IFERROR(IF(0=LEN(ReferenceData!$BE$30),"",ReferenceData!$BE$30),"")</f>
        <v/>
      </c>
      <c r="BF30" t="str">
        <f ca="1">IFERROR(IF(0=LEN(ReferenceData!$BF$30),"",ReferenceData!$BF$30),"")</f>
        <v/>
      </c>
      <c r="BG30" t="str">
        <f ca="1">IFERROR(IF(0=LEN(ReferenceData!$BG$30),"",ReferenceData!$BG$30),"")</f>
        <v/>
      </c>
      <c r="BH30" t="str">
        <f ca="1">IFERROR(IF(0=LEN(ReferenceData!$BH$30),"",ReferenceData!$BH$30),"")</f>
        <v/>
      </c>
      <c r="BI30" t="str">
        <f ca="1">IFERROR(IF(0=LEN(ReferenceData!$BI$30),"",ReferenceData!$BI$30),"")</f>
        <v/>
      </c>
      <c r="BJ30" t="str">
        <f ca="1">IFERROR(IF(0=LEN(ReferenceData!$BJ$30),"",ReferenceData!$BJ$30),"")</f>
        <v/>
      </c>
      <c r="BK30" t="str">
        <f ca="1">IFERROR(IF(0=LEN(ReferenceData!$BK$30),"",ReferenceData!$BK$30),"")</f>
        <v/>
      </c>
      <c r="BL30" t="str">
        <f ca="1">IFERROR(IF(0=LEN(ReferenceData!$BL$30),"",ReferenceData!$BL$30),"")</f>
        <v/>
      </c>
      <c r="BM30" t="str">
        <f ca="1">IFERROR(IF(0=LEN(ReferenceData!$BM$30),"",ReferenceData!$BM$30),"")</f>
        <v/>
      </c>
    </row>
    <row r="31" spans="1:65">
      <c r="A31" t="str">
        <f>IFERROR(IF(0=LEN(ReferenceData!$A$31),"",ReferenceData!$A$31),"")</f>
        <v>管理与咨询费收入</v>
      </c>
      <c r="B31" t="str">
        <f>IFERROR(IF(0=LEN(ReferenceData!$B$31),"",ReferenceData!$B$31),"")</f>
        <v/>
      </c>
      <c r="C31" t="str">
        <f>IFERROR(IF(0=LEN(ReferenceData!$C$31),"",ReferenceData!$C$31),"")</f>
        <v/>
      </c>
      <c r="D31" t="str">
        <f>IFERROR(IF(0=LEN(ReferenceData!$D$31),"",ReferenceData!$D$31),"")</f>
        <v/>
      </c>
      <c r="E31" t="str">
        <f>IFERROR(IF(0=LEN(ReferenceData!$E$31),"",ReferenceData!$E$31),"")</f>
        <v>Median</v>
      </c>
      <c r="F31" t="str">
        <f ca="1">IFERROR(IF(0=LEN(ReferenceData!$F$31),"",ReferenceData!$F$31),"")</f>
        <v/>
      </c>
      <c r="G31">
        <f ca="1">IFERROR(IF(0=LEN(ReferenceData!$G$31),"",ReferenceData!$G$31),"")</f>
        <v>1.5110000000000001</v>
      </c>
      <c r="H31">
        <f ca="1">IFERROR(IF(0=LEN(ReferenceData!$H$31),"",ReferenceData!$H$31),"")</f>
        <v>1.5365000000000002</v>
      </c>
      <c r="I31">
        <f ca="1">IFERROR(IF(0=LEN(ReferenceData!$I$31),"",ReferenceData!$I$31),"")</f>
        <v>1.52</v>
      </c>
      <c r="J31">
        <f ca="1">IFERROR(IF(0=LEN(ReferenceData!$J$31),"",ReferenceData!$J$31),"")</f>
        <v>1.474</v>
      </c>
      <c r="K31">
        <f ca="1">IFERROR(IF(0=LEN(ReferenceData!$K$31),"",ReferenceData!$K$31),"")</f>
        <v>1.4645000000000001</v>
      </c>
      <c r="L31">
        <f ca="1">IFERROR(IF(0=LEN(ReferenceData!$L$31),"",ReferenceData!$L$31),"")</f>
        <v>1.4935</v>
      </c>
      <c r="M31">
        <f ca="1">IFERROR(IF(0=LEN(ReferenceData!$M$31),"",ReferenceData!$M$31),"")</f>
        <v>1.3155000000000001</v>
      </c>
      <c r="N31">
        <f ca="1">IFERROR(IF(0=LEN(ReferenceData!$N$31),"",ReferenceData!$N$31),"")</f>
        <v>1.6444999999999999</v>
      </c>
      <c r="O31">
        <f ca="1">IFERROR(IF(0=LEN(ReferenceData!$O$31),"",ReferenceData!$O$31),"")</f>
        <v>1.9449999999999998</v>
      </c>
      <c r="P31">
        <f ca="1">IFERROR(IF(0=LEN(ReferenceData!$P$31),"",ReferenceData!$P$31),"")</f>
        <v>1.9729999999999999</v>
      </c>
      <c r="Q31">
        <f ca="1">IFERROR(IF(0=LEN(ReferenceData!$Q$31),"",ReferenceData!$Q$31),"")</f>
        <v>1.8395000000000001</v>
      </c>
      <c r="R31">
        <f ca="1">IFERROR(IF(0=LEN(ReferenceData!$R$31),"",ReferenceData!$R$31),"")</f>
        <v>1.7075</v>
      </c>
      <c r="S31">
        <f ca="1">IFERROR(IF(0=LEN(ReferenceData!$S$31),"",ReferenceData!$S$31),"")</f>
        <v>2.2040000000000002</v>
      </c>
      <c r="T31">
        <f ca="1">IFERROR(IF(0=LEN(ReferenceData!$T$31),"",ReferenceData!$T$31),"")</f>
        <v>2.1040000000000001</v>
      </c>
      <c r="U31">
        <f ca="1">IFERROR(IF(0=LEN(ReferenceData!$U$31),"",ReferenceData!$U$31),"")</f>
        <v>2.0720000000000001</v>
      </c>
      <c r="V31">
        <f ca="1">IFERROR(IF(0=LEN(ReferenceData!$V$31),"",ReferenceData!$V$31),"")</f>
        <v>1.9025000000000001</v>
      </c>
      <c r="W31">
        <f ca="1">IFERROR(IF(0=LEN(ReferenceData!$W$31),"",ReferenceData!$W$31),"")</f>
        <v>2.0375000000000001</v>
      </c>
      <c r="X31">
        <f ca="1">IFERROR(IF(0=LEN(ReferenceData!$X$31),"",ReferenceData!$X$31),"")</f>
        <v>1.7814999999999999</v>
      </c>
      <c r="Y31">
        <f ca="1">IFERROR(IF(0=LEN(ReferenceData!$Y$31),"",ReferenceData!$Y$31),"")</f>
        <v>1.9789999999999999</v>
      </c>
      <c r="Z31">
        <f ca="1">IFERROR(IF(0=LEN(ReferenceData!$Z$31),"",ReferenceData!$Z$31),"")</f>
        <v>1.9345000000000001</v>
      </c>
      <c r="AA31">
        <f ca="1">IFERROR(IF(0=LEN(ReferenceData!$AA$31),"",ReferenceData!$AA$31),"")</f>
        <v>2.0274999999999999</v>
      </c>
      <c r="AB31">
        <f ca="1">IFERROR(IF(0=LEN(ReferenceData!$AB$31),"",ReferenceData!$AB$31),"")</f>
        <v>2.11</v>
      </c>
      <c r="AC31">
        <f ca="1">IFERROR(IF(0=LEN(ReferenceData!$AC$31),"",ReferenceData!$AC$31),"")</f>
        <v>1.925</v>
      </c>
      <c r="AD31">
        <f ca="1">IFERROR(IF(0=LEN(ReferenceData!$AD$31),"",ReferenceData!$AD$31),"")</f>
        <v>1.911</v>
      </c>
      <c r="AE31">
        <f ca="1">IFERROR(IF(0=LEN(ReferenceData!$AE$31),"",ReferenceData!$AE$31),"")</f>
        <v>2.0114999999999998</v>
      </c>
      <c r="AF31">
        <f ca="1">IFERROR(IF(0=LEN(ReferenceData!$AF$31),"",ReferenceData!$AF$31),"")</f>
        <v>1.9590000000000001</v>
      </c>
      <c r="AG31">
        <f ca="1">IFERROR(IF(0=LEN(ReferenceData!$AG$31),"",ReferenceData!$AG$31),"")</f>
        <v>1.8105</v>
      </c>
      <c r="AH31">
        <f ca="1">IFERROR(IF(0=LEN(ReferenceData!$AH$31),"",ReferenceData!$AH$31),"")</f>
        <v>1.8180000000000001</v>
      </c>
      <c r="AI31">
        <f ca="1">IFERROR(IF(0=LEN(ReferenceData!$AI$31),"",ReferenceData!$AI$31),"")</f>
        <v>1.7709999999999999</v>
      </c>
      <c r="AJ31">
        <f ca="1">IFERROR(IF(0=LEN(ReferenceData!$AJ$31),"",ReferenceData!$AJ$31),"")</f>
        <v>1.448</v>
      </c>
      <c r="AK31">
        <f ca="1">IFERROR(IF(0=LEN(ReferenceData!$AK$31),"",ReferenceData!$AK$31),"")</f>
        <v>1.5194999999999999</v>
      </c>
      <c r="AL31">
        <f ca="1">IFERROR(IF(0=LEN(ReferenceData!$AL$31),"",ReferenceData!$AL$31),"")</f>
        <v>1.6985000000000001</v>
      </c>
      <c r="AM31">
        <f ca="1">IFERROR(IF(0=LEN(ReferenceData!$AM$31),"",ReferenceData!$AM$31),"")</f>
        <v>1.6105</v>
      </c>
      <c r="AN31">
        <f ca="1">IFERROR(IF(0=LEN(ReferenceData!$AN$31),"",ReferenceData!$AN$31),"")</f>
        <v>1.7890000000000001</v>
      </c>
      <c r="AO31">
        <f ca="1">IFERROR(IF(0=LEN(ReferenceData!$AO$31),"",ReferenceData!$AO$31),"")</f>
        <v>1.569</v>
      </c>
      <c r="AP31">
        <f ca="1">IFERROR(IF(0=LEN(ReferenceData!$AP$31),"",ReferenceData!$AP$31),"")</f>
        <v>1.7495000000000001</v>
      </c>
      <c r="AQ31">
        <f ca="1">IFERROR(IF(0=LEN(ReferenceData!$AQ$31),"",ReferenceData!$AQ$31),"")</f>
        <v>2.0185</v>
      </c>
      <c r="AR31">
        <f ca="1">IFERROR(IF(0=LEN(ReferenceData!$AR$31),"",ReferenceData!$AR$31),"")</f>
        <v>1.8315000000000001</v>
      </c>
      <c r="AS31">
        <f ca="1">IFERROR(IF(0=LEN(ReferenceData!$AS$31),"",ReferenceData!$AS$31),"")</f>
        <v>1.579</v>
      </c>
      <c r="AT31">
        <f ca="1">IFERROR(IF(0=LEN(ReferenceData!$AT$31),"",ReferenceData!$AT$31),"")</f>
        <v>1.4325000000000001</v>
      </c>
      <c r="AU31">
        <f ca="1">IFERROR(IF(0=LEN(ReferenceData!$AU$31),"",ReferenceData!$AU$31),"")</f>
        <v>1.125</v>
      </c>
      <c r="AV31">
        <f ca="1">IFERROR(IF(0=LEN(ReferenceData!$AV$31),"",ReferenceData!$AV$31),"")</f>
        <v>1.49</v>
      </c>
      <c r="AW31">
        <f ca="1">IFERROR(IF(0=LEN(ReferenceData!$AW$31),"",ReferenceData!$AW$31),"")</f>
        <v>1.421</v>
      </c>
      <c r="AX31">
        <f ca="1">IFERROR(IF(0=LEN(ReferenceData!$AX$31),"",ReferenceData!$AX$31),"")</f>
        <v>1.242</v>
      </c>
      <c r="AY31">
        <f ca="1">IFERROR(IF(0=LEN(ReferenceData!$AY$31),"",ReferenceData!$AY$31),"")</f>
        <v>1.7885</v>
      </c>
      <c r="AZ31">
        <f ca="1">IFERROR(IF(0=LEN(ReferenceData!$AZ$31),"",ReferenceData!$AZ$31),"")</f>
        <v>1.5469999999999999</v>
      </c>
      <c r="BA31">
        <f ca="1">IFERROR(IF(0=LEN(ReferenceData!$BA$31),"",ReferenceData!$BA$31),"")</f>
        <v>1.1125</v>
      </c>
      <c r="BB31">
        <f ca="1">IFERROR(IF(0=LEN(ReferenceData!$BB$31),"",ReferenceData!$BB$31),"")</f>
        <v>1.0155000000000001</v>
      </c>
      <c r="BC31">
        <f ca="1">IFERROR(IF(0=LEN(ReferenceData!$BC$31),"",ReferenceData!$BC$31),"")</f>
        <v>1.486</v>
      </c>
      <c r="BD31">
        <f ca="1">IFERROR(IF(0=LEN(ReferenceData!$BD$31),"",ReferenceData!$BD$31),"")</f>
        <v>1.3405</v>
      </c>
      <c r="BE31">
        <f ca="1">IFERROR(IF(0=LEN(ReferenceData!$BE$31),"",ReferenceData!$BE$31),"")</f>
        <v>0.93100000000000005</v>
      </c>
      <c r="BF31">
        <f ca="1">IFERROR(IF(0=LEN(ReferenceData!$BF$31),"",ReferenceData!$BF$31),"")</f>
        <v>0.41300000000000003</v>
      </c>
      <c r="BG31">
        <f ca="1">IFERROR(IF(0=LEN(ReferenceData!$BG$31),"",ReferenceData!$BG$31),"")</f>
        <v>0.14199999999999999</v>
      </c>
      <c r="BH31">
        <f ca="1">IFERROR(IF(0=LEN(ReferenceData!$BH$31),"",ReferenceData!$BH$31),"")</f>
        <v>1.151</v>
      </c>
      <c r="BI31">
        <f ca="1">IFERROR(IF(0=LEN(ReferenceData!$BI$31),"",ReferenceData!$BI$31),"")</f>
        <v>0.278500003</v>
      </c>
      <c r="BJ31">
        <f ca="1">IFERROR(IF(0=LEN(ReferenceData!$BJ$31),"",ReferenceData!$BJ$31),"")</f>
        <v>1.1089999665000001</v>
      </c>
      <c r="BK31">
        <f ca="1">IFERROR(IF(0=LEN(ReferenceData!$BK$31),"",ReferenceData!$BK$31),"")</f>
        <v>0.279499993</v>
      </c>
      <c r="BL31">
        <f ca="1">IFERROR(IF(0=LEN(ReferenceData!$BL$31),"",ReferenceData!$BL$31),"")</f>
        <v>0.23400000000000001</v>
      </c>
      <c r="BM31">
        <f ca="1">IFERROR(IF(0=LEN(ReferenceData!$BM$31),"",ReferenceData!$BM$31),"")</f>
        <v>0.26600000000000001</v>
      </c>
    </row>
    <row r="32" spans="1:65">
      <c r="A32" t="str">
        <f>IFERROR(IF(0=LEN(ReferenceData!$A$32),"",ReferenceData!$A$32),"")</f>
        <v xml:space="preserve">    American Campus Communities In</v>
      </c>
      <c r="B32" t="str">
        <f>IFERROR(IF(0=LEN(ReferenceData!$B$32),"",ReferenceData!$B$32),"")</f>
        <v>ACC US Equity</v>
      </c>
      <c r="C32" t="str">
        <f>IFERROR(IF(0=LEN(ReferenceData!$C$32),"",ReferenceData!$C$32),"")</f>
        <v>IS019</v>
      </c>
      <c r="D32" t="str">
        <f>IFERROR(IF(0=LEN(ReferenceData!$D$32),"",ReferenceData!$D$32),"")</f>
        <v>IS_COMM_AND_FEE_EARN_INC_REO</v>
      </c>
      <c r="E32" t="str">
        <f>IFERROR(IF(0=LEN(ReferenceData!$E$32),"",ReferenceData!$E$32),"")</f>
        <v>动态</v>
      </c>
      <c r="F32" t="str">
        <f ca="1">IFERROR(IF(0=LEN(ReferenceData!$F$32),"",ReferenceData!$F$32),"")</f>
        <v/>
      </c>
      <c r="G32">
        <f ca="1">IFERROR(IF(0=LEN(ReferenceData!$G$32),"",ReferenceData!$G$32),"")</f>
        <v>6.0640000000000001</v>
      </c>
      <c r="H32">
        <f ca="1">IFERROR(IF(0=LEN(ReferenceData!$H$32),"",ReferenceData!$H$32),"")</f>
        <v>2.2909999999999999</v>
      </c>
      <c r="I32">
        <f ca="1">IFERROR(IF(0=LEN(ReferenceData!$I$32),"",ReferenceData!$I$32),"")</f>
        <v>2.2879999999999998</v>
      </c>
      <c r="J32">
        <f ca="1">IFERROR(IF(0=LEN(ReferenceData!$J$32),"",ReferenceData!$J$32),"")</f>
        <v>2.6139999999999999</v>
      </c>
      <c r="K32">
        <f ca="1">IFERROR(IF(0=LEN(ReferenceData!$K$32),"",ReferenceData!$K$32),"")</f>
        <v>2.6850000000000001</v>
      </c>
      <c r="L32">
        <f ca="1">IFERROR(IF(0=LEN(ReferenceData!$L$32),"",ReferenceData!$L$32),"")</f>
        <v>2.3759999999999999</v>
      </c>
      <c r="M32">
        <f ca="1">IFERROR(IF(0=LEN(ReferenceData!$M$32),"",ReferenceData!$M$32),"")</f>
        <v>2.2530000000000001</v>
      </c>
      <c r="N32">
        <f ca="1">IFERROR(IF(0=LEN(ReferenceData!$N$32),"",ReferenceData!$N$32),"")</f>
        <v>2.41</v>
      </c>
      <c r="O32">
        <f ca="1">IFERROR(IF(0=LEN(ReferenceData!$O$32),"",ReferenceData!$O$32),"")</f>
        <v>2.2269999999999999</v>
      </c>
      <c r="P32">
        <f ca="1">IFERROR(IF(0=LEN(ReferenceData!$P$32),"",ReferenceData!$P$32),"")</f>
        <v>2.2610000000000001</v>
      </c>
      <c r="Q32">
        <f ca="1">IFERROR(IF(0=LEN(ReferenceData!$Q$32),"",ReferenceData!$Q$32),"")</f>
        <v>2.3239999999999998</v>
      </c>
      <c r="R32">
        <f ca="1">IFERROR(IF(0=LEN(ReferenceData!$R$32),"",ReferenceData!$R$32),"")</f>
        <v>2.0009999999999999</v>
      </c>
      <c r="S32">
        <f ca="1">IFERROR(IF(0=LEN(ReferenceData!$S$32),"",ReferenceData!$S$32),"")</f>
        <v>1.9179999999999999</v>
      </c>
      <c r="T32">
        <f ca="1">IFERROR(IF(0=LEN(ReferenceData!$T$32),"",ReferenceData!$T$32),"")</f>
        <v>1.7689999999999999</v>
      </c>
      <c r="U32">
        <f ca="1">IFERROR(IF(0=LEN(ReferenceData!$U$32),"",ReferenceData!$U$32),"")</f>
        <v>1.9970000000000001</v>
      </c>
      <c r="V32">
        <f ca="1">IFERROR(IF(0=LEN(ReferenceData!$V$32),"",ReferenceData!$V$32),"")</f>
        <v>1.9850000000000001</v>
      </c>
      <c r="W32">
        <f ca="1">IFERROR(IF(0=LEN(ReferenceData!$W$32),"",ReferenceData!$W$32),"")</f>
        <v>2.089</v>
      </c>
      <c r="X32">
        <f ca="1">IFERROR(IF(0=LEN(ReferenceData!$X$32),"",ReferenceData!$X$32),"")</f>
        <v>1.792</v>
      </c>
      <c r="Y32">
        <f ca="1">IFERROR(IF(0=LEN(ReferenceData!$Y$32),"",ReferenceData!$Y$32),"")</f>
        <v>1.9239999999999999</v>
      </c>
      <c r="Z32">
        <f ca="1">IFERROR(IF(0=LEN(ReferenceData!$Z$32),"",ReferenceData!$Z$32),"")</f>
        <v>1.7090000000000001</v>
      </c>
      <c r="AA32">
        <f ca="1">IFERROR(IF(0=LEN(ReferenceData!$AA$32),"",ReferenceData!$AA$32),"")</f>
        <v>1.81</v>
      </c>
      <c r="AB32">
        <f ca="1">IFERROR(IF(0=LEN(ReferenceData!$AB$32),"",ReferenceData!$AB$32),"")</f>
        <v>1.6870000000000001</v>
      </c>
      <c r="AC32">
        <f ca="1">IFERROR(IF(0=LEN(ReferenceData!$AC$32),"",ReferenceData!$AC$32),"")</f>
        <v>1.6379999999999999</v>
      </c>
      <c r="AD32">
        <f ca="1">IFERROR(IF(0=LEN(ReferenceData!$AD$32),"",ReferenceData!$AD$32),"")</f>
        <v>1.758</v>
      </c>
      <c r="AE32">
        <f ca="1">IFERROR(IF(0=LEN(ReferenceData!$AE$32),"",ReferenceData!$AE$32),"")</f>
        <v>1.827</v>
      </c>
      <c r="AF32">
        <f ca="1">IFERROR(IF(0=LEN(ReferenceData!$AF$32),"",ReferenceData!$AF$32),"")</f>
        <v>1.794</v>
      </c>
      <c r="AG32">
        <f ca="1">IFERROR(IF(0=LEN(ReferenceData!$AG$32),"",ReferenceData!$AG$32),"")</f>
        <v>1.8029999999999999</v>
      </c>
      <c r="AH32">
        <f ca="1">IFERROR(IF(0=LEN(ReferenceData!$AH$32),"",ReferenceData!$AH$32),"")</f>
        <v>1.83</v>
      </c>
      <c r="AI32">
        <f ca="1">IFERROR(IF(0=LEN(ReferenceData!$AI$32),"",ReferenceData!$AI$32),"")</f>
        <v>2.0609999999999999</v>
      </c>
      <c r="AJ32">
        <f ca="1">IFERROR(IF(0=LEN(ReferenceData!$AJ$32),"",ReferenceData!$AJ$32),"")</f>
        <v>2.274</v>
      </c>
      <c r="AK32">
        <f ca="1">IFERROR(IF(0=LEN(ReferenceData!$AK$32),"",ReferenceData!$AK$32),"")</f>
        <v>2.121</v>
      </c>
      <c r="AL32">
        <f ca="1">IFERROR(IF(0=LEN(ReferenceData!$AL$32),"",ReferenceData!$AL$32),"")</f>
        <v>2.214</v>
      </c>
      <c r="AM32">
        <f ca="1">IFERROR(IF(0=LEN(ReferenceData!$AM$32),"",ReferenceData!$AM$32),"")</f>
        <v>1.3169999999999999</v>
      </c>
      <c r="AN32">
        <f ca="1">IFERROR(IF(0=LEN(ReferenceData!$AN$32),"",ReferenceData!$AN$32),"")</f>
        <v>1.76</v>
      </c>
      <c r="AO32">
        <f ca="1">IFERROR(IF(0=LEN(ReferenceData!$AO$32),"",ReferenceData!$AO$32),"")</f>
        <v>0.88600000000000001</v>
      </c>
      <c r="AP32">
        <f ca="1">IFERROR(IF(0=LEN(ReferenceData!$AP$32),"",ReferenceData!$AP$32),"")</f>
        <v>2.242</v>
      </c>
      <c r="AQ32">
        <f ca="1">IFERROR(IF(0=LEN(ReferenceData!$AQ$32),"",ReferenceData!$AQ$32),"")</f>
        <v>2.3929999999999998</v>
      </c>
      <c r="AR32">
        <f ca="1">IFERROR(IF(0=LEN(ReferenceData!$AR$32),"",ReferenceData!$AR$32),"")</f>
        <v>2.0409999999999999</v>
      </c>
      <c r="AS32">
        <f ca="1">IFERROR(IF(0=LEN(ReferenceData!$AS$32),"",ReferenceData!$AS$32),"")</f>
        <v>1.222</v>
      </c>
      <c r="AT32">
        <f ca="1">IFERROR(IF(0=LEN(ReferenceData!$AT$32),"",ReferenceData!$AT$32),"")</f>
        <v>0.92200000000000004</v>
      </c>
      <c r="AU32">
        <f ca="1">IFERROR(IF(0=LEN(ReferenceData!$AU$32),"",ReferenceData!$AU$32),"")</f>
        <v>0.82199999999999995</v>
      </c>
      <c r="AV32">
        <f ca="1">IFERROR(IF(0=LEN(ReferenceData!$AV$32),"",ReferenceData!$AV$32),"")</f>
        <v>0.627</v>
      </c>
      <c r="AW32">
        <f ca="1">IFERROR(IF(0=LEN(ReferenceData!$AW$32),"",ReferenceData!$AW$32),"")</f>
        <v>0.65</v>
      </c>
      <c r="AX32">
        <f ca="1">IFERROR(IF(0=LEN(ReferenceData!$AX$32),"",ReferenceData!$AX$32),"")</f>
        <v>0.72199999999999998</v>
      </c>
      <c r="AY32">
        <f ca="1">IFERROR(IF(0=LEN(ReferenceData!$AY$32),"",ReferenceData!$AY$32),"")</f>
        <v>0.68799999999999994</v>
      </c>
      <c r="AZ32">
        <f ca="1">IFERROR(IF(0=LEN(ReferenceData!$AZ$32),"",ReferenceData!$AZ$32),"")</f>
        <v>0</v>
      </c>
      <c r="BA32">
        <f ca="1">IFERROR(IF(0=LEN(ReferenceData!$BA$32),"",ReferenceData!$BA$32),"")</f>
        <v>0.69099999999999995</v>
      </c>
      <c r="BB32">
        <f ca="1">IFERROR(IF(0=LEN(ReferenceData!$BB$32),"",ReferenceData!$BB$32),"")</f>
        <v>0.66200000000000003</v>
      </c>
      <c r="BC32">
        <f ca="1">IFERROR(IF(0=LEN(ReferenceData!$BC$32),"",ReferenceData!$BC$32),"")</f>
        <v>2.2240000000000002</v>
      </c>
      <c r="BD32">
        <f ca="1">IFERROR(IF(0=LEN(ReferenceData!$BD$32),"",ReferenceData!$BD$32),"")</f>
        <v>0</v>
      </c>
      <c r="BE32">
        <f ca="1">IFERROR(IF(0=LEN(ReferenceData!$BE$32),"",ReferenceData!$BE$32),"")</f>
        <v>0.56200000000000006</v>
      </c>
      <c r="BF32">
        <f ca="1">IFERROR(IF(0=LEN(ReferenceData!$BF$32),"",ReferenceData!$BF$32),"")</f>
        <v>0</v>
      </c>
      <c r="BG32">
        <f ca="1">IFERROR(IF(0=LEN(ReferenceData!$BG$32),"",ReferenceData!$BG$32),"")</f>
        <v>0.79800000000000004</v>
      </c>
      <c r="BH32">
        <f ca="1">IFERROR(IF(0=LEN(ReferenceData!$BH$32),"",ReferenceData!$BH$32),"")</f>
        <v>0.34</v>
      </c>
      <c r="BI32">
        <f ca="1">IFERROR(IF(0=LEN(ReferenceData!$BI$32),"",ReferenceData!$BI$32),"")</f>
        <v>0.40000000600000002</v>
      </c>
      <c r="BJ32">
        <f ca="1">IFERROR(IF(0=LEN(ReferenceData!$BJ$32),"",ReferenceData!$BJ$32),"")</f>
        <v>2.0699999330000001</v>
      </c>
      <c r="BK32">
        <f ca="1">IFERROR(IF(0=LEN(ReferenceData!$BK$32),"",ReferenceData!$BK$32),"")</f>
        <v>0.370999992</v>
      </c>
      <c r="BL32" t="str">
        <f ca="1">IFERROR(IF(0=LEN(ReferenceData!$BL$32),"",ReferenceData!$BL$32),"")</f>
        <v/>
      </c>
      <c r="BM32" t="str">
        <f ca="1">IFERROR(IF(0=LEN(ReferenceData!$BM$32),"",ReferenceData!$BM$32),"")</f>
        <v/>
      </c>
    </row>
    <row r="33" spans="1:65">
      <c r="A33" t="str">
        <f>IFERROR(IF(0=LEN(ReferenceData!$A$33),"",ReferenceData!$A$33),"")</f>
        <v xml:space="preserve">    AvalonBay Communities Inc</v>
      </c>
      <c r="B33" t="str">
        <f>IFERROR(IF(0=LEN(ReferenceData!$B$33),"",ReferenceData!$B$33),"")</f>
        <v>AVB US Equity</v>
      </c>
      <c r="C33" t="str">
        <f>IFERROR(IF(0=LEN(ReferenceData!$C$33),"",ReferenceData!$C$33),"")</f>
        <v>IS019</v>
      </c>
      <c r="D33" t="str">
        <f>IFERROR(IF(0=LEN(ReferenceData!$D$33),"",ReferenceData!$D$33),"")</f>
        <v>IS_COMM_AND_FEE_EARN_INC_REO</v>
      </c>
      <c r="E33" t="str">
        <f>IFERROR(IF(0=LEN(ReferenceData!$E$33),"",ReferenceData!$E$33),"")</f>
        <v>动态</v>
      </c>
      <c r="F33" t="str">
        <f ca="1">IFERROR(IF(0=LEN(ReferenceData!$F$33),"",ReferenceData!$F$33),"")</f>
        <v/>
      </c>
      <c r="G33">
        <f ca="1">IFERROR(IF(0=LEN(ReferenceData!$G$33),"",ReferenceData!$G$33),"")</f>
        <v>0.85699999999999998</v>
      </c>
      <c r="H33">
        <f ca="1">IFERROR(IF(0=LEN(ReferenceData!$H$33),"",ReferenceData!$H$33),"")</f>
        <v>0.99299999999999999</v>
      </c>
      <c r="I33">
        <f ca="1">IFERROR(IF(0=LEN(ReferenceData!$I$33),"",ReferenceData!$I$33),"")</f>
        <v>1.0980000000000001</v>
      </c>
      <c r="J33">
        <f ca="1">IFERROR(IF(0=LEN(ReferenceData!$J$33),"",ReferenceData!$J$33),"")</f>
        <v>1.2</v>
      </c>
      <c r="K33">
        <f ca="1">IFERROR(IF(0=LEN(ReferenceData!$K$33),"",ReferenceData!$K$33),"")</f>
        <v>1.288</v>
      </c>
      <c r="L33">
        <f ca="1">IFERROR(IF(0=LEN(ReferenceData!$L$33),"",ReferenceData!$L$33),"")</f>
        <v>1.32</v>
      </c>
      <c r="M33">
        <f ca="1">IFERROR(IF(0=LEN(ReferenceData!$M$33),"",ReferenceData!$M$33),"")</f>
        <v>1.4670000000000001</v>
      </c>
      <c r="N33">
        <f ca="1">IFERROR(IF(0=LEN(ReferenceData!$N$33),"",ReferenceData!$N$33),"")</f>
        <v>1.524</v>
      </c>
      <c r="O33">
        <f ca="1">IFERROR(IF(0=LEN(ReferenceData!$O$33),"",ReferenceData!$O$33),"")</f>
        <v>2.2330000000000001</v>
      </c>
      <c r="P33">
        <f ca="1">IFERROR(IF(0=LEN(ReferenceData!$P$33),"",ReferenceData!$P$33),"")</f>
        <v>2.161</v>
      </c>
      <c r="Q33">
        <f ca="1">IFERROR(IF(0=LEN(ReferenceData!$Q$33),"",ReferenceData!$Q$33),"")</f>
        <v>2.9420000000000002</v>
      </c>
      <c r="R33">
        <f ca="1">IFERROR(IF(0=LEN(ReferenceData!$R$33),"",ReferenceData!$R$33),"")</f>
        <v>2.6110000000000002</v>
      </c>
      <c r="S33">
        <f ca="1">IFERROR(IF(0=LEN(ReferenceData!$S$33),"",ReferenceData!$S$33),"")</f>
        <v>2.7970000000000002</v>
      </c>
      <c r="T33">
        <f ca="1">IFERROR(IF(0=LEN(ReferenceData!$T$33),"",ReferenceData!$T$33),"")</f>
        <v>2.5030000000000001</v>
      </c>
      <c r="U33">
        <f ca="1">IFERROR(IF(0=LEN(ReferenceData!$U$33),"",ReferenceData!$U$33),"")</f>
        <v>2.6720000000000002</v>
      </c>
      <c r="V33">
        <f ca="1">IFERROR(IF(0=LEN(ReferenceData!$V$33),"",ReferenceData!$V$33),"")</f>
        <v>3.077</v>
      </c>
      <c r="W33">
        <f ca="1">IFERROR(IF(0=LEN(ReferenceData!$W$33),"",ReferenceData!$W$33),"")</f>
        <v>3.3029999999999999</v>
      </c>
      <c r="X33">
        <f ca="1">IFERROR(IF(0=LEN(ReferenceData!$X$33),"",ReferenceData!$X$33),"")</f>
        <v>3.0139999999999998</v>
      </c>
      <c r="Y33">
        <f ca="1">IFERROR(IF(0=LEN(ReferenceData!$Y$33),"",ReferenceData!$Y$33),"")</f>
        <v>2.9129999999999998</v>
      </c>
      <c r="Z33">
        <f ca="1">IFERROR(IF(0=LEN(ReferenceData!$Z$33),"",ReferenceData!$Z$33),"")</f>
        <v>2.2719999999999998</v>
      </c>
      <c r="AA33">
        <f ca="1">IFERROR(IF(0=LEN(ReferenceData!$AA$33),"",ReferenceData!$AA$33),"")</f>
        <v>2.4049999999999998</v>
      </c>
      <c r="AB33">
        <f ca="1">IFERROR(IF(0=LEN(ReferenceData!$AB$33),"",ReferenceData!$AB$33),"")</f>
        <v>2.5329999999999999</v>
      </c>
      <c r="AC33">
        <f ca="1">IFERROR(IF(0=LEN(ReferenceData!$AC$33),"",ReferenceData!$AC$33),"")</f>
        <v>2.77</v>
      </c>
      <c r="AD33">
        <f ca="1">IFERROR(IF(0=LEN(ReferenceData!$AD$33),"",ReferenceData!$AD$33),"")</f>
        <v>2.5489999999999999</v>
      </c>
      <c r="AE33">
        <f ca="1">IFERROR(IF(0=LEN(ReferenceData!$AE$33),"",ReferenceData!$AE$33),"")</f>
        <v>2.5710000000000002</v>
      </c>
      <c r="AF33">
        <f ca="1">IFERROR(IF(0=LEN(ReferenceData!$AF$33),"",ReferenceData!$AF$33),"")</f>
        <v>2.4329999999999998</v>
      </c>
      <c r="AG33">
        <f ca="1">IFERROR(IF(0=LEN(ReferenceData!$AG$33),"",ReferenceData!$AG$33),"")</f>
        <v>2.3319999999999999</v>
      </c>
      <c r="AH33">
        <f ca="1">IFERROR(IF(0=LEN(ReferenceData!$AH$33),"",ReferenceData!$AH$33),"")</f>
        <v>2.3199999999999998</v>
      </c>
      <c r="AI33">
        <f ca="1">IFERROR(IF(0=LEN(ReferenceData!$AI$33),"",ReferenceData!$AI$33),"")</f>
        <v>2.0209999999999999</v>
      </c>
      <c r="AJ33">
        <f ca="1">IFERROR(IF(0=LEN(ReferenceData!$AJ$33),"",ReferenceData!$AJ$33),"")</f>
        <v>1.8</v>
      </c>
      <c r="AK33">
        <f ca="1">IFERROR(IF(0=LEN(ReferenceData!$AK$33),"",ReferenceData!$AK$33),"")</f>
        <v>1.6839999999999999</v>
      </c>
      <c r="AL33">
        <f ca="1">IFERROR(IF(0=LEN(ReferenceData!$AL$33),"",ReferenceData!$AL$33),"")</f>
        <v>1.849</v>
      </c>
      <c r="AM33">
        <f ca="1">IFERROR(IF(0=LEN(ReferenceData!$AM$33),"",ReferenceData!$AM$33),"")</f>
        <v>1.9039999999999999</v>
      </c>
      <c r="AN33">
        <f ca="1">IFERROR(IF(0=LEN(ReferenceData!$AN$33),"",ReferenceData!$AN$33),"")</f>
        <v>1.8779999999999999</v>
      </c>
      <c r="AO33">
        <f ca="1">IFERROR(IF(0=LEN(ReferenceData!$AO$33),"",ReferenceData!$AO$33),"")</f>
        <v>2.077</v>
      </c>
      <c r="AP33">
        <f ca="1">IFERROR(IF(0=LEN(ReferenceData!$AP$33),"",ReferenceData!$AP$33),"")</f>
        <v>1.468</v>
      </c>
      <c r="AQ33">
        <f ca="1">IFERROR(IF(0=LEN(ReferenceData!$AQ$33),"",ReferenceData!$AQ$33),"")</f>
        <v>1.7629999999999999</v>
      </c>
      <c r="AR33">
        <f ca="1">IFERROR(IF(0=LEN(ReferenceData!$AR$33),"",ReferenceData!$AR$33),"")</f>
        <v>1.6220000000000001</v>
      </c>
      <c r="AS33">
        <f ca="1">IFERROR(IF(0=LEN(ReferenceData!$AS$33),"",ReferenceData!$AS$33),"")</f>
        <v>1.579</v>
      </c>
      <c r="AT33">
        <f ca="1">IFERROR(IF(0=LEN(ReferenceData!$AT$33),"",ReferenceData!$AT$33),"")</f>
        <v>1.6379999999999999</v>
      </c>
      <c r="AU33">
        <f ca="1">IFERROR(IF(0=LEN(ReferenceData!$AU$33),"",ReferenceData!$AU$33),"")</f>
        <v>1.72</v>
      </c>
      <c r="AV33">
        <f ca="1">IFERROR(IF(0=LEN(ReferenceData!$AV$33),"",ReferenceData!$AV$33),"")</f>
        <v>1.49</v>
      </c>
      <c r="AW33">
        <f ca="1">IFERROR(IF(0=LEN(ReferenceData!$AW$33),"",ReferenceData!$AW$33),"")</f>
        <v>1.488</v>
      </c>
      <c r="AX33">
        <f ca="1">IFERROR(IF(0=LEN(ReferenceData!$AX$33),"",ReferenceData!$AX$33),"")</f>
        <v>1.444</v>
      </c>
      <c r="AY33">
        <f ca="1">IFERROR(IF(0=LEN(ReferenceData!$AY$33),"",ReferenceData!$AY$33),"")</f>
        <v>2.073</v>
      </c>
      <c r="AZ33">
        <f ca="1">IFERROR(IF(0=LEN(ReferenceData!$AZ$33),"",ReferenceData!$AZ$33),"")</f>
        <v>1.585</v>
      </c>
      <c r="BA33">
        <f ca="1">IFERROR(IF(0=LEN(ReferenceData!$BA$33),"",ReferenceData!$BA$33),"")</f>
        <v>1.395</v>
      </c>
      <c r="BB33">
        <f ca="1">IFERROR(IF(0=LEN(ReferenceData!$BB$33),"",ReferenceData!$BB$33),"")</f>
        <v>1.2070000000000001</v>
      </c>
      <c r="BC33">
        <f ca="1">IFERROR(IF(0=LEN(ReferenceData!$BC$33),"",ReferenceData!$BC$33),"")</f>
        <v>1.129</v>
      </c>
      <c r="BD33">
        <f ca="1">IFERROR(IF(0=LEN(ReferenceData!$BD$33),"",ReferenceData!$BD$33),"")</f>
        <v>1.379</v>
      </c>
      <c r="BE33">
        <f ca="1">IFERROR(IF(0=LEN(ReferenceData!$BE$33),"",ReferenceData!$BE$33),"")</f>
        <v>1.363</v>
      </c>
      <c r="BF33">
        <f ca="1">IFERROR(IF(0=LEN(ReferenceData!$BF$33),"",ReferenceData!$BF$33),"")</f>
        <v>0.434</v>
      </c>
      <c r="BG33">
        <f ca="1">IFERROR(IF(0=LEN(ReferenceData!$BG$33),"",ReferenceData!$BG$33),"")</f>
        <v>0.14199999999999999</v>
      </c>
      <c r="BH33">
        <f ca="1">IFERROR(IF(0=LEN(ReferenceData!$BH$33),"",ReferenceData!$BH$33),"")</f>
        <v>0.157</v>
      </c>
      <c r="BI33">
        <f ca="1">IFERROR(IF(0=LEN(ReferenceData!$BI$33),"",ReferenceData!$BI$33),"")</f>
        <v>0.157</v>
      </c>
      <c r="BJ33">
        <f ca="1">IFERROR(IF(0=LEN(ReferenceData!$BJ$33),"",ReferenceData!$BJ$33),"")</f>
        <v>0.14799999999999999</v>
      </c>
      <c r="BK33">
        <f ca="1">IFERROR(IF(0=LEN(ReferenceData!$BK$33),"",ReferenceData!$BK$33),"")</f>
        <v>0.187999994</v>
      </c>
      <c r="BL33">
        <f ca="1">IFERROR(IF(0=LEN(ReferenceData!$BL$33),"",ReferenceData!$BL$33),"")</f>
        <v>0.23400000000000001</v>
      </c>
      <c r="BM33">
        <f ca="1">IFERROR(IF(0=LEN(ReferenceData!$BM$33),"",ReferenceData!$BM$33),"")</f>
        <v>0.247</v>
      </c>
    </row>
    <row r="34" spans="1:65">
      <c r="A34" t="str">
        <f>IFERROR(IF(0=LEN(ReferenceData!$A$34),"",ReferenceData!$A$34),"")</f>
        <v xml:space="preserve">    Camden Property Trust</v>
      </c>
      <c r="B34" t="str">
        <f>IFERROR(IF(0=LEN(ReferenceData!$B$34),"",ReferenceData!$B$34),"")</f>
        <v>CPT US Equity</v>
      </c>
      <c r="C34" t="str">
        <f>IFERROR(IF(0=LEN(ReferenceData!$C$34),"",ReferenceData!$C$34),"")</f>
        <v>IS019</v>
      </c>
      <c r="D34" t="str">
        <f>IFERROR(IF(0=LEN(ReferenceData!$D$34),"",ReferenceData!$D$34),"")</f>
        <v>IS_COMM_AND_FEE_EARN_INC_REO</v>
      </c>
      <c r="E34" t="str">
        <f>IFERROR(IF(0=LEN(ReferenceData!$E$34),"",ReferenceData!$E$34),"")</f>
        <v>动态</v>
      </c>
      <c r="F34" t="str">
        <f ca="1">IFERROR(IF(0=LEN(ReferenceData!$F$34),"",ReferenceData!$F$34),"")</f>
        <v/>
      </c>
      <c r="G34">
        <f ca="1">IFERROR(IF(0=LEN(ReferenceData!$G$34),"",ReferenceData!$G$34),"")</f>
        <v>2.37</v>
      </c>
      <c r="H34">
        <f ca="1">IFERROR(IF(0=LEN(ReferenceData!$H$34),"",ReferenceData!$H$34),"")</f>
        <v>2.1160000000000001</v>
      </c>
      <c r="I34">
        <f ca="1">IFERROR(IF(0=LEN(ReferenceData!$I$34),"",ReferenceData!$I$34),"")</f>
        <v>1.9419999999999999</v>
      </c>
      <c r="J34">
        <f ca="1">IFERROR(IF(0=LEN(ReferenceData!$J$34),"",ReferenceData!$J$34),"")</f>
        <v>1.748</v>
      </c>
      <c r="K34">
        <f ca="1">IFERROR(IF(0=LEN(ReferenceData!$K$34),"",ReferenceData!$K$34),"")</f>
        <v>1.641</v>
      </c>
      <c r="L34">
        <f ca="1">IFERROR(IF(0=LEN(ReferenceData!$L$34),"",ReferenceData!$L$34),"")</f>
        <v>1.667</v>
      </c>
      <c r="M34">
        <f ca="1">IFERROR(IF(0=LEN(ReferenceData!$M$34),"",ReferenceData!$M$34),"")</f>
        <v>1.7909999999999999</v>
      </c>
      <c r="N34">
        <f ca="1">IFERROR(IF(0=LEN(ReferenceData!$N$34),"",ReferenceData!$N$34),"")</f>
        <v>1.7649999999999999</v>
      </c>
      <c r="O34">
        <f ca="1">IFERROR(IF(0=LEN(ReferenceData!$O$34),"",ReferenceData!$O$34),"")</f>
        <v>1.9159999999999999</v>
      </c>
      <c r="P34">
        <f ca="1">IFERROR(IF(0=LEN(ReferenceData!$P$34),"",ReferenceData!$P$34),"")</f>
        <v>1.9019999999999999</v>
      </c>
      <c r="Q34">
        <f ca="1">IFERROR(IF(0=LEN(ReferenceData!$Q$34),"",ReferenceData!$Q$34),"")</f>
        <v>1.6180000000000001</v>
      </c>
      <c r="R34">
        <f ca="1">IFERROR(IF(0=LEN(ReferenceData!$R$34),"",ReferenceData!$R$34),"")</f>
        <v>1.5629999999999999</v>
      </c>
      <c r="S34">
        <f ca="1">IFERROR(IF(0=LEN(ReferenceData!$S$34),"",ReferenceData!$S$34),"")</f>
        <v>2.5310000000000001</v>
      </c>
      <c r="T34">
        <f ca="1">IFERROR(IF(0=LEN(ReferenceData!$T$34),"",ReferenceData!$T$34),"")</f>
        <v>2.1309999999999998</v>
      </c>
      <c r="U34">
        <f ca="1">IFERROR(IF(0=LEN(ReferenceData!$U$34),"",ReferenceData!$U$34),"")</f>
        <v>2.1469999999999998</v>
      </c>
      <c r="V34">
        <f ca="1">IFERROR(IF(0=LEN(ReferenceData!$V$34),"",ReferenceData!$V$34),"")</f>
        <v>3.0230000000000001</v>
      </c>
      <c r="W34">
        <f ca="1">IFERROR(IF(0=LEN(ReferenceData!$W$34),"",ReferenceData!$W$34),"")</f>
        <v>2.8730000000000002</v>
      </c>
      <c r="X34">
        <f ca="1">IFERROR(IF(0=LEN(ReferenceData!$X$34),"",ReferenceData!$X$34),"")</f>
        <v>3.0960000000000001</v>
      </c>
      <c r="Y34">
        <f ca="1">IFERROR(IF(0=LEN(ReferenceData!$Y$34),"",ReferenceData!$Y$34),"")</f>
        <v>2.827</v>
      </c>
      <c r="Z34">
        <f ca="1">IFERROR(IF(0=LEN(ReferenceData!$Z$34),"",ReferenceData!$Z$34),"")</f>
        <v>2.8940000000000001</v>
      </c>
      <c r="AA34">
        <f ca="1">IFERROR(IF(0=LEN(ReferenceData!$AA$34),"",ReferenceData!$AA$34),"")</f>
        <v>2.7730000000000001</v>
      </c>
      <c r="AB34">
        <f ca="1">IFERROR(IF(0=LEN(ReferenceData!$AB$34),"",ReferenceData!$AB$34),"")</f>
        <v>3.0409999999999999</v>
      </c>
      <c r="AC34">
        <f ca="1">IFERROR(IF(0=LEN(ReferenceData!$AC$34),"",ReferenceData!$AC$34),"")</f>
        <v>3.6080000000000001</v>
      </c>
      <c r="AD34">
        <f ca="1">IFERROR(IF(0=LEN(ReferenceData!$AD$34),"",ReferenceData!$AD$34),"")</f>
        <v>2.923</v>
      </c>
      <c r="AE34">
        <f ca="1">IFERROR(IF(0=LEN(ReferenceData!$AE$34),"",ReferenceData!$AE$34),"")</f>
        <v>3.0179999999999998</v>
      </c>
      <c r="AF34">
        <f ca="1">IFERROR(IF(0=LEN(ReferenceData!$AF$34),"",ReferenceData!$AF$34),"")</f>
        <v>2.6459999999999999</v>
      </c>
      <c r="AG34">
        <f ca="1">IFERROR(IF(0=LEN(ReferenceData!$AG$34),"",ReferenceData!$AG$34),"")</f>
        <v>2.4710000000000001</v>
      </c>
      <c r="AH34">
        <f ca="1">IFERROR(IF(0=LEN(ReferenceData!$AH$34),"",ReferenceData!$AH$34),"")</f>
        <v>1.8380000000000001</v>
      </c>
      <c r="AI34">
        <f ca="1">IFERROR(IF(0=LEN(ReferenceData!$AI$34),"",ReferenceData!$AI$34),"")</f>
        <v>2.1440000000000001</v>
      </c>
      <c r="AJ34">
        <f ca="1">IFERROR(IF(0=LEN(ReferenceData!$AJ$34),"",ReferenceData!$AJ$34),"")</f>
        <v>2.145</v>
      </c>
      <c r="AK34">
        <f ca="1">IFERROR(IF(0=LEN(ReferenceData!$AK$34),"",ReferenceData!$AK$34),"")</f>
        <v>2.0449999999999999</v>
      </c>
      <c r="AL34">
        <f ca="1">IFERROR(IF(0=LEN(ReferenceData!$AL$34),"",ReferenceData!$AL$34),"")</f>
        <v>1.8380000000000001</v>
      </c>
      <c r="AM34">
        <f ca="1">IFERROR(IF(0=LEN(ReferenceData!$AM$34),"",ReferenceData!$AM$34),"")</f>
        <v>1.915</v>
      </c>
      <c r="AN34">
        <f ca="1">IFERROR(IF(0=LEN(ReferenceData!$AN$34),"",ReferenceData!$AN$34),"")</f>
        <v>1.8180000000000001</v>
      </c>
      <c r="AO34">
        <f ca="1">IFERROR(IF(0=LEN(ReferenceData!$AO$34),"",ReferenceData!$AO$34),"")</f>
        <v>2.2440000000000002</v>
      </c>
      <c r="AP34">
        <f ca="1">IFERROR(IF(0=LEN(ReferenceData!$AP$34),"",ReferenceData!$AP$34),"")</f>
        <v>2.0310000000000001</v>
      </c>
      <c r="AQ34">
        <f ca="1">IFERROR(IF(0=LEN(ReferenceData!$AQ$34),"",ReferenceData!$AQ$34),"")</f>
        <v>2.274</v>
      </c>
      <c r="AR34">
        <f ca="1">IFERROR(IF(0=LEN(ReferenceData!$AR$34),"",ReferenceData!$AR$34),"")</f>
        <v>2.35</v>
      </c>
      <c r="AS34">
        <f ca="1">IFERROR(IF(0=LEN(ReferenceData!$AS$34),"",ReferenceData!$AS$34),"")</f>
        <v>2.1309999999999998</v>
      </c>
      <c r="AT34">
        <f ca="1">IFERROR(IF(0=LEN(ReferenceData!$AT$34),"",ReferenceData!$AT$34),"")</f>
        <v>2.4119999999999999</v>
      </c>
      <c r="AU34">
        <f ca="1">IFERROR(IF(0=LEN(ReferenceData!$AU$34),"",ReferenceData!$AU$34),"")</f>
        <v>1.722</v>
      </c>
      <c r="AV34">
        <f ca="1">IFERROR(IF(0=LEN(ReferenceData!$AV$34),"",ReferenceData!$AV$34),"")</f>
        <v>1.7649999999999999</v>
      </c>
      <c r="AW34">
        <f ca="1">IFERROR(IF(0=LEN(ReferenceData!$AW$34),"",ReferenceData!$AW$34),"")</f>
        <v>2.42</v>
      </c>
      <c r="AX34">
        <f ca="1">IFERROR(IF(0=LEN(ReferenceData!$AX$34),"",ReferenceData!$AX$34),"")</f>
        <v>2.3860000000000001</v>
      </c>
      <c r="AY34">
        <f ca="1">IFERROR(IF(0=LEN(ReferenceData!$AY$34),"",ReferenceData!$AY$34),"")</f>
        <v>3.0110000000000001</v>
      </c>
      <c r="AZ34">
        <f ca="1">IFERROR(IF(0=LEN(ReferenceData!$AZ$34),"",ReferenceData!$AZ$34),"")</f>
        <v>5.4329999999999998</v>
      </c>
      <c r="BA34">
        <f ca="1">IFERROR(IF(0=LEN(ReferenceData!$BA$34),"",ReferenceData!$BA$34),"")</f>
        <v>3.12</v>
      </c>
      <c r="BB34">
        <f ca="1">IFERROR(IF(0=LEN(ReferenceData!$BB$34),"",ReferenceData!$BB$34),"")</f>
        <v>2.4769999999999999</v>
      </c>
      <c r="BC34">
        <f ca="1">IFERROR(IF(0=LEN(ReferenceData!$BC$34),"",ReferenceData!$BC$34),"")</f>
        <v>1.9830000000000001</v>
      </c>
      <c r="BD34">
        <f ca="1">IFERROR(IF(0=LEN(ReferenceData!$BD$34),"",ReferenceData!$BD$34),"")</f>
        <v>1.7889999999999999</v>
      </c>
      <c r="BE34">
        <f ca="1">IFERROR(IF(0=LEN(ReferenceData!$BE$34),"",ReferenceData!$BE$34),"")</f>
        <v>1.8340000000000001</v>
      </c>
      <c r="BF34">
        <f ca="1">IFERROR(IF(0=LEN(ReferenceData!$BF$34),"",ReferenceData!$BF$34),"")</f>
        <v>7.306</v>
      </c>
      <c r="BG34">
        <f ca="1">IFERROR(IF(0=LEN(ReferenceData!$BG$34),"",ReferenceData!$BG$34),"")</f>
        <v>2.548</v>
      </c>
      <c r="BH34">
        <f ca="1">IFERROR(IF(0=LEN(ReferenceData!$BH$34),"",ReferenceData!$BH$34),"")</f>
        <v>1.962</v>
      </c>
      <c r="BI34">
        <f ca="1">IFERROR(IF(0=LEN(ReferenceData!$BI$34),"",ReferenceData!$BI$34),"")</f>
        <v>2.496</v>
      </c>
      <c r="BJ34">
        <f ca="1">IFERROR(IF(0=LEN(ReferenceData!$BJ$34),"",ReferenceData!$BJ$34),"")</f>
        <v>2.181</v>
      </c>
      <c r="BK34">
        <f ca="1">IFERROR(IF(0=LEN(ReferenceData!$BK$34),"",ReferenceData!$BK$34),"")</f>
        <v>1.873999953</v>
      </c>
      <c r="BL34">
        <f ca="1">IFERROR(IF(0=LEN(ReferenceData!$BL$34),"",ReferenceData!$BL$34),"")</f>
        <v>1.944</v>
      </c>
      <c r="BM34">
        <f ca="1">IFERROR(IF(0=LEN(ReferenceData!$BM$34),"",ReferenceData!$BM$34),"")</f>
        <v>1.6879999999999999</v>
      </c>
    </row>
    <row r="35" spans="1:65">
      <c r="A35" t="str">
        <f>IFERROR(IF(0=LEN(ReferenceData!$A$35),"",ReferenceData!$A$35),"")</f>
        <v xml:space="preserve">    Education Realty Trust Inc</v>
      </c>
      <c r="B35" t="str">
        <f>IFERROR(IF(0=LEN(ReferenceData!$B$35),"",ReferenceData!$B$35),"")</f>
        <v>EDR US Equity</v>
      </c>
      <c r="C35" t="str">
        <f>IFERROR(IF(0=LEN(ReferenceData!$C$35),"",ReferenceData!$C$35),"")</f>
        <v>IS019</v>
      </c>
      <c r="D35" t="str">
        <f>IFERROR(IF(0=LEN(ReferenceData!$D$35),"",ReferenceData!$D$35),"")</f>
        <v>IS_COMM_AND_FEE_EARN_INC_REO</v>
      </c>
      <c r="E35" t="str">
        <f>IFERROR(IF(0=LEN(ReferenceData!$E$35),"",ReferenceData!$E$35),"")</f>
        <v>动态</v>
      </c>
      <c r="F35" t="str">
        <f ca="1">IFERROR(IF(0=LEN(ReferenceData!$F$35),"",ReferenceData!$F$35),"")</f>
        <v/>
      </c>
      <c r="G35">
        <f ca="1">IFERROR(IF(0=LEN(ReferenceData!$G$35),"",ReferenceData!$G$35),"")</f>
        <v>2.165</v>
      </c>
      <c r="H35">
        <f ca="1">IFERROR(IF(0=LEN(ReferenceData!$H$35),"",ReferenceData!$H$35),"")</f>
        <v>2.08</v>
      </c>
      <c r="I35">
        <f ca="1">IFERROR(IF(0=LEN(ReferenceData!$I$35),"",ReferenceData!$I$35),"")</f>
        <v>1.9870000000000001</v>
      </c>
      <c r="J35">
        <f ca="1">IFERROR(IF(0=LEN(ReferenceData!$J$35),"",ReferenceData!$J$35),"")</f>
        <v>2.76</v>
      </c>
      <c r="K35">
        <f ca="1">IFERROR(IF(0=LEN(ReferenceData!$K$35),"",ReferenceData!$K$35),"")</f>
        <v>1.6679999999999999</v>
      </c>
      <c r="L35">
        <f ca="1">IFERROR(IF(0=LEN(ReferenceData!$L$35),"",ReferenceData!$L$35),"")</f>
        <v>1.7430000000000001</v>
      </c>
      <c r="M35">
        <f ca="1">IFERROR(IF(0=LEN(ReferenceData!$M$35),"",ReferenceData!$M$35),"")</f>
        <v>1.1639999999999999</v>
      </c>
      <c r="N35">
        <f ca="1">IFERROR(IF(0=LEN(ReferenceData!$N$35),"",ReferenceData!$N$35),"")</f>
        <v>1.377</v>
      </c>
      <c r="O35">
        <f ca="1">IFERROR(IF(0=LEN(ReferenceData!$O$35),"",ReferenceData!$O$35),"")</f>
        <v>1.6739999999999999</v>
      </c>
      <c r="P35">
        <f ca="1">IFERROR(IF(0=LEN(ReferenceData!$P$35),"",ReferenceData!$P$35),"")</f>
        <v>1.355</v>
      </c>
      <c r="Q35">
        <f ca="1">IFERROR(IF(0=LEN(ReferenceData!$Q$35),"",ReferenceData!$Q$35),"")</f>
        <v>1.224</v>
      </c>
      <c r="R35">
        <f ca="1">IFERROR(IF(0=LEN(ReferenceData!$R$35),"",ReferenceData!$R$35),"")</f>
        <v>1.65</v>
      </c>
      <c r="S35">
        <f ca="1">IFERROR(IF(0=LEN(ReferenceData!$S$35),"",ReferenceData!$S$35),"")</f>
        <v>2.6440000000000001</v>
      </c>
      <c r="T35">
        <f ca="1">IFERROR(IF(0=LEN(ReferenceData!$T$35),"",ReferenceData!$T$35),"")</f>
        <v>4.7569999999999997</v>
      </c>
      <c r="U35">
        <f ca="1">IFERROR(IF(0=LEN(ReferenceData!$U$35),"",ReferenceData!$U$35),"")</f>
        <v>1.5429999999999999</v>
      </c>
      <c r="V35">
        <f ca="1">IFERROR(IF(0=LEN(ReferenceData!$V$35),"",ReferenceData!$V$35),"")</f>
        <v>1.82</v>
      </c>
      <c r="W35">
        <f ca="1">IFERROR(IF(0=LEN(ReferenceData!$W$35),"",ReferenceData!$W$35),"")</f>
        <v>1.986</v>
      </c>
      <c r="X35">
        <f ca="1">IFERROR(IF(0=LEN(ReferenceData!$X$35),"",ReferenceData!$X$35),"")</f>
        <v>1.7569999999999999</v>
      </c>
      <c r="Y35">
        <f ca="1">IFERROR(IF(0=LEN(ReferenceData!$Y$35),"",ReferenceData!$Y$35),"")</f>
        <v>1.5820000000000001</v>
      </c>
      <c r="Z35">
        <f ca="1">IFERROR(IF(0=LEN(ReferenceData!$Z$35),"",ReferenceData!$Z$35),"")</f>
        <v>1.36</v>
      </c>
      <c r="AA35">
        <f ca="1">IFERROR(IF(0=LEN(ReferenceData!$AA$35),"",ReferenceData!$AA$35),"")</f>
        <v>1.325</v>
      </c>
      <c r="AB35">
        <f ca="1">IFERROR(IF(0=LEN(ReferenceData!$AB$35),"",ReferenceData!$AB$35),"")</f>
        <v>1.024</v>
      </c>
      <c r="AC35">
        <f ca="1">IFERROR(IF(0=LEN(ReferenceData!$AC$35),"",ReferenceData!$AC$35),"")</f>
        <v>0.73599999999999999</v>
      </c>
      <c r="AD35">
        <f ca="1">IFERROR(IF(0=LEN(ReferenceData!$AD$35),"",ReferenceData!$AD$35),"")</f>
        <v>1.181</v>
      </c>
      <c r="AE35">
        <f ca="1">IFERROR(IF(0=LEN(ReferenceData!$AE$35),"",ReferenceData!$AE$35),"")</f>
        <v>1.5329999999999999</v>
      </c>
      <c r="AF35">
        <f ca="1">IFERROR(IF(0=LEN(ReferenceData!$AF$35),"",ReferenceData!$AF$35),"")</f>
        <v>1.978</v>
      </c>
      <c r="AG35">
        <f ca="1">IFERROR(IF(0=LEN(ReferenceData!$AG$35),"",ReferenceData!$AG$35),"")</f>
        <v>1.8180000000000001</v>
      </c>
      <c r="AH35">
        <f ca="1">IFERROR(IF(0=LEN(ReferenceData!$AH$35),"",ReferenceData!$AH$35),"")</f>
        <v>2.11</v>
      </c>
      <c r="AI35">
        <f ca="1">IFERROR(IF(0=LEN(ReferenceData!$AI$35),"",ReferenceData!$AI$35),"")</f>
        <v>1.6619999999999999</v>
      </c>
      <c r="AJ35">
        <f ca="1">IFERROR(IF(0=LEN(ReferenceData!$AJ$35),"",ReferenceData!$AJ$35),"")</f>
        <v>1.0960000000000001</v>
      </c>
      <c r="AK35">
        <f ca="1">IFERROR(IF(0=LEN(ReferenceData!$AK$35),"",ReferenceData!$AK$35),"")</f>
        <v>1.355</v>
      </c>
      <c r="AL35">
        <f ca="1">IFERROR(IF(0=LEN(ReferenceData!$AL$35),"",ReferenceData!$AL$35),"")</f>
        <v>1.5589999999999999</v>
      </c>
      <c r="AM35">
        <f ca="1">IFERROR(IF(0=LEN(ReferenceData!$AM$35),"",ReferenceData!$AM$35),"")</f>
        <v>3.754</v>
      </c>
      <c r="AN35">
        <f ca="1">IFERROR(IF(0=LEN(ReferenceData!$AN$35),"",ReferenceData!$AN$35),"")</f>
        <v>3.2970000000000002</v>
      </c>
      <c r="AO35">
        <f ca="1">IFERROR(IF(0=LEN(ReferenceData!$AO$35),"",ReferenceData!$AO$35),"")</f>
        <v>1.982</v>
      </c>
      <c r="AP35">
        <f ca="1">IFERROR(IF(0=LEN(ReferenceData!$AP$35),"",ReferenceData!$AP$35),"")</f>
        <v>2.3660000000000001</v>
      </c>
      <c r="AQ35">
        <f ca="1">IFERROR(IF(0=LEN(ReferenceData!$AQ$35),"",ReferenceData!$AQ$35),"")</f>
        <v>3.0739999999999998</v>
      </c>
      <c r="AR35">
        <f ca="1">IFERROR(IF(0=LEN(ReferenceData!$AR$35),"",ReferenceData!$AR$35),"")</f>
        <v>4.0860000000000003</v>
      </c>
      <c r="AS35">
        <f ca="1">IFERROR(IF(0=LEN(ReferenceData!$AS$35),"",ReferenceData!$AS$35),"")</f>
        <v>2.0529999999999999</v>
      </c>
      <c r="AT35">
        <f ca="1">IFERROR(IF(0=LEN(ReferenceData!$AT$35),"",ReferenceData!$AT$35),"")</f>
        <v>2.762</v>
      </c>
      <c r="AU35">
        <f ca="1">IFERROR(IF(0=LEN(ReferenceData!$AU$35),"",ReferenceData!$AU$35),"")</f>
        <v>-2.41</v>
      </c>
      <c r="AV35">
        <f ca="1">IFERROR(IF(0=LEN(ReferenceData!$AV$35),"",ReferenceData!$AV$35),"")</f>
        <v>2.1309999999999998</v>
      </c>
      <c r="AW35">
        <f ca="1">IFERROR(IF(0=LEN(ReferenceData!$AW$35),"",ReferenceData!$AW$35),"")</f>
        <v>1.7450000000000001</v>
      </c>
      <c r="AX35">
        <f ca="1">IFERROR(IF(0=LEN(ReferenceData!$AX$35),"",ReferenceData!$AX$35),"")</f>
        <v>1.925</v>
      </c>
      <c r="AY35">
        <f ca="1">IFERROR(IF(0=LEN(ReferenceData!$AY$35),"",ReferenceData!$AY$35),"")</f>
        <v>2.2349999999999999</v>
      </c>
      <c r="AZ35">
        <f ca="1">IFERROR(IF(0=LEN(ReferenceData!$AZ$35),"",ReferenceData!$AZ$35),"")</f>
        <v>1.5089999999999999</v>
      </c>
      <c r="BA35">
        <f ca="1">IFERROR(IF(0=LEN(ReferenceData!$BA$35),"",ReferenceData!$BA$35),"")</f>
        <v>1.571</v>
      </c>
      <c r="BB35">
        <f ca="1">IFERROR(IF(0=LEN(ReferenceData!$BB$35),"",ReferenceData!$BB$35),"")</f>
        <v>1.254</v>
      </c>
      <c r="BC35">
        <f ca="1">IFERROR(IF(0=LEN(ReferenceData!$BC$35),"",ReferenceData!$BC$35),"")</f>
        <v>0.71</v>
      </c>
      <c r="BD35">
        <f ca="1">IFERROR(IF(0=LEN(ReferenceData!$BD$35),"",ReferenceData!$BD$35),"")</f>
        <v>1.302</v>
      </c>
      <c r="BE35">
        <f ca="1">IFERROR(IF(0=LEN(ReferenceData!$BE$35),"",ReferenceData!$BE$35),"")</f>
        <v>0.52800000000000002</v>
      </c>
      <c r="BF35">
        <f ca="1">IFERROR(IF(0=LEN(ReferenceData!$BF$35),"",ReferenceData!$BF$35),"")</f>
        <v>0.39200000000000002</v>
      </c>
      <c r="BG35" t="str">
        <f ca="1">IFERROR(IF(0=LEN(ReferenceData!$BG$35),"",ReferenceData!$BG$35),"")</f>
        <v/>
      </c>
      <c r="BH35" t="str">
        <f ca="1">IFERROR(IF(0=LEN(ReferenceData!$BH$35),"",ReferenceData!$BH$35),"")</f>
        <v/>
      </c>
      <c r="BI35" t="str">
        <f ca="1">IFERROR(IF(0=LEN(ReferenceData!$BI$35),"",ReferenceData!$BI$35),"")</f>
        <v/>
      </c>
      <c r="BJ35" t="str">
        <f ca="1">IFERROR(IF(0=LEN(ReferenceData!$BJ$35),"",ReferenceData!$BJ$35),"")</f>
        <v/>
      </c>
      <c r="BK35" t="str">
        <f ca="1">IFERROR(IF(0=LEN(ReferenceData!$BK$35),"",ReferenceData!$BK$35),"")</f>
        <v/>
      </c>
      <c r="BL35" t="str">
        <f ca="1">IFERROR(IF(0=LEN(ReferenceData!$BL$35),"",ReferenceData!$BL$35),"")</f>
        <v/>
      </c>
      <c r="BM35" t="str">
        <f ca="1">IFERROR(IF(0=LEN(ReferenceData!$BM$35),"",ReferenceData!$BM$35),"")</f>
        <v/>
      </c>
    </row>
    <row r="36" spans="1:65">
      <c r="A36" t="str">
        <f>IFERROR(IF(0=LEN(ReferenceData!$A$36),"",ReferenceData!$A$36),"")</f>
        <v xml:space="preserve">    Equity Residential</v>
      </c>
      <c r="B36" t="str">
        <f>IFERROR(IF(0=LEN(ReferenceData!$B$36),"",ReferenceData!$B$36),"")</f>
        <v>EQR US Equity</v>
      </c>
      <c r="C36" t="str">
        <f>IFERROR(IF(0=LEN(ReferenceData!$C$36),"",ReferenceData!$C$36),"")</f>
        <v>IS019</v>
      </c>
      <c r="D36" t="str">
        <f>IFERROR(IF(0=LEN(ReferenceData!$D$36),"",ReferenceData!$D$36),"")</f>
        <v>IS_COMM_AND_FEE_EARN_INC_REO</v>
      </c>
      <c r="E36" t="str">
        <f>IFERROR(IF(0=LEN(ReferenceData!$E$36),"",ReferenceData!$E$36),"")</f>
        <v>动态</v>
      </c>
      <c r="F36" t="str">
        <f ca="1">IFERROR(IF(0=LEN(ReferenceData!$F$36),"",ReferenceData!$F$36),"")</f>
        <v/>
      </c>
      <c r="G36">
        <f ca="1">IFERROR(IF(0=LEN(ReferenceData!$G$36),"",ReferenceData!$G$36),"")</f>
        <v>0.185</v>
      </c>
      <c r="H36">
        <f ca="1">IFERROR(IF(0=LEN(ReferenceData!$H$36),"",ReferenceData!$H$36),"")</f>
        <v>0.17100000000000001</v>
      </c>
      <c r="I36">
        <f ca="1">IFERROR(IF(0=LEN(ReferenceData!$I$36),"",ReferenceData!$I$36),"")</f>
        <v>0.18099999999999999</v>
      </c>
      <c r="J36">
        <f ca="1">IFERROR(IF(0=LEN(ReferenceData!$J$36),"",ReferenceData!$J$36),"")</f>
        <v>0.18</v>
      </c>
      <c r="K36">
        <f ca="1">IFERROR(IF(0=LEN(ReferenceData!$K$36),"",ReferenceData!$K$36),"")</f>
        <v>0.216</v>
      </c>
      <c r="L36">
        <f ca="1">IFERROR(IF(0=LEN(ReferenceData!$L$36),"",ReferenceData!$L$36),"")</f>
        <v>0.218</v>
      </c>
      <c r="M36">
        <f ca="1">IFERROR(IF(0=LEN(ReferenceData!$M$36),"",ReferenceData!$M$36),"")</f>
        <v>0.215</v>
      </c>
      <c r="N36">
        <f ca="1">IFERROR(IF(0=LEN(ReferenceData!$N$36),"",ReferenceData!$N$36),"")</f>
        <v>2.9180000000000001</v>
      </c>
      <c r="O36">
        <f ca="1">IFERROR(IF(0=LEN(ReferenceData!$O$36),"",ReferenceData!$O$36),"")</f>
        <v>1.974</v>
      </c>
      <c r="P36">
        <f ca="1">IFERROR(IF(0=LEN(ReferenceData!$P$36),"",ReferenceData!$P$36),"")</f>
        <v>2.044</v>
      </c>
      <c r="Q36">
        <f ca="1">IFERROR(IF(0=LEN(ReferenceData!$Q$36),"",ReferenceData!$Q$36),"")</f>
        <v>2.6040000000000001</v>
      </c>
      <c r="R36">
        <f ca="1">IFERROR(IF(0=LEN(ReferenceData!$R$36),"",ReferenceData!$R$36),"")</f>
        <v>1.7649999999999999</v>
      </c>
      <c r="S36">
        <f ca="1">IFERROR(IF(0=LEN(ReferenceData!$S$36),"",ReferenceData!$S$36),"")</f>
        <v>1.841</v>
      </c>
      <c r="T36">
        <f ca="1">IFERROR(IF(0=LEN(ReferenceData!$T$36),"",ReferenceData!$T$36),"")</f>
        <v>2.077</v>
      </c>
      <c r="U36">
        <f ca="1">IFERROR(IF(0=LEN(ReferenceData!$U$36),"",ReferenceData!$U$36),"")</f>
        <v>2.802</v>
      </c>
      <c r="V36">
        <f ca="1">IFERROR(IF(0=LEN(ReferenceData!$V$36),"",ReferenceData!$V$36),"")</f>
        <v>2.7170000000000001</v>
      </c>
      <c r="W36">
        <f ca="1">IFERROR(IF(0=LEN(ReferenceData!$W$36),"",ReferenceData!$W$36),"")</f>
        <v>2.2989999999999999</v>
      </c>
      <c r="X36">
        <f ca="1">IFERROR(IF(0=LEN(ReferenceData!$X$36),"",ReferenceData!$X$36),"")</f>
        <v>2.5659999999999998</v>
      </c>
      <c r="Y36">
        <f ca="1">IFERROR(IF(0=LEN(ReferenceData!$Y$36),"",ReferenceData!$Y$36),"")</f>
        <v>2.673</v>
      </c>
      <c r="Z36">
        <f ca="1">IFERROR(IF(0=LEN(ReferenceData!$Z$36),"",ReferenceData!$Z$36),"")</f>
        <v>2.16</v>
      </c>
      <c r="AA36">
        <f ca="1">IFERROR(IF(0=LEN(ReferenceData!$AA$36),"",ReferenceData!$AA$36),"")</f>
        <v>2.2450000000000001</v>
      </c>
      <c r="AB36">
        <f ca="1">IFERROR(IF(0=LEN(ReferenceData!$AB$36),"",ReferenceData!$AB$36),"")</f>
        <v>3.052</v>
      </c>
      <c r="AC36">
        <f ca="1">IFERROR(IF(0=LEN(ReferenceData!$AC$36),"",ReferenceData!$AC$36),"")</f>
        <v>2.2120000000000002</v>
      </c>
      <c r="AD36">
        <f ca="1">IFERROR(IF(0=LEN(ReferenceData!$AD$36),"",ReferenceData!$AD$36),"")</f>
        <v>2.0640000000000001</v>
      </c>
      <c r="AE36">
        <f ca="1">IFERROR(IF(0=LEN(ReferenceData!$AE$36),"",ReferenceData!$AE$36),"")</f>
        <v>2.3439999999999999</v>
      </c>
      <c r="AF36">
        <f ca="1">IFERROR(IF(0=LEN(ReferenceData!$AF$36),"",ReferenceData!$AF$36),"")</f>
        <v>2.9279999999999999</v>
      </c>
      <c r="AG36">
        <f ca="1">IFERROR(IF(0=LEN(ReferenceData!$AG$36),"",ReferenceData!$AG$36),"")</f>
        <v>1.948</v>
      </c>
      <c r="AH36">
        <f ca="1">IFERROR(IF(0=LEN(ReferenceData!$AH$36),"",ReferenceData!$AH$36),"")</f>
        <v>1.806</v>
      </c>
      <c r="AI36">
        <f ca="1">IFERROR(IF(0=LEN(ReferenceData!$AI$36),"",ReferenceData!$AI$36),"")</f>
        <v>1.88</v>
      </c>
      <c r="AJ36">
        <f ca="1">IFERROR(IF(0=LEN(ReferenceData!$AJ$36),"",ReferenceData!$AJ$36),"")</f>
        <v>2.1280000000000001</v>
      </c>
      <c r="AK36">
        <f ca="1">IFERROR(IF(0=LEN(ReferenceData!$AK$36),"",ReferenceData!$AK$36),"")</f>
        <v>3.0459999999999998</v>
      </c>
      <c r="AL36">
        <f ca="1">IFERROR(IF(0=LEN(ReferenceData!$AL$36),"",ReferenceData!$AL$36),"")</f>
        <v>2.4220000000000002</v>
      </c>
      <c r="AM36">
        <f ca="1">IFERROR(IF(0=LEN(ReferenceData!$AM$36),"",ReferenceData!$AM$36),"")</f>
        <v>2.4180000000000001</v>
      </c>
      <c r="AN36">
        <f ca="1">IFERROR(IF(0=LEN(ReferenceData!$AN$36),"",ReferenceData!$AN$36),"")</f>
        <v>2.653</v>
      </c>
      <c r="AO36">
        <f ca="1">IFERROR(IF(0=LEN(ReferenceData!$AO$36),"",ReferenceData!$AO$36),"")</f>
        <v>2.4119999999999999</v>
      </c>
      <c r="AP36">
        <f ca="1">IFERROR(IF(0=LEN(ReferenceData!$AP$36),"",ReferenceData!$AP$36),"")</f>
        <v>2.863</v>
      </c>
      <c r="AQ36">
        <f ca="1">IFERROR(IF(0=LEN(ReferenceData!$AQ$36),"",ReferenceData!$AQ$36),"")</f>
        <v>3.3180000000000001</v>
      </c>
      <c r="AR36">
        <f ca="1">IFERROR(IF(0=LEN(ReferenceData!$AR$36),"",ReferenceData!$AR$36),"")</f>
        <v>2.387</v>
      </c>
      <c r="AS36">
        <f ca="1">IFERROR(IF(0=LEN(ReferenceData!$AS$36),"",ReferenceData!$AS$36),"")</f>
        <v>2.7160000000000002</v>
      </c>
      <c r="AT36">
        <f ca="1">IFERROR(IF(0=LEN(ReferenceData!$AT$36),"",ReferenceData!$AT$36),"")</f>
        <v>2.294</v>
      </c>
      <c r="AU36">
        <f ca="1">IFERROR(IF(0=LEN(ReferenceData!$AU$36),"",ReferenceData!$AU$36),"")</f>
        <v>2.246</v>
      </c>
      <c r="AV36">
        <f ca="1">IFERROR(IF(0=LEN(ReferenceData!$AV$36),"",ReferenceData!$AV$36),"")</f>
        <v>2.234</v>
      </c>
      <c r="AW36">
        <f ca="1">IFERROR(IF(0=LEN(ReferenceData!$AW$36),"",ReferenceData!$AW$36),"")</f>
        <v>2.4359999999999999</v>
      </c>
      <c r="AX36">
        <f ca="1">IFERROR(IF(0=LEN(ReferenceData!$AX$36),"",ReferenceData!$AX$36),"")</f>
        <v>2.2669999999999999</v>
      </c>
      <c r="AY36">
        <f ca="1">IFERROR(IF(0=LEN(ReferenceData!$AY$36),"",ReferenceData!$AY$36),"")</f>
        <v>2.2229999999999999</v>
      </c>
      <c r="AZ36">
        <f ca="1">IFERROR(IF(0=LEN(ReferenceData!$AZ$36),"",ReferenceData!$AZ$36),"")</f>
        <v>2.0710000000000002</v>
      </c>
      <c r="BA36">
        <f ca="1">IFERROR(IF(0=LEN(ReferenceData!$BA$36),"",ReferenceData!$BA$36),"")</f>
        <v>2.3199999999999998</v>
      </c>
      <c r="BB36">
        <f ca="1">IFERROR(IF(0=LEN(ReferenceData!$BB$36),"",ReferenceData!$BB$36),"")</f>
        <v>2.4870000000000001</v>
      </c>
      <c r="BC36">
        <f ca="1">IFERROR(IF(0=LEN(ReferenceData!$BC$36),"",ReferenceData!$BC$36),"")</f>
        <v>2.2440000000000002</v>
      </c>
      <c r="BD36">
        <f ca="1">IFERROR(IF(0=LEN(ReferenceData!$BD$36),"",ReferenceData!$BD$36),"")</f>
        <v>2.4009999999999998</v>
      </c>
      <c r="BE36">
        <f ca="1">IFERROR(IF(0=LEN(ReferenceData!$BE$36),"",ReferenceData!$BE$36),"")</f>
        <v>3.0230000000000001</v>
      </c>
      <c r="BF36">
        <f ca="1">IFERROR(IF(0=LEN(ReferenceData!$BF$36),"",ReferenceData!$BF$36),"")</f>
        <v>2.5720000000000001</v>
      </c>
      <c r="BG36">
        <f ca="1">IFERROR(IF(0=LEN(ReferenceData!$BG$36),"",ReferenceData!$BG$36),"")</f>
        <v>2.65</v>
      </c>
      <c r="BH36">
        <f ca="1">IFERROR(IF(0=LEN(ReferenceData!$BH$36),"",ReferenceData!$BH$36),"")</f>
        <v>2.4359999999999999</v>
      </c>
      <c r="BI36">
        <f ca="1">IFERROR(IF(0=LEN(ReferenceData!$BI$36),"",ReferenceData!$BI$36),"")</f>
        <v>3.5339999999999998</v>
      </c>
      <c r="BJ36">
        <f ca="1">IFERROR(IF(0=LEN(ReferenceData!$BJ$36),"",ReferenceData!$BJ$36),"")</f>
        <v>3.0070000000000001</v>
      </c>
      <c r="BK36">
        <f ca="1">IFERROR(IF(0=LEN(ReferenceData!$BK$36),"",ReferenceData!$BK$36),"")</f>
        <v>3.4119999999999999</v>
      </c>
      <c r="BL36">
        <f ca="1">IFERROR(IF(0=LEN(ReferenceData!$BL$36),"",ReferenceData!$BL$36),"")</f>
        <v>3.0830000000000002</v>
      </c>
      <c r="BM36">
        <f ca="1">IFERROR(IF(0=LEN(ReferenceData!$BM$36),"",ReferenceData!$BM$36),"")</f>
        <v>5.39</v>
      </c>
    </row>
    <row r="37" spans="1:65">
      <c r="A37" t="str">
        <f>IFERROR(IF(0=LEN(ReferenceData!$A$37),"",ReferenceData!$A$37),"")</f>
        <v xml:space="preserve">    Essex Property Trust Inc</v>
      </c>
      <c r="B37" t="str">
        <f>IFERROR(IF(0=LEN(ReferenceData!$B$37),"",ReferenceData!$B$37),"")</f>
        <v>ESS US Equity</v>
      </c>
      <c r="C37" t="str">
        <f>IFERROR(IF(0=LEN(ReferenceData!$C$37),"",ReferenceData!$C$37),"")</f>
        <v>IS019</v>
      </c>
      <c r="D37" t="str">
        <f>IFERROR(IF(0=LEN(ReferenceData!$D$37),"",ReferenceData!$D$37),"")</f>
        <v>IS_COMM_AND_FEE_EARN_INC_REO</v>
      </c>
      <c r="E37" t="str">
        <f>IFERROR(IF(0=LEN(ReferenceData!$E$37),"",ReferenceData!$E$37),"")</f>
        <v>动态</v>
      </c>
      <c r="F37" t="str">
        <f ca="1">IFERROR(IF(0=LEN(ReferenceData!$F$37),"",ReferenceData!$F$37),"")</f>
        <v/>
      </c>
      <c r="G37">
        <f ca="1">IFERROR(IF(0=LEN(ReferenceData!$G$37),"",ReferenceData!$G$37),"")</f>
        <v>2.6469999999999998</v>
      </c>
      <c r="H37">
        <f ca="1">IFERROR(IF(0=LEN(ReferenceData!$H$37),"",ReferenceData!$H$37),"")</f>
        <v>2.395</v>
      </c>
      <c r="I37">
        <f ca="1">IFERROR(IF(0=LEN(ReferenceData!$I$37),"",ReferenceData!$I$37),"")</f>
        <v>2.2959999999999998</v>
      </c>
      <c r="J37">
        <f ca="1">IFERROR(IF(0=LEN(ReferenceData!$J$37),"",ReferenceData!$J$37),"")</f>
        <v>2.2360000000000002</v>
      </c>
      <c r="K37">
        <f ca="1">IFERROR(IF(0=LEN(ReferenceData!$K$37),"",ReferenceData!$K$37),"")</f>
        <v>2.133</v>
      </c>
      <c r="L37">
        <f ca="1">IFERROR(IF(0=LEN(ReferenceData!$L$37),"",ReferenceData!$L$37),"")</f>
        <v>2.093</v>
      </c>
      <c r="M37">
        <f ca="1">IFERROR(IF(0=LEN(ReferenceData!$M$37),"",ReferenceData!$M$37),"")</f>
        <v>2.028</v>
      </c>
      <c r="N37">
        <f ca="1">IFERROR(IF(0=LEN(ReferenceData!$N$37),"",ReferenceData!$N$37),"")</f>
        <v>2.024</v>
      </c>
      <c r="O37">
        <f ca="1">IFERROR(IF(0=LEN(ReferenceData!$O$37),"",ReferenceData!$O$37),"")</f>
        <v>2.1</v>
      </c>
      <c r="P37">
        <f ca="1">IFERROR(IF(0=LEN(ReferenceData!$P$37),"",ReferenceData!$P$37),"")</f>
        <v>2.1040000000000001</v>
      </c>
      <c r="Q37">
        <f ca="1">IFERROR(IF(0=LEN(ReferenceData!$Q$37),"",ReferenceData!$Q$37),"")</f>
        <v>2.0609999999999999</v>
      </c>
      <c r="R37">
        <f ca="1">IFERROR(IF(0=LEN(ReferenceData!$R$37),"",ReferenceData!$R$37),"")</f>
        <v>2.6440000000000001</v>
      </c>
      <c r="S37">
        <f ca="1">IFERROR(IF(0=LEN(ReferenceData!$S$37),"",ReferenceData!$S$37),"")</f>
        <v>2.4900000000000002</v>
      </c>
      <c r="T37">
        <f ca="1">IFERROR(IF(0=LEN(ReferenceData!$T$37),"",ReferenceData!$T$37),"")</f>
        <v>2.3610000000000002</v>
      </c>
      <c r="U37">
        <f ca="1">IFERROR(IF(0=LEN(ReferenceData!$U$37),"",ReferenceData!$U$37),"")</f>
        <v>2.8359999999999999</v>
      </c>
      <c r="V37">
        <f ca="1">IFERROR(IF(0=LEN(ReferenceData!$V$37),"",ReferenceData!$V$37),"")</f>
        <v>1.66</v>
      </c>
      <c r="W37">
        <f ca="1">IFERROR(IF(0=LEN(ReferenceData!$W$37),"",ReferenceData!$W$37),"")</f>
        <v>1.4510000000000001</v>
      </c>
      <c r="X37">
        <f ca="1">IFERROR(IF(0=LEN(ReferenceData!$X$37),"",ReferenceData!$X$37),"")</f>
        <v>1.7709999999999999</v>
      </c>
      <c r="Y37">
        <f ca="1">IFERROR(IF(0=LEN(ReferenceData!$Y$37),"",ReferenceData!$Y$37),"")</f>
        <v>2.0339999999999998</v>
      </c>
      <c r="Z37">
        <f ca="1">IFERROR(IF(0=LEN(ReferenceData!$Z$37),"",ReferenceData!$Z$37),"")</f>
        <v>2.948</v>
      </c>
      <c r="AA37">
        <f ca="1">IFERROR(IF(0=LEN(ReferenceData!$AA$37),"",ReferenceData!$AA$37),"")</f>
        <v>3.177</v>
      </c>
      <c r="AB37">
        <f ca="1">IFERROR(IF(0=LEN(ReferenceData!$AB$37),"",ReferenceData!$AB$37),"")</f>
        <v>3.0720000000000001</v>
      </c>
      <c r="AC37">
        <f ca="1">IFERROR(IF(0=LEN(ReferenceData!$AC$37),"",ReferenceData!$AC$37),"")</f>
        <v>2.7959999999999998</v>
      </c>
      <c r="AD37">
        <f ca="1">IFERROR(IF(0=LEN(ReferenceData!$AD$37),"",ReferenceData!$AD$37),"")</f>
        <v>2.444</v>
      </c>
      <c r="AE37">
        <f ca="1">IFERROR(IF(0=LEN(ReferenceData!$AE$37),"",ReferenceData!$AE$37),"")</f>
        <v>2.1960000000000002</v>
      </c>
      <c r="AF37">
        <f ca="1">IFERROR(IF(0=LEN(ReferenceData!$AF$37),"",ReferenceData!$AF$37),"")</f>
        <v>1.94</v>
      </c>
      <c r="AG37">
        <f ca="1">IFERROR(IF(0=LEN(ReferenceData!$AG$37),"",ReferenceData!$AG$37),"")</f>
        <v>1.42</v>
      </c>
      <c r="AH37">
        <f ca="1">IFERROR(IF(0=LEN(ReferenceData!$AH$37),"",ReferenceData!$AH$37),"")</f>
        <v>1.224</v>
      </c>
      <c r="AI37">
        <f ca="1">IFERROR(IF(0=LEN(ReferenceData!$AI$37),"",ReferenceData!$AI$37),"")</f>
        <v>1.0920000000000001</v>
      </c>
      <c r="AJ37">
        <f ca="1">IFERROR(IF(0=LEN(ReferenceData!$AJ$37),"",ReferenceData!$AJ$37),"")</f>
        <v>0.95899999999999996</v>
      </c>
      <c r="AK37">
        <f ca="1">IFERROR(IF(0=LEN(ReferenceData!$AK$37),"",ReferenceData!$AK$37),"")</f>
        <v>1.022</v>
      </c>
      <c r="AL37">
        <f ca="1">IFERROR(IF(0=LEN(ReferenceData!$AL$37),"",ReferenceData!$AL$37),"")</f>
        <v>1.478</v>
      </c>
      <c r="AM37">
        <f ca="1">IFERROR(IF(0=LEN(ReferenceData!$AM$37),"",ReferenceData!$AM$37),"")</f>
        <v>0.94799999999999995</v>
      </c>
      <c r="AN37">
        <f ca="1">IFERROR(IF(0=LEN(ReferenceData!$AN$37),"",ReferenceData!$AN$37),"")</f>
        <v>1.024</v>
      </c>
      <c r="AO37">
        <f ca="1">IFERROR(IF(0=LEN(ReferenceData!$AO$37),"",ReferenceData!$AO$37),"")</f>
        <v>1.1559999999999999</v>
      </c>
      <c r="AP37">
        <f ca="1">IFERROR(IF(0=LEN(ReferenceData!$AP$37),"",ReferenceData!$AP$37),"")</f>
        <v>1.1970000000000001</v>
      </c>
      <c r="AQ37">
        <f ca="1">IFERROR(IF(0=LEN(ReferenceData!$AQ$37),"",ReferenceData!$AQ$37),"")</f>
        <v>1.2010000000000001</v>
      </c>
      <c r="AR37">
        <f ca="1">IFERROR(IF(0=LEN(ReferenceData!$AR$37),"",ReferenceData!$AR$37),"")</f>
        <v>1.3109999999999999</v>
      </c>
      <c r="AS37">
        <f ca="1">IFERROR(IF(0=LEN(ReferenceData!$AS$37),"",ReferenceData!$AS$37),"")</f>
        <v>1.4279999999999999</v>
      </c>
      <c r="AT37">
        <f ca="1">IFERROR(IF(0=LEN(ReferenceData!$AT$37),"",ReferenceData!$AT$37),"")</f>
        <v>1.2270000000000001</v>
      </c>
      <c r="AU37">
        <f ca="1">IFERROR(IF(0=LEN(ReferenceData!$AU$37),"",ReferenceData!$AU$37),"")</f>
        <v>1.4279999999999999</v>
      </c>
      <c r="AV37">
        <f ca="1">IFERROR(IF(0=LEN(ReferenceData!$AV$37),"",ReferenceData!$AV$37),"")</f>
        <v>1.268</v>
      </c>
      <c r="AW37">
        <f ca="1">IFERROR(IF(0=LEN(ReferenceData!$AW$37),"",ReferenceData!$AW$37),"")</f>
        <v>1.3540000000000001</v>
      </c>
      <c r="AX37">
        <f ca="1">IFERROR(IF(0=LEN(ReferenceData!$AX$37),"",ReferenceData!$AX$37),"")</f>
        <v>1.04</v>
      </c>
      <c r="AY37">
        <f ca="1">IFERROR(IF(0=LEN(ReferenceData!$AY$37),"",ReferenceData!$AY$37),"")</f>
        <v>1.504</v>
      </c>
      <c r="AZ37">
        <f ca="1">IFERROR(IF(0=LEN(ReferenceData!$AZ$37),"",ReferenceData!$AZ$37),"")</f>
        <v>1.8720000000000001</v>
      </c>
      <c r="BA37">
        <f ca="1">IFERROR(IF(0=LEN(ReferenceData!$BA$37),"",ReferenceData!$BA$37),"")</f>
        <v>0.83</v>
      </c>
      <c r="BB37">
        <f ca="1">IFERROR(IF(0=LEN(ReferenceData!$BB$37),"",ReferenceData!$BB$37),"")</f>
        <v>0.82399999999999995</v>
      </c>
      <c r="BC37">
        <f ca="1">IFERROR(IF(0=LEN(ReferenceData!$BC$37),"",ReferenceData!$BC$37),"")</f>
        <v>1.843</v>
      </c>
      <c r="BD37">
        <f ca="1">IFERROR(IF(0=LEN(ReferenceData!$BD$37),"",ReferenceData!$BD$37),"")</f>
        <v>1.601</v>
      </c>
      <c r="BE37">
        <f ca="1">IFERROR(IF(0=LEN(ReferenceData!$BE$37),"",ReferenceData!$BE$37),"")</f>
        <v>0.93100000000000005</v>
      </c>
      <c r="BF37">
        <f ca="1">IFERROR(IF(0=LEN(ReferenceData!$BF$37),"",ReferenceData!$BF$37),"")</f>
        <v>6.5759999999999996</v>
      </c>
      <c r="BG37">
        <f ca="1">IFERROR(IF(0=LEN(ReferenceData!$BG$37),"",ReferenceData!$BG$37),"")</f>
        <v>0</v>
      </c>
      <c r="BH37">
        <f ca="1">IFERROR(IF(0=LEN(ReferenceData!$BH$37),"",ReferenceData!$BH$37),"")</f>
        <v>15.701000000000001</v>
      </c>
      <c r="BI37">
        <f ca="1">IFERROR(IF(0=LEN(ReferenceData!$BI$37),"",ReferenceData!$BI$37),"")</f>
        <v>0</v>
      </c>
      <c r="BJ37">
        <f ca="1">IFERROR(IF(0=LEN(ReferenceData!$BJ$37),"",ReferenceData!$BJ$37),"")</f>
        <v>0</v>
      </c>
      <c r="BK37">
        <f ca="1">IFERROR(IF(0=LEN(ReferenceData!$BK$37),"",ReferenceData!$BK$37),"")</f>
        <v>0</v>
      </c>
      <c r="BL37">
        <f ca="1">IFERROR(IF(0=LEN(ReferenceData!$BL$37),"",ReferenceData!$BL$37),"")</f>
        <v>0</v>
      </c>
      <c r="BM37">
        <f ca="1">IFERROR(IF(0=LEN(ReferenceData!$BM$37),"",ReferenceData!$BM$37),"")</f>
        <v>0</v>
      </c>
    </row>
    <row r="38" spans="1:65">
      <c r="A38" t="str">
        <f>IFERROR(IF(0=LEN(ReferenceData!$A$38),"",ReferenceData!$A$38),"")</f>
        <v xml:space="preserve">    Mid-America Apartment Communit</v>
      </c>
      <c r="B38" t="str">
        <f>IFERROR(IF(0=LEN(ReferenceData!$B$38),"",ReferenceData!$B$38),"")</f>
        <v>MAA US Equity</v>
      </c>
      <c r="C38" t="str">
        <f>IFERROR(IF(0=LEN(ReferenceData!$C$38),"",ReferenceData!$C$38),"")</f>
        <v>IS019</v>
      </c>
      <c r="D38" t="str">
        <f>IFERROR(IF(0=LEN(ReferenceData!$D$38),"",ReferenceData!$D$38),"")</f>
        <v>IS_COMM_AND_FEE_EARN_INC_REO</v>
      </c>
      <c r="E38" t="str">
        <f>IFERROR(IF(0=LEN(ReferenceData!$E$38),"",ReferenceData!$E$38),"")</f>
        <v>动态</v>
      </c>
      <c r="F38" t="str">
        <f ca="1">IFERROR(IF(0=LEN(ReferenceData!$F$38),"",ReferenceData!$F$38),"")</f>
        <v/>
      </c>
      <c r="G38">
        <f ca="1">IFERROR(IF(0=LEN(ReferenceData!$G$38),"",ReferenceData!$G$38),"")</f>
        <v>0</v>
      </c>
      <c r="H38">
        <f ca="1">IFERROR(IF(0=LEN(ReferenceData!$H$38),"",ReferenceData!$H$38),"")</f>
        <v>0</v>
      </c>
      <c r="I38">
        <f ca="1">IFERROR(IF(0=LEN(ReferenceData!$I$38),"",ReferenceData!$I$38),"")</f>
        <v>0</v>
      </c>
      <c r="J38">
        <f ca="1">IFERROR(IF(0=LEN(ReferenceData!$J$38),"",ReferenceData!$J$38),"")</f>
        <v>0</v>
      </c>
      <c r="K38">
        <f ca="1">IFERROR(IF(0=LEN(ReferenceData!$K$38),"",ReferenceData!$K$38),"")</f>
        <v>0</v>
      </c>
      <c r="L38">
        <f ca="1">IFERROR(IF(0=LEN(ReferenceData!$L$38),"",ReferenceData!$L$38),"")</f>
        <v>0</v>
      </c>
      <c r="M38">
        <f ca="1">IFERROR(IF(0=LEN(ReferenceData!$M$38),"",ReferenceData!$M$38),"")</f>
        <v>0</v>
      </c>
      <c r="N38">
        <f ca="1">IFERROR(IF(0=LEN(ReferenceData!$N$38),"",ReferenceData!$N$38),"")</f>
        <v>0</v>
      </c>
      <c r="O38">
        <f ca="1">IFERROR(IF(0=LEN(ReferenceData!$O$38),"",ReferenceData!$O$38),"")</f>
        <v>0</v>
      </c>
      <c r="P38">
        <f ca="1">IFERROR(IF(0=LEN(ReferenceData!$P$38),"",ReferenceData!$P$38),"")</f>
        <v>0</v>
      </c>
      <c r="Q38">
        <f ca="1">IFERROR(IF(0=LEN(ReferenceData!$Q$38),"",ReferenceData!$Q$38),"")</f>
        <v>0</v>
      </c>
      <c r="R38">
        <f ca="1">IFERROR(IF(0=LEN(ReferenceData!$R$38),"",ReferenceData!$R$38),"")</f>
        <v>0</v>
      </c>
      <c r="S38">
        <f ca="1">IFERROR(IF(0=LEN(ReferenceData!$S$38),"",ReferenceData!$S$38),"")</f>
        <v>0</v>
      </c>
      <c r="T38">
        <f ca="1">IFERROR(IF(0=LEN(ReferenceData!$T$38),"",ReferenceData!$T$38),"")</f>
        <v>1.0999999999999999E-2</v>
      </c>
      <c r="U38">
        <f ca="1">IFERROR(IF(0=LEN(ReferenceData!$U$38),"",ReferenceData!$U$38),"")</f>
        <v>6.0999999999999999E-2</v>
      </c>
      <c r="V38">
        <f ca="1">IFERROR(IF(0=LEN(ReferenceData!$V$38),"",ReferenceData!$V$38),"")</f>
        <v>9.7000000000000003E-2</v>
      </c>
      <c r="W38">
        <f ca="1">IFERROR(IF(0=LEN(ReferenceData!$W$38),"",ReferenceData!$W$38),"")</f>
        <v>0.182</v>
      </c>
      <c r="X38">
        <f ca="1">IFERROR(IF(0=LEN(ReferenceData!$X$38),"",ReferenceData!$X$38),"")</f>
        <v>0.14599999999999999</v>
      </c>
      <c r="Y38">
        <f ca="1">IFERROR(IF(0=LEN(ReferenceData!$Y$38),"",ReferenceData!$Y$38),"")</f>
        <v>0.14199999999999999</v>
      </c>
      <c r="Z38">
        <f ca="1">IFERROR(IF(0=LEN(ReferenceData!$Z$38),"",ReferenceData!$Z$38),"")</f>
        <v>0.17699999999999999</v>
      </c>
      <c r="AA38">
        <f ca="1">IFERROR(IF(0=LEN(ReferenceData!$AA$38),"",ReferenceData!$AA$38),"")</f>
        <v>0.21199999999999999</v>
      </c>
      <c r="AB38">
        <f ca="1">IFERROR(IF(0=LEN(ReferenceData!$AB$38),"",ReferenceData!$AB$38),"")</f>
        <v>0.20899999999999999</v>
      </c>
      <c r="AC38">
        <f ca="1">IFERROR(IF(0=LEN(ReferenceData!$AC$38),"",ReferenceData!$AC$38),"")</f>
        <v>0.20899999999999999</v>
      </c>
      <c r="AD38">
        <f ca="1">IFERROR(IF(0=LEN(ReferenceData!$AD$38),"",ReferenceData!$AD$38),"")</f>
        <v>0.26900000000000002</v>
      </c>
      <c r="AE38">
        <f ca="1">IFERROR(IF(0=LEN(ReferenceData!$AE$38),"",ReferenceData!$AE$38),"")</f>
        <v>0.26600000000000001</v>
      </c>
      <c r="AF38">
        <f ca="1">IFERROR(IF(0=LEN(ReferenceData!$AF$38),"",ReferenceData!$AF$38),"")</f>
        <v>0.26500000000000001</v>
      </c>
      <c r="AG38">
        <f ca="1">IFERROR(IF(0=LEN(ReferenceData!$AG$38),"",ReferenceData!$AG$38),"")</f>
        <v>0.26300000000000001</v>
      </c>
      <c r="AH38">
        <f ca="1">IFERROR(IF(0=LEN(ReferenceData!$AH$38),"",ReferenceData!$AH$38),"")</f>
        <v>0.223</v>
      </c>
      <c r="AI38">
        <f ca="1">IFERROR(IF(0=LEN(ReferenceData!$AI$38),"",ReferenceData!$AI$38),"")</f>
        <v>0.20300000000000001</v>
      </c>
      <c r="AJ38">
        <f ca="1">IFERROR(IF(0=LEN(ReferenceData!$AJ$38),"",ReferenceData!$AJ$38),"")</f>
        <v>0.186</v>
      </c>
      <c r="AK38">
        <f ca="1">IFERROR(IF(0=LEN(ReferenceData!$AK$38),"",ReferenceData!$AK$38),"")</f>
        <v>0.155</v>
      </c>
      <c r="AL38">
        <f ca="1">IFERROR(IF(0=LEN(ReferenceData!$AL$38),"",ReferenceData!$AL$38),"")</f>
        <v>0.13600000000000001</v>
      </c>
      <c r="AM38">
        <f ca="1">IFERROR(IF(0=LEN(ReferenceData!$AM$38),"",ReferenceData!$AM$38),"")</f>
        <v>8.7999999999999995E-2</v>
      </c>
      <c r="AN38">
        <f ca="1">IFERROR(IF(0=LEN(ReferenceData!$AN$38),"",ReferenceData!$AN$38),"")</f>
        <v>7.8E-2</v>
      </c>
      <c r="AO38">
        <f ca="1">IFERROR(IF(0=LEN(ReferenceData!$AO$38),"",ReferenceData!$AO$38),"")</f>
        <v>6.3E-2</v>
      </c>
      <c r="AP38">
        <f ca="1">IFERROR(IF(0=LEN(ReferenceData!$AP$38),"",ReferenceData!$AP$38),"")</f>
        <v>6.4000000000000001E-2</v>
      </c>
      <c r="AQ38">
        <f ca="1">IFERROR(IF(0=LEN(ReferenceData!$AQ$38),"",ReferenceData!$AQ$38),"")</f>
        <v>5.8999999999999997E-2</v>
      </c>
      <c r="AR38">
        <f ca="1">IFERROR(IF(0=LEN(ReferenceData!$AR$38),"",ReferenceData!$AR$38),"")</f>
        <v>5.8000000000000003E-2</v>
      </c>
      <c r="AS38">
        <f ca="1">IFERROR(IF(0=LEN(ReferenceData!$AS$38),"",ReferenceData!$AS$38),"")</f>
        <v>6.0999999999999999E-2</v>
      </c>
      <c r="AT38">
        <f ca="1">IFERROR(IF(0=LEN(ReferenceData!$AT$38),"",ReferenceData!$AT$38),"")</f>
        <v>2.8000000000000001E-2</v>
      </c>
      <c r="AU38">
        <f ca="1">IFERROR(IF(0=LEN(ReferenceData!$AU$38),"",ReferenceData!$AU$38),"")</f>
        <v>0</v>
      </c>
      <c r="AV38" t="str">
        <f ca="1">IFERROR(IF(0=LEN(ReferenceData!$AV$38),"",ReferenceData!$AV$38),"")</f>
        <v/>
      </c>
      <c r="AW38">
        <f ca="1">IFERROR(IF(0=LEN(ReferenceData!$AW$38),"",ReferenceData!$AW$38),"")</f>
        <v>0</v>
      </c>
      <c r="AX38">
        <f ca="1">IFERROR(IF(0=LEN(ReferenceData!$AX$38),"",ReferenceData!$AX$38),"")</f>
        <v>3.4000000000000002E-2</v>
      </c>
      <c r="AY38">
        <f ca="1">IFERROR(IF(0=LEN(ReferenceData!$AY$38),"",ReferenceData!$AY$38),"")</f>
        <v>5.2999999999999999E-2</v>
      </c>
      <c r="AZ38">
        <f ca="1">IFERROR(IF(0=LEN(ReferenceData!$AZ$38),"",ReferenceData!$AZ$38),"")</f>
        <v>5.2999999999999999E-2</v>
      </c>
      <c r="BA38">
        <f ca="1">IFERROR(IF(0=LEN(ReferenceData!$BA$38),"",ReferenceData!$BA$38),"")</f>
        <v>5.1999999999999998E-2</v>
      </c>
      <c r="BB38">
        <f ca="1">IFERROR(IF(0=LEN(ReferenceData!$BB$38),"",ReferenceData!$BB$38),"")</f>
        <v>5.1999999999999998E-2</v>
      </c>
      <c r="BC38">
        <f ca="1">IFERROR(IF(0=LEN(ReferenceData!$BC$38),"",ReferenceData!$BC$38),"")</f>
        <v>5.2999999999999999E-2</v>
      </c>
      <c r="BD38">
        <f ca="1">IFERROR(IF(0=LEN(ReferenceData!$BD$38),"",ReferenceData!$BD$38),"")</f>
        <v>5.0999999999999997E-2</v>
      </c>
      <c r="BE38">
        <f ca="1">IFERROR(IF(0=LEN(ReferenceData!$BE$38),"",ReferenceData!$BE$38),"")</f>
        <v>0.10299999999999999</v>
      </c>
      <c r="BF38">
        <f ca="1">IFERROR(IF(0=LEN(ReferenceData!$BF$38),"",ReferenceData!$BF$38),"")</f>
        <v>0.11799999999999999</v>
      </c>
      <c r="BG38">
        <f ca="1">IFERROR(IF(0=LEN(ReferenceData!$BG$38),"",ReferenceData!$BG$38),"")</f>
        <v>0.13900000000000001</v>
      </c>
      <c r="BH38">
        <f ca="1">IFERROR(IF(0=LEN(ReferenceData!$BH$38),"",ReferenceData!$BH$38),"")</f>
        <v>0.14899999999999999</v>
      </c>
      <c r="BI38">
        <f ca="1">IFERROR(IF(0=LEN(ReferenceData!$BI$38),"",ReferenceData!$BI$38),"")</f>
        <v>0.14899999999999999</v>
      </c>
      <c r="BJ38">
        <f ca="1">IFERROR(IF(0=LEN(ReferenceData!$BJ$38),"",ReferenceData!$BJ$38),"")</f>
        <v>0.14499999999999999</v>
      </c>
      <c r="BK38">
        <f ca="1">IFERROR(IF(0=LEN(ReferenceData!$BK$38),"",ReferenceData!$BK$38),"")</f>
        <v>9.3000001999999998E-2</v>
      </c>
      <c r="BL38">
        <f ca="1">IFERROR(IF(0=LEN(ReferenceData!$BL$38),"",ReferenceData!$BL$38),"")</f>
        <v>0.215</v>
      </c>
      <c r="BM38">
        <f ca="1">IFERROR(IF(0=LEN(ReferenceData!$BM$38),"",ReferenceData!$BM$38),"")</f>
        <v>0.26600000000000001</v>
      </c>
    </row>
    <row r="39" spans="1:65">
      <c r="A39" t="str">
        <f>IFERROR(IF(0=LEN(ReferenceData!$A$39),"",ReferenceData!$A$39),"")</f>
        <v xml:space="preserve">    UDR Inc</v>
      </c>
      <c r="B39" t="str">
        <f>IFERROR(IF(0=LEN(ReferenceData!$B$39),"",ReferenceData!$B$39),"")</f>
        <v>UDR US Equity</v>
      </c>
      <c r="C39" t="str">
        <f>IFERROR(IF(0=LEN(ReferenceData!$C$39),"",ReferenceData!$C$39),"")</f>
        <v>IS019</v>
      </c>
      <c r="D39" t="str">
        <f>IFERROR(IF(0=LEN(ReferenceData!$D$39),"",ReferenceData!$D$39),"")</f>
        <v>IS_COMM_AND_FEE_EARN_INC_REO</v>
      </c>
      <c r="E39" t="str">
        <f>IFERROR(IF(0=LEN(ReferenceData!$E$39),"",ReferenceData!$E$39),"")</f>
        <v>动态</v>
      </c>
      <c r="F39" t="str">
        <f ca="1">IFERROR(IF(0=LEN(ReferenceData!$F$39),"",ReferenceData!$F$39),"")</f>
        <v/>
      </c>
      <c r="G39">
        <f ca="1">IFERROR(IF(0=LEN(ReferenceData!$G$39),"",ReferenceData!$G$39),"")</f>
        <v>0</v>
      </c>
      <c r="H39">
        <f ca="1">IFERROR(IF(0=LEN(ReferenceData!$H$39),"",ReferenceData!$H$39),"")</f>
        <v>0</v>
      </c>
      <c r="I39">
        <f ca="1">IFERROR(IF(0=LEN(ReferenceData!$I$39),"",ReferenceData!$I$39),"")</f>
        <v>0</v>
      </c>
      <c r="J39">
        <f ca="1">IFERROR(IF(0=LEN(ReferenceData!$J$39),"",ReferenceData!$J$39),"")</f>
        <v>0</v>
      </c>
      <c r="K39">
        <f ca="1">IFERROR(IF(0=LEN(ReferenceData!$K$39),"",ReferenceData!$K$39),"")</f>
        <v>0</v>
      </c>
      <c r="L39">
        <f ca="1">IFERROR(IF(0=LEN(ReferenceData!$L$39),"",ReferenceData!$L$39),"")</f>
        <v>0</v>
      </c>
      <c r="M39">
        <f ca="1">IFERROR(IF(0=LEN(ReferenceData!$M$39),"",ReferenceData!$M$39),"")</f>
        <v>0</v>
      </c>
      <c r="N39">
        <f ca="1">IFERROR(IF(0=LEN(ReferenceData!$N$39),"",ReferenceData!$N$39),"")</f>
        <v>0</v>
      </c>
      <c r="O39">
        <f ca="1">IFERROR(IF(0=LEN(ReferenceData!$O$39),"",ReferenceData!$O$39),"")</f>
        <v>0</v>
      </c>
      <c r="P39">
        <f ca="1">IFERROR(IF(0=LEN(ReferenceData!$P$39),"",ReferenceData!$P$39),"")</f>
        <v>0</v>
      </c>
      <c r="Q39">
        <f ca="1">IFERROR(IF(0=LEN(ReferenceData!$Q$39),"",ReferenceData!$Q$39),"")</f>
        <v>0</v>
      </c>
      <c r="R39">
        <f ca="1">IFERROR(IF(0=LEN(ReferenceData!$R$39),"",ReferenceData!$R$39),"")</f>
        <v>0</v>
      </c>
      <c r="S39">
        <f ca="1">IFERROR(IF(0=LEN(ReferenceData!$S$39),"",ReferenceData!$S$39),"")</f>
        <v>0</v>
      </c>
      <c r="T39">
        <f ca="1">IFERROR(IF(0=LEN(ReferenceData!$T$39),"",ReferenceData!$T$39),"")</f>
        <v>0</v>
      </c>
      <c r="U39">
        <f ca="1">IFERROR(IF(0=LEN(ReferenceData!$U$39),"",ReferenceData!$U$39),"")</f>
        <v>0</v>
      </c>
      <c r="V39">
        <f ca="1">IFERROR(IF(0=LEN(ReferenceData!$V$39),"",ReferenceData!$V$39),"")</f>
        <v>0</v>
      </c>
      <c r="W39">
        <f ca="1">IFERROR(IF(0=LEN(ReferenceData!$W$39),"",ReferenceData!$W$39),"")</f>
        <v>0</v>
      </c>
      <c r="X39">
        <f ca="1">IFERROR(IF(0=LEN(ReferenceData!$X$39),"",ReferenceData!$X$39),"")</f>
        <v>0</v>
      </c>
      <c r="Y39">
        <f ca="1">IFERROR(IF(0=LEN(ReferenceData!$Y$39),"",ReferenceData!$Y$39),"")</f>
        <v>0</v>
      </c>
      <c r="Z39">
        <f ca="1">IFERROR(IF(0=LEN(ReferenceData!$Z$39),"",ReferenceData!$Z$39),"")</f>
        <v>0</v>
      </c>
      <c r="AA39">
        <f ca="1">IFERROR(IF(0=LEN(ReferenceData!$AA$39),"",ReferenceData!$AA$39),"")</f>
        <v>0</v>
      </c>
      <c r="AB39">
        <f ca="1">IFERROR(IF(0=LEN(ReferenceData!$AB$39),"",ReferenceData!$AB$39),"")</f>
        <v>0</v>
      </c>
      <c r="AC39">
        <f ca="1">IFERROR(IF(0=LEN(ReferenceData!$AC$39),"",ReferenceData!$AC$39),"")</f>
        <v>0</v>
      </c>
      <c r="AD39">
        <f ca="1">IFERROR(IF(0=LEN(ReferenceData!$AD$39),"",ReferenceData!$AD$39),"")</f>
        <v>0</v>
      </c>
      <c r="AE39">
        <f ca="1">IFERROR(IF(0=LEN(ReferenceData!$AE$39),"",ReferenceData!$AE$39),"")</f>
        <v>0</v>
      </c>
      <c r="AF39">
        <f ca="1">IFERROR(IF(0=LEN(ReferenceData!$AF$39),"",ReferenceData!$AF$39),"")</f>
        <v>0</v>
      </c>
      <c r="AG39">
        <f ca="1">IFERROR(IF(0=LEN(ReferenceData!$AG$39),"",ReferenceData!$AG$39),"")</f>
        <v>0</v>
      </c>
      <c r="AH39">
        <f ca="1">IFERROR(IF(0=LEN(ReferenceData!$AH$39),"",ReferenceData!$AH$39),"")</f>
        <v>0</v>
      </c>
      <c r="AI39">
        <f ca="1">IFERROR(IF(0=LEN(ReferenceData!$AI$39),"",ReferenceData!$AI$39),"")</f>
        <v>0</v>
      </c>
      <c r="AJ39">
        <f ca="1">IFERROR(IF(0=LEN(ReferenceData!$AJ$39),"",ReferenceData!$AJ$39),"")</f>
        <v>0</v>
      </c>
      <c r="AK39">
        <f ca="1">IFERROR(IF(0=LEN(ReferenceData!$AK$39),"",ReferenceData!$AK$39),"")</f>
        <v>0</v>
      </c>
      <c r="AL39">
        <f ca="1">IFERROR(IF(0=LEN(ReferenceData!$AL$39),"",ReferenceData!$AL$39),"")</f>
        <v>0</v>
      </c>
      <c r="AM39">
        <f ca="1">IFERROR(IF(0=LEN(ReferenceData!$AM$39),"",ReferenceData!$AM$39),"")</f>
        <v>0</v>
      </c>
      <c r="AN39">
        <f ca="1">IFERROR(IF(0=LEN(ReferenceData!$AN$39),"",ReferenceData!$AN$39),"")</f>
        <v>0</v>
      </c>
      <c r="AO39">
        <f ca="1">IFERROR(IF(0=LEN(ReferenceData!$AO$39),"",ReferenceData!$AO$39),"")</f>
        <v>0</v>
      </c>
      <c r="AP39">
        <f ca="1">IFERROR(IF(0=LEN(ReferenceData!$AP$39),"",ReferenceData!$AP$39),"")</f>
        <v>0</v>
      </c>
      <c r="AQ39">
        <f ca="1">IFERROR(IF(0=LEN(ReferenceData!$AQ$39),"",ReferenceData!$AQ$39),"")</f>
        <v>0</v>
      </c>
      <c r="AR39">
        <f ca="1">IFERROR(IF(0=LEN(ReferenceData!$AR$39),"",ReferenceData!$AR$39),"")</f>
        <v>0</v>
      </c>
      <c r="AS39" t="str">
        <f ca="1">IFERROR(IF(0=LEN(ReferenceData!$AS$39),"",ReferenceData!$AS$39),"")</f>
        <v/>
      </c>
      <c r="AT39">
        <f ca="1">IFERROR(IF(0=LEN(ReferenceData!$AT$39),"",ReferenceData!$AT$39),"")</f>
        <v>0</v>
      </c>
      <c r="AU39">
        <f ca="1">IFERROR(IF(0=LEN(ReferenceData!$AU$39),"",ReferenceData!$AU$39),"")</f>
        <v>0</v>
      </c>
      <c r="AV39">
        <f ca="1">IFERROR(IF(0=LEN(ReferenceData!$AV$39),"",ReferenceData!$AV$39),"")</f>
        <v>0</v>
      </c>
      <c r="AW39">
        <f ca="1">IFERROR(IF(0=LEN(ReferenceData!$AW$39),"",ReferenceData!$AW$39),"")</f>
        <v>0</v>
      </c>
      <c r="AX39">
        <f ca="1">IFERROR(IF(0=LEN(ReferenceData!$AX$39),"",ReferenceData!$AX$39),"")</f>
        <v>0</v>
      </c>
      <c r="AY39">
        <f ca="1">IFERROR(IF(0=LEN(ReferenceData!$AY$39),"",ReferenceData!$AY$39),"")</f>
        <v>0</v>
      </c>
      <c r="AZ39">
        <f ca="1">IFERROR(IF(0=LEN(ReferenceData!$AZ$39),"",ReferenceData!$AZ$39),"")</f>
        <v>0</v>
      </c>
      <c r="BA39">
        <f ca="1">IFERROR(IF(0=LEN(ReferenceData!$BA$39),"",ReferenceData!$BA$39),"")</f>
        <v>0</v>
      </c>
      <c r="BB39">
        <f ca="1">IFERROR(IF(0=LEN(ReferenceData!$BB$39),"",ReferenceData!$BB$39),"")</f>
        <v>0</v>
      </c>
      <c r="BC39">
        <f ca="1">IFERROR(IF(0=LEN(ReferenceData!$BC$39),"",ReferenceData!$BC$39),"")</f>
        <v>0</v>
      </c>
      <c r="BD39">
        <f ca="1">IFERROR(IF(0=LEN(ReferenceData!$BD$39),"",ReferenceData!$BD$39),"")</f>
        <v>0</v>
      </c>
      <c r="BE39" t="str">
        <f ca="1">IFERROR(IF(0=LEN(ReferenceData!$BE$39),"",ReferenceData!$BE$39),"")</f>
        <v/>
      </c>
      <c r="BF39">
        <f ca="1">IFERROR(IF(0=LEN(ReferenceData!$BF$39),"",ReferenceData!$BF$39),"")</f>
        <v>0</v>
      </c>
      <c r="BG39">
        <f ca="1">IFERROR(IF(0=LEN(ReferenceData!$BG$39),"",ReferenceData!$BG$39),"")</f>
        <v>0</v>
      </c>
      <c r="BH39" t="str">
        <f ca="1">IFERROR(IF(0=LEN(ReferenceData!$BH$39),"",ReferenceData!$BH$39),"")</f>
        <v/>
      </c>
      <c r="BI39" t="str">
        <f ca="1">IFERROR(IF(0=LEN(ReferenceData!$BI$39),"",ReferenceData!$BI$39),"")</f>
        <v/>
      </c>
      <c r="BJ39" t="str">
        <f ca="1">IFERROR(IF(0=LEN(ReferenceData!$BJ$39),"",ReferenceData!$BJ$39),"")</f>
        <v/>
      </c>
      <c r="BK39" t="str">
        <f ca="1">IFERROR(IF(0=LEN(ReferenceData!$BK$39),"",ReferenceData!$BK$39),"")</f>
        <v/>
      </c>
      <c r="BL39" t="str">
        <f ca="1">IFERROR(IF(0=LEN(ReferenceData!$BL$39),"",ReferenceData!$BL$39),"")</f>
        <v/>
      </c>
      <c r="BM39" t="str">
        <f ca="1">IFERROR(IF(0=LEN(ReferenceData!$BM$39),"",ReferenceData!$BM$39),"")</f>
        <v/>
      </c>
    </row>
    <row r="40" spans="1:65">
      <c r="A40" t="str">
        <f>IFERROR(IF(0=LEN(ReferenceData!$A$40),"",ReferenceData!$A$40),"")</f>
        <v>总收入</v>
      </c>
      <c r="B40" t="str">
        <f>IFERROR(IF(0=LEN(ReferenceData!$B$40),"",ReferenceData!$B$40),"")</f>
        <v/>
      </c>
      <c r="C40" t="str">
        <f>IFERROR(IF(0=LEN(ReferenceData!$C$40),"",ReferenceData!$C$40),"")</f>
        <v/>
      </c>
      <c r="D40" t="str">
        <f>IFERROR(IF(0=LEN(ReferenceData!$D$40),"",ReferenceData!$D$40),"")</f>
        <v/>
      </c>
      <c r="E40" t="str">
        <f>IFERROR(IF(0=LEN(ReferenceData!$E$40),"",ReferenceData!$E$40),"")</f>
        <v>Median</v>
      </c>
      <c r="F40" t="str">
        <f ca="1">IFERROR(IF(0=LEN(ReferenceData!$F$40),"",ReferenceData!$F$40),"")</f>
        <v/>
      </c>
      <c r="G40">
        <f ca="1">IFERROR(IF(0=LEN(ReferenceData!$G$40),"",ReferenceData!$G$40),"")</f>
        <v>298.97199999999998</v>
      </c>
      <c r="H40">
        <f ca="1">IFERROR(IF(0=LEN(ReferenceData!$H$40),"",ReferenceData!$H$40),"")</f>
        <v>297.73</v>
      </c>
      <c r="I40">
        <f ca="1">IFERROR(IF(0=LEN(ReferenceData!$I$40),"",ReferenceData!$I$40),"")</f>
        <v>293.52050000000003</v>
      </c>
      <c r="J40">
        <f ca="1">IFERROR(IF(0=LEN(ReferenceData!$J$40),"",ReferenceData!$J$40),"")</f>
        <v>289.6225</v>
      </c>
      <c r="K40">
        <f ca="1">IFERROR(IF(0=LEN(ReferenceData!$K$40),"",ReferenceData!$K$40),"")</f>
        <v>275.10300000000001</v>
      </c>
      <c r="L40">
        <f ca="1">IFERROR(IF(0=LEN(ReferenceData!$L$40),"",ReferenceData!$L$40),"")</f>
        <v>260.07500000000005</v>
      </c>
      <c r="M40">
        <f ca="1">IFERROR(IF(0=LEN(ReferenceData!$M$40),"",ReferenceData!$M$40),"")</f>
        <v>255.511</v>
      </c>
      <c r="N40">
        <f ca="1">IFERROR(IF(0=LEN(ReferenceData!$N$40),"",ReferenceData!$N$40),"")</f>
        <v>251.91550000000001</v>
      </c>
      <c r="O40">
        <f ca="1">IFERROR(IF(0=LEN(ReferenceData!$O$40),"",ReferenceData!$O$40),"")</f>
        <v>250.471</v>
      </c>
      <c r="P40">
        <f ca="1">IFERROR(IF(0=LEN(ReferenceData!$P$40),"",ReferenceData!$P$40),"")</f>
        <v>241.708</v>
      </c>
      <c r="Q40">
        <f ca="1">IFERROR(IF(0=LEN(ReferenceData!$Q$40),"",ReferenceData!$Q$40),"")</f>
        <v>237.37650000000002</v>
      </c>
      <c r="R40">
        <f ca="1">IFERROR(IF(0=LEN(ReferenceData!$R$40),"",ReferenceData!$R$40),"")</f>
        <v>239.1525</v>
      </c>
      <c r="S40">
        <f ca="1">IFERROR(IF(0=LEN(ReferenceData!$S$40),"",ReferenceData!$S$40),"")</f>
        <v>236.1045</v>
      </c>
      <c r="T40">
        <f ca="1">IFERROR(IF(0=LEN(ReferenceData!$T$40),"",ReferenceData!$T$40),"")</f>
        <v>232.4015</v>
      </c>
      <c r="U40">
        <f ca="1">IFERROR(IF(0=LEN(ReferenceData!$U$40),"",ReferenceData!$U$40),"")</f>
        <v>227.97200000000001</v>
      </c>
      <c r="V40">
        <f ca="1">IFERROR(IF(0=LEN(ReferenceData!$V$40),"",ReferenceData!$V$40),"")</f>
        <v>203.49549999999999</v>
      </c>
      <c r="W40">
        <f ca="1">IFERROR(IF(0=LEN(ReferenceData!$W$40),"",ReferenceData!$W$40),"")</f>
        <v>200.303</v>
      </c>
      <c r="X40">
        <f ca="1">IFERROR(IF(0=LEN(ReferenceData!$X$40),"",ReferenceData!$X$40),"")</f>
        <v>175.07749999999999</v>
      </c>
      <c r="Y40">
        <f ca="1">IFERROR(IF(0=LEN(ReferenceData!$Y$40),"",ReferenceData!$Y$40),"")</f>
        <v>171.357</v>
      </c>
      <c r="Z40">
        <f ca="1">IFERROR(IF(0=LEN(ReferenceData!$Z$40),"",ReferenceData!$Z$40),"")</f>
        <v>174.023</v>
      </c>
      <c r="AA40">
        <f ca="1">IFERROR(IF(0=LEN(ReferenceData!$AA$40),"",ReferenceData!$AA$40),"")</f>
        <v>166.1585</v>
      </c>
      <c r="AB40">
        <f ca="1">IFERROR(IF(0=LEN(ReferenceData!$AB$40),"",ReferenceData!$AB$40),"")</f>
        <v>161.47300000000001</v>
      </c>
      <c r="AC40">
        <f ca="1">IFERROR(IF(0=LEN(ReferenceData!$AC$40),"",ReferenceData!$AC$40),"")</f>
        <v>156.37650000000002</v>
      </c>
      <c r="AD40">
        <f ca="1">IFERROR(IF(0=LEN(ReferenceData!$AD$40),"",ReferenceData!$AD$40),"")</f>
        <v>150.27000000000001</v>
      </c>
      <c r="AE40">
        <f ca="1">IFERROR(IF(0=LEN(ReferenceData!$AE$40),"",ReferenceData!$AE$40),"")</f>
        <v>143.23750000000001</v>
      </c>
      <c r="AF40">
        <f ca="1">IFERROR(IF(0=LEN(ReferenceData!$AF$40),"",ReferenceData!$AF$40),"")</f>
        <v>143.018</v>
      </c>
      <c r="AG40">
        <f ca="1">IFERROR(IF(0=LEN(ReferenceData!$AG$40),"",ReferenceData!$AG$40),"")</f>
        <v>134.90800000000002</v>
      </c>
      <c r="AH40">
        <f ca="1">IFERROR(IF(0=LEN(ReferenceData!$AH$40),"",ReferenceData!$AH$40),"")</f>
        <v>127.39000000000001</v>
      </c>
      <c r="AI40">
        <f ca="1">IFERROR(IF(0=LEN(ReferenceData!$AI$40),"",ReferenceData!$AI$40),"")</f>
        <v>130.47649999999999</v>
      </c>
      <c r="AJ40">
        <f ca="1">IFERROR(IF(0=LEN(ReferenceData!$AJ$40),"",ReferenceData!$AJ$40),"")</f>
        <v>128.32900000000001</v>
      </c>
      <c r="AK40">
        <f ca="1">IFERROR(IF(0=LEN(ReferenceData!$AK$40),"",ReferenceData!$AK$40),"")</f>
        <v>124.444</v>
      </c>
      <c r="AL40">
        <f ca="1">IFERROR(IF(0=LEN(ReferenceData!$AL$40),"",ReferenceData!$AL$40),"")</f>
        <v>123.904</v>
      </c>
      <c r="AM40">
        <f ca="1">IFERROR(IF(0=LEN(ReferenceData!$AM$40),"",ReferenceData!$AM$40),"")</f>
        <v>125.276</v>
      </c>
      <c r="AN40">
        <f ca="1">IFERROR(IF(0=LEN(ReferenceData!$AN$40),"",ReferenceData!$AN$40),"")</f>
        <v>126.5385</v>
      </c>
      <c r="AO40">
        <f ca="1">IFERROR(IF(0=LEN(ReferenceData!$AO$40),"",ReferenceData!$AO$40),"")</f>
        <v>129.71699999999998</v>
      </c>
      <c r="AP40">
        <f ca="1">IFERROR(IF(0=LEN(ReferenceData!$AP$40),"",ReferenceData!$AP$40),"")</f>
        <v>130.375</v>
      </c>
      <c r="AQ40">
        <f ca="1">IFERROR(IF(0=LEN(ReferenceData!$AQ$40),"",ReferenceData!$AQ$40),"")</f>
        <v>130.1345</v>
      </c>
      <c r="AR40">
        <f ca="1">IFERROR(IF(0=LEN(ReferenceData!$AR$40),"",ReferenceData!$AR$40),"")</f>
        <v>130.31800000000001</v>
      </c>
      <c r="AS40">
        <f ca="1">IFERROR(IF(0=LEN(ReferenceData!$AS$40),"",ReferenceData!$AS$40),"")</f>
        <v>124.096</v>
      </c>
      <c r="AT40">
        <f ca="1">IFERROR(IF(0=LEN(ReferenceData!$AT$40),"",ReferenceData!$AT$40),"")</f>
        <v>116.904</v>
      </c>
      <c r="AU40">
        <f ca="1">IFERROR(IF(0=LEN(ReferenceData!$AU$40),"",ReferenceData!$AU$40),"")</f>
        <v>115.0945</v>
      </c>
      <c r="AV40">
        <f ca="1">IFERROR(IF(0=LEN(ReferenceData!$AV$40),"",ReferenceData!$AV$40),"")</f>
        <v>115.3835</v>
      </c>
      <c r="AW40">
        <f ca="1">IFERROR(IF(0=LEN(ReferenceData!$AW$40),"",ReferenceData!$AW$40),"")</f>
        <v>112.824</v>
      </c>
      <c r="AX40">
        <f ca="1">IFERROR(IF(0=LEN(ReferenceData!$AX$40),"",ReferenceData!$AX$40),"")</f>
        <v>109.65300000000001</v>
      </c>
      <c r="AY40">
        <f ca="1">IFERROR(IF(0=LEN(ReferenceData!$AY$40),"",ReferenceData!$AY$40),"")</f>
        <v>105.977</v>
      </c>
      <c r="AZ40">
        <f ca="1">IFERROR(IF(0=LEN(ReferenceData!$AZ$40),"",ReferenceData!$AZ$40),"")</f>
        <v>122.8235</v>
      </c>
      <c r="BA40">
        <f ca="1">IFERROR(IF(0=LEN(ReferenceData!$BA$40),"",ReferenceData!$BA$40),"")</f>
        <v>118.2855</v>
      </c>
      <c r="BB40">
        <f ca="1">IFERROR(IF(0=LEN(ReferenceData!$BB$40),"",ReferenceData!$BB$40),"")</f>
        <v>117.2475</v>
      </c>
      <c r="BC40">
        <f ca="1">IFERROR(IF(0=LEN(ReferenceData!$BC$40),"",ReferenceData!$BC$40),"")</f>
        <v>108.99450000000002</v>
      </c>
      <c r="BD40">
        <f ca="1">IFERROR(IF(0=LEN(ReferenceData!$BD$40),"",ReferenceData!$BD$40),"")</f>
        <v>116.00149999999999</v>
      </c>
      <c r="BE40">
        <f ca="1">IFERROR(IF(0=LEN(ReferenceData!$BE$40),"",ReferenceData!$BE$40),"")</f>
        <v>110.3105</v>
      </c>
      <c r="BF40">
        <f ca="1">IFERROR(IF(0=LEN(ReferenceData!$BF$40),"",ReferenceData!$BF$40),"")</f>
        <v>102.87700000000001</v>
      </c>
      <c r="BG40">
        <f ca="1">IFERROR(IF(0=LEN(ReferenceData!$BG$40),"",ReferenceData!$BG$40),"")</f>
        <v>105.322</v>
      </c>
      <c r="BH40">
        <f ca="1">IFERROR(IF(0=LEN(ReferenceData!$BH$40),"",ReferenceData!$BH$40),"")</f>
        <v>104.788</v>
      </c>
      <c r="BI40">
        <f ca="1">IFERROR(IF(0=LEN(ReferenceData!$BI$40),"",ReferenceData!$BI$40),"")</f>
        <v>106.03299699999999</v>
      </c>
      <c r="BJ40">
        <f ca="1">IFERROR(IF(0=LEN(ReferenceData!$BJ$40),"",ReferenceData!$BJ$40),"")</f>
        <v>111.23200199999999</v>
      </c>
      <c r="BK40">
        <f ca="1">IFERROR(IF(0=LEN(ReferenceData!$BK$40),"",ReferenceData!$BK$40),"")</f>
        <v>108.0749969</v>
      </c>
      <c r="BL40">
        <f ca="1">IFERROR(IF(0=LEN(ReferenceData!$BL$40),"",ReferenceData!$BL$40),"")</f>
        <v>123.64700049999999</v>
      </c>
      <c r="BM40">
        <f ca="1">IFERROR(IF(0=LEN(ReferenceData!$BM$40),"",ReferenceData!$BM$40),"")</f>
        <v>123.65550099999999</v>
      </c>
    </row>
    <row r="41" spans="1:65">
      <c r="A41" t="str">
        <f>IFERROR(IF(0=LEN(ReferenceData!$A$41),"",ReferenceData!$A$41),"")</f>
        <v xml:space="preserve">    American Campus Communities In</v>
      </c>
      <c r="B41" t="str">
        <f>IFERROR(IF(0=LEN(ReferenceData!$B$41),"",ReferenceData!$B$41),"")</f>
        <v>ACC US Equity</v>
      </c>
      <c r="C41" t="str">
        <f>IFERROR(IF(0=LEN(ReferenceData!$C$41),"",ReferenceData!$C$41),"")</f>
        <v>IS010</v>
      </c>
      <c r="D41" t="str">
        <f>IFERROR(IF(0=LEN(ReferenceData!$D$41),"",ReferenceData!$D$41),"")</f>
        <v>SALES_REV_TURN</v>
      </c>
      <c r="E41" t="str">
        <f>IFERROR(IF(0=LEN(ReferenceData!$E$41),"",ReferenceData!$E$41),"")</f>
        <v>动态</v>
      </c>
      <c r="F41" t="str">
        <f ca="1">IFERROR(IF(0=LEN(ReferenceData!$F$41),"",ReferenceData!$F$41),"")</f>
        <v/>
      </c>
      <c r="G41">
        <f ca="1">IFERROR(IF(0=LEN(ReferenceData!$G$41),"",ReferenceData!$G$41),"")</f>
        <v>227.56299999999999</v>
      </c>
      <c r="H41">
        <f ca="1">IFERROR(IF(0=LEN(ReferenceData!$H$41),"",ReferenceData!$H$41),"")</f>
        <v>196.93799999999999</v>
      </c>
      <c r="I41">
        <f ca="1">IFERROR(IF(0=LEN(ReferenceData!$I$41),"",ReferenceData!$I$41),"")</f>
        <v>179.00800000000001</v>
      </c>
      <c r="J41">
        <f ca="1">IFERROR(IF(0=LEN(ReferenceData!$J$41),"",ReferenceData!$J$41),"")</f>
        <v>192.93799999999999</v>
      </c>
      <c r="K41">
        <f ca="1">IFERROR(IF(0=LEN(ReferenceData!$K$41),"",ReferenceData!$K$41),"")</f>
        <v>203.97200000000001</v>
      </c>
      <c r="L41">
        <f ca="1">IFERROR(IF(0=LEN(ReferenceData!$L$41),"",ReferenceData!$L$41),"")</f>
        <v>196.411</v>
      </c>
      <c r="M41">
        <f ca="1">IFERROR(IF(0=LEN(ReferenceData!$M$41),"",ReferenceData!$M$41),"")</f>
        <v>185.983</v>
      </c>
      <c r="N41">
        <f ca="1">IFERROR(IF(0=LEN(ReferenceData!$N$41),"",ReferenceData!$N$41),"")</f>
        <v>199.995</v>
      </c>
      <c r="O41">
        <f ca="1">IFERROR(IF(0=LEN(ReferenceData!$O$41),"",ReferenceData!$O$41),"")</f>
        <v>202.19800000000001</v>
      </c>
      <c r="P41">
        <f ca="1">IFERROR(IF(0=LEN(ReferenceData!$P$41),"",ReferenceData!$P$41),"")</f>
        <v>180.816</v>
      </c>
      <c r="Q41">
        <f ca="1">IFERROR(IF(0=LEN(ReferenceData!$Q$41),"",ReferenceData!$Q$41),"")</f>
        <v>177.874</v>
      </c>
      <c r="R41">
        <f ca="1">IFERROR(IF(0=LEN(ReferenceData!$R$41),"",ReferenceData!$R$41),"")</f>
        <v>192.49299999999999</v>
      </c>
      <c r="S41">
        <f ca="1">IFERROR(IF(0=LEN(ReferenceData!$S$41),"",ReferenceData!$S$41),"")</f>
        <v>196.81899999999999</v>
      </c>
      <c r="T41">
        <f ca="1">IFERROR(IF(0=LEN(ReferenceData!$T$41),"",ReferenceData!$T$41),"")</f>
        <v>181.93600000000001</v>
      </c>
      <c r="U41">
        <f ca="1">IFERROR(IF(0=LEN(ReferenceData!$U$41),"",ReferenceData!$U$41),"")</f>
        <v>171.977</v>
      </c>
      <c r="V41">
        <f ca="1">IFERROR(IF(0=LEN(ReferenceData!$V$41),"",ReferenceData!$V$41),"")</f>
        <v>183.18299999999999</v>
      </c>
      <c r="W41">
        <f ca="1">IFERROR(IF(0=LEN(ReferenceData!$W$41),"",ReferenceData!$W$41),"")</f>
        <v>182.69399999999999</v>
      </c>
      <c r="X41">
        <f ca="1">IFERROR(IF(0=LEN(ReferenceData!$X$41),"",ReferenceData!$X$41),"")</f>
        <v>159.03100000000001</v>
      </c>
      <c r="Y41">
        <f ca="1">IFERROR(IF(0=LEN(ReferenceData!$Y$41),"",ReferenceData!$Y$41),"")</f>
        <v>153.21199999999999</v>
      </c>
      <c r="Z41">
        <f ca="1">IFERROR(IF(0=LEN(ReferenceData!$Z$41),"",ReferenceData!$Z$41),"")</f>
        <v>163.16200000000001</v>
      </c>
      <c r="AA41">
        <f ca="1">IFERROR(IF(0=LEN(ReferenceData!$AA$41),"",ReferenceData!$AA$41),"")</f>
        <v>149.28299999999999</v>
      </c>
      <c r="AB41">
        <f ca="1">IFERROR(IF(0=LEN(ReferenceData!$AB$41),"",ReferenceData!$AB$41),"")</f>
        <v>112.75700000000001</v>
      </c>
      <c r="AC41">
        <f ca="1">IFERROR(IF(0=LEN(ReferenceData!$AC$41),"",ReferenceData!$AC$41),"")</f>
        <v>100.911</v>
      </c>
      <c r="AD41">
        <f ca="1">IFERROR(IF(0=LEN(ReferenceData!$AD$41),"",ReferenceData!$AD$41),"")</f>
        <v>106.98099999999999</v>
      </c>
      <c r="AE41">
        <f ca="1">IFERROR(IF(0=LEN(ReferenceData!$AE$41),"",ReferenceData!$AE$41),"")</f>
        <v>104.934</v>
      </c>
      <c r="AF41">
        <f ca="1">IFERROR(IF(0=LEN(ReferenceData!$AF$41),"",ReferenceData!$AF$41),"")</f>
        <v>95.2</v>
      </c>
      <c r="AG41">
        <f ca="1">IFERROR(IF(0=LEN(ReferenceData!$AG$41),"",ReferenceData!$AG$41),"")</f>
        <v>89.093000000000004</v>
      </c>
      <c r="AH41">
        <f ca="1">IFERROR(IF(0=LEN(ReferenceData!$AH$41),"",ReferenceData!$AH$41),"")</f>
        <v>99.266999999999996</v>
      </c>
      <c r="AI41">
        <f ca="1">IFERROR(IF(0=LEN(ReferenceData!$AI$41),"",ReferenceData!$AI$41),"")</f>
        <v>94.123999999999995</v>
      </c>
      <c r="AJ41">
        <f ca="1">IFERROR(IF(0=LEN(ReferenceData!$AJ$41),"",ReferenceData!$AJ$41),"")</f>
        <v>85.734999999999999</v>
      </c>
      <c r="AK41">
        <f ca="1">IFERROR(IF(0=LEN(ReferenceData!$AK$41),"",ReferenceData!$AK$41),"")</f>
        <v>73.908000000000001</v>
      </c>
      <c r="AL41">
        <f ca="1">IFERROR(IF(0=LEN(ReferenceData!$AL$41),"",ReferenceData!$AL$41),"")</f>
        <v>79.97</v>
      </c>
      <c r="AM41">
        <f ca="1">IFERROR(IF(0=LEN(ReferenceData!$AM$41),"",ReferenceData!$AM$41),"")</f>
        <v>81.509</v>
      </c>
      <c r="AN41">
        <f ca="1">IFERROR(IF(0=LEN(ReferenceData!$AN$41),"",ReferenceData!$AN$41),"")</f>
        <v>76.423000000000002</v>
      </c>
      <c r="AO41">
        <f ca="1">IFERROR(IF(0=LEN(ReferenceData!$AO$41),"",ReferenceData!$AO$41),"")</f>
        <v>71.271000000000001</v>
      </c>
      <c r="AP41">
        <f ca="1">IFERROR(IF(0=LEN(ReferenceData!$AP$41),"",ReferenceData!$AP$41),"")</f>
        <v>75.742999999999995</v>
      </c>
      <c r="AQ41">
        <f ca="1">IFERROR(IF(0=LEN(ReferenceData!$AQ$41),"",ReferenceData!$AQ$41),"")</f>
        <v>78.290000000000006</v>
      </c>
      <c r="AR41">
        <f ca="1">IFERROR(IF(0=LEN(ReferenceData!$AR$41),"",ReferenceData!$AR$41),"")</f>
        <v>72.134</v>
      </c>
      <c r="AS41">
        <f ca="1">IFERROR(IF(0=LEN(ReferenceData!$AS$41),"",ReferenceData!$AS$41),"")</f>
        <v>43.548000000000002</v>
      </c>
      <c r="AT41">
        <f ca="1">IFERROR(IF(0=LEN(ReferenceData!$AT$41),"",ReferenceData!$AT$41),"")</f>
        <v>41.603000000000002</v>
      </c>
      <c r="AU41">
        <f ca="1">IFERROR(IF(0=LEN(ReferenceData!$AU$41),"",ReferenceData!$AU$41),"")</f>
        <v>42.536000000000001</v>
      </c>
      <c r="AV41">
        <f ca="1">IFERROR(IF(0=LEN(ReferenceData!$AV$41),"",ReferenceData!$AV$41),"")</f>
        <v>36.738999999999997</v>
      </c>
      <c r="AW41">
        <f ca="1">IFERROR(IF(0=LEN(ReferenceData!$AW$41),"",ReferenceData!$AW$41),"")</f>
        <v>33.68</v>
      </c>
      <c r="AX41">
        <f ca="1">IFERROR(IF(0=LEN(ReferenceData!$AX$41),"",ReferenceData!$AX$41),"")</f>
        <v>35.656999999999996</v>
      </c>
      <c r="AY41">
        <f ca="1">IFERROR(IF(0=LEN(ReferenceData!$AY$41),"",ReferenceData!$AY$41),"")</f>
        <v>34.122999999999998</v>
      </c>
      <c r="AZ41">
        <f ca="1">IFERROR(IF(0=LEN(ReferenceData!$AZ$41),"",ReferenceData!$AZ$41),"")</f>
        <v>31.152999999999999</v>
      </c>
      <c r="BA41">
        <f ca="1">IFERROR(IF(0=LEN(ReferenceData!$BA$41),"",ReferenceData!$BA$41),"")</f>
        <v>27.994</v>
      </c>
      <c r="BB41">
        <f ca="1">IFERROR(IF(0=LEN(ReferenceData!$BB$41),"",ReferenceData!$BB$41),"")</f>
        <v>26.911999999999999</v>
      </c>
      <c r="BC41">
        <f ca="1">IFERROR(IF(0=LEN(ReferenceData!$BC$41),"",ReferenceData!$BC$41),"")</f>
        <v>24.72</v>
      </c>
      <c r="BD41">
        <f ca="1">IFERROR(IF(0=LEN(ReferenceData!$BD$41),"",ReferenceData!$BD$41),"")</f>
        <v>21.244</v>
      </c>
      <c r="BE41">
        <f ca="1">IFERROR(IF(0=LEN(ReferenceData!$BE$41),"",ReferenceData!$BE$41),"")</f>
        <v>20.050999999999998</v>
      </c>
      <c r="BF41">
        <f ca="1">IFERROR(IF(0=LEN(ReferenceData!$BF$41),"",ReferenceData!$BF$41),"")</f>
        <v>19.599</v>
      </c>
      <c r="BG41">
        <f ca="1">IFERROR(IF(0=LEN(ReferenceData!$BG$41),"",ReferenceData!$BG$41),"")</f>
        <v>18.207000000000001</v>
      </c>
      <c r="BH41">
        <f ca="1">IFERROR(IF(0=LEN(ReferenceData!$BH$41),"",ReferenceData!$BH$41),"")</f>
        <v>8.3409999999999993</v>
      </c>
      <c r="BI41">
        <f ca="1">IFERROR(IF(0=LEN(ReferenceData!$BI$41),"",ReferenceData!$BI$41),"")</f>
        <v>13.84300041</v>
      </c>
      <c r="BJ41">
        <f ca="1">IFERROR(IF(0=LEN(ReferenceData!$BJ$41),"",ReferenceData!$BJ$41),"")</f>
        <v>16.184999470000001</v>
      </c>
      <c r="BK41">
        <f ca="1">IFERROR(IF(0=LEN(ReferenceData!$BK$41),"",ReferenceData!$BK$41),"")</f>
        <v>15.26299953</v>
      </c>
      <c r="BL41" t="str">
        <f ca="1">IFERROR(IF(0=LEN(ReferenceData!$BL$41),"",ReferenceData!$BL$41),"")</f>
        <v/>
      </c>
      <c r="BM41" t="str">
        <f ca="1">IFERROR(IF(0=LEN(ReferenceData!$BM$41),"",ReferenceData!$BM$41),"")</f>
        <v/>
      </c>
    </row>
    <row r="42" spans="1:65">
      <c r="A42" t="str">
        <f>IFERROR(IF(0=LEN(ReferenceData!$A$42),"",ReferenceData!$A$42),"")</f>
        <v xml:space="preserve">    AvalonBay Communities Inc</v>
      </c>
      <c r="B42" t="str">
        <f>IFERROR(IF(0=LEN(ReferenceData!$B$42),"",ReferenceData!$B$42),"")</f>
        <v>AVB US Equity</v>
      </c>
      <c r="C42" t="str">
        <f>IFERROR(IF(0=LEN(ReferenceData!$C$42),"",ReferenceData!$C$42),"")</f>
        <v>IS010</v>
      </c>
      <c r="D42" t="str">
        <f>IFERROR(IF(0=LEN(ReferenceData!$D$42),"",ReferenceData!$D$42),"")</f>
        <v>SALES_REV_TURN</v>
      </c>
      <c r="E42" t="str">
        <f>IFERROR(IF(0=LEN(ReferenceData!$E$42),"",ReferenceData!$E$42),"")</f>
        <v>动态</v>
      </c>
      <c r="F42" t="str">
        <f ca="1">IFERROR(IF(0=LEN(ReferenceData!$F$42),"",ReferenceData!$F$42),"")</f>
        <v/>
      </c>
      <c r="G42">
        <f ca="1">IFERROR(IF(0=LEN(ReferenceData!$G$42),"",ReferenceData!$G$42),"")</f>
        <v>555.29200000000003</v>
      </c>
      <c r="H42">
        <f ca="1">IFERROR(IF(0=LEN(ReferenceData!$H$42),"",ReferenceData!$H$42),"")</f>
        <v>550.5</v>
      </c>
      <c r="I42">
        <f ca="1">IFERROR(IF(0=LEN(ReferenceData!$I$42),"",ReferenceData!$I$42),"")</f>
        <v>530.51199999999994</v>
      </c>
      <c r="J42">
        <f ca="1">IFERROR(IF(0=LEN(ReferenceData!$J$42),"",ReferenceData!$J$42),"")</f>
        <v>522.32600000000002</v>
      </c>
      <c r="K42">
        <f ca="1">IFERROR(IF(0=LEN(ReferenceData!$K$42),"",ReferenceData!$K$42),"")</f>
        <v>518.24</v>
      </c>
      <c r="L42">
        <f ca="1">IFERROR(IF(0=LEN(ReferenceData!$L$42),"",ReferenceData!$L$42),"")</f>
        <v>516.21100000000001</v>
      </c>
      <c r="M42">
        <f ca="1">IFERROR(IF(0=LEN(ReferenceData!$M$42),"",ReferenceData!$M$42),"")</f>
        <v>502.30700000000002</v>
      </c>
      <c r="N42">
        <f ca="1">IFERROR(IF(0=LEN(ReferenceData!$N$42),"",ReferenceData!$N$42),"")</f>
        <v>508.49799999999999</v>
      </c>
      <c r="O42">
        <f ca="1">IFERROR(IF(0=LEN(ReferenceData!$O$42),"",ReferenceData!$O$42),"")</f>
        <v>480.84</v>
      </c>
      <c r="P42">
        <f ca="1">IFERROR(IF(0=LEN(ReferenceData!$P$42),"",ReferenceData!$P$42),"")</f>
        <v>475.36</v>
      </c>
      <c r="Q42">
        <f ca="1">IFERROR(IF(0=LEN(ReferenceData!$Q$42),"",ReferenceData!$Q$42),"")</f>
        <v>457.459</v>
      </c>
      <c r="R42">
        <f ca="1">IFERROR(IF(0=LEN(ReferenceData!$R$42),"",ReferenceData!$R$42),"")</f>
        <v>442.36700000000002</v>
      </c>
      <c r="S42">
        <f ca="1">IFERROR(IF(0=LEN(ReferenceData!$S$42),"",ReferenceData!$S$42),"")</f>
        <v>440.65600000000001</v>
      </c>
      <c r="T42">
        <f ca="1">IFERROR(IF(0=LEN(ReferenceData!$T$42),"",ReferenceData!$T$42),"")</f>
        <v>430.52499999999998</v>
      </c>
      <c r="U42">
        <f ca="1">IFERROR(IF(0=LEN(ReferenceData!$U$42),"",ReferenceData!$U$42),"")</f>
        <v>413.80599999999998</v>
      </c>
      <c r="V42">
        <f ca="1">IFERROR(IF(0=LEN(ReferenceData!$V$42),"",ReferenceData!$V$42),"")</f>
        <v>400.07499999999999</v>
      </c>
      <c r="W42">
        <f ca="1">IFERROR(IF(0=LEN(ReferenceData!$W$42),"",ReferenceData!$W$42),"")</f>
        <v>394.16899999999998</v>
      </c>
      <c r="X42">
        <f ca="1">IFERROR(IF(0=LEN(ReferenceData!$X$42),"",ReferenceData!$X$42),"")</f>
        <v>389.18900000000002</v>
      </c>
      <c r="Y42">
        <f ca="1">IFERROR(IF(0=LEN(ReferenceData!$Y$42),"",ReferenceData!$Y$42),"")</f>
        <v>378.20699999999999</v>
      </c>
      <c r="Z42">
        <f ca="1">IFERROR(IF(0=LEN(ReferenceData!$Z$42),"",ReferenceData!$Z$42),"")</f>
        <v>301.35700000000003</v>
      </c>
      <c r="AA42">
        <f ca="1">IFERROR(IF(0=LEN(ReferenceData!$AA$42),"",ReferenceData!$AA$42),"")</f>
        <v>261.57400000000001</v>
      </c>
      <c r="AB42">
        <f ca="1">IFERROR(IF(0=LEN(ReferenceData!$AB$42),"",ReferenceData!$AB$42),"")</f>
        <v>261.32100000000003</v>
      </c>
      <c r="AC42">
        <f ca="1">IFERROR(IF(0=LEN(ReferenceData!$AC$42),"",ReferenceData!$AC$42),"")</f>
        <v>252.44499999999999</v>
      </c>
      <c r="AD42">
        <f ca="1">IFERROR(IF(0=LEN(ReferenceData!$AD$42),"",ReferenceData!$AD$42),"")</f>
        <v>246.03200000000001</v>
      </c>
      <c r="AE42">
        <f ca="1">IFERROR(IF(0=LEN(ReferenceData!$AE$42),"",ReferenceData!$AE$42),"")</f>
        <v>243.089</v>
      </c>
      <c r="AF42">
        <f ca="1">IFERROR(IF(0=LEN(ReferenceData!$AF$42),"",ReferenceData!$AF$42),"")</f>
        <v>243.71899999999999</v>
      </c>
      <c r="AG42">
        <f ca="1">IFERROR(IF(0=LEN(ReferenceData!$AG$42),"",ReferenceData!$AG$42),"")</f>
        <v>235.58099999999999</v>
      </c>
      <c r="AH42">
        <f ca="1">IFERROR(IF(0=LEN(ReferenceData!$AH$42),"",ReferenceData!$AH$42),"")</f>
        <v>228.53</v>
      </c>
      <c r="AI42">
        <f ca="1">IFERROR(IF(0=LEN(ReferenceData!$AI$42),"",ReferenceData!$AI$42),"")</f>
        <v>226.55199999999999</v>
      </c>
      <c r="AJ42">
        <f ca="1">IFERROR(IF(0=LEN(ReferenceData!$AJ$42),"",ReferenceData!$AJ$42),"")</f>
        <v>225.55799999999999</v>
      </c>
      <c r="AK42">
        <f ca="1">IFERROR(IF(0=LEN(ReferenceData!$AK$42),"",ReferenceData!$AK$42),"")</f>
        <v>220.34200000000001</v>
      </c>
      <c r="AL42">
        <f ca="1">IFERROR(IF(0=LEN(ReferenceData!$AL$42),"",ReferenceData!$AL$42),"")</f>
        <v>215.44900000000001</v>
      </c>
      <c r="AM42">
        <f ca="1">IFERROR(IF(0=LEN(ReferenceData!$AM$42),"",ReferenceData!$AM$42),"")</f>
        <v>214.292</v>
      </c>
      <c r="AN42">
        <f ca="1">IFERROR(IF(0=LEN(ReferenceData!$AN$42),"",ReferenceData!$AN$42),"")</f>
        <v>215.04300000000001</v>
      </c>
      <c r="AO42">
        <f ca="1">IFERROR(IF(0=LEN(ReferenceData!$AO$42),"",ReferenceData!$AO$42),"")</f>
        <v>212.25899999999999</v>
      </c>
      <c r="AP42">
        <f ca="1">IFERROR(IF(0=LEN(ReferenceData!$AP$42),"",ReferenceData!$AP$42),"")</f>
        <v>209.733</v>
      </c>
      <c r="AQ42">
        <f ca="1">IFERROR(IF(0=LEN(ReferenceData!$AQ$42),"",ReferenceData!$AQ$42),"")</f>
        <v>220.35300000000001</v>
      </c>
      <c r="AR42">
        <f ca="1">IFERROR(IF(0=LEN(ReferenceData!$AR$42),"",ReferenceData!$AR$42),"")</f>
        <v>215.39</v>
      </c>
      <c r="AS42">
        <f ca="1">IFERROR(IF(0=LEN(ReferenceData!$AS$42),"",ReferenceData!$AS$42),"")</f>
        <v>211.191</v>
      </c>
      <c r="AT42">
        <f ca="1">IFERROR(IF(0=LEN(ReferenceData!$AT$42),"",ReferenceData!$AT$42),"")</f>
        <v>204.173</v>
      </c>
      <c r="AU42">
        <f ca="1">IFERROR(IF(0=LEN(ReferenceData!$AU$42),"",ReferenceData!$AU$42),"")</f>
        <v>200.55199999999999</v>
      </c>
      <c r="AV42">
        <f ca="1">IFERROR(IF(0=LEN(ReferenceData!$AV$42),"",ReferenceData!$AV$42),"")</f>
        <v>196.53200000000001</v>
      </c>
      <c r="AW42">
        <f ca="1">IFERROR(IF(0=LEN(ReferenceData!$AW$42),"",ReferenceData!$AW$42),"")</f>
        <v>190.92400000000001</v>
      </c>
      <c r="AX42">
        <f ca="1">IFERROR(IF(0=LEN(ReferenceData!$AX$42),"",ReferenceData!$AX$42),"")</f>
        <v>188.61500000000001</v>
      </c>
      <c r="AY42">
        <f ca="1">IFERROR(IF(0=LEN(ReferenceData!$AY$42),"",ReferenceData!$AY$42),"")</f>
        <v>189.78800000000001</v>
      </c>
      <c r="AZ42">
        <f ca="1">IFERROR(IF(0=LEN(ReferenceData!$AZ$42),"",ReferenceData!$AZ$42),"")</f>
        <v>183.64599999999999</v>
      </c>
      <c r="BA42">
        <f ca="1">IFERROR(IF(0=LEN(ReferenceData!$BA$42),"",ReferenceData!$BA$42),"")</f>
        <v>179.083</v>
      </c>
      <c r="BB42">
        <f ca="1">IFERROR(IF(0=LEN(ReferenceData!$BB$42),"",ReferenceData!$BB$42),"")</f>
        <v>175.15899999999999</v>
      </c>
      <c r="BC42">
        <f ca="1">IFERROR(IF(0=LEN(ReferenceData!$BC$42),"",ReferenceData!$BC$42),"")</f>
        <v>173.09800000000001</v>
      </c>
      <c r="BD42">
        <f ca="1">IFERROR(IF(0=LEN(ReferenceData!$BD$42),"",ReferenceData!$BD$42),"")</f>
        <v>170.81700000000001</v>
      </c>
      <c r="BE42">
        <f ca="1">IFERROR(IF(0=LEN(ReferenceData!$BE$42),"",ReferenceData!$BE$42),"")</f>
        <v>165.65199999999999</v>
      </c>
      <c r="BF42">
        <f ca="1">IFERROR(IF(0=LEN(ReferenceData!$BF$42),"",ReferenceData!$BF$42),"")</f>
        <v>159.97900000000001</v>
      </c>
      <c r="BG42">
        <f ca="1">IFERROR(IF(0=LEN(ReferenceData!$BG$42),"",ReferenceData!$BG$42),"")</f>
        <v>138.738</v>
      </c>
      <c r="BH42">
        <f ca="1">IFERROR(IF(0=LEN(ReferenceData!$BH$42),"",ReferenceData!$BH$42),"")</f>
        <v>155.91300000000001</v>
      </c>
      <c r="BI42">
        <f ca="1">IFERROR(IF(0=LEN(ReferenceData!$BI$42),"",ReferenceData!$BI$42),"")</f>
        <v>162.29400000000001</v>
      </c>
      <c r="BJ42">
        <f ca="1">IFERROR(IF(0=LEN(ReferenceData!$BJ$42),"",ReferenceData!$BJ$42),"")</f>
        <v>156.899</v>
      </c>
      <c r="BK42">
        <f ca="1">IFERROR(IF(0=LEN(ReferenceData!$BK$42),"",ReferenceData!$BK$42),"")</f>
        <v>152.7369995</v>
      </c>
      <c r="BL42">
        <f ca="1">IFERROR(IF(0=LEN(ReferenceData!$BL$42),"",ReferenceData!$BL$42),"")</f>
        <v>152.03399999999999</v>
      </c>
      <c r="BM42">
        <f ca="1">IFERROR(IF(0=LEN(ReferenceData!$BM$42),"",ReferenceData!$BM$42),"")</f>
        <v>150.22800000000001</v>
      </c>
    </row>
    <row r="43" spans="1:65">
      <c r="A43" t="str">
        <f>IFERROR(IF(0=LEN(ReferenceData!$A$43),"",ReferenceData!$A$43),"")</f>
        <v xml:space="preserve">    Camden Property Trust</v>
      </c>
      <c r="B43" t="str">
        <f>IFERROR(IF(0=LEN(ReferenceData!$B$43),"",ReferenceData!$B$43),"")</f>
        <v>CPT US Equity</v>
      </c>
      <c r="C43" t="str">
        <f>IFERROR(IF(0=LEN(ReferenceData!$C$43),"",ReferenceData!$C$43),"")</f>
        <v>IS010</v>
      </c>
      <c r="D43" t="str">
        <f>IFERROR(IF(0=LEN(ReferenceData!$D$43),"",ReferenceData!$D$43),"")</f>
        <v>SALES_REV_TURN</v>
      </c>
      <c r="E43" t="str">
        <f>IFERROR(IF(0=LEN(ReferenceData!$E$43),"",ReferenceData!$E$43),"")</f>
        <v>动态</v>
      </c>
      <c r="F43" t="str">
        <f ca="1">IFERROR(IF(0=LEN(ReferenceData!$F$43),"",ReferenceData!$F$43),"")</f>
        <v/>
      </c>
      <c r="G43">
        <f ca="1">IFERROR(IF(0=LEN(ReferenceData!$G$43),"",ReferenceData!$G$43),"")</f>
        <v>232.197</v>
      </c>
      <c r="H43">
        <f ca="1">IFERROR(IF(0=LEN(ReferenceData!$H$43),"",ReferenceData!$H$43),"")</f>
        <v>230.29400000000001</v>
      </c>
      <c r="I43">
        <f ca="1">IFERROR(IF(0=LEN(ReferenceData!$I$43),"",ReferenceData!$I$43),"")</f>
        <v>225.31200000000001</v>
      </c>
      <c r="J43">
        <f ca="1">IFERROR(IF(0=LEN(ReferenceData!$J$43),"",ReferenceData!$J$43),"")</f>
        <v>221.26900000000001</v>
      </c>
      <c r="K43">
        <f ca="1">IFERROR(IF(0=LEN(ReferenceData!$K$43),"",ReferenceData!$K$43),"")</f>
        <v>218.78</v>
      </c>
      <c r="L43">
        <f ca="1">IFERROR(IF(0=LEN(ReferenceData!$L$43),"",ReferenceData!$L$43),"")</f>
        <v>221.90199999999999</v>
      </c>
      <c r="M43">
        <f ca="1">IFERROR(IF(0=LEN(ReferenceData!$M$43),"",ReferenceData!$M$43),"")</f>
        <v>223.26900000000001</v>
      </c>
      <c r="N43">
        <f ca="1">IFERROR(IF(0=LEN(ReferenceData!$N$43),"",ReferenceData!$N$43),"")</f>
        <v>219.36</v>
      </c>
      <c r="O43">
        <f ca="1">IFERROR(IF(0=LEN(ReferenceData!$O$43),"",ReferenceData!$O$43),"")</f>
        <v>216.90100000000001</v>
      </c>
      <c r="P43">
        <f ca="1">IFERROR(IF(0=LEN(ReferenceData!$P$43),"",ReferenceData!$P$43),"")</f>
        <v>214.495</v>
      </c>
      <c r="Q43">
        <f ca="1">IFERROR(IF(0=LEN(ReferenceData!$Q$43),"",ReferenceData!$Q$43),"")</f>
        <v>208.05</v>
      </c>
      <c r="R43">
        <f ca="1">IFERROR(IF(0=LEN(ReferenceData!$R$43),"",ReferenceData!$R$43),"")</f>
        <v>216.99700000000001</v>
      </c>
      <c r="S43">
        <f ca="1">IFERROR(IF(0=LEN(ReferenceData!$S$43),"",ReferenceData!$S$43),"")</f>
        <v>218.99</v>
      </c>
      <c r="T43">
        <f ca="1">IFERROR(IF(0=LEN(ReferenceData!$T$43),"",ReferenceData!$T$43),"")</f>
        <v>215.22900000000001</v>
      </c>
      <c r="U43">
        <f ca="1">IFERROR(IF(0=LEN(ReferenceData!$U$43),"",ReferenceData!$U$43),"")</f>
        <v>210.63900000000001</v>
      </c>
      <c r="V43">
        <f ca="1">IFERROR(IF(0=LEN(ReferenceData!$V$43),"",ReferenceData!$V$43),"")</f>
        <v>208.952</v>
      </c>
      <c r="W43">
        <f ca="1">IFERROR(IF(0=LEN(ReferenceData!$W$43),"",ReferenceData!$W$43),"")</f>
        <v>207.19</v>
      </c>
      <c r="X43">
        <f ca="1">IFERROR(IF(0=LEN(ReferenceData!$X$43),"",ReferenceData!$X$43),"")</f>
        <v>202.83600000000001</v>
      </c>
      <c r="Y43">
        <f ca="1">IFERROR(IF(0=LEN(ReferenceData!$Y$43),"",ReferenceData!$Y$43),"")</f>
        <v>197.81</v>
      </c>
      <c r="Z43">
        <f ca="1">IFERROR(IF(0=LEN(ReferenceData!$Z$43),"",ReferenceData!$Z$43),"")</f>
        <v>192.70500000000001</v>
      </c>
      <c r="AA43">
        <f ca="1">IFERROR(IF(0=LEN(ReferenceData!$AA$43),"",ReferenceData!$AA$43),"")</f>
        <v>186.571</v>
      </c>
      <c r="AB43">
        <f ca="1">IFERROR(IF(0=LEN(ReferenceData!$AB$43),"",ReferenceData!$AB$43),"")</f>
        <v>184.804</v>
      </c>
      <c r="AC43">
        <f ca="1">IFERROR(IF(0=LEN(ReferenceData!$AC$43),"",ReferenceData!$AC$43),"")</f>
        <v>180.52600000000001</v>
      </c>
      <c r="AD43">
        <f ca="1">IFERROR(IF(0=LEN(ReferenceData!$AD$43),"",ReferenceData!$AD$43),"")</f>
        <v>172.62200000000001</v>
      </c>
      <c r="AE43">
        <f ca="1">IFERROR(IF(0=LEN(ReferenceData!$AE$43),"",ReferenceData!$AE$43),"")</f>
        <v>161.90600000000001</v>
      </c>
      <c r="AF43">
        <f ca="1">IFERROR(IF(0=LEN(ReferenceData!$AF$43),"",ReferenceData!$AF$43),"")</f>
        <v>166.87</v>
      </c>
      <c r="AG43">
        <f ca="1">IFERROR(IF(0=LEN(ReferenceData!$AG$43),"",ReferenceData!$AG$43),"")</f>
        <v>163.87299999999999</v>
      </c>
      <c r="AH43">
        <f ca="1">IFERROR(IF(0=LEN(ReferenceData!$AH$43),"",ReferenceData!$AH$43),"")</f>
        <v>159.44</v>
      </c>
      <c r="AI43">
        <f ca="1">IFERROR(IF(0=LEN(ReferenceData!$AI$43),"",ReferenceData!$AI$43),"")</f>
        <v>155.29</v>
      </c>
      <c r="AJ43">
        <f ca="1">IFERROR(IF(0=LEN(ReferenceData!$AJ$43),"",ReferenceData!$AJ$43),"")</f>
        <v>156.41900000000001</v>
      </c>
      <c r="AK43">
        <f ca="1">IFERROR(IF(0=LEN(ReferenceData!$AK$43),"",ReferenceData!$AK$43),"")</f>
        <v>153.33600000000001</v>
      </c>
      <c r="AL43">
        <f ca="1">IFERROR(IF(0=LEN(ReferenceData!$AL$43),"",ReferenceData!$AL$43),"")</f>
        <v>151.29</v>
      </c>
      <c r="AM43">
        <f ca="1">IFERROR(IF(0=LEN(ReferenceData!$AM$43),"",ReferenceData!$AM$43),"")</f>
        <v>152.07599999999999</v>
      </c>
      <c r="AN43">
        <f ca="1">IFERROR(IF(0=LEN(ReferenceData!$AN$43),"",ReferenceData!$AN$43),"")</f>
        <v>157.04300000000001</v>
      </c>
      <c r="AO43">
        <f ca="1">IFERROR(IF(0=LEN(ReferenceData!$AO$43),"",ReferenceData!$AO$43),"")</f>
        <v>158.55199999999999</v>
      </c>
      <c r="AP43">
        <f ca="1">IFERROR(IF(0=LEN(ReferenceData!$AP$43),"",ReferenceData!$AP$43),"")</f>
        <v>159.06299999999999</v>
      </c>
      <c r="AQ43">
        <f ca="1">IFERROR(IF(0=LEN(ReferenceData!$AQ$43),"",ReferenceData!$AQ$43),"")</f>
        <v>160.99299999999999</v>
      </c>
      <c r="AR43">
        <f ca="1">IFERROR(IF(0=LEN(ReferenceData!$AR$43),"",ReferenceData!$AR$43),"")</f>
        <v>161.733</v>
      </c>
      <c r="AS43">
        <f ca="1">IFERROR(IF(0=LEN(ReferenceData!$AS$43),"",ReferenceData!$AS$43),"")</f>
        <v>157.65799999999999</v>
      </c>
      <c r="AT43">
        <f ca="1">IFERROR(IF(0=LEN(ReferenceData!$AT$43),"",ReferenceData!$AT$43),"")</f>
        <v>153.876</v>
      </c>
      <c r="AU43">
        <f ca="1">IFERROR(IF(0=LEN(ReferenceData!$AU$43),"",ReferenceData!$AU$43),"")</f>
        <v>138.90799999999999</v>
      </c>
      <c r="AV43">
        <f ca="1">IFERROR(IF(0=LEN(ReferenceData!$AV$43),"",ReferenceData!$AV$43),"")</f>
        <v>152.68600000000001</v>
      </c>
      <c r="AW43">
        <f ca="1">IFERROR(IF(0=LEN(ReferenceData!$AW$43),"",ReferenceData!$AW$43),"")</f>
        <v>154.017</v>
      </c>
      <c r="AX43">
        <f ca="1">IFERROR(IF(0=LEN(ReferenceData!$AX$43),"",ReferenceData!$AX$43),"")</f>
        <v>151.624</v>
      </c>
      <c r="AY43">
        <f ca="1">IFERROR(IF(0=LEN(ReferenceData!$AY$43),"",ReferenceData!$AY$43),"")</f>
        <v>151.65899999999999</v>
      </c>
      <c r="AZ43">
        <f ca="1">IFERROR(IF(0=LEN(ReferenceData!$AZ$43),"",ReferenceData!$AZ$43),"")</f>
        <v>155.239</v>
      </c>
      <c r="BA43">
        <f ca="1">IFERROR(IF(0=LEN(ReferenceData!$BA$43),"",ReferenceData!$BA$43),"")</f>
        <v>151.376</v>
      </c>
      <c r="BB43">
        <f ca="1">IFERROR(IF(0=LEN(ReferenceData!$BB$43),"",ReferenceData!$BB$43),"")</f>
        <v>149.04400000000001</v>
      </c>
      <c r="BC43">
        <f ca="1">IFERROR(IF(0=LEN(ReferenceData!$BC$43),"",ReferenceData!$BC$43),"")</f>
        <v>140.84800000000001</v>
      </c>
      <c r="BD43">
        <f ca="1">IFERROR(IF(0=LEN(ReferenceData!$BD$43),"",ReferenceData!$BD$43),"")</f>
        <v>143.54300000000001</v>
      </c>
      <c r="BE43">
        <f ca="1">IFERROR(IF(0=LEN(ReferenceData!$BE$43),"",ReferenceData!$BE$43),"")</f>
        <v>137.59700000000001</v>
      </c>
      <c r="BF43">
        <f ca="1">IFERROR(IF(0=LEN(ReferenceData!$BF$43),"",ReferenceData!$BF$43),"")</f>
        <v>120.378</v>
      </c>
      <c r="BG43">
        <f ca="1">IFERROR(IF(0=LEN(ReferenceData!$BG$43),"",ReferenceData!$BG$43),"")</f>
        <v>105.322</v>
      </c>
      <c r="BH43">
        <f ca="1">IFERROR(IF(0=LEN(ReferenceData!$BH$43),"",ReferenceData!$BH$43),"")</f>
        <v>104.788</v>
      </c>
      <c r="BI43">
        <f ca="1">IFERROR(IF(0=LEN(ReferenceData!$BI$43),"",ReferenceData!$BI$43),"")</f>
        <v>106.03299699999999</v>
      </c>
      <c r="BJ43">
        <f ca="1">IFERROR(IF(0=LEN(ReferenceData!$BJ$43),"",ReferenceData!$BJ$43),"")</f>
        <v>111.23200199999999</v>
      </c>
      <c r="BK43">
        <f ca="1">IFERROR(IF(0=LEN(ReferenceData!$BK$43),"",ReferenceData!$BK$43),"")</f>
        <v>108.0749969</v>
      </c>
      <c r="BL43">
        <f ca="1">IFERROR(IF(0=LEN(ReferenceData!$BL$43),"",ReferenceData!$BL$43),"")</f>
        <v>105.12400100000001</v>
      </c>
      <c r="BM43">
        <f ca="1">IFERROR(IF(0=LEN(ReferenceData!$BM$43),"",ReferenceData!$BM$43),"")</f>
        <v>103.177002</v>
      </c>
    </row>
    <row r="44" spans="1:65">
      <c r="A44" t="str">
        <f>IFERROR(IF(0=LEN(ReferenceData!$A$44),"",ReferenceData!$A$44),"")</f>
        <v xml:space="preserve">    Education Realty Trust Inc</v>
      </c>
      <c r="B44" t="str">
        <f>IFERROR(IF(0=LEN(ReferenceData!$B$44),"",ReferenceData!$B$44),"")</f>
        <v>EDR US Equity</v>
      </c>
      <c r="C44" t="str">
        <f>IFERROR(IF(0=LEN(ReferenceData!$C$44),"",ReferenceData!$C$44),"")</f>
        <v>IS010</v>
      </c>
      <c r="D44" t="str">
        <f>IFERROR(IF(0=LEN(ReferenceData!$D$44),"",ReferenceData!$D$44),"")</f>
        <v>SALES_REV_TURN</v>
      </c>
      <c r="E44" t="str">
        <f>IFERROR(IF(0=LEN(ReferenceData!$E$44),"",ReferenceData!$E$44),"")</f>
        <v>动态</v>
      </c>
      <c r="F44" t="str">
        <f ca="1">IFERROR(IF(0=LEN(ReferenceData!$F$44),"",ReferenceData!$F$44),"")</f>
        <v/>
      </c>
      <c r="G44">
        <f ca="1">IFERROR(IF(0=LEN(ReferenceData!$G$44),"",ReferenceData!$G$44),"")</f>
        <v>95.866</v>
      </c>
      <c r="H44">
        <f ca="1">IFERROR(IF(0=LEN(ReferenceData!$H$44),"",ReferenceData!$H$44),"")</f>
        <v>75.36</v>
      </c>
      <c r="I44">
        <f ca="1">IFERROR(IF(0=LEN(ReferenceData!$I$44),"",ReferenceData!$I$44),"")</f>
        <v>74.042000000000002</v>
      </c>
      <c r="J44">
        <f ca="1">IFERROR(IF(0=LEN(ReferenceData!$J$44),"",ReferenceData!$J$44),"")</f>
        <v>85.798000000000002</v>
      </c>
      <c r="K44">
        <f ca="1">IFERROR(IF(0=LEN(ReferenceData!$K$44),"",ReferenceData!$K$44),"")</f>
        <v>84.224000000000004</v>
      </c>
      <c r="L44">
        <f ca="1">IFERROR(IF(0=LEN(ReferenceData!$L$44),"",ReferenceData!$L$44),"")</f>
        <v>66.224999999999994</v>
      </c>
      <c r="M44">
        <f ca="1">IFERROR(IF(0=LEN(ReferenceData!$M$44),"",ReferenceData!$M$44),"")</f>
        <v>65.14</v>
      </c>
      <c r="N44">
        <f ca="1">IFERROR(IF(0=LEN(ReferenceData!$N$44),"",ReferenceData!$N$44),"")</f>
        <v>73.379000000000005</v>
      </c>
      <c r="O44">
        <f ca="1">IFERROR(IF(0=LEN(ReferenceData!$O$44),"",ReferenceData!$O$44),"")</f>
        <v>75.52</v>
      </c>
      <c r="P44">
        <f ca="1">IFERROR(IF(0=LEN(ReferenceData!$P$44),"",ReferenceData!$P$44),"")</f>
        <v>58.189</v>
      </c>
      <c r="Q44">
        <f ca="1">IFERROR(IF(0=LEN(ReferenceData!$Q$44),"",ReferenceData!$Q$44),"")</f>
        <v>57.323999999999998</v>
      </c>
      <c r="R44">
        <f ca="1">IFERROR(IF(0=LEN(ReferenceData!$R$44),"",ReferenceData!$R$44),"")</f>
        <v>64.129000000000005</v>
      </c>
      <c r="S44">
        <f ca="1">IFERROR(IF(0=LEN(ReferenceData!$S$44),"",ReferenceData!$S$44),"")</f>
        <v>66.504000000000005</v>
      </c>
      <c r="T44">
        <f ca="1">IFERROR(IF(0=LEN(ReferenceData!$T$44),"",ReferenceData!$T$44),"")</f>
        <v>54.704000000000001</v>
      </c>
      <c r="U44">
        <f ca="1">IFERROR(IF(0=LEN(ReferenceData!$U$44),"",ReferenceData!$U$44),"")</f>
        <v>50.04</v>
      </c>
      <c r="V44">
        <f ca="1">IFERROR(IF(0=LEN(ReferenceData!$V$44),"",ReferenceData!$V$44),"")</f>
        <v>54.545000000000002</v>
      </c>
      <c r="W44">
        <f ca="1">IFERROR(IF(0=LEN(ReferenceData!$W$44),"",ReferenceData!$W$44),"")</f>
        <v>55.198</v>
      </c>
      <c r="X44">
        <f ca="1">IFERROR(IF(0=LEN(ReferenceData!$X$44),"",ReferenceData!$X$44),"")</f>
        <v>43.469000000000001</v>
      </c>
      <c r="Y44">
        <f ca="1">IFERROR(IF(0=LEN(ReferenceData!$Y$44),"",ReferenceData!$Y$44),"")</f>
        <v>41.037999999999997</v>
      </c>
      <c r="Z44">
        <f ca="1">IFERROR(IF(0=LEN(ReferenceData!$Z$44),"",ReferenceData!$Z$44),"")</f>
        <v>44.670999999999999</v>
      </c>
      <c r="AA44">
        <f ca="1">IFERROR(IF(0=LEN(ReferenceData!$AA$44),"",ReferenceData!$AA$44),"")</f>
        <v>41.198999999999998</v>
      </c>
      <c r="AB44">
        <f ca="1">IFERROR(IF(0=LEN(ReferenceData!$AB$44),"",ReferenceData!$AB$44),"")</f>
        <v>32.868000000000002</v>
      </c>
      <c r="AC44">
        <f ca="1">IFERROR(IF(0=LEN(ReferenceData!$AC$44),"",ReferenceData!$AC$44),"")</f>
        <v>32.311999999999998</v>
      </c>
      <c r="AD44">
        <f ca="1">IFERROR(IF(0=LEN(ReferenceData!$AD$44),"",ReferenceData!$AD$44),"")</f>
        <v>34.93</v>
      </c>
      <c r="AE44">
        <f ca="1">IFERROR(IF(0=LEN(ReferenceData!$AE$44),"",ReferenceData!$AE$44),"")</f>
        <v>32.694000000000003</v>
      </c>
      <c r="AF44">
        <f ca="1">IFERROR(IF(0=LEN(ReferenceData!$AF$44),"",ReferenceData!$AF$44),"")</f>
        <v>27.911999999999999</v>
      </c>
      <c r="AG44">
        <f ca="1">IFERROR(IF(0=LEN(ReferenceData!$AG$44),"",ReferenceData!$AG$44),"")</f>
        <v>29.449000000000002</v>
      </c>
      <c r="AH44">
        <f ca="1">IFERROR(IF(0=LEN(ReferenceData!$AH$44),"",ReferenceData!$AH$44),"")</f>
        <v>30.664999999999999</v>
      </c>
      <c r="AI44">
        <f ca="1">IFERROR(IF(0=LEN(ReferenceData!$AI$44),"",ReferenceData!$AI$44),"")</f>
        <v>31.948</v>
      </c>
      <c r="AJ44">
        <f ca="1">IFERROR(IF(0=LEN(ReferenceData!$AJ$44),"",ReferenceData!$AJ$44),"")</f>
        <v>30.137</v>
      </c>
      <c r="AK44">
        <f ca="1">IFERROR(IF(0=LEN(ReferenceData!$AK$44),"",ReferenceData!$AK$44),"")</f>
        <v>26.646999999999998</v>
      </c>
      <c r="AL44">
        <f ca="1">IFERROR(IF(0=LEN(ReferenceData!$AL$44),"",ReferenceData!$AL$44),"")</f>
        <v>28.777999999999999</v>
      </c>
      <c r="AM44">
        <f ca="1">IFERROR(IF(0=LEN(ReferenceData!$AM$44),"",ReferenceData!$AM$44),"")</f>
        <v>31.484000000000002</v>
      </c>
      <c r="AN44">
        <f ca="1">IFERROR(IF(0=LEN(ReferenceData!$AN$44),"",ReferenceData!$AN$44),"")</f>
        <v>32.502000000000002</v>
      </c>
      <c r="AO44">
        <f ca="1">IFERROR(IF(0=LEN(ReferenceData!$AO$44),"",ReferenceData!$AO$44),"")</f>
        <v>31.984999999999999</v>
      </c>
      <c r="AP44">
        <f ca="1">IFERROR(IF(0=LEN(ReferenceData!$AP$44),"",ReferenceData!$AP$44),"")</f>
        <v>33.869</v>
      </c>
      <c r="AQ44">
        <f ca="1">IFERROR(IF(0=LEN(ReferenceData!$AQ$44),"",ReferenceData!$AQ$44),"")</f>
        <v>36.07</v>
      </c>
      <c r="AR44">
        <f ca="1">IFERROR(IF(0=LEN(ReferenceData!$AR$44),"",ReferenceData!$AR$44),"")</f>
        <v>32.332999999999998</v>
      </c>
      <c r="AS44">
        <f ca="1">IFERROR(IF(0=LEN(ReferenceData!$AS$44),"",ReferenceData!$AS$44),"")</f>
        <v>36.828000000000003</v>
      </c>
      <c r="AT44">
        <f ca="1">IFERROR(IF(0=LEN(ReferenceData!$AT$44),"",ReferenceData!$AT$44),"")</f>
        <v>34.212000000000003</v>
      </c>
      <c r="AU44">
        <f ca="1">IFERROR(IF(0=LEN(ReferenceData!$AU$44),"",ReferenceData!$AU$44),"")</f>
        <v>30.719000000000001</v>
      </c>
      <c r="AV44">
        <f ca="1">IFERROR(IF(0=LEN(ReferenceData!$AV$44),"",ReferenceData!$AV$44),"")</f>
        <v>28.434000000000001</v>
      </c>
      <c r="AW44">
        <f ca="1">IFERROR(IF(0=LEN(ReferenceData!$AW$44),"",ReferenceData!$AW$44),"")</f>
        <v>29.126000000000001</v>
      </c>
      <c r="AX44">
        <f ca="1">IFERROR(IF(0=LEN(ReferenceData!$AX$44),"",ReferenceData!$AX$44),"")</f>
        <v>30.065999999999999</v>
      </c>
      <c r="AY44">
        <f ca="1">IFERROR(IF(0=LEN(ReferenceData!$AY$44),"",ReferenceData!$AY$44),"")</f>
        <v>28.742000000000001</v>
      </c>
      <c r="AZ44">
        <f ca="1">IFERROR(IF(0=LEN(ReferenceData!$AZ$44),"",ReferenceData!$AZ$44),"")</f>
        <v>26.526</v>
      </c>
      <c r="BA44">
        <f ca="1">IFERROR(IF(0=LEN(ReferenceData!$BA$44),"",ReferenceData!$BA$44),"")</f>
        <v>27.593</v>
      </c>
      <c r="BB44">
        <f ca="1">IFERROR(IF(0=LEN(ReferenceData!$BB$44),"",ReferenceData!$BB$44),"")</f>
        <v>30.193999999999999</v>
      </c>
      <c r="BC44">
        <f ca="1">IFERROR(IF(0=LEN(ReferenceData!$BC$44),"",ReferenceData!$BC$44),"")</f>
        <v>26.041</v>
      </c>
      <c r="BD44">
        <f ca="1">IFERROR(IF(0=LEN(ReferenceData!$BD$44),"",ReferenceData!$BD$44),"")</f>
        <v>23.96</v>
      </c>
      <c r="BE44">
        <f ca="1">IFERROR(IF(0=LEN(ReferenceData!$BE$44),"",ReferenceData!$BE$44),"")</f>
        <v>22.06</v>
      </c>
      <c r="BF44">
        <f ca="1">IFERROR(IF(0=LEN(ReferenceData!$BF$44),"",ReferenceData!$BF$44),"")</f>
        <v>16.484999999999999</v>
      </c>
      <c r="BG44" t="str">
        <f ca="1">IFERROR(IF(0=LEN(ReferenceData!$BG$44),"",ReferenceData!$BG$44),"")</f>
        <v/>
      </c>
      <c r="BH44" t="str">
        <f ca="1">IFERROR(IF(0=LEN(ReferenceData!$BH$44),"",ReferenceData!$BH$44),"")</f>
        <v/>
      </c>
      <c r="BI44" t="str">
        <f ca="1">IFERROR(IF(0=LEN(ReferenceData!$BI$44),"",ReferenceData!$BI$44),"")</f>
        <v/>
      </c>
      <c r="BJ44" t="str">
        <f ca="1">IFERROR(IF(0=LEN(ReferenceData!$BJ$44),"",ReferenceData!$BJ$44),"")</f>
        <v/>
      </c>
      <c r="BK44" t="str">
        <f ca="1">IFERROR(IF(0=LEN(ReferenceData!$BK$44),"",ReferenceData!$BK$44),"")</f>
        <v/>
      </c>
      <c r="BL44" t="str">
        <f ca="1">IFERROR(IF(0=LEN(ReferenceData!$BL$44),"",ReferenceData!$BL$44),"")</f>
        <v/>
      </c>
      <c r="BM44" t="str">
        <f ca="1">IFERROR(IF(0=LEN(ReferenceData!$BM$44),"",ReferenceData!$BM$44),"")</f>
        <v/>
      </c>
    </row>
    <row r="45" spans="1:65">
      <c r="A45" t="str">
        <f>IFERROR(IF(0=LEN(ReferenceData!$A$45),"",ReferenceData!$A$45),"")</f>
        <v xml:space="preserve">    Equity Residential</v>
      </c>
      <c r="B45" t="str">
        <f>IFERROR(IF(0=LEN(ReferenceData!$B$45),"",ReferenceData!$B$45),"")</f>
        <v>EQR US Equity</v>
      </c>
      <c r="C45" t="str">
        <f>IFERROR(IF(0=LEN(ReferenceData!$C$45),"",ReferenceData!$C$45),"")</f>
        <v>IS010</v>
      </c>
      <c r="D45" t="str">
        <f>IFERROR(IF(0=LEN(ReferenceData!$D$45),"",ReferenceData!$D$45),"")</f>
        <v>SALES_REV_TURN</v>
      </c>
      <c r="E45" t="str">
        <f>IFERROR(IF(0=LEN(ReferenceData!$E$45),"",ReferenceData!$E$45),"")</f>
        <v>动态</v>
      </c>
      <c r="F45" t="str">
        <f ca="1">IFERROR(IF(0=LEN(ReferenceData!$F$45),"",ReferenceData!$F$45),"")</f>
        <v/>
      </c>
      <c r="G45">
        <f ca="1">IFERROR(IF(0=LEN(ReferenceData!$G$45),"",ReferenceData!$G$45),"")</f>
        <v>630.70399999999995</v>
      </c>
      <c r="H45">
        <f ca="1">IFERROR(IF(0=LEN(ReferenceData!$H$45),"",ReferenceData!$H$45),"")</f>
        <v>624.12199999999996</v>
      </c>
      <c r="I45">
        <f ca="1">IFERROR(IF(0=LEN(ReferenceData!$I$45),"",ReferenceData!$I$45),"")</f>
        <v>612.48</v>
      </c>
      <c r="J45">
        <f ca="1">IFERROR(IF(0=LEN(ReferenceData!$J$45),"",ReferenceData!$J$45),"")</f>
        <v>604.1</v>
      </c>
      <c r="K45">
        <f ca="1">IFERROR(IF(0=LEN(ReferenceData!$K$45),"",ReferenceData!$K$45),"")</f>
        <v>605.48900000000003</v>
      </c>
      <c r="L45">
        <f ca="1">IFERROR(IF(0=LEN(ReferenceData!$L$45),"",ReferenceData!$L$45),"")</f>
        <v>606.07399999999996</v>
      </c>
      <c r="M45">
        <f ca="1">IFERROR(IF(0=LEN(ReferenceData!$M$45),"",ReferenceData!$M$45),"")</f>
        <v>595.154</v>
      </c>
      <c r="N45">
        <f ca="1">IFERROR(IF(0=LEN(ReferenceData!$N$45),"",ReferenceData!$N$45),"")</f>
        <v>619.08299999999997</v>
      </c>
      <c r="O45">
        <f ca="1">IFERROR(IF(0=LEN(ReferenceData!$O$45),"",ReferenceData!$O$45),"")</f>
        <v>703.19299999999998</v>
      </c>
      <c r="P45">
        <f ca="1">IFERROR(IF(0=LEN(ReferenceData!$P$45),"",ReferenceData!$P$45),"")</f>
        <v>696.28899999999999</v>
      </c>
      <c r="Q45">
        <f ca="1">IFERROR(IF(0=LEN(ReferenceData!$Q$45),"",ReferenceData!$Q$45),"")</f>
        <v>679.11199999999997</v>
      </c>
      <c r="R45">
        <f ca="1">IFERROR(IF(0=LEN(ReferenceData!$R$45),"",ReferenceData!$R$45),"")</f>
        <v>666.37099999999998</v>
      </c>
      <c r="S45">
        <f ca="1">IFERROR(IF(0=LEN(ReferenceData!$S$45),"",ReferenceData!$S$45),"")</f>
        <v>664.66</v>
      </c>
      <c r="T45">
        <f ca="1">IFERROR(IF(0=LEN(ReferenceData!$T$45),"",ReferenceData!$T$45),"")</f>
        <v>664.07799999999997</v>
      </c>
      <c r="U45">
        <f ca="1">IFERROR(IF(0=LEN(ReferenceData!$U$45),"",ReferenceData!$U$45),"")</f>
        <v>652.56799999999998</v>
      </c>
      <c r="V45">
        <f ca="1">IFERROR(IF(0=LEN(ReferenceData!$V$45),"",ReferenceData!$V$45),"")</f>
        <v>633.44200000000001</v>
      </c>
      <c r="W45">
        <f ca="1">IFERROR(IF(0=LEN(ReferenceData!$W$45),"",ReferenceData!$W$45),"")</f>
        <v>639.13400000000001</v>
      </c>
      <c r="X45">
        <f ca="1">IFERROR(IF(0=LEN(ReferenceData!$X$45),"",ReferenceData!$X$45),"")</f>
        <v>626.62900000000002</v>
      </c>
      <c r="Y45">
        <f ca="1">IFERROR(IF(0=LEN(ReferenceData!$Y$45),"",ReferenceData!$Y$45),"")</f>
        <v>617.21699999999998</v>
      </c>
      <c r="Z45">
        <f ca="1">IFERROR(IF(0=LEN(ReferenceData!$Z$45),"",ReferenceData!$Z$45),"")</f>
        <v>504.72199999999998</v>
      </c>
      <c r="AA45">
        <f ca="1">IFERROR(IF(0=LEN(ReferenceData!$AA$45),"",ReferenceData!$AA$45),"")</f>
        <v>452.483</v>
      </c>
      <c r="AB45">
        <f ca="1">IFERROR(IF(0=LEN(ReferenceData!$AB$45),"",ReferenceData!$AB$45),"")</f>
        <v>451.69900000000001</v>
      </c>
      <c r="AC45">
        <f ca="1">IFERROR(IF(0=LEN(ReferenceData!$AC$45),"",ReferenceData!$AC$45),"")</f>
        <v>448.351</v>
      </c>
      <c r="AD45">
        <f ca="1">IFERROR(IF(0=LEN(ReferenceData!$AD$45),"",ReferenceData!$AD$45),"")</f>
        <v>446.44799999999998</v>
      </c>
      <c r="AE45">
        <f ca="1">IFERROR(IF(0=LEN(ReferenceData!$AE$45),"",ReferenceData!$AE$45),"")</f>
        <v>492.35</v>
      </c>
      <c r="AF45">
        <f ca="1">IFERROR(IF(0=LEN(ReferenceData!$AF$45),"",ReferenceData!$AF$45),"")</f>
        <v>493.87200000000001</v>
      </c>
      <c r="AG45">
        <f ca="1">IFERROR(IF(0=LEN(ReferenceData!$AG$45),"",ReferenceData!$AG$45),"")</f>
        <v>480.36700000000002</v>
      </c>
      <c r="AH45">
        <f ca="1">IFERROR(IF(0=LEN(ReferenceData!$AH$45),"",ReferenceData!$AH$45),"")</f>
        <v>466.35599999999999</v>
      </c>
      <c r="AI45">
        <f ca="1">IFERROR(IF(0=LEN(ReferenceData!$AI$45),"",ReferenceData!$AI$45),"")</f>
        <v>460.74799999999999</v>
      </c>
      <c r="AJ45">
        <f ca="1">IFERROR(IF(0=LEN(ReferenceData!$AJ$45),"",ReferenceData!$AJ$45),"")</f>
        <v>453.96</v>
      </c>
      <c r="AK45">
        <f ca="1">IFERROR(IF(0=LEN(ReferenceData!$AK$45),"",ReferenceData!$AK$45),"")</f>
        <v>447.37900000000002</v>
      </c>
      <c r="AL45">
        <f ca="1">IFERROR(IF(0=LEN(ReferenceData!$AL$45),"",ReferenceData!$AL$45),"")</f>
        <v>464.99900000000002</v>
      </c>
      <c r="AM45">
        <f ca="1">IFERROR(IF(0=LEN(ReferenceData!$AM$45),"",ReferenceData!$AM$45),"")</f>
        <v>461.274</v>
      </c>
      <c r="AN45">
        <f ca="1">IFERROR(IF(0=LEN(ReferenceData!$AN$45),"",ReferenceData!$AN$45),"")</f>
        <v>480.24099999999999</v>
      </c>
      <c r="AO45">
        <f ca="1">IFERROR(IF(0=LEN(ReferenceData!$AO$45),"",ReferenceData!$AO$45),"")</f>
        <v>480.33300000000003</v>
      </c>
      <c r="AP45">
        <f ca="1">IFERROR(IF(0=LEN(ReferenceData!$AP$45),"",ReferenceData!$AP$45),"")</f>
        <v>483.07799999999997</v>
      </c>
      <c r="AQ45">
        <f ca="1">IFERROR(IF(0=LEN(ReferenceData!$AQ$45),"",ReferenceData!$AQ$45),"")</f>
        <v>501.11900000000003</v>
      </c>
      <c r="AR45">
        <f ca="1">IFERROR(IF(0=LEN(ReferenceData!$AR$45),"",ReferenceData!$AR$45),"")</f>
        <v>511.00599999999997</v>
      </c>
      <c r="AS45">
        <f ca="1">IFERROR(IF(0=LEN(ReferenceData!$AS$45),"",ReferenceData!$AS$45),"")</f>
        <v>513.28300000000002</v>
      </c>
      <c r="AT45">
        <f ca="1">IFERROR(IF(0=LEN(ReferenceData!$AT$45),"",ReferenceData!$AT$45),"")</f>
        <v>502.64100000000002</v>
      </c>
      <c r="AU45">
        <f ca="1">IFERROR(IF(0=LEN(ReferenceData!$AU$45),"",ReferenceData!$AU$45),"")</f>
        <v>505.017</v>
      </c>
      <c r="AV45">
        <f ca="1">IFERROR(IF(0=LEN(ReferenceData!$AV$45),"",ReferenceData!$AV$45),"")</f>
        <v>501.10199999999998</v>
      </c>
      <c r="AW45">
        <f ca="1">IFERROR(IF(0=LEN(ReferenceData!$AW$45),"",ReferenceData!$AW$45),"")</f>
        <v>491.56</v>
      </c>
      <c r="AX45">
        <f ca="1">IFERROR(IF(0=LEN(ReferenceData!$AX$45),"",ReferenceData!$AX$45),"")</f>
        <v>475.84899999999999</v>
      </c>
      <c r="AY45">
        <f ca="1">IFERROR(IF(0=LEN(ReferenceData!$AY$45),"",ReferenceData!$AY$45),"")</f>
        <v>321.67</v>
      </c>
      <c r="AZ45">
        <f ca="1">IFERROR(IF(0=LEN(ReferenceData!$AZ$45),"",ReferenceData!$AZ$45),"")</f>
        <v>513.86500000000001</v>
      </c>
      <c r="BA45">
        <f ca="1">IFERROR(IF(0=LEN(ReferenceData!$BA$45),"",ReferenceData!$BA$45),"")</f>
        <v>491.93900000000002</v>
      </c>
      <c r="BB45">
        <f ca="1">IFERROR(IF(0=LEN(ReferenceData!$BB$45),"",ReferenceData!$BB$45),"")</f>
        <v>462.45800000000003</v>
      </c>
      <c r="BC45">
        <f ca="1">IFERROR(IF(0=LEN(ReferenceData!$BC$45),"",ReferenceData!$BC$45),"")</f>
        <v>396.30700000000002</v>
      </c>
      <c r="BD45">
        <f ca="1">IFERROR(IF(0=LEN(ReferenceData!$BD$45),"",ReferenceData!$BD$45),"")</f>
        <v>430.75799999999998</v>
      </c>
      <c r="BE45">
        <f ca="1">IFERROR(IF(0=LEN(ReferenceData!$BE$45),"",ReferenceData!$BE$45),"")</f>
        <v>415.23</v>
      </c>
      <c r="BF45">
        <f ca="1">IFERROR(IF(0=LEN(ReferenceData!$BF$45),"",ReferenceData!$BF$45),"")</f>
        <v>443.964</v>
      </c>
      <c r="BG45">
        <f ca="1">IFERROR(IF(0=LEN(ReferenceData!$BG$45),"",ReferenceData!$BG$45),"")</f>
        <v>399.93700000000001</v>
      </c>
      <c r="BH45">
        <f ca="1">IFERROR(IF(0=LEN(ReferenceData!$BH$45),"",ReferenceData!$BH$45),"")</f>
        <v>456.56400000000002</v>
      </c>
      <c r="BI45">
        <f ca="1">IFERROR(IF(0=LEN(ReferenceData!$BI$45),"",ReferenceData!$BI$45),"")</f>
        <v>491.50200000000001</v>
      </c>
      <c r="BJ45">
        <f ca="1">IFERROR(IF(0=LEN(ReferenceData!$BJ$45),"",ReferenceData!$BJ$45),"")</f>
        <v>464.76900000000001</v>
      </c>
      <c r="BK45">
        <f ca="1">IFERROR(IF(0=LEN(ReferenceData!$BK$45),"",ReferenceData!$BK$45),"")</f>
        <v>424.95899500000002</v>
      </c>
      <c r="BL45">
        <f ca="1">IFERROR(IF(0=LEN(ReferenceData!$BL$45),"",ReferenceData!$BL$45),"")</f>
        <v>445.38000499999998</v>
      </c>
      <c r="BM45">
        <f ca="1">IFERROR(IF(0=LEN(ReferenceData!$BM$45),"",ReferenceData!$BM$45),"")</f>
        <v>443.90701300000001</v>
      </c>
    </row>
    <row r="46" spans="1:65">
      <c r="A46" t="str">
        <f>IFERROR(IF(0=LEN(ReferenceData!$A$46),"",ReferenceData!$A$46),"")</f>
        <v xml:space="preserve">    Essex Property Trust Inc</v>
      </c>
      <c r="B46" t="str">
        <f>IFERROR(IF(0=LEN(ReferenceData!$B$46),"",ReferenceData!$B$46),"")</f>
        <v>ESS US Equity</v>
      </c>
      <c r="C46" t="str">
        <f>IFERROR(IF(0=LEN(ReferenceData!$C$46),"",ReferenceData!$C$46),"")</f>
        <v>IS010</v>
      </c>
      <c r="D46" t="str">
        <f>IFERROR(IF(0=LEN(ReferenceData!$D$46),"",ReferenceData!$D$46),"")</f>
        <v>SALES_REV_TURN</v>
      </c>
      <c r="E46" t="str">
        <f>IFERROR(IF(0=LEN(ReferenceData!$E$46),"",ReferenceData!$E$46),"")</f>
        <v>动态</v>
      </c>
      <c r="F46" t="str">
        <f ca="1">IFERROR(IF(0=LEN(ReferenceData!$F$46),"",ReferenceData!$F$46),"")</f>
        <v/>
      </c>
      <c r="G46">
        <f ca="1">IFERROR(IF(0=LEN(ReferenceData!$G$46),"",ReferenceData!$G$46),"")</f>
        <v>345.06400000000002</v>
      </c>
      <c r="H46">
        <f ca="1">IFERROR(IF(0=LEN(ReferenceData!$H$46),"",ReferenceData!$H$46),"")</f>
        <v>344.36900000000003</v>
      </c>
      <c r="I46">
        <f ca="1">IFERROR(IF(0=LEN(ReferenceData!$I$46),"",ReferenceData!$I$46),"")</f>
        <v>339.06200000000001</v>
      </c>
      <c r="J46">
        <f ca="1">IFERROR(IF(0=LEN(ReferenceData!$J$46),"",ReferenceData!$J$46),"")</f>
        <v>335.404</v>
      </c>
      <c r="K46">
        <f ca="1">IFERROR(IF(0=LEN(ReferenceData!$K$46),"",ReferenceData!$K$46),"")</f>
        <v>329.03800000000001</v>
      </c>
      <c r="L46">
        <f ca="1">IFERROR(IF(0=LEN(ReferenceData!$L$46),"",ReferenceData!$L$46),"")</f>
        <v>329.17099999999999</v>
      </c>
      <c r="M46">
        <f ca="1">IFERROR(IF(0=LEN(ReferenceData!$M$46),"",ReferenceData!$M$46),"")</f>
        <v>321.58999999999997</v>
      </c>
      <c r="N46">
        <f ca="1">IFERROR(IF(0=LEN(ReferenceData!$N$46),"",ReferenceData!$N$46),"")</f>
        <v>314.202</v>
      </c>
      <c r="O46">
        <f ca="1">IFERROR(IF(0=LEN(ReferenceData!$O$46),"",ReferenceData!$O$46),"")</f>
        <v>310.74599999999998</v>
      </c>
      <c r="P46">
        <f ca="1">IFERROR(IF(0=LEN(ReferenceData!$P$46),"",ReferenceData!$P$46),"")</f>
        <v>304.62599999999998</v>
      </c>
      <c r="Q46">
        <f ca="1">IFERROR(IF(0=LEN(ReferenceData!$Q$46),"",ReferenceData!$Q$46),"")</f>
        <v>296.16199999999998</v>
      </c>
      <c r="R46">
        <f ca="1">IFERROR(IF(0=LEN(ReferenceData!$R$46),"",ReferenceData!$R$46),"")</f>
        <v>282.87299999999999</v>
      </c>
      <c r="S46">
        <f ca="1">IFERROR(IF(0=LEN(ReferenceData!$S$46),"",ReferenceData!$S$46),"")</f>
        <v>279.26799999999997</v>
      </c>
      <c r="T46">
        <f ca="1">IFERROR(IF(0=LEN(ReferenceData!$T$46),"",ReferenceData!$T$46),"")</f>
        <v>270.47899999999998</v>
      </c>
      <c r="U46">
        <f ca="1">IFERROR(IF(0=LEN(ReferenceData!$U$46),"",ReferenceData!$U$46),"")</f>
        <v>259.45</v>
      </c>
      <c r="V46">
        <f ca="1">IFERROR(IF(0=LEN(ReferenceData!$V$46),"",ReferenceData!$V$46),"")</f>
        <v>161.00899999999999</v>
      </c>
      <c r="W46">
        <f ca="1">IFERROR(IF(0=LEN(ReferenceData!$W$46),"",ReferenceData!$W$46),"")</f>
        <v>157.43700000000001</v>
      </c>
      <c r="X46">
        <f ca="1">IFERROR(IF(0=LEN(ReferenceData!$X$46),"",ReferenceData!$X$46),"")</f>
        <v>153.94800000000001</v>
      </c>
      <c r="Y46">
        <f ca="1">IFERROR(IF(0=LEN(ReferenceData!$Y$46),"",ReferenceData!$Y$46),"")</f>
        <v>150.815</v>
      </c>
      <c r="Z46">
        <f ca="1">IFERROR(IF(0=LEN(ReferenceData!$Z$46),"",ReferenceData!$Z$46),"")</f>
        <v>148.005</v>
      </c>
      <c r="AA46">
        <f ca="1">IFERROR(IF(0=LEN(ReferenceData!$AA$46),"",ReferenceData!$AA$46),"")</f>
        <v>143.471</v>
      </c>
      <c r="AB46">
        <f ca="1">IFERROR(IF(0=LEN(ReferenceData!$AB$46),"",ReferenceData!$AB$46),"")</f>
        <v>138.142</v>
      </c>
      <c r="AC46">
        <f ca="1">IFERROR(IF(0=LEN(ReferenceData!$AC$46),"",ReferenceData!$AC$46),"")</f>
        <v>132.56100000000001</v>
      </c>
      <c r="AD46">
        <f ca="1">IFERROR(IF(0=LEN(ReferenceData!$AD$46),"",ReferenceData!$AD$46),"")</f>
        <v>127.91800000000001</v>
      </c>
      <c r="AE46">
        <f ca="1">IFERROR(IF(0=LEN(ReferenceData!$AE$46),"",ReferenceData!$AE$46),"")</f>
        <v>124.569</v>
      </c>
      <c r="AF46">
        <f ca="1">IFERROR(IF(0=LEN(ReferenceData!$AF$46),"",ReferenceData!$AF$46),"")</f>
        <v>119.166</v>
      </c>
      <c r="AG46">
        <f ca="1">IFERROR(IF(0=LEN(ReferenceData!$AG$46),"",ReferenceData!$AG$46),"")</f>
        <v>116.32599999999999</v>
      </c>
      <c r="AH46">
        <f ca="1">IFERROR(IF(0=LEN(ReferenceData!$AH$46),"",ReferenceData!$AH$46),"")</f>
        <v>112.432</v>
      </c>
      <c r="AI46">
        <f ca="1">IFERROR(IF(0=LEN(ReferenceData!$AI$46),"",ReferenceData!$AI$46),"")</f>
        <v>108.557</v>
      </c>
      <c r="AJ46">
        <f ca="1">IFERROR(IF(0=LEN(ReferenceData!$AJ$46),"",ReferenceData!$AJ$46),"")</f>
        <v>104.327</v>
      </c>
      <c r="AK46">
        <f ca="1">IFERROR(IF(0=LEN(ReferenceData!$AK$46),"",ReferenceData!$AK$46),"")</f>
        <v>100.185</v>
      </c>
      <c r="AL46">
        <f ca="1">IFERROR(IF(0=LEN(ReferenceData!$AL$46),"",ReferenceData!$AL$46),"")</f>
        <v>101.184</v>
      </c>
      <c r="AM46">
        <f ca="1">IFERROR(IF(0=LEN(ReferenceData!$AM$46),"",ReferenceData!$AM$46),"")</f>
        <v>100.952</v>
      </c>
      <c r="AN46">
        <f ca="1">IFERROR(IF(0=LEN(ReferenceData!$AN$46),"",ReferenceData!$AN$46),"")</f>
        <v>101.694</v>
      </c>
      <c r="AO46">
        <f ca="1">IFERROR(IF(0=LEN(ReferenceData!$AO$46),"",ReferenceData!$AO$46),"")</f>
        <v>103.63200000000001</v>
      </c>
      <c r="AP46">
        <f ca="1">IFERROR(IF(0=LEN(ReferenceData!$AP$46),"",ReferenceData!$AP$46),"")</f>
        <v>105.111</v>
      </c>
      <c r="AQ46">
        <f ca="1">IFERROR(IF(0=LEN(ReferenceData!$AQ$46),"",ReferenceData!$AQ$46),"")</f>
        <v>104.91200000000001</v>
      </c>
      <c r="AR46">
        <f ca="1">IFERROR(IF(0=LEN(ReferenceData!$AR$46),"",ReferenceData!$AR$46),"")</f>
        <v>103.253</v>
      </c>
      <c r="AS46">
        <f ca="1">IFERROR(IF(0=LEN(ReferenceData!$AS$46),"",ReferenceData!$AS$46),"")</f>
        <v>101.547</v>
      </c>
      <c r="AT46">
        <f ca="1">IFERROR(IF(0=LEN(ReferenceData!$AT$46),"",ReferenceData!$AT$46),"")</f>
        <v>102.72499999999999</v>
      </c>
      <c r="AU46">
        <f ca="1">IFERROR(IF(0=LEN(ReferenceData!$AU$46),"",ReferenceData!$AU$46),"")</f>
        <v>102.496</v>
      </c>
      <c r="AV46">
        <f ca="1">IFERROR(IF(0=LEN(ReferenceData!$AV$46),"",ReferenceData!$AV$46),"")</f>
        <v>96.28</v>
      </c>
      <c r="AW46">
        <f ca="1">IFERROR(IF(0=LEN(ReferenceData!$AW$46),"",ReferenceData!$AW$46),"")</f>
        <v>98.412999999999997</v>
      </c>
      <c r="AX46">
        <f ca="1">IFERROR(IF(0=LEN(ReferenceData!$AX$46),"",ReferenceData!$AX$46),"")</f>
        <v>92.888000000000005</v>
      </c>
      <c r="AY46">
        <f ca="1">IFERROR(IF(0=LEN(ReferenceData!$AY$46),"",ReferenceData!$AY$46),"")</f>
        <v>91.07</v>
      </c>
      <c r="AZ46">
        <f ca="1">IFERROR(IF(0=LEN(ReferenceData!$AZ$46),"",ReferenceData!$AZ$46),"")</f>
        <v>90.408000000000001</v>
      </c>
      <c r="BA46">
        <f ca="1">IFERROR(IF(0=LEN(ReferenceData!$BA$46),"",ReferenceData!$BA$46),"")</f>
        <v>85.194999999999993</v>
      </c>
      <c r="BB46">
        <f ca="1">IFERROR(IF(0=LEN(ReferenceData!$BB$46),"",ReferenceData!$BB$46),"")</f>
        <v>85.450999999999993</v>
      </c>
      <c r="BC46">
        <f ca="1">IFERROR(IF(0=LEN(ReferenceData!$BC$46),"",ReferenceData!$BC$46),"")</f>
        <v>73.584999999999994</v>
      </c>
      <c r="BD46">
        <f ca="1">IFERROR(IF(0=LEN(ReferenceData!$BD$46),"",ReferenceData!$BD$46),"")</f>
        <v>88.46</v>
      </c>
      <c r="BE46">
        <f ca="1">IFERROR(IF(0=LEN(ReferenceData!$BE$46),"",ReferenceData!$BE$46),"")</f>
        <v>83.024000000000001</v>
      </c>
      <c r="BF46">
        <f ca="1">IFERROR(IF(0=LEN(ReferenceData!$BF$46),"",ReferenceData!$BF$46),"")</f>
        <v>85.376000000000005</v>
      </c>
      <c r="BG46">
        <f ca="1">IFERROR(IF(0=LEN(ReferenceData!$BG$46),"",ReferenceData!$BG$46),"")</f>
        <v>76.521004000000005</v>
      </c>
      <c r="BH46">
        <f ca="1">IFERROR(IF(0=LEN(ReferenceData!$BH$46),"",ReferenceData!$BH$46),"")</f>
        <v>88.27</v>
      </c>
      <c r="BI46">
        <f ca="1">IFERROR(IF(0=LEN(ReferenceData!$BI$46),"",ReferenceData!$BI$46),"")</f>
        <v>72.696999000000005</v>
      </c>
      <c r="BJ46">
        <f ca="1">IFERROR(IF(0=LEN(ReferenceData!$BJ$46),"",ReferenceData!$BJ$46),"")</f>
        <v>68.162002999999999</v>
      </c>
      <c r="BK46">
        <f ca="1">IFERROR(IF(0=LEN(ReferenceData!$BK$46),"",ReferenceData!$BK$46),"")</f>
        <v>66.300003000000004</v>
      </c>
      <c r="BL46">
        <f ca="1">IFERROR(IF(0=LEN(ReferenceData!$BL$46),"",ReferenceData!$BL$46),"")</f>
        <v>64.515998999999994</v>
      </c>
      <c r="BM46">
        <f ca="1">IFERROR(IF(0=LEN(ReferenceData!$BM$46),"",ReferenceData!$BM$46),"")</f>
        <v>65.315002000000007</v>
      </c>
    </row>
    <row r="47" spans="1:65">
      <c r="A47" t="str">
        <f>IFERROR(IF(0=LEN(ReferenceData!$A$47),"",ReferenceData!$A$47),"")</f>
        <v xml:space="preserve">    Mid-America Apartment Communit</v>
      </c>
      <c r="B47" t="str">
        <f>IFERROR(IF(0=LEN(ReferenceData!$B$47),"",ReferenceData!$B$47),"")</f>
        <v>MAA US Equity</v>
      </c>
      <c r="C47" t="str">
        <f>IFERROR(IF(0=LEN(ReferenceData!$C$47),"",ReferenceData!$C$47),"")</f>
        <v>IS010</v>
      </c>
      <c r="D47" t="str">
        <f>IFERROR(IF(0=LEN(ReferenceData!$D$47),"",ReferenceData!$D$47),"")</f>
        <v>SALES_REV_TURN</v>
      </c>
      <c r="E47" t="str">
        <f>IFERROR(IF(0=LEN(ReferenceData!$E$47),"",ReferenceData!$E$47),"")</f>
        <v>动态</v>
      </c>
      <c r="F47" t="str">
        <f ca="1">IFERROR(IF(0=LEN(ReferenceData!$F$47),"",ReferenceData!$F$47),"")</f>
        <v/>
      </c>
      <c r="G47">
        <f ca="1">IFERROR(IF(0=LEN(ReferenceData!$G$47),"",ReferenceData!$G$47),"")</f>
        <v>382.738</v>
      </c>
      <c r="H47">
        <f ca="1">IFERROR(IF(0=LEN(ReferenceData!$H$47),"",ReferenceData!$H$47),"")</f>
        <v>384.55</v>
      </c>
      <c r="I47">
        <f ca="1">IFERROR(IF(0=LEN(ReferenceData!$I$47),"",ReferenceData!$I$47),"")</f>
        <v>382.791</v>
      </c>
      <c r="J47">
        <f ca="1">IFERROR(IF(0=LEN(ReferenceData!$J$47),"",ReferenceData!$J$47),"")</f>
        <v>378.90800000000002</v>
      </c>
      <c r="K47">
        <f ca="1">IFERROR(IF(0=LEN(ReferenceData!$K$47),"",ReferenceData!$K$47),"")</f>
        <v>307.19799999999998</v>
      </c>
      <c r="L47">
        <f ca="1">IFERROR(IF(0=LEN(ReferenceData!$L$47),"",ReferenceData!$L$47),"")</f>
        <v>276.89800000000002</v>
      </c>
      <c r="M47">
        <f ca="1">IFERROR(IF(0=LEN(ReferenceData!$M$47),"",ReferenceData!$M$47),"")</f>
        <v>272.23599999999999</v>
      </c>
      <c r="N47">
        <f ca="1">IFERROR(IF(0=LEN(ReferenceData!$N$47),"",ReferenceData!$N$47),"")</f>
        <v>269.01600000000002</v>
      </c>
      <c r="O47">
        <f ca="1">IFERROR(IF(0=LEN(ReferenceData!$O$47),"",ReferenceData!$O$47),"")</f>
        <v>263.33699999999999</v>
      </c>
      <c r="P47">
        <f ca="1">IFERROR(IF(0=LEN(ReferenceData!$P$47),"",ReferenceData!$P$47),"")</f>
        <v>261.99799999999999</v>
      </c>
      <c r="Q47">
        <f ca="1">IFERROR(IF(0=LEN(ReferenceData!$Q$47),"",ReferenceData!$Q$47),"")</f>
        <v>258.89100000000002</v>
      </c>
      <c r="R47">
        <f ca="1">IFERROR(IF(0=LEN(ReferenceData!$R$47),"",ReferenceData!$R$47),"")</f>
        <v>258.55200000000002</v>
      </c>
      <c r="S47">
        <f ca="1">IFERROR(IF(0=LEN(ReferenceData!$S$47),"",ReferenceData!$S$47),"")</f>
        <v>253.21899999999999</v>
      </c>
      <c r="T47">
        <f ca="1">IFERROR(IF(0=LEN(ReferenceData!$T$47),"",ReferenceData!$T$47),"")</f>
        <v>249.57400000000001</v>
      </c>
      <c r="U47">
        <f ca="1">IFERROR(IF(0=LEN(ReferenceData!$U$47),"",ReferenceData!$U$47),"")</f>
        <v>245.30500000000001</v>
      </c>
      <c r="V47">
        <f ca="1">IFERROR(IF(0=LEN(ReferenceData!$V$47),"",ReferenceData!$V$47),"")</f>
        <v>243.48699999999999</v>
      </c>
      <c r="W47">
        <f ca="1">IFERROR(IF(0=LEN(ReferenceData!$W$47),"",ReferenceData!$W$47),"")</f>
        <v>239.607</v>
      </c>
      <c r="X47">
        <f ca="1">IFERROR(IF(0=LEN(ReferenceData!$X$47),"",ReferenceData!$X$47),"")</f>
        <v>135.40600000000001</v>
      </c>
      <c r="Y47">
        <f ca="1">IFERROR(IF(0=LEN(ReferenceData!$Y$47),"",ReferenceData!$Y$47),"")</f>
        <v>131.80099999999999</v>
      </c>
      <c r="Z47">
        <f ca="1">IFERROR(IF(0=LEN(ReferenceData!$Z$47),"",ReferenceData!$Z$47),"")</f>
        <v>127.92</v>
      </c>
      <c r="AA47">
        <f ca="1">IFERROR(IF(0=LEN(ReferenceData!$AA$47),"",ReferenceData!$AA$47),"")</f>
        <v>126.02</v>
      </c>
      <c r="AB47">
        <f ca="1">IFERROR(IF(0=LEN(ReferenceData!$AB$47),"",ReferenceData!$AB$47),"")</f>
        <v>123.19</v>
      </c>
      <c r="AC47">
        <f ca="1">IFERROR(IF(0=LEN(ReferenceData!$AC$47),"",ReferenceData!$AC$47),"")</f>
        <v>119.008</v>
      </c>
      <c r="AD47">
        <f ca="1">IFERROR(IF(0=LEN(ReferenceData!$AD$47),"",ReferenceData!$AD$47),"")</f>
        <v>116.286</v>
      </c>
      <c r="AE47">
        <f ca="1">IFERROR(IF(0=LEN(ReferenceData!$AE$47),"",ReferenceData!$AE$47),"")</f>
        <v>113.04</v>
      </c>
      <c r="AF47">
        <f ca="1">IFERROR(IF(0=LEN(ReferenceData!$AF$47),"",ReferenceData!$AF$47),"")</f>
        <v>110.321</v>
      </c>
      <c r="AG47">
        <f ca="1">IFERROR(IF(0=LEN(ReferenceData!$AG$47),"",ReferenceData!$AG$47),"")</f>
        <v>107.20099999999999</v>
      </c>
      <c r="AH47">
        <f ca="1">IFERROR(IF(0=LEN(ReferenceData!$AH$47),"",ReferenceData!$AH$47),"")</f>
        <v>104.94499999999999</v>
      </c>
      <c r="AI47">
        <f ca="1">IFERROR(IF(0=LEN(ReferenceData!$AI$47),"",ReferenceData!$AI$47),"")</f>
        <v>104.48</v>
      </c>
      <c r="AJ47">
        <f ca="1">IFERROR(IF(0=LEN(ReferenceData!$AJ$47),"",ReferenceData!$AJ$47),"")</f>
        <v>100.881</v>
      </c>
      <c r="AK47">
        <f ca="1">IFERROR(IF(0=LEN(ReferenceData!$AK$47),"",ReferenceData!$AK$47),"")</f>
        <v>98.394999999999996</v>
      </c>
      <c r="AL47">
        <f ca="1">IFERROR(IF(0=LEN(ReferenceData!$AL$47),"",ReferenceData!$AL$47),"")</f>
        <v>97.463999999999999</v>
      </c>
      <c r="AM47">
        <f ca="1">IFERROR(IF(0=LEN(ReferenceData!$AM$47),"",ReferenceData!$AM$47),"")</f>
        <v>95.319000000000003</v>
      </c>
      <c r="AN47">
        <f ca="1">IFERROR(IF(0=LEN(ReferenceData!$AN$47),"",ReferenceData!$AN$47),"")</f>
        <v>94.998999999999995</v>
      </c>
      <c r="AO47">
        <f ca="1">IFERROR(IF(0=LEN(ReferenceData!$AO$47),"",ReferenceData!$AO$47),"")</f>
        <v>94.561999999999998</v>
      </c>
      <c r="AP47">
        <f ca="1">IFERROR(IF(0=LEN(ReferenceData!$AP$47),"",ReferenceData!$AP$47),"")</f>
        <v>93.664000000000001</v>
      </c>
      <c r="AQ47">
        <f ca="1">IFERROR(IF(0=LEN(ReferenceData!$AQ$47),"",ReferenceData!$AQ$47),"")</f>
        <v>93.951999999999998</v>
      </c>
      <c r="AR47">
        <f ca="1">IFERROR(IF(0=LEN(ReferenceData!$AR$47),"",ReferenceData!$AR$47),"")</f>
        <v>93.792000000000002</v>
      </c>
      <c r="AS47">
        <f ca="1">IFERROR(IF(0=LEN(ReferenceData!$AS$47),"",ReferenceData!$AS$47),"")</f>
        <v>91.436000000000007</v>
      </c>
      <c r="AT47">
        <f ca="1">IFERROR(IF(0=LEN(ReferenceData!$AT$47),"",ReferenceData!$AT$47),"")</f>
        <v>90.748999999999995</v>
      </c>
      <c r="AU47">
        <f ca="1">IFERROR(IF(0=LEN(ReferenceData!$AU$47),"",ReferenceData!$AU$47),"")</f>
        <v>89.634</v>
      </c>
      <c r="AV47">
        <f ca="1">IFERROR(IF(0=LEN(ReferenceData!$AV$47),"",ReferenceData!$AV$47),"")</f>
        <v>88.423000000000002</v>
      </c>
      <c r="AW47">
        <f ca="1">IFERROR(IF(0=LEN(ReferenceData!$AW$47),"",ReferenceData!$AW$47),"")</f>
        <v>86.778999999999996</v>
      </c>
      <c r="AX47">
        <f ca="1">IFERROR(IF(0=LEN(ReferenceData!$AX$47),"",ReferenceData!$AX$47),"")</f>
        <v>84.991</v>
      </c>
      <c r="AY47">
        <f ca="1">IFERROR(IF(0=LEN(ReferenceData!$AY$47),"",ReferenceData!$AY$47),"")</f>
        <v>84.471999999999994</v>
      </c>
      <c r="AZ47">
        <f ca="1">IFERROR(IF(0=LEN(ReferenceData!$AZ$47),"",ReferenceData!$AZ$47),"")</f>
        <v>82.183000000000007</v>
      </c>
      <c r="BA47">
        <f ca="1">IFERROR(IF(0=LEN(ReferenceData!$BA$47),"",ReferenceData!$BA$47),"")</f>
        <v>79.795000000000002</v>
      </c>
      <c r="BB47">
        <f ca="1">IFERROR(IF(0=LEN(ReferenceData!$BB$47),"",ReferenceData!$BB$47),"")</f>
        <v>77.391000000000005</v>
      </c>
      <c r="BC47">
        <f ca="1">IFERROR(IF(0=LEN(ReferenceData!$BC$47),"",ReferenceData!$BC$47),"")</f>
        <v>77.141000000000005</v>
      </c>
      <c r="BD47">
        <f ca="1">IFERROR(IF(0=LEN(ReferenceData!$BD$47),"",ReferenceData!$BD$47),"")</f>
        <v>74.921999999999997</v>
      </c>
      <c r="BE47">
        <f ca="1">IFERROR(IF(0=LEN(ReferenceData!$BE$47),"",ReferenceData!$BE$47),"")</f>
        <v>72.516999999999996</v>
      </c>
      <c r="BF47">
        <f ca="1">IFERROR(IF(0=LEN(ReferenceData!$BF$47),"",ReferenceData!$BF$47),"")</f>
        <v>71.692999999999998</v>
      </c>
      <c r="BG47">
        <f ca="1">IFERROR(IF(0=LEN(ReferenceData!$BG$47),"",ReferenceData!$BG$47),"")</f>
        <v>68.848999000000006</v>
      </c>
      <c r="BH47">
        <f ca="1">IFERROR(IF(0=LEN(ReferenceData!$BH$47),"",ReferenceData!$BH$47),"")</f>
        <v>67.681999000000005</v>
      </c>
      <c r="BI47">
        <f ca="1">IFERROR(IF(0=LEN(ReferenceData!$BI$47),"",ReferenceData!$BI$47),"")</f>
        <v>66.202003000000005</v>
      </c>
      <c r="BJ47">
        <f ca="1">IFERROR(IF(0=LEN(ReferenceData!$BJ$47),"",ReferenceData!$BJ$47),"")</f>
        <v>65.643996999999999</v>
      </c>
      <c r="BK47">
        <f ca="1">IFERROR(IF(0=LEN(ReferenceData!$BK$47),"",ReferenceData!$BK$47),"")</f>
        <v>63.640998840000002</v>
      </c>
      <c r="BL47">
        <f ca="1">IFERROR(IF(0=LEN(ReferenceData!$BL$47),"",ReferenceData!$BL$47),"")</f>
        <v>59.533999999999999</v>
      </c>
      <c r="BM47">
        <f ca="1">IFERROR(IF(0=LEN(ReferenceData!$BM$47),"",ReferenceData!$BM$47),"")</f>
        <v>58.317000999999998</v>
      </c>
    </row>
    <row r="48" spans="1:65">
      <c r="A48" t="str">
        <f>IFERROR(IF(0=LEN(ReferenceData!$A$48),"",ReferenceData!$A$48),"")</f>
        <v xml:space="preserve">    UDR Inc</v>
      </c>
      <c r="B48" t="str">
        <f>IFERROR(IF(0=LEN(ReferenceData!$B$48),"",ReferenceData!$B$48),"")</f>
        <v>UDR US Equity</v>
      </c>
      <c r="C48" t="str">
        <f>IFERROR(IF(0=LEN(ReferenceData!$C$48),"",ReferenceData!$C$48),"")</f>
        <v>IS010</v>
      </c>
      <c r="D48" t="str">
        <f>IFERROR(IF(0=LEN(ReferenceData!$D$48),"",ReferenceData!$D$48),"")</f>
        <v>SALES_REV_TURN</v>
      </c>
      <c r="E48" t="str">
        <f>IFERROR(IF(0=LEN(ReferenceData!$E$48),"",ReferenceData!$E$48),"")</f>
        <v>动态</v>
      </c>
      <c r="F48" t="str">
        <f ca="1">IFERROR(IF(0=LEN(ReferenceData!$F$48),"",ReferenceData!$F$48),"")</f>
        <v/>
      </c>
      <c r="G48">
        <f ca="1">IFERROR(IF(0=LEN(ReferenceData!$G$48),"",ReferenceData!$G$48),"")</f>
        <v>252.88</v>
      </c>
      <c r="H48">
        <f ca="1">IFERROR(IF(0=LEN(ReferenceData!$H$48),"",ReferenceData!$H$48),"")</f>
        <v>251.09100000000001</v>
      </c>
      <c r="I48">
        <f ca="1">IFERROR(IF(0=LEN(ReferenceData!$I$48),"",ReferenceData!$I$48),"")</f>
        <v>247.97900000000001</v>
      </c>
      <c r="J48">
        <f ca="1">IFERROR(IF(0=LEN(ReferenceData!$J$48),"",ReferenceData!$J$48),"")</f>
        <v>243.84100000000001</v>
      </c>
      <c r="K48">
        <f ca="1">IFERROR(IF(0=LEN(ReferenceData!$K$48),"",ReferenceData!$K$48),"")</f>
        <v>243.00800000000001</v>
      </c>
      <c r="L48">
        <f ca="1">IFERROR(IF(0=LEN(ReferenceData!$L$48),"",ReferenceData!$L$48),"")</f>
        <v>243.25200000000001</v>
      </c>
      <c r="M48">
        <f ca="1">IFERROR(IF(0=LEN(ReferenceData!$M$48),"",ReferenceData!$M$48),"")</f>
        <v>238.786</v>
      </c>
      <c r="N48">
        <f ca="1">IFERROR(IF(0=LEN(ReferenceData!$N$48),"",ReferenceData!$N$48),"")</f>
        <v>234.815</v>
      </c>
      <c r="O48">
        <f ca="1">IFERROR(IF(0=LEN(ReferenceData!$O$48),"",ReferenceData!$O$48),"")</f>
        <v>237.60499999999999</v>
      </c>
      <c r="P48">
        <f ca="1">IFERROR(IF(0=LEN(ReferenceData!$P$48),"",ReferenceData!$P$48),"")</f>
        <v>221.41800000000001</v>
      </c>
      <c r="Q48">
        <f ca="1">IFERROR(IF(0=LEN(ReferenceData!$Q$48),"",ReferenceData!$Q$48),"")</f>
        <v>215.86199999999999</v>
      </c>
      <c r="R48">
        <f ca="1">IFERROR(IF(0=LEN(ReferenceData!$R$48),"",ReferenceData!$R$48),"")</f>
        <v>219.75299999999999</v>
      </c>
      <c r="S48">
        <f ca="1">IFERROR(IF(0=LEN(ReferenceData!$S$48),"",ReferenceData!$S$48),"")</f>
        <v>209.54900000000001</v>
      </c>
      <c r="T48">
        <f ca="1">IFERROR(IF(0=LEN(ReferenceData!$T$48),"",ReferenceData!$T$48),"")</f>
        <v>206.75200000000001</v>
      </c>
      <c r="U48">
        <f ca="1">IFERROR(IF(0=LEN(ReferenceData!$U$48),"",ReferenceData!$U$48),"")</f>
        <v>203.70599999999999</v>
      </c>
      <c r="V48">
        <f ca="1">IFERROR(IF(0=LEN(ReferenceData!$V$48),"",ReferenceData!$V$48),"")</f>
        <v>198.03899999999999</v>
      </c>
      <c r="W48">
        <f ca="1">IFERROR(IF(0=LEN(ReferenceData!$W$48),"",ReferenceData!$W$48),"")</f>
        <v>193.416</v>
      </c>
      <c r="X48">
        <f ca="1">IFERROR(IF(0=LEN(ReferenceData!$X$48),"",ReferenceData!$X$48),"")</f>
        <v>191.124</v>
      </c>
      <c r="Y48">
        <f ca="1">IFERROR(IF(0=LEN(ReferenceData!$Y$48),"",ReferenceData!$Y$48),"")</f>
        <v>189.50200000000001</v>
      </c>
      <c r="Z48">
        <f ca="1">IFERROR(IF(0=LEN(ReferenceData!$Z$48),"",ReferenceData!$Z$48),"")</f>
        <v>184.88399999999999</v>
      </c>
      <c r="AA48">
        <f ca="1">IFERROR(IF(0=LEN(ReferenceData!$AA$48),"",ReferenceData!$AA$48),"")</f>
        <v>183.03399999999999</v>
      </c>
      <c r="AB48">
        <f ca="1">IFERROR(IF(0=LEN(ReferenceData!$AB$48),"",ReferenceData!$AB$48),"")</f>
        <v>185.08600000000001</v>
      </c>
      <c r="AC48">
        <f ca="1">IFERROR(IF(0=LEN(ReferenceData!$AC$48),"",ReferenceData!$AC$48),"")</f>
        <v>180.19200000000001</v>
      </c>
      <c r="AD48">
        <f ca="1">IFERROR(IF(0=LEN(ReferenceData!$AD$48),"",ReferenceData!$AD$48),"")</f>
        <v>175.23099999999999</v>
      </c>
      <c r="AE48">
        <f ca="1">IFERROR(IF(0=LEN(ReferenceData!$AE$48),"",ReferenceData!$AE$48),"")</f>
        <v>170.68700000000001</v>
      </c>
      <c r="AF48">
        <f ca="1">IFERROR(IF(0=LEN(ReferenceData!$AF$48),"",ReferenceData!$AF$48),"")</f>
        <v>169.08799999999999</v>
      </c>
      <c r="AG48">
        <f ca="1">IFERROR(IF(0=LEN(ReferenceData!$AG$48),"",ReferenceData!$AG$48),"")</f>
        <v>153.49</v>
      </c>
      <c r="AH48">
        <f ca="1">IFERROR(IF(0=LEN(ReferenceData!$AH$48),"",ReferenceData!$AH$48),"")</f>
        <v>142.34800000000001</v>
      </c>
      <c r="AI48">
        <f ca="1">IFERROR(IF(0=LEN(ReferenceData!$AI$48),"",ReferenceData!$AI$48),"")</f>
        <v>152.39599999999999</v>
      </c>
      <c r="AJ48">
        <f ca="1">IFERROR(IF(0=LEN(ReferenceData!$AJ$48),"",ReferenceData!$AJ$48),"")</f>
        <v>152.33099999999999</v>
      </c>
      <c r="AK48">
        <f ca="1">IFERROR(IF(0=LEN(ReferenceData!$AK$48),"",ReferenceData!$AK$48),"")</f>
        <v>148.703</v>
      </c>
      <c r="AL48">
        <f ca="1">IFERROR(IF(0=LEN(ReferenceData!$AL$48),"",ReferenceData!$AL$48),"")</f>
        <v>146.624</v>
      </c>
      <c r="AM48">
        <f ca="1">IFERROR(IF(0=LEN(ReferenceData!$AM$48),"",ReferenceData!$AM$48),"")</f>
        <v>149.6</v>
      </c>
      <c r="AN48">
        <f ca="1">IFERROR(IF(0=LEN(ReferenceData!$AN$48),"",ReferenceData!$AN$48),"")</f>
        <v>151.38300000000001</v>
      </c>
      <c r="AO48">
        <f ca="1">IFERROR(IF(0=LEN(ReferenceData!$AO$48),"",ReferenceData!$AO$48),"")</f>
        <v>155.80199999999999</v>
      </c>
      <c r="AP48">
        <f ca="1">IFERROR(IF(0=LEN(ReferenceData!$AP$48),"",ReferenceData!$AP$48),"")</f>
        <v>155.63900000000001</v>
      </c>
      <c r="AQ48">
        <f ca="1">IFERROR(IF(0=LEN(ReferenceData!$AQ$48),"",ReferenceData!$AQ$48),"")</f>
        <v>155.357</v>
      </c>
      <c r="AR48">
        <f ca="1">IFERROR(IF(0=LEN(ReferenceData!$AR$48),"",ReferenceData!$AR$48),"")</f>
        <v>157.38300000000001</v>
      </c>
      <c r="AS48">
        <f ca="1">IFERROR(IF(0=LEN(ReferenceData!$AS$48),"",ReferenceData!$AS$48),"")</f>
        <v>146.64500000000001</v>
      </c>
      <c r="AT48">
        <f ca="1">IFERROR(IF(0=LEN(ReferenceData!$AT$48),"",ReferenceData!$AT$48),"")</f>
        <v>131.083</v>
      </c>
      <c r="AU48">
        <f ca="1">IFERROR(IF(0=LEN(ReferenceData!$AU$48),"",ReferenceData!$AU$48),"")</f>
        <v>127.693</v>
      </c>
      <c r="AV48">
        <f ca="1">IFERROR(IF(0=LEN(ReferenceData!$AV$48),"",ReferenceData!$AV$48),"")</f>
        <v>134.48699999999999</v>
      </c>
      <c r="AW48">
        <f ca="1">IFERROR(IF(0=LEN(ReferenceData!$AW$48),"",ReferenceData!$AW$48),"")</f>
        <v>127.235</v>
      </c>
      <c r="AX48">
        <f ca="1">IFERROR(IF(0=LEN(ReferenceData!$AX$48),"",ReferenceData!$AX$48),"")</f>
        <v>126.41800000000001</v>
      </c>
      <c r="AY48">
        <f ca="1">IFERROR(IF(0=LEN(ReferenceData!$AY$48),"",ReferenceData!$AY$48),"")</f>
        <v>120.884</v>
      </c>
      <c r="AZ48">
        <f ca="1">IFERROR(IF(0=LEN(ReferenceData!$AZ$48),"",ReferenceData!$AZ$48),"")</f>
        <v>171.64</v>
      </c>
      <c r="BA48">
        <f ca="1">IFERROR(IF(0=LEN(ReferenceData!$BA$48),"",ReferenceData!$BA$48),"")</f>
        <v>165.92099999999999</v>
      </c>
      <c r="BB48">
        <f ca="1">IFERROR(IF(0=LEN(ReferenceData!$BB$48),"",ReferenceData!$BB$48),"")</f>
        <v>167.61</v>
      </c>
      <c r="BC48">
        <f ca="1">IFERROR(IF(0=LEN(ReferenceData!$BC$48),"",ReferenceData!$BC$48),"")</f>
        <v>162.02699999999999</v>
      </c>
      <c r="BD48">
        <f ca="1">IFERROR(IF(0=LEN(ReferenceData!$BD$48),"",ReferenceData!$BD$48),"")</f>
        <v>160.03399999999999</v>
      </c>
      <c r="BE48">
        <f ca="1">IFERROR(IF(0=LEN(ReferenceData!$BE$48),"",ReferenceData!$BE$48),"")</f>
        <v>157.43</v>
      </c>
      <c r="BF48">
        <f ca="1">IFERROR(IF(0=LEN(ReferenceData!$BF$48),"",ReferenceData!$BF$48),"")</f>
        <v>159.25399999999999</v>
      </c>
      <c r="BG48">
        <f ca="1">IFERROR(IF(0=LEN(ReferenceData!$BG$48),"",ReferenceData!$BG$48),"")</f>
        <v>118.53400000000001</v>
      </c>
      <c r="BH48">
        <f ca="1">IFERROR(IF(0=LEN(ReferenceData!$BH$48),"",ReferenceData!$BH$48),"")</f>
        <v>143.39699999999999</v>
      </c>
      <c r="BI48">
        <f ca="1">IFERROR(IF(0=LEN(ReferenceData!$BI$48),"",ReferenceData!$BI$48),"")</f>
        <v>157.816</v>
      </c>
      <c r="BJ48">
        <f ca="1">IFERROR(IF(0=LEN(ReferenceData!$BJ$48),"",ReferenceData!$BJ$48),"")</f>
        <v>155.26900000000001</v>
      </c>
      <c r="BK48">
        <f ca="1">IFERROR(IF(0=LEN(ReferenceData!$BK$48),"",ReferenceData!$BK$48),"")</f>
        <v>151.03899999999999</v>
      </c>
      <c r="BL48">
        <f ca="1">IFERROR(IF(0=LEN(ReferenceData!$BL$48),"",ReferenceData!$BL$48),"")</f>
        <v>142.16999999999999</v>
      </c>
      <c r="BM48">
        <f ca="1">IFERROR(IF(0=LEN(ReferenceData!$BM$48),"",ReferenceData!$BM$48),"")</f>
        <v>144.13399999999999</v>
      </c>
    </row>
    <row r="49" spans="1:65">
      <c r="A49" t="str">
        <f>IFERROR(IF(0=LEN(ReferenceData!$A$49),"",ReferenceData!$A$49),"")</f>
        <v>营业净利润</v>
      </c>
      <c r="B49" t="str">
        <f>IFERROR(IF(0=LEN(ReferenceData!$B$49),"",ReferenceData!$B$49),"")</f>
        <v/>
      </c>
      <c r="C49" t="str">
        <f>IFERROR(IF(0=LEN(ReferenceData!$C$49),"",ReferenceData!$C$49),"")</f>
        <v/>
      </c>
      <c r="D49" t="str">
        <f>IFERROR(IF(0=LEN(ReferenceData!$D$49),"",ReferenceData!$D$49),"")</f>
        <v/>
      </c>
      <c r="E49" t="str">
        <f>IFERROR(IF(0=LEN(ReferenceData!$E$49),"",ReferenceData!$E$49),"")</f>
        <v>Median</v>
      </c>
      <c r="F49" t="str">
        <f ca="1">IFERROR(IF(0=LEN(ReferenceData!$F$49),"",ReferenceData!$F$49),"")</f>
        <v/>
      </c>
      <c r="G49">
        <f ca="1">IFERROR(IF(0=LEN(ReferenceData!$G$49),"",ReferenceData!$G$49),"")</f>
        <v>200.82249999999999</v>
      </c>
      <c r="H49">
        <f ca="1">IFERROR(IF(0=LEN(ReferenceData!$H$49),"",ReferenceData!$H$49),"")</f>
        <v>183.0265</v>
      </c>
      <c r="I49">
        <f ca="1">IFERROR(IF(0=LEN(ReferenceData!$I$49),"",ReferenceData!$I$49),"")</f>
        <v>183.50650000000002</v>
      </c>
      <c r="J49">
        <f ca="1">IFERROR(IF(0=LEN(ReferenceData!$J$49),"",ReferenceData!$J$49),"")</f>
        <v>181.88550000000001</v>
      </c>
      <c r="K49">
        <f ca="1">IFERROR(IF(0=LEN(ReferenceData!$K$49),"",ReferenceData!$K$49),"")</f>
        <v>163.69400000000002</v>
      </c>
      <c r="L49">
        <f ca="1">IFERROR(IF(0=LEN(ReferenceData!$L$49),"",ReferenceData!$L$49),"")</f>
        <v>151.678</v>
      </c>
      <c r="M49">
        <f ca="1">IFERROR(IF(0=LEN(ReferenceData!$M$49),"",ReferenceData!$M$49),"")</f>
        <v>149.441</v>
      </c>
      <c r="N49">
        <f ca="1">IFERROR(IF(0=LEN(ReferenceData!$N$49),"",ReferenceData!$N$49),"")</f>
        <v>146.76749999999998</v>
      </c>
      <c r="O49">
        <f ca="1">IFERROR(IF(0=LEN(ReferenceData!$O$49),"",ReferenceData!$O$49),"")</f>
        <v>147.92400000000001</v>
      </c>
      <c r="P49">
        <f ca="1">IFERROR(IF(0=LEN(ReferenceData!$P$49),"",ReferenceData!$P$49),"")</f>
        <v>139.01</v>
      </c>
      <c r="Q49">
        <f ca="1">IFERROR(IF(0=LEN(ReferenceData!$Q$49),"",ReferenceData!$Q$49),"")</f>
        <v>136.452</v>
      </c>
      <c r="R49">
        <f ca="1">IFERROR(IF(0=LEN(ReferenceData!$R$49),"",ReferenceData!$R$49),"")</f>
        <v>131.84049999999999</v>
      </c>
      <c r="S49">
        <f ca="1">IFERROR(IF(0=LEN(ReferenceData!$S$49),"",ReferenceData!$S$49),"")</f>
        <v>131.89449999999999</v>
      </c>
      <c r="T49">
        <f ca="1">IFERROR(IF(0=LEN(ReferenceData!$T$49),"",ReferenceData!$T$49),"")</f>
        <v>126.245</v>
      </c>
      <c r="U49">
        <f ca="1">IFERROR(IF(0=LEN(ReferenceData!$U$49),"",ReferenceData!$U$49),"")</f>
        <v>125.4105</v>
      </c>
      <c r="V49">
        <f ca="1">IFERROR(IF(0=LEN(ReferenceData!$V$49),"",ReferenceData!$V$49),"")</f>
        <v>112.70699999999999</v>
      </c>
      <c r="W49">
        <f ca="1">IFERROR(IF(0=LEN(ReferenceData!$W$49),"",ReferenceData!$W$49),"")</f>
        <v>110.625</v>
      </c>
      <c r="X49">
        <f ca="1">IFERROR(IF(0=LEN(ReferenceData!$X$49),"",ReferenceData!$X$49),"")</f>
        <v>99.817499999999995</v>
      </c>
      <c r="Y49">
        <f ca="1">IFERROR(IF(0=LEN(ReferenceData!$Y$49),"",ReferenceData!$Y$49),"")</f>
        <v>97.827500000000001</v>
      </c>
      <c r="Z49">
        <f ca="1">IFERROR(IF(0=LEN(ReferenceData!$Z$49),"",ReferenceData!$Z$49),"")</f>
        <v>95.17949999999999</v>
      </c>
      <c r="AA49">
        <f ca="1">IFERROR(IF(0=LEN(ReferenceData!$AA$49),"",ReferenceData!$AA$49),"")</f>
        <v>92.43</v>
      </c>
      <c r="AB49">
        <f ca="1">IFERROR(IF(0=LEN(ReferenceData!$AB$49),"",ReferenceData!$AB$49),"")</f>
        <v>87.69</v>
      </c>
      <c r="AC49">
        <f ca="1">IFERROR(IF(0=LEN(ReferenceData!$AC$49),"",ReferenceData!$AC$49),"")</f>
        <v>85.661500000000004</v>
      </c>
      <c r="AD49">
        <f ca="1">IFERROR(IF(0=LEN(ReferenceData!$AD$49),"",ReferenceData!$AD$49),"")</f>
        <v>82.388499999999993</v>
      </c>
      <c r="AE49">
        <f ca="1">IFERROR(IF(0=LEN(ReferenceData!$AE$49),"",ReferenceData!$AE$49),"")</f>
        <v>78.923000000000002</v>
      </c>
      <c r="AF49">
        <f ca="1">IFERROR(IF(0=LEN(ReferenceData!$AF$49),"",ReferenceData!$AF$49),"")</f>
        <v>74.063500000000005</v>
      </c>
      <c r="AG49">
        <f ca="1">IFERROR(IF(0=LEN(ReferenceData!$AG$49),"",ReferenceData!$AG$49),"")</f>
        <v>72.775499999999994</v>
      </c>
      <c r="AH49">
        <f ca="1">IFERROR(IF(0=LEN(ReferenceData!$AH$49),"",ReferenceData!$AH$49),"")</f>
        <v>71.033500000000004</v>
      </c>
      <c r="AI49">
        <f ca="1">IFERROR(IF(0=LEN(ReferenceData!$AI$49),"",ReferenceData!$AI$49),"")</f>
        <v>69.772999999999996</v>
      </c>
      <c r="AJ49">
        <f ca="1">IFERROR(IF(0=LEN(ReferenceData!$AJ$49),"",ReferenceData!$AJ$49),"")</f>
        <v>65.540999999999997</v>
      </c>
      <c r="AK49">
        <f ca="1">IFERROR(IF(0=LEN(ReferenceData!$AK$49),"",ReferenceData!$AK$49),"")</f>
        <v>64.409499999999994</v>
      </c>
      <c r="AL49">
        <f ca="1">IFERROR(IF(0=LEN(ReferenceData!$AL$49),"",ReferenceData!$AL$49),"")</f>
        <v>64.724999999999994</v>
      </c>
      <c r="AM49">
        <f ca="1">IFERROR(IF(0=LEN(ReferenceData!$AM$49),"",ReferenceData!$AM$49),"")</f>
        <v>65.995499999999993</v>
      </c>
      <c r="AN49">
        <f ca="1">IFERROR(IF(0=LEN(ReferenceData!$AN$49),"",ReferenceData!$AN$49),"")</f>
        <v>65.320499999999996</v>
      </c>
      <c r="AO49">
        <f ca="1">IFERROR(IF(0=LEN(ReferenceData!$AO$49),"",ReferenceData!$AO$49),"")</f>
        <v>69.233500000000006</v>
      </c>
      <c r="AP49">
        <f ca="1">IFERROR(IF(0=LEN(ReferenceData!$AP$49),"",ReferenceData!$AP$49),"")</f>
        <v>71.819999999999993</v>
      </c>
      <c r="AQ49">
        <f ca="1">IFERROR(IF(0=LEN(ReferenceData!$AQ$49),"",ReferenceData!$AQ$49),"")</f>
        <v>70.548000000000002</v>
      </c>
      <c r="AR49">
        <f ca="1">IFERROR(IF(0=LEN(ReferenceData!$AR$49),"",ReferenceData!$AR$49),"")</f>
        <v>69.464500000000001</v>
      </c>
      <c r="AS49">
        <f ca="1">IFERROR(IF(0=LEN(ReferenceData!$AS$49),"",ReferenceData!$AS$49),"")</f>
        <v>71.12299999999999</v>
      </c>
      <c r="AT49">
        <f ca="1">IFERROR(IF(0=LEN(ReferenceData!$AT$49),"",ReferenceData!$AT$49),"")</f>
        <v>70.898499999999999</v>
      </c>
      <c r="AU49">
        <f ca="1">IFERROR(IF(0=LEN(ReferenceData!$AU$49),"",ReferenceData!$AU$49),"")</f>
        <v>69.396000000000001</v>
      </c>
      <c r="AV49">
        <f ca="1">IFERROR(IF(0=LEN(ReferenceData!$AV$49),"",ReferenceData!$AV$49),"")</f>
        <v>68.29849999999999</v>
      </c>
      <c r="AW49">
        <f ca="1">IFERROR(IF(0=LEN(ReferenceData!$AW$49),"",ReferenceData!$AW$49),"")</f>
        <v>70.049499999999995</v>
      </c>
      <c r="AX49">
        <f ca="1">IFERROR(IF(0=LEN(ReferenceData!$AX$49),"",ReferenceData!$AX$49),"")</f>
        <v>67.774000000000001</v>
      </c>
      <c r="AY49">
        <f ca="1">IFERROR(IF(0=LEN(ReferenceData!$AY$49),"",ReferenceData!$AY$49),"")</f>
        <v>67.138999999999996</v>
      </c>
      <c r="AZ49">
        <f ca="1">IFERROR(IF(0=LEN(ReferenceData!$AZ$49),"",ReferenceData!$AZ$49),"")</f>
        <v>69.897999999999996</v>
      </c>
      <c r="BA49">
        <f ca="1">IFERROR(IF(0=LEN(ReferenceData!$BA$49),"",ReferenceData!$BA$49),"")</f>
        <v>64.4495</v>
      </c>
      <c r="BB49">
        <f ca="1">IFERROR(IF(0=LEN(ReferenceData!$BB$49),"",ReferenceData!$BB$49),"")</f>
        <v>64.839500000000001</v>
      </c>
      <c r="BC49">
        <f ca="1">IFERROR(IF(0=LEN(ReferenceData!$BC$49),"",ReferenceData!$BC$49),"")</f>
        <v>55.540499999999994</v>
      </c>
      <c r="BD49">
        <f ca="1">IFERROR(IF(0=LEN(ReferenceData!$BD$49),"",ReferenceData!$BD$49),"")</f>
        <v>66.900000000000006</v>
      </c>
      <c r="BE49">
        <f ca="1">IFERROR(IF(0=LEN(ReferenceData!$BE$49),"",ReferenceData!$BE$49),"")</f>
        <v>61.0625</v>
      </c>
      <c r="BF49">
        <f ca="1">IFERROR(IF(0=LEN(ReferenceData!$BF$49),"",ReferenceData!$BF$49),"")</f>
        <v>58.4345</v>
      </c>
      <c r="BG49">
        <f ca="1">IFERROR(IF(0=LEN(ReferenceData!$BG$49),"",ReferenceData!$BG$49),"")</f>
        <v>48.993000000000002</v>
      </c>
      <c r="BH49">
        <f ca="1">IFERROR(IF(0=LEN(ReferenceData!$BH$49),"",ReferenceData!$BH$49),"")</f>
        <v>62.508000000000003</v>
      </c>
      <c r="BI49">
        <f ca="1">IFERROR(IF(0=LEN(ReferenceData!$BI$49),"",ReferenceData!$BI$49),"")</f>
        <v>49.914997999999997</v>
      </c>
      <c r="BJ49">
        <f ca="1">IFERROR(IF(0=LEN(ReferenceData!$BJ$49),"",ReferenceData!$BJ$49),"")</f>
        <v>52.723998999999999</v>
      </c>
      <c r="BK49">
        <f ca="1">IFERROR(IF(0=LEN(ReferenceData!$BK$49),"",ReferenceData!$BK$49),"")</f>
        <v>54.179004069999998</v>
      </c>
      <c r="BL49">
        <f ca="1">IFERROR(IF(0=LEN(ReferenceData!$BL$49),"",ReferenceData!$BL$49),"")</f>
        <v>70.226999000000006</v>
      </c>
      <c r="BM49">
        <f ca="1">IFERROR(IF(0=LEN(ReferenceData!$BM$49),"",ReferenceData!$BM$49),"")</f>
        <v>70.876499999999993</v>
      </c>
    </row>
    <row r="50" spans="1:65">
      <c r="A50" t="str">
        <f>IFERROR(IF(0=LEN(ReferenceData!$A$50),"",ReferenceData!$A$50),"")</f>
        <v xml:space="preserve">    American Campus Communities In</v>
      </c>
      <c r="B50" t="str">
        <f>IFERROR(IF(0=LEN(ReferenceData!$B$50),"",ReferenceData!$B$50),"")</f>
        <v>ACC US Equity</v>
      </c>
      <c r="C50" t="str">
        <f>IFERROR(IF(0=LEN(ReferenceData!$C$50),"",ReferenceData!$C$50),"")</f>
        <v>RR502</v>
      </c>
      <c r="D50" t="str">
        <f>IFERROR(IF(0=LEN(ReferenceData!$D$50),"",ReferenceData!$D$50),"")</f>
        <v>NET_OPER_INCOME</v>
      </c>
      <c r="E50" t="str">
        <f>IFERROR(IF(0=LEN(ReferenceData!$E$50),"",ReferenceData!$E$50),"")</f>
        <v>动态</v>
      </c>
      <c r="F50" t="str">
        <f ca="1">IFERROR(IF(0=LEN(ReferenceData!$F$50),"",ReferenceData!$F$50),"")</f>
        <v/>
      </c>
      <c r="G50">
        <f ca="1">IFERROR(IF(0=LEN(ReferenceData!$G$50),"",ReferenceData!$G$50),"")</f>
        <v>131.35599999999999</v>
      </c>
      <c r="H50">
        <f ca="1">IFERROR(IF(0=LEN(ReferenceData!$H$50),"",ReferenceData!$H$50),"")</f>
        <v>83.105000000000004</v>
      </c>
      <c r="I50">
        <f ca="1">IFERROR(IF(0=LEN(ReferenceData!$I$50),"",ReferenceData!$I$50),"")</f>
        <v>92.259</v>
      </c>
      <c r="J50">
        <f ca="1">IFERROR(IF(0=LEN(ReferenceData!$J$50),"",ReferenceData!$J$50),"")</f>
        <v>106.941</v>
      </c>
      <c r="K50">
        <f ca="1">IFERROR(IF(0=LEN(ReferenceData!$K$50),"",ReferenceData!$K$50),"")</f>
        <v>112.645</v>
      </c>
      <c r="L50">
        <f ca="1">IFERROR(IF(0=LEN(ReferenceData!$L$50),"",ReferenceData!$L$50),"")</f>
        <v>85.137</v>
      </c>
      <c r="M50">
        <f ca="1">IFERROR(IF(0=LEN(ReferenceData!$M$50),"",ReferenceData!$M$50),"")</f>
        <v>96.100999999999999</v>
      </c>
      <c r="N50">
        <f ca="1">IFERROR(IF(0=LEN(ReferenceData!$N$50),"",ReferenceData!$N$50),"")</f>
        <v>110.223</v>
      </c>
      <c r="O50">
        <f ca="1">IFERROR(IF(0=LEN(ReferenceData!$O$50),"",ReferenceData!$O$50),"")</f>
        <v>110.995</v>
      </c>
      <c r="P50">
        <f ca="1">IFERROR(IF(0=LEN(ReferenceData!$P$50),"",ReferenceData!$P$50),"")</f>
        <v>73.796000000000006</v>
      </c>
      <c r="Q50">
        <f ca="1">IFERROR(IF(0=LEN(ReferenceData!$Q$50),"",ReferenceData!$Q$50),"")</f>
        <v>89.39</v>
      </c>
      <c r="R50">
        <f ca="1">IFERROR(IF(0=LEN(ReferenceData!$R$50),"",ReferenceData!$R$50),"")</f>
        <v>104.276</v>
      </c>
      <c r="S50">
        <f ca="1">IFERROR(IF(0=LEN(ReferenceData!$S$50),"",ReferenceData!$S$50),"")</f>
        <v>107.524</v>
      </c>
      <c r="T50">
        <f ca="1">IFERROR(IF(0=LEN(ReferenceData!$T$50),"",ReferenceData!$T$50),"")</f>
        <v>73.049000000000007</v>
      </c>
      <c r="U50">
        <f ca="1">IFERROR(IF(0=LEN(ReferenceData!$U$50),"",ReferenceData!$U$50),"")</f>
        <v>86.671999999999997</v>
      </c>
      <c r="V50">
        <f ca="1">IFERROR(IF(0=LEN(ReferenceData!$V$50),"",ReferenceData!$V$50),"")</f>
        <v>99.483999999999995</v>
      </c>
      <c r="W50">
        <f ca="1">IFERROR(IF(0=LEN(ReferenceData!$W$50),"",ReferenceData!$W$50),"")</f>
        <v>98.915999999999997</v>
      </c>
      <c r="X50">
        <f ca="1">IFERROR(IF(0=LEN(ReferenceData!$X$50),"",ReferenceData!$X$50),"")</f>
        <v>62.872</v>
      </c>
      <c r="Y50">
        <f ca="1">IFERROR(IF(0=LEN(ReferenceData!$Y$50),"",ReferenceData!$Y$50),"")</f>
        <v>76.792000000000002</v>
      </c>
      <c r="Z50">
        <f ca="1">IFERROR(IF(0=LEN(ReferenceData!$Z$50),"",ReferenceData!$Z$50),"")</f>
        <v>90.016000000000005</v>
      </c>
      <c r="AA50">
        <f ca="1">IFERROR(IF(0=LEN(ReferenceData!$AA$50),"",ReferenceData!$AA$50),"")</f>
        <v>81.244</v>
      </c>
      <c r="AB50">
        <f ca="1">IFERROR(IF(0=LEN(ReferenceData!$AB$50),"",ReferenceData!$AB$50),"")</f>
        <v>46.19</v>
      </c>
      <c r="AC50">
        <f ca="1">IFERROR(IF(0=LEN(ReferenceData!$AC$50),"",ReferenceData!$AC$50),"")</f>
        <v>47.725999999999999</v>
      </c>
      <c r="AD50">
        <f ca="1">IFERROR(IF(0=LEN(ReferenceData!$AD$50),"",ReferenceData!$AD$50),"")</f>
        <v>56.241999999999997</v>
      </c>
      <c r="AE50">
        <f ca="1">IFERROR(IF(0=LEN(ReferenceData!$AE$50),"",ReferenceData!$AE$50),"")</f>
        <v>54.970999999999997</v>
      </c>
      <c r="AF50">
        <f ca="1">IFERROR(IF(0=LEN(ReferenceData!$AF$50),"",ReferenceData!$AF$50),"")</f>
        <v>38.445</v>
      </c>
      <c r="AG50">
        <f ca="1">IFERROR(IF(0=LEN(ReferenceData!$AG$50),"",ReferenceData!$AG$50),"")</f>
        <v>44.542999999999999</v>
      </c>
      <c r="AH50">
        <f ca="1">IFERROR(IF(0=LEN(ReferenceData!$AH$50),"",ReferenceData!$AH$50),"")</f>
        <v>51.926000000000002</v>
      </c>
      <c r="AI50">
        <f ca="1">IFERROR(IF(0=LEN(ReferenceData!$AI$50),"",ReferenceData!$AI$50),"")</f>
        <v>49.460999999999999</v>
      </c>
      <c r="AJ50">
        <f ca="1">IFERROR(IF(0=LEN(ReferenceData!$AJ$50),"",ReferenceData!$AJ$50),"")</f>
        <v>32.85</v>
      </c>
      <c r="AK50">
        <f ca="1">IFERROR(IF(0=LEN(ReferenceData!$AK$50),"",ReferenceData!$AK$50),"")</f>
        <v>34.968000000000004</v>
      </c>
      <c r="AL50">
        <f ca="1">IFERROR(IF(0=LEN(ReferenceData!$AL$50),"",ReferenceData!$AL$50),"")</f>
        <v>42.372</v>
      </c>
      <c r="AM50">
        <f ca="1">IFERROR(IF(0=LEN(ReferenceData!$AM$50),"",ReferenceData!$AM$50),"")</f>
        <v>42.731000000000002</v>
      </c>
      <c r="AN50">
        <f ca="1">IFERROR(IF(0=LEN(ReferenceData!$AN$50),"",ReferenceData!$AN$50),"")</f>
        <v>30.266999999999999</v>
      </c>
      <c r="AO50">
        <f ca="1">IFERROR(IF(0=LEN(ReferenceData!$AO$50),"",ReferenceData!$AO$50),"")</f>
        <v>31.122</v>
      </c>
      <c r="AP50">
        <f ca="1">IFERROR(IF(0=LEN(ReferenceData!$AP$50),"",ReferenceData!$AP$50),"")</f>
        <v>38.402000000000001</v>
      </c>
      <c r="AQ50">
        <f ca="1">IFERROR(IF(0=LEN(ReferenceData!$AQ$50),"",ReferenceData!$AQ$50),"")</f>
        <v>35.947000000000003</v>
      </c>
      <c r="AR50">
        <f ca="1">IFERROR(IF(0=LEN(ReferenceData!$AR$50),"",ReferenceData!$AR$50),"")</f>
        <v>21.134</v>
      </c>
      <c r="AS50">
        <f ca="1">IFERROR(IF(0=LEN(ReferenceData!$AS$50),"",ReferenceData!$AS$50),"")</f>
        <v>20.530999999999999</v>
      </c>
      <c r="AT50">
        <f ca="1">IFERROR(IF(0=LEN(ReferenceData!$AT$50),"",ReferenceData!$AT$50),"")</f>
        <v>20.7</v>
      </c>
      <c r="AU50">
        <f ca="1">IFERROR(IF(0=LEN(ReferenceData!$AU$50),"",ReferenceData!$AU$50),"")</f>
        <v>20.158999999999999</v>
      </c>
      <c r="AV50">
        <f ca="1">IFERROR(IF(0=LEN(ReferenceData!$AV$50),"",ReferenceData!$AV$50),"")</f>
        <v>14.113</v>
      </c>
      <c r="AW50">
        <f ca="1">IFERROR(IF(0=LEN(ReferenceData!$AW$50),"",ReferenceData!$AW$50),"")</f>
        <v>15.21</v>
      </c>
      <c r="AX50">
        <f ca="1">IFERROR(IF(0=LEN(ReferenceData!$AX$50),"",ReferenceData!$AX$50),"")</f>
        <v>18.727</v>
      </c>
      <c r="AY50">
        <f ca="1">IFERROR(IF(0=LEN(ReferenceData!$AY$50),"",ReferenceData!$AY$50),"")</f>
        <v>17.212</v>
      </c>
      <c r="AZ50">
        <f ca="1">IFERROR(IF(0=LEN(ReferenceData!$AZ$50),"",ReferenceData!$AZ$50),"")</f>
        <v>12.44</v>
      </c>
      <c r="BA50">
        <f ca="1">IFERROR(IF(0=LEN(ReferenceData!$BA$50),"",ReferenceData!$BA$50),"")</f>
        <v>11.717000000000001</v>
      </c>
      <c r="BB50">
        <f ca="1">IFERROR(IF(0=LEN(ReferenceData!$BB$50),"",ReferenceData!$BB$50),"")</f>
        <v>13.223000000000001</v>
      </c>
      <c r="BC50">
        <f ca="1">IFERROR(IF(0=LEN(ReferenceData!$BC$50),"",ReferenceData!$BC$50),"")</f>
        <v>8.4429999999999996</v>
      </c>
      <c r="BD50">
        <f ca="1">IFERROR(IF(0=LEN(ReferenceData!$BD$50),"",ReferenceData!$BD$50),"")</f>
        <v>7.6779999999999999</v>
      </c>
      <c r="BE50">
        <f ca="1">IFERROR(IF(0=LEN(ReferenceData!$BE$50),"",ReferenceData!$BE$50),"")</f>
        <v>7.7869999999999999</v>
      </c>
      <c r="BF50">
        <f ca="1">IFERROR(IF(0=LEN(ReferenceData!$BF$50),"",ReferenceData!$BF$50),"")</f>
        <v>9.2949999999999999</v>
      </c>
      <c r="BG50">
        <f ca="1">IFERROR(IF(0=LEN(ReferenceData!$BG$50),"",ReferenceData!$BG$50),"")</f>
        <v>8.7530000000000001</v>
      </c>
      <c r="BH50">
        <f ca="1">IFERROR(IF(0=LEN(ReferenceData!$BH$50),"",ReferenceData!$BH$50),"")</f>
        <v>4.2279999999999998</v>
      </c>
      <c r="BI50">
        <f ca="1">IFERROR(IF(0=LEN(ReferenceData!$BI$50),"",ReferenceData!$BI$50),"")</f>
        <v>3.7950004640000001</v>
      </c>
      <c r="BJ50">
        <f ca="1">IFERROR(IF(0=LEN(ReferenceData!$BJ$50),"",ReferenceData!$BJ$50),"")</f>
        <v>9.2269999980000001</v>
      </c>
      <c r="BK50">
        <f ca="1">IFERROR(IF(0=LEN(ReferenceData!$BK$50),"",ReferenceData!$BK$50),"")</f>
        <v>6.3730003240000004</v>
      </c>
      <c r="BL50" t="str">
        <f ca="1">IFERROR(IF(0=LEN(ReferenceData!$BL$50),"",ReferenceData!$BL$50),"")</f>
        <v/>
      </c>
      <c r="BM50" t="str">
        <f ca="1">IFERROR(IF(0=LEN(ReferenceData!$BM$50),"",ReferenceData!$BM$50),"")</f>
        <v/>
      </c>
    </row>
    <row r="51" spans="1:65">
      <c r="A51" t="str">
        <f>IFERROR(IF(0=LEN(ReferenceData!$A$51),"",ReferenceData!$A$51),"")</f>
        <v xml:space="preserve">    AvalonBay Communities Inc</v>
      </c>
      <c r="B51" t="str">
        <f>IFERROR(IF(0=LEN(ReferenceData!$B$51),"",ReferenceData!$B$51),"")</f>
        <v>AVB US Equity</v>
      </c>
      <c r="C51" t="str">
        <f>IFERROR(IF(0=LEN(ReferenceData!$C$51),"",ReferenceData!$C$51),"")</f>
        <v>RR502</v>
      </c>
      <c r="D51" t="str">
        <f>IFERROR(IF(0=LEN(ReferenceData!$D$51),"",ReferenceData!$D$51),"")</f>
        <v>NET_OPER_INCOME</v>
      </c>
      <c r="E51" t="str">
        <f>IFERROR(IF(0=LEN(ReferenceData!$E$51),"",ReferenceData!$E$51),"")</f>
        <v>动态</v>
      </c>
      <c r="F51" t="str">
        <f ca="1">IFERROR(IF(0=LEN(ReferenceData!$F$51),"",ReferenceData!$F$51),"")</f>
        <v/>
      </c>
      <c r="G51">
        <f ca="1">IFERROR(IF(0=LEN(ReferenceData!$G$51),"",ReferenceData!$G$51),"")</f>
        <v>372.83499999999998</v>
      </c>
      <c r="H51">
        <f ca="1">IFERROR(IF(0=LEN(ReferenceData!$H$51),"",ReferenceData!$H$51),"")</f>
        <v>362.423</v>
      </c>
      <c r="I51">
        <f ca="1">IFERROR(IF(0=LEN(ReferenceData!$I$51),"",ReferenceData!$I$51),"")</f>
        <v>349.68900000000002</v>
      </c>
      <c r="J51">
        <f ca="1">IFERROR(IF(0=LEN(ReferenceData!$J$51),"",ReferenceData!$J$51),"")</f>
        <v>345.62400000000002</v>
      </c>
      <c r="K51">
        <f ca="1">IFERROR(IF(0=LEN(ReferenceData!$K$51),"",ReferenceData!$K$51),"")</f>
        <v>347.57499999999999</v>
      </c>
      <c r="L51">
        <f ca="1">IFERROR(IF(0=LEN(ReferenceData!$L$51),"",ReferenceData!$L$51),"")</f>
        <v>335.28</v>
      </c>
      <c r="M51">
        <f ca="1">IFERROR(IF(0=LEN(ReferenceData!$M$51),"",ReferenceData!$M$51),"")</f>
        <v>330.86099999999999</v>
      </c>
      <c r="N51">
        <f ca="1">IFERROR(IF(0=LEN(ReferenceData!$N$51),"",ReferenceData!$N$51),"")</f>
        <v>338.34300000000002</v>
      </c>
      <c r="O51">
        <f ca="1">IFERROR(IF(0=LEN(ReferenceData!$O$51),"",ReferenceData!$O$51),"")</f>
        <v>321.029</v>
      </c>
      <c r="P51">
        <f ca="1">IFERROR(IF(0=LEN(ReferenceData!$P$51),"",ReferenceData!$P$51),"")</f>
        <v>305.89800000000002</v>
      </c>
      <c r="Q51">
        <f ca="1">IFERROR(IF(0=LEN(ReferenceData!$Q$51),"",ReferenceData!$Q$51),"")</f>
        <v>298.80399999999997</v>
      </c>
      <c r="R51">
        <f ca="1">IFERROR(IF(0=LEN(ReferenceData!$R$51),"",ReferenceData!$R$51),"")</f>
        <v>281.226</v>
      </c>
      <c r="S51">
        <f ca="1">IFERROR(IF(0=LEN(ReferenceData!$S$51),"",ReferenceData!$S$51),"")</f>
        <v>285.60500000000002</v>
      </c>
      <c r="T51">
        <f ca="1">IFERROR(IF(0=LEN(ReferenceData!$T$51),"",ReferenceData!$T$51),"")</f>
        <v>279.911</v>
      </c>
      <c r="U51">
        <f ca="1">IFERROR(IF(0=LEN(ReferenceData!$U$51),"",ReferenceData!$U$51),"")</f>
        <v>268.291</v>
      </c>
      <c r="V51">
        <f ca="1">IFERROR(IF(0=LEN(ReferenceData!$V$51),"",ReferenceData!$V$51),"")</f>
        <v>256.33300000000003</v>
      </c>
      <c r="W51">
        <f ca="1">IFERROR(IF(0=LEN(ReferenceData!$W$51),"",ReferenceData!$W$51),"")</f>
        <v>255.78700000000001</v>
      </c>
      <c r="X51">
        <f ca="1">IFERROR(IF(0=LEN(ReferenceData!$X$51),"",ReferenceData!$X$51),"")</f>
        <v>247.97200000000001</v>
      </c>
      <c r="Y51">
        <f ca="1">IFERROR(IF(0=LEN(ReferenceData!$Y$51),"",ReferenceData!$Y$51),"")</f>
        <v>245.52500000000001</v>
      </c>
      <c r="Z51">
        <f ca="1">IFERROR(IF(0=LEN(ReferenceData!$Z$51),"",ReferenceData!$Z$51),"")</f>
        <v>157.56800000000001</v>
      </c>
      <c r="AA51">
        <f ca="1">IFERROR(IF(0=LEN(ReferenceData!$AA$51),"",ReferenceData!$AA$51),"")</f>
        <v>160.999</v>
      </c>
      <c r="AB51">
        <f ca="1">IFERROR(IF(0=LEN(ReferenceData!$AB$51),"",ReferenceData!$AB$51),"")</f>
        <v>167.767</v>
      </c>
      <c r="AC51">
        <f ca="1">IFERROR(IF(0=LEN(ReferenceData!$AC$51),"",ReferenceData!$AC$51),"")</f>
        <v>160.26499999999999</v>
      </c>
      <c r="AD51">
        <f ca="1">IFERROR(IF(0=LEN(ReferenceData!$AD$51),"",ReferenceData!$AD$51),"")</f>
        <v>157.58500000000001</v>
      </c>
      <c r="AE51">
        <f ca="1">IFERROR(IF(0=LEN(ReferenceData!$AE$51),"",ReferenceData!$AE$51),"")</f>
        <v>156.36000000000001</v>
      </c>
      <c r="AF51">
        <f ca="1">IFERROR(IF(0=LEN(ReferenceData!$AF$51),"",ReferenceData!$AF$51),"")</f>
        <v>151.71</v>
      </c>
      <c r="AG51">
        <f ca="1">IFERROR(IF(0=LEN(ReferenceData!$AG$51),"",ReferenceData!$AG$51),"")</f>
        <v>148.364</v>
      </c>
      <c r="AH51">
        <f ca="1">IFERROR(IF(0=LEN(ReferenceData!$AH$51),"",ReferenceData!$AH$51),"")</f>
        <v>140.62299999999999</v>
      </c>
      <c r="AI51">
        <f ca="1">IFERROR(IF(0=LEN(ReferenceData!$AI$51),"",ReferenceData!$AI$51),"")</f>
        <v>137.83799999999999</v>
      </c>
      <c r="AJ51">
        <f ca="1">IFERROR(IF(0=LEN(ReferenceData!$AJ$51),"",ReferenceData!$AJ$51),"")</f>
        <v>135.76400000000001</v>
      </c>
      <c r="AK51">
        <f ca="1">IFERROR(IF(0=LEN(ReferenceData!$AK$51),"",ReferenceData!$AK$51),"")</f>
        <v>131.45500000000001</v>
      </c>
      <c r="AL51">
        <f ca="1">IFERROR(IF(0=LEN(ReferenceData!$AL$51),"",ReferenceData!$AL$51),"")</f>
        <v>127.381</v>
      </c>
      <c r="AM51">
        <f ca="1">IFERROR(IF(0=LEN(ReferenceData!$AM$51),"",ReferenceData!$AM$51),"")</f>
        <v>126.352</v>
      </c>
      <c r="AN51">
        <f ca="1">IFERROR(IF(0=LEN(ReferenceData!$AN$51),"",ReferenceData!$AN$51),"")</f>
        <v>127.25700000000001</v>
      </c>
      <c r="AO51">
        <f ca="1">IFERROR(IF(0=LEN(ReferenceData!$AO$51),"",ReferenceData!$AO$51),"")</f>
        <v>126.313</v>
      </c>
      <c r="AP51">
        <f ca="1">IFERROR(IF(0=LEN(ReferenceData!$AP$51),"",ReferenceData!$AP$51),"")</f>
        <v>126.06699999999999</v>
      </c>
      <c r="AQ51">
        <f ca="1">IFERROR(IF(0=LEN(ReferenceData!$AQ$51),"",ReferenceData!$AQ$51),"")</f>
        <v>128.262</v>
      </c>
      <c r="AR51">
        <f ca="1">IFERROR(IF(0=LEN(ReferenceData!$AR$51),"",ReferenceData!$AR$51),"")</f>
        <v>131.88300000000001</v>
      </c>
      <c r="AS51">
        <f ca="1">IFERROR(IF(0=LEN(ReferenceData!$AS$51),"",ReferenceData!$AS$51),"")</f>
        <v>131.02799999999999</v>
      </c>
      <c r="AT51">
        <f ca="1">IFERROR(IF(0=LEN(ReferenceData!$AT$51),"",ReferenceData!$AT$51),"")</f>
        <v>125.423</v>
      </c>
      <c r="AU51">
        <f ca="1">IFERROR(IF(0=LEN(ReferenceData!$AU$51),"",ReferenceData!$AU$51),"")</f>
        <v>118.117</v>
      </c>
      <c r="AV51">
        <f ca="1">IFERROR(IF(0=LEN(ReferenceData!$AV$51),"",ReferenceData!$AV$51),"")</f>
        <v>119.94</v>
      </c>
      <c r="AW51">
        <f ca="1">IFERROR(IF(0=LEN(ReferenceData!$AW$51),"",ReferenceData!$AW$51),"")</f>
        <v>117.08499999999999</v>
      </c>
      <c r="AX51">
        <f ca="1">IFERROR(IF(0=LEN(ReferenceData!$AX$51),"",ReferenceData!$AX$51),"")</f>
        <v>116.175</v>
      </c>
      <c r="AY51">
        <f ca="1">IFERROR(IF(0=LEN(ReferenceData!$AY$51),"",ReferenceData!$AY$51),"")</f>
        <v>114.557</v>
      </c>
      <c r="AZ51">
        <f ca="1">IFERROR(IF(0=LEN(ReferenceData!$AZ$51),"",ReferenceData!$AZ$51),"")</f>
        <v>111.86799999999999</v>
      </c>
      <c r="BA51">
        <f ca="1">IFERROR(IF(0=LEN(ReferenceData!$BA$51),"",ReferenceData!$BA$51),"")</f>
        <v>108.643</v>
      </c>
      <c r="BB51">
        <f ca="1">IFERROR(IF(0=LEN(ReferenceData!$BB$51),"",ReferenceData!$BB$51),"")</f>
        <v>106.53100000000001</v>
      </c>
      <c r="BC51">
        <f ca="1">IFERROR(IF(0=LEN(ReferenceData!$BC$51),"",ReferenceData!$BC$51),"")</f>
        <v>106.55</v>
      </c>
      <c r="BD51">
        <f ca="1">IFERROR(IF(0=LEN(ReferenceData!$BD$51),"",ReferenceData!$BD$51),"")</f>
        <v>103.492</v>
      </c>
      <c r="BE51">
        <f ca="1">IFERROR(IF(0=LEN(ReferenceData!$BE$51),"",ReferenceData!$BE$51),"")</f>
        <v>103.33499999999999</v>
      </c>
      <c r="BF51">
        <f ca="1">IFERROR(IF(0=LEN(ReferenceData!$BF$51),"",ReferenceData!$BF$51),"")</f>
        <v>99.472999999999999</v>
      </c>
      <c r="BG51">
        <f ca="1">IFERROR(IF(0=LEN(ReferenceData!$BG$51),"",ReferenceData!$BG$51),"")</f>
        <v>84.26</v>
      </c>
      <c r="BH51">
        <f ca="1">IFERROR(IF(0=LEN(ReferenceData!$BH$51),"",ReferenceData!$BH$51),"")</f>
        <v>94.191000000000003</v>
      </c>
      <c r="BI51">
        <f ca="1">IFERROR(IF(0=LEN(ReferenceData!$BI$51),"",ReferenceData!$BI$51),"")</f>
        <v>99.236999999999995</v>
      </c>
      <c r="BJ51">
        <f ca="1">IFERROR(IF(0=LEN(ReferenceData!$BJ$51),"",ReferenceData!$BJ$51),"")</f>
        <v>95.346999999999994</v>
      </c>
      <c r="BK51">
        <f ca="1">IFERROR(IF(0=LEN(ReferenceData!$BK$51),"",ReferenceData!$BK$51),"")</f>
        <v>93.375004079999997</v>
      </c>
      <c r="BL51">
        <f ca="1">IFERROR(IF(0=LEN(ReferenceData!$BL$51),"",ReferenceData!$BL$51),"")</f>
        <v>90.917000000000002</v>
      </c>
      <c r="BM51">
        <f ca="1">IFERROR(IF(0=LEN(ReferenceData!$BM$51),"",ReferenceData!$BM$51),"")</f>
        <v>92.835999999999999</v>
      </c>
    </row>
    <row r="52" spans="1:65">
      <c r="A52" t="str">
        <f>IFERROR(IF(0=LEN(ReferenceData!$A$52),"",ReferenceData!$A$52),"")</f>
        <v xml:space="preserve">    Camden Property Trust</v>
      </c>
      <c r="B52" t="str">
        <f>IFERROR(IF(0=LEN(ReferenceData!$B$52),"",ReferenceData!$B$52),"")</f>
        <v>CPT US Equity</v>
      </c>
      <c r="C52" t="str">
        <f>IFERROR(IF(0=LEN(ReferenceData!$C$52),"",ReferenceData!$C$52),"")</f>
        <v>RR502</v>
      </c>
      <c r="D52" t="str">
        <f>IFERROR(IF(0=LEN(ReferenceData!$D$52),"",ReferenceData!$D$52),"")</f>
        <v>NET_OPER_INCOME</v>
      </c>
      <c r="E52" t="str">
        <f>IFERROR(IF(0=LEN(ReferenceData!$E$52),"",ReferenceData!$E$52),"")</f>
        <v>动态</v>
      </c>
      <c r="F52" t="str">
        <f ca="1">IFERROR(IF(0=LEN(ReferenceData!$F$52),"",ReferenceData!$F$52),"")</f>
        <v/>
      </c>
      <c r="G52">
        <f ca="1">IFERROR(IF(0=LEN(ReferenceData!$G$52),"",ReferenceData!$G$52),"")</f>
        <v>111.934</v>
      </c>
      <c r="H52">
        <f ca="1">IFERROR(IF(0=LEN(ReferenceData!$H$52),"",ReferenceData!$H$52),"")</f>
        <v>101.349</v>
      </c>
      <c r="I52">
        <f ca="1">IFERROR(IF(0=LEN(ReferenceData!$I$52),"",ReferenceData!$I$52),"")</f>
        <v>104.544</v>
      </c>
      <c r="J52">
        <f ca="1">IFERROR(IF(0=LEN(ReferenceData!$J$52),"",ReferenceData!$J$52),"")</f>
        <v>102.471</v>
      </c>
      <c r="K52">
        <f ca="1">IFERROR(IF(0=LEN(ReferenceData!$K$52),"",ReferenceData!$K$52),"")</f>
        <v>107.461</v>
      </c>
      <c r="L52">
        <f ca="1">IFERROR(IF(0=LEN(ReferenceData!$L$52),"",ReferenceData!$L$52),"")</f>
        <v>102.563</v>
      </c>
      <c r="M52">
        <f ca="1">IFERROR(IF(0=LEN(ReferenceData!$M$52),"",ReferenceData!$M$52),"")</f>
        <v>103.46599999999999</v>
      </c>
      <c r="N52">
        <f ca="1">IFERROR(IF(0=LEN(ReferenceData!$N$52),"",ReferenceData!$N$52),"")</f>
        <v>103.643</v>
      </c>
      <c r="O52">
        <f ca="1">IFERROR(IF(0=LEN(ReferenceData!$O$52),"",ReferenceData!$O$52),"")</f>
        <v>105.541</v>
      </c>
      <c r="P52">
        <f ca="1">IFERROR(IF(0=LEN(ReferenceData!$P$52),"",ReferenceData!$P$52),"")</f>
        <v>98.960999999999999</v>
      </c>
      <c r="Q52">
        <f ca="1">IFERROR(IF(0=LEN(ReferenceData!$Q$52),"",ReferenceData!$Q$52),"")</f>
        <v>99.129000000000005</v>
      </c>
      <c r="R52">
        <f ca="1">IFERROR(IF(0=LEN(ReferenceData!$R$52),"",ReferenceData!$R$52),"")</f>
        <v>102.971</v>
      </c>
      <c r="S52">
        <f ca="1">IFERROR(IF(0=LEN(ReferenceData!$S$52),"",ReferenceData!$S$52),"")</f>
        <v>107.151</v>
      </c>
      <c r="T52">
        <f ca="1">IFERROR(IF(0=LEN(ReferenceData!$T$52),"",ReferenceData!$T$52),"")</f>
        <v>101.047</v>
      </c>
      <c r="U52">
        <f ca="1">IFERROR(IF(0=LEN(ReferenceData!$U$52),"",ReferenceData!$U$52),"")</f>
        <v>99.605000000000004</v>
      </c>
      <c r="V52">
        <f ca="1">IFERROR(IF(0=LEN(ReferenceData!$V$52),"",ReferenceData!$V$52),"")</f>
        <v>100.565</v>
      </c>
      <c r="W52">
        <f ca="1">IFERROR(IF(0=LEN(ReferenceData!$W$52),"",ReferenceData!$W$52),"")</f>
        <v>102.30500000000001</v>
      </c>
      <c r="X52">
        <f ca="1">IFERROR(IF(0=LEN(ReferenceData!$X$52),"",ReferenceData!$X$52),"")</f>
        <v>96.009</v>
      </c>
      <c r="Y52">
        <f ca="1">IFERROR(IF(0=LEN(ReferenceData!$Y$52),"",ReferenceData!$Y$52),"")</f>
        <v>93.135999999999996</v>
      </c>
      <c r="Z52">
        <f ca="1">IFERROR(IF(0=LEN(ReferenceData!$Z$52),"",ReferenceData!$Z$52),"")</f>
        <v>90.381</v>
      </c>
      <c r="AA52">
        <f ca="1">IFERROR(IF(0=LEN(ReferenceData!$AA$52),"",ReferenceData!$AA$52),"")</f>
        <v>88.707999999999998</v>
      </c>
      <c r="AB52">
        <f ca="1">IFERROR(IF(0=LEN(ReferenceData!$AB$52),"",ReferenceData!$AB$52),"")</f>
        <v>84.188999999999993</v>
      </c>
      <c r="AC52">
        <f ca="1">IFERROR(IF(0=LEN(ReferenceData!$AC$52),"",ReferenceData!$AC$52),"")</f>
        <v>82.79</v>
      </c>
      <c r="AD52">
        <f ca="1">IFERROR(IF(0=LEN(ReferenceData!$AD$52),"",ReferenceData!$AD$52),"")</f>
        <v>78.662999999999997</v>
      </c>
      <c r="AE52">
        <f ca="1">IFERROR(IF(0=LEN(ReferenceData!$AE$52),"",ReferenceData!$AE$52),"")</f>
        <v>74.677000000000007</v>
      </c>
      <c r="AF52">
        <f ca="1">IFERROR(IF(0=LEN(ReferenceData!$AF$52),"",ReferenceData!$AF$52),"")</f>
        <v>70.974999999999994</v>
      </c>
      <c r="AG52">
        <f ca="1">IFERROR(IF(0=LEN(ReferenceData!$AG$52),"",ReferenceData!$AG$52),"")</f>
        <v>70.069000000000003</v>
      </c>
      <c r="AH52">
        <f ca="1">IFERROR(IF(0=LEN(ReferenceData!$AH$52),"",ReferenceData!$AH$52),"")</f>
        <v>68.983999999999995</v>
      </c>
      <c r="AI52">
        <f ca="1">IFERROR(IF(0=LEN(ReferenceData!$AI$52),"",ReferenceData!$AI$52),"")</f>
        <v>69.122</v>
      </c>
      <c r="AJ52">
        <f ca="1">IFERROR(IF(0=LEN(ReferenceData!$AJ$52),"",ReferenceData!$AJ$52),"")</f>
        <v>64.460999999999999</v>
      </c>
      <c r="AK52">
        <f ca="1">IFERROR(IF(0=LEN(ReferenceData!$AK$52),"",ReferenceData!$AK$52),"")</f>
        <v>63.451000000000001</v>
      </c>
      <c r="AL52">
        <f ca="1">IFERROR(IF(0=LEN(ReferenceData!$AL$52),"",ReferenceData!$AL$52),"")</f>
        <v>62.465000000000003</v>
      </c>
      <c r="AM52">
        <f ca="1">IFERROR(IF(0=LEN(ReferenceData!$AM$52),"",ReferenceData!$AM$52),"")</f>
        <v>67.683999999999997</v>
      </c>
      <c r="AN52">
        <f ca="1">IFERROR(IF(0=LEN(ReferenceData!$AN$52),"",ReferenceData!$AN$52),"")</f>
        <v>65.055999999999997</v>
      </c>
      <c r="AO52">
        <f ca="1">IFERROR(IF(0=LEN(ReferenceData!$AO$52),"",ReferenceData!$AO$52),"")</f>
        <v>68.668000000000006</v>
      </c>
      <c r="AP52">
        <f ca="1">IFERROR(IF(0=LEN(ReferenceData!$AP$52),"",ReferenceData!$AP$52),"")</f>
        <v>71.652000000000001</v>
      </c>
      <c r="AQ52">
        <f ca="1">IFERROR(IF(0=LEN(ReferenceData!$AQ$52),"",ReferenceData!$AQ$52),"")</f>
        <v>70.274000000000001</v>
      </c>
      <c r="AR52">
        <f ca="1">IFERROR(IF(0=LEN(ReferenceData!$AR$52),"",ReferenceData!$AR$52),"")</f>
        <v>69.683999999999997</v>
      </c>
      <c r="AS52">
        <f ca="1">IFERROR(IF(0=LEN(ReferenceData!$AS$52),"",ReferenceData!$AS$52),"")</f>
        <v>73.66</v>
      </c>
      <c r="AT52">
        <f ca="1">IFERROR(IF(0=LEN(ReferenceData!$AT$52),"",ReferenceData!$AT$52),"")</f>
        <v>73.59</v>
      </c>
      <c r="AU52">
        <f ca="1">IFERROR(IF(0=LEN(ReferenceData!$AU$52),"",ReferenceData!$AU$52),"")</f>
        <v>72.165999999999997</v>
      </c>
      <c r="AV52">
        <f ca="1">IFERROR(IF(0=LEN(ReferenceData!$AV$52),"",ReferenceData!$AV$52),"")</f>
        <v>71.450999999999993</v>
      </c>
      <c r="AW52">
        <f ca="1">IFERROR(IF(0=LEN(ReferenceData!$AW$52),"",ReferenceData!$AW$52),"")</f>
        <v>75.421999999999997</v>
      </c>
      <c r="AX52">
        <f ca="1">IFERROR(IF(0=LEN(ReferenceData!$AX$52),"",ReferenceData!$AX$52),"")</f>
        <v>74.436000000000007</v>
      </c>
      <c r="AY52">
        <f ca="1">IFERROR(IF(0=LEN(ReferenceData!$AY$52),"",ReferenceData!$AY$52),"")</f>
        <v>75.873000000000005</v>
      </c>
      <c r="AZ52">
        <f ca="1">IFERROR(IF(0=LEN(ReferenceData!$AZ$52),"",ReferenceData!$AZ$52),"")</f>
        <v>80.870999999999995</v>
      </c>
      <c r="BA52">
        <f ca="1">IFERROR(IF(0=LEN(ReferenceData!$BA$52),"",ReferenceData!$BA$52),"")</f>
        <v>72.759</v>
      </c>
      <c r="BB52">
        <f ca="1">IFERROR(IF(0=LEN(ReferenceData!$BB$52),"",ReferenceData!$BB$52),"")</f>
        <v>75.451999999999998</v>
      </c>
      <c r="BC52">
        <f ca="1">IFERROR(IF(0=LEN(ReferenceData!$BC$52),"",ReferenceData!$BC$52),"")</f>
        <v>60.180999999999997</v>
      </c>
      <c r="BD52">
        <f ca="1">IFERROR(IF(0=LEN(ReferenceData!$BD$52),"",ReferenceData!$BD$52),"")</f>
        <v>78.638000000000005</v>
      </c>
      <c r="BE52">
        <f ca="1">IFERROR(IF(0=LEN(ReferenceData!$BE$52),"",ReferenceData!$BE$52),"")</f>
        <v>68.826999999999998</v>
      </c>
      <c r="BF52">
        <f ca="1">IFERROR(IF(0=LEN(ReferenceData!$BF$52),"",ReferenceData!$BF$52),"")</f>
        <v>59.085000000000001</v>
      </c>
      <c r="BG52">
        <f ca="1">IFERROR(IF(0=LEN(ReferenceData!$BG$52),"",ReferenceData!$BG$52),"")</f>
        <v>48.993000000000002</v>
      </c>
      <c r="BH52">
        <f ca="1">IFERROR(IF(0=LEN(ReferenceData!$BH$52),"",ReferenceData!$BH$52),"")</f>
        <v>47.92</v>
      </c>
      <c r="BI52">
        <f ca="1">IFERROR(IF(0=LEN(ReferenceData!$BI$52),"",ReferenceData!$BI$52),"")</f>
        <v>49.914997999999997</v>
      </c>
      <c r="BJ52">
        <f ca="1">IFERROR(IF(0=LEN(ReferenceData!$BJ$52),"",ReferenceData!$BJ$52),"")</f>
        <v>52.723998999999999</v>
      </c>
      <c r="BK52">
        <f ca="1">IFERROR(IF(0=LEN(ReferenceData!$BK$52),"",ReferenceData!$BK$52),"")</f>
        <v>54.179004069999998</v>
      </c>
      <c r="BL52">
        <f ca="1">IFERROR(IF(0=LEN(ReferenceData!$BL$52),"",ReferenceData!$BL$52),"")</f>
        <v>49.536997999999997</v>
      </c>
      <c r="BM52">
        <f ca="1">IFERROR(IF(0=LEN(ReferenceData!$BM$52),"",ReferenceData!$BM$52),"")</f>
        <v>48.917000000000002</v>
      </c>
    </row>
    <row r="53" spans="1:65">
      <c r="A53" t="str">
        <f>IFERROR(IF(0=LEN(ReferenceData!$A$53),"",ReferenceData!$A$53),"")</f>
        <v xml:space="preserve">    Education Realty Trust Inc</v>
      </c>
      <c r="B53" t="str">
        <f>IFERROR(IF(0=LEN(ReferenceData!$B$53),"",ReferenceData!$B$53),"")</f>
        <v>EDR US Equity</v>
      </c>
      <c r="C53" t="str">
        <f>IFERROR(IF(0=LEN(ReferenceData!$C$53),"",ReferenceData!$C$53),"")</f>
        <v>RR502</v>
      </c>
      <c r="D53" t="str">
        <f>IFERROR(IF(0=LEN(ReferenceData!$D$53),"",ReferenceData!$D$53),"")</f>
        <v>NET_OPER_INCOME</v>
      </c>
      <c r="E53" t="str">
        <f>IFERROR(IF(0=LEN(ReferenceData!$E$53),"",ReferenceData!$E$53),"")</f>
        <v>动态</v>
      </c>
      <c r="F53" t="str">
        <f ca="1">IFERROR(IF(0=LEN(ReferenceData!$F$53),"",ReferenceData!$F$53),"")</f>
        <v/>
      </c>
      <c r="G53">
        <f ca="1">IFERROR(IF(0=LEN(ReferenceData!$G$53),"",ReferenceData!$G$53),"")</f>
        <v>57.918999999999997</v>
      </c>
      <c r="H53">
        <f ca="1">IFERROR(IF(0=LEN(ReferenceData!$H$53),"",ReferenceData!$H$53),"")</f>
        <v>32.652000000000001</v>
      </c>
      <c r="I53">
        <f ca="1">IFERROR(IF(0=LEN(ReferenceData!$I$53),"",ReferenceData!$I$53),"")</f>
        <v>39.258000000000003</v>
      </c>
      <c r="J53">
        <f ca="1">IFERROR(IF(0=LEN(ReferenceData!$J$53),"",ReferenceData!$J$53),"")</f>
        <v>51.107999999999997</v>
      </c>
      <c r="K53">
        <f ca="1">IFERROR(IF(0=LEN(ReferenceData!$K$53),"",ReferenceData!$K$53),"")</f>
        <v>50.661000000000001</v>
      </c>
      <c r="L53">
        <f ca="1">IFERROR(IF(0=LEN(ReferenceData!$L$53),"",ReferenceData!$L$53),"")</f>
        <v>27.884</v>
      </c>
      <c r="M53">
        <f ca="1">IFERROR(IF(0=LEN(ReferenceData!$M$53),"",ReferenceData!$M$53),"")</f>
        <v>34.392000000000003</v>
      </c>
      <c r="N53">
        <f ca="1">IFERROR(IF(0=LEN(ReferenceData!$N$53),"",ReferenceData!$N$53),"")</f>
        <v>43.362000000000002</v>
      </c>
      <c r="O53">
        <f ca="1">IFERROR(IF(0=LEN(ReferenceData!$O$53),"",ReferenceData!$O$53),"")</f>
        <v>44.311999999999998</v>
      </c>
      <c r="P53">
        <f ca="1">IFERROR(IF(0=LEN(ReferenceData!$P$53),"",ReferenceData!$P$53),"")</f>
        <v>24.698</v>
      </c>
      <c r="Q53">
        <f ca="1">IFERROR(IF(0=LEN(ReferenceData!$Q$53),"",ReferenceData!$Q$53),"")</f>
        <v>29.92</v>
      </c>
      <c r="R53">
        <f ca="1">IFERROR(IF(0=LEN(ReferenceData!$R$53),"",ReferenceData!$R$53),"")</f>
        <v>35.045000000000002</v>
      </c>
      <c r="S53">
        <f ca="1">IFERROR(IF(0=LEN(ReferenceData!$S$53),"",ReferenceData!$S$53),"")</f>
        <v>38.877000000000002</v>
      </c>
      <c r="T53">
        <f ca="1">IFERROR(IF(0=LEN(ReferenceData!$T$53),"",ReferenceData!$T$53),"")</f>
        <v>23.164999999999999</v>
      </c>
      <c r="U53">
        <f ca="1">IFERROR(IF(0=LEN(ReferenceData!$U$53),"",ReferenceData!$U$53),"")</f>
        <v>24.943000000000001</v>
      </c>
      <c r="V53">
        <f ca="1">IFERROR(IF(0=LEN(ReferenceData!$V$53),"",ReferenceData!$V$53),"")</f>
        <v>28.463999999999999</v>
      </c>
      <c r="W53">
        <f ca="1">IFERROR(IF(0=LEN(ReferenceData!$W$53),"",ReferenceData!$W$53),"")</f>
        <v>30.56</v>
      </c>
      <c r="X53">
        <f ca="1">IFERROR(IF(0=LEN(ReferenceData!$X$53),"",ReferenceData!$X$53),"")</f>
        <v>15.627000000000001</v>
      </c>
      <c r="Y53">
        <f ca="1">IFERROR(IF(0=LEN(ReferenceData!$Y$53),"",ReferenceData!$Y$53),"")</f>
        <v>18.895</v>
      </c>
      <c r="Z53">
        <f ca="1">IFERROR(IF(0=LEN(ReferenceData!$Z$53),"",ReferenceData!$Z$53),"")</f>
        <v>21.506</v>
      </c>
      <c r="AA53">
        <f ca="1">IFERROR(IF(0=LEN(ReferenceData!$AA$53),"",ReferenceData!$AA$53),"")</f>
        <v>21.981000000000002</v>
      </c>
      <c r="AB53">
        <f ca="1">IFERROR(IF(0=LEN(ReferenceData!$AB$53),"",ReferenceData!$AB$53),"")</f>
        <v>9.5440000000000005</v>
      </c>
      <c r="AC53">
        <f ca="1">IFERROR(IF(0=LEN(ReferenceData!$AC$53),"",ReferenceData!$AC$53),"")</f>
        <v>14.903</v>
      </c>
      <c r="AD53">
        <f ca="1">IFERROR(IF(0=LEN(ReferenceData!$AD$53),"",ReferenceData!$AD$53),"")</f>
        <v>17.555</v>
      </c>
      <c r="AE53">
        <f ca="1">IFERROR(IF(0=LEN(ReferenceData!$AE$53),"",ReferenceData!$AE$53),"")</f>
        <v>17.331</v>
      </c>
      <c r="AF53">
        <f ca="1">IFERROR(IF(0=LEN(ReferenceData!$AF$53),"",ReferenceData!$AF$53),"")</f>
        <v>8.1240000000000006</v>
      </c>
      <c r="AG53">
        <f ca="1">IFERROR(IF(0=LEN(ReferenceData!$AG$53),"",ReferenceData!$AG$53),"")</f>
        <v>14.794</v>
      </c>
      <c r="AH53">
        <f ca="1">IFERROR(IF(0=LEN(ReferenceData!$AH$53),"",ReferenceData!$AH$53),"")</f>
        <v>15.13</v>
      </c>
      <c r="AI53">
        <f ca="1">IFERROR(IF(0=LEN(ReferenceData!$AI$53),"",ReferenceData!$AI$53),"")</f>
        <v>16.341000000000001</v>
      </c>
      <c r="AJ53">
        <f ca="1">IFERROR(IF(0=LEN(ReferenceData!$AJ$53),"",ReferenceData!$AJ$53),"")</f>
        <v>9.3989999999999991</v>
      </c>
      <c r="AK53">
        <f ca="1">IFERROR(IF(0=LEN(ReferenceData!$AK$53),"",ReferenceData!$AK$53),"")</f>
        <v>14.231999999999999</v>
      </c>
      <c r="AL53">
        <f ca="1">IFERROR(IF(0=LEN(ReferenceData!$AL$53),"",ReferenceData!$AL$53),"")</f>
        <v>15.563000000000001</v>
      </c>
      <c r="AM53">
        <f ca="1">IFERROR(IF(0=LEN(ReferenceData!$AM$53),"",ReferenceData!$AM$53),"")</f>
        <v>18.678999999999998</v>
      </c>
      <c r="AN53">
        <f ca="1">IFERROR(IF(0=LEN(ReferenceData!$AN$53),"",ReferenceData!$AN$53),"")</f>
        <v>10.576000000000001</v>
      </c>
      <c r="AO53">
        <f ca="1">IFERROR(IF(0=LEN(ReferenceData!$AO$53),"",ReferenceData!$AO$53),"")</f>
        <v>16.995000000000001</v>
      </c>
      <c r="AP53">
        <f ca="1">IFERROR(IF(0=LEN(ReferenceData!$AP$53),"",ReferenceData!$AP$53),"")</f>
        <v>18.488</v>
      </c>
      <c r="AQ53">
        <f ca="1">IFERROR(IF(0=LEN(ReferenceData!$AQ$53),"",ReferenceData!$AQ$53),"")</f>
        <v>22.443000000000001</v>
      </c>
      <c r="AR53">
        <f ca="1">IFERROR(IF(0=LEN(ReferenceData!$AR$53),"",ReferenceData!$AR$53),"")</f>
        <v>10.978</v>
      </c>
      <c r="AS53">
        <f ca="1">IFERROR(IF(0=LEN(ReferenceData!$AS$53),"",ReferenceData!$AS$53),"")</f>
        <v>20.73</v>
      </c>
      <c r="AT53">
        <f ca="1">IFERROR(IF(0=LEN(ReferenceData!$AT$53),"",ReferenceData!$AT$53),"")</f>
        <v>16.998000000000001</v>
      </c>
      <c r="AU53">
        <f ca="1">IFERROR(IF(0=LEN(ReferenceData!$AU$53),"",ReferenceData!$AU$53),"")</f>
        <v>13.412000000000001</v>
      </c>
      <c r="AV53">
        <f ca="1">IFERROR(IF(0=LEN(ReferenceData!$AV$53),"",ReferenceData!$AV$53),"")</f>
        <v>12.215</v>
      </c>
      <c r="AW53">
        <f ca="1">IFERROR(IF(0=LEN(ReferenceData!$AW$53),"",ReferenceData!$AW$53),"")</f>
        <v>16.808</v>
      </c>
      <c r="AX53">
        <f ca="1">IFERROR(IF(0=LEN(ReferenceData!$AX$53),"",ReferenceData!$AX$53),"")</f>
        <v>18.308</v>
      </c>
      <c r="AY53">
        <f ca="1">IFERROR(IF(0=LEN(ReferenceData!$AY$53),"",ReferenceData!$AY$53),"")</f>
        <v>17.355</v>
      </c>
      <c r="AZ53">
        <f ca="1">IFERROR(IF(0=LEN(ReferenceData!$AZ$53),"",ReferenceData!$AZ$53),"")</f>
        <v>11.04</v>
      </c>
      <c r="BA53">
        <f ca="1">IFERROR(IF(0=LEN(ReferenceData!$BA$53),"",ReferenceData!$BA$53),"")</f>
        <v>15.952</v>
      </c>
      <c r="BB53">
        <f ca="1">IFERROR(IF(0=LEN(ReferenceData!$BB$53),"",ReferenceData!$BB$53),"")</f>
        <v>17.933</v>
      </c>
      <c r="BC53">
        <f ca="1">IFERROR(IF(0=LEN(ReferenceData!$BC$53),"",ReferenceData!$BC$53),"")</f>
        <v>12.497999999999999</v>
      </c>
      <c r="BD53">
        <f ca="1">IFERROR(IF(0=LEN(ReferenceData!$BD$53),"",ReferenceData!$BD$53),"")</f>
        <v>8.3620000000000001</v>
      </c>
      <c r="BE53">
        <f ca="1">IFERROR(IF(0=LEN(ReferenceData!$BE$53),"",ReferenceData!$BE$53),"")</f>
        <v>11.316000000000001</v>
      </c>
      <c r="BF53">
        <f ca="1">IFERROR(IF(0=LEN(ReferenceData!$BF$53),"",ReferenceData!$BF$53),"")</f>
        <v>8.2309999999999999</v>
      </c>
      <c r="BG53" t="str">
        <f ca="1">IFERROR(IF(0=LEN(ReferenceData!$BG$53),"",ReferenceData!$BG$53),"")</f>
        <v/>
      </c>
      <c r="BH53" t="str">
        <f ca="1">IFERROR(IF(0=LEN(ReferenceData!$BH$53),"",ReferenceData!$BH$53),"")</f>
        <v/>
      </c>
      <c r="BI53" t="str">
        <f ca="1">IFERROR(IF(0=LEN(ReferenceData!$BI$53),"",ReferenceData!$BI$53),"")</f>
        <v/>
      </c>
      <c r="BJ53" t="str">
        <f ca="1">IFERROR(IF(0=LEN(ReferenceData!$BJ$53),"",ReferenceData!$BJ$53),"")</f>
        <v/>
      </c>
      <c r="BK53" t="str">
        <f ca="1">IFERROR(IF(0=LEN(ReferenceData!$BK$53),"",ReferenceData!$BK$53),"")</f>
        <v/>
      </c>
      <c r="BL53" t="str">
        <f ca="1">IFERROR(IF(0=LEN(ReferenceData!$BL$53),"",ReferenceData!$BL$53),"")</f>
        <v/>
      </c>
      <c r="BM53" t="str">
        <f ca="1">IFERROR(IF(0=LEN(ReferenceData!$BM$53),"",ReferenceData!$BM$53),"")</f>
        <v/>
      </c>
    </row>
    <row r="54" spans="1:65">
      <c r="A54" t="str">
        <f>IFERROR(IF(0=LEN(ReferenceData!$A$54),"",ReferenceData!$A$54),"")</f>
        <v xml:space="preserve">    Equity Residential</v>
      </c>
      <c r="B54" t="str">
        <f>IFERROR(IF(0=LEN(ReferenceData!$B$54),"",ReferenceData!$B$54),"")</f>
        <v>EQR US Equity</v>
      </c>
      <c r="C54" t="str">
        <f>IFERROR(IF(0=LEN(ReferenceData!$C$54),"",ReferenceData!$C$54),"")</f>
        <v>RR502</v>
      </c>
      <c r="D54" t="str">
        <f>IFERROR(IF(0=LEN(ReferenceData!$D$54),"",ReferenceData!$D$54),"")</f>
        <v>NET_OPER_INCOME</v>
      </c>
      <c r="E54" t="str">
        <f>IFERROR(IF(0=LEN(ReferenceData!$E$54),"",ReferenceData!$E$54),"")</f>
        <v>动态</v>
      </c>
      <c r="F54" t="str">
        <f ca="1">IFERROR(IF(0=LEN(ReferenceData!$F$54),"",ReferenceData!$F$54),"")</f>
        <v/>
      </c>
      <c r="G54">
        <f ca="1">IFERROR(IF(0=LEN(ReferenceData!$G$54),"",ReferenceData!$G$54),"")</f>
        <v>429.1</v>
      </c>
      <c r="H54">
        <f ca="1">IFERROR(IF(0=LEN(ReferenceData!$H$54),"",ReferenceData!$H$54),"")</f>
        <v>414.45299999999997</v>
      </c>
      <c r="I54">
        <f ca="1">IFERROR(IF(0=LEN(ReferenceData!$I$54),"",ReferenceData!$I$54),"")</f>
        <v>404.072</v>
      </c>
      <c r="J54">
        <f ca="1">IFERROR(IF(0=LEN(ReferenceData!$J$54),"",ReferenceData!$J$54),"")</f>
        <v>397.512</v>
      </c>
      <c r="K54">
        <f ca="1">IFERROR(IF(0=LEN(ReferenceData!$K$54),"",ReferenceData!$K$54),"")</f>
        <v>411.90899999999999</v>
      </c>
      <c r="L54">
        <f ca="1">IFERROR(IF(0=LEN(ReferenceData!$L$54),"",ReferenceData!$L$54),"")</f>
        <v>400.99799999999999</v>
      </c>
      <c r="M54">
        <f ca="1">IFERROR(IF(0=LEN(ReferenceData!$M$54),"",ReferenceData!$M$54),"")</f>
        <v>400.44099999999997</v>
      </c>
      <c r="N54">
        <f ca="1">IFERROR(IF(0=LEN(ReferenceData!$N$54),"",ReferenceData!$N$54),"")</f>
        <v>406.22699999999998</v>
      </c>
      <c r="O54">
        <f ca="1">IFERROR(IF(0=LEN(ReferenceData!$O$54),"",ReferenceData!$O$54),"")</f>
        <v>482.137</v>
      </c>
      <c r="P54">
        <f ca="1">IFERROR(IF(0=LEN(ReferenceData!$P$54),"",ReferenceData!$P$54),"")</f>
        <v>468.85</v>
      </c>
      <c r="Q54">
        <f ca="1">IFERROR(IF(0=LEN(ReferenceData!$Q$54),"",ReferenceData!$Q$54),"")</f>
        <v>456.19600000000003</v>
      </c>
      <c r="R54">
        <f ca="1">IFERROR(IF(0=LEN(ReferenceData!$R$54),"",ReferenceData!$R$54),"")</f>
        <v>432.61399999999998</v>
      </c>
      <c r="S54">
        <f ca="1">IFERROR(IF(0=LEN(ReferenceData!$S$54),"",ReferenceData!$S$54),"")</f>
        <v>453.27300000000002</v>
      </c>
      <c r="T54">
        <f ca="1">IFERROR(IF(0=LEN(ReferenceData!$T$54),"",ReferenceData!$T$54),"")</f>
        <v>443.71100000000001</v>
      </c>
      <c r="U54">
        <f ca="1">IFERROR(IF(0=LEN(ReferenceData!$U$54),"",ReferenceData!$U$54),"")</f>
        <v>432.19799999999998</v>
      </c>
      <c r="V54">
        <f ca="1">IFERROR(IF(0=LEN(ReferenceData!$V$54),"",ReferenceData!$V$54),"")</f>
        <v>402.00200000000001</v>
      </c>
      <c r="W54">
        <f ca="1">IFERROR(IF(0=LEN(ReferenceData!$W$54),"",ReferenceData!$W$54),"")</f>
        <v>421.57900000000001</v>
      </c>
      <c r="X54">
        <f ca="1">IFERROR(IF(0=LEN(ReferenceData!$X$54),"",ReferenceData!$X$54),"")</f>
        <v>411.54</v>
      </c>
      <c r="Y54">
        <f ca="1">IFERROR(IF(0=LEN(ReferenceData!$Y$54),"",ReferenceData!$Y$54),"")</f>
        <v>403.36599999999999</v>
      </c>
      <c r="Z54">
        <f ca="1">IFERROR(IF(0=LEN(ReferenceData!$Z$54),"",ReferenceData!$Z$54),"")</f>
        <v>316.96300000000002</v>
      </c>
      <c r="AA54">
        <f ca="1">IFERROR(IF(0=LEN(ReferenceData!$AA$54),"",ReferenceData!$AA$54),"")</f>
        <v>298.74099999999999</v>
      </c>
      <c r="AB54">
        <f ca="1">IFERROR(IF(0=LEN(ReferenceData!$AB$54),"",ReferenceData!$AB$54),"")</f>
        <v>292.35199999999998</v>
      </c>
      <c r="AC54">
        <f ca="1">IFERROR(IF(0=LEN(ReferenceData!$AC$54),"",ReferenceData!$AC$54),"")</f>
        <v>287.38900000000001</v>
      </c>
      <c r="AD54">
        <f ca="1">IFERROR(IF(0=LEN(ReferenceData!$AD$54),"",ReferenceData!$AD$54),"")</f>
        <v>276.41000000000003</v>
      </c>
      <c r="AE54">
        <f ca="1">IFERROR(IF(0=LEN(ReferenceData!$AE$54),"",ReferenceData!$AE$54),"")</f>
        <v>322.80399999999997</v>
      </c>
      <c r="AF54">
        <f ca="1">IFERROR(IF(0=LEN(ReferenceData!$AF$54),"",ReferenceData!$AF$54),"")</f>
        <v>314.62599999999998</v>
      </c>
      <c r="AG54">
        <f ca="1">IFERROR(IF(0=LEN(ReferenceData!$AG$54),"",ReferenceData!$AG$54),"")</f>
        <v>305.21699999999998</v>
      </c>
      <c r="AH54">
        <f ca="1">IFERROR(IF(0=LEN(ReferenceData!$AH$54),"",ReferenceData!$AH$54),"")</f>
        <v>285.84100000000001</v>
      </c>
      <c r="AI54">
        <f ca="1">IFERROR(IF(0=LEN(ReferenceData!$AI$54),"",ReferenceData!$AI$54),"")</f>
        <v>288.036</v>
      </c>
      <c r="AJ54">
        <f ca="1">IFERROR(IF(0=LEN(ReferenceData!$AJ$54),"",ReferenceData!$AJ$54),"")</f>
        <v>273.803</v>
      </c>
      <c r="AK54">
        <f ca="1">IFERROR(IF(0=LEN(ReferenceData!$AK$54),"",ReferenceData!$AK$54),"")</f>
        <v>273.11500000000001</v>
      </c>
      <c r="AL54">
        <f ca="1">IFERROR(IF(0=LEN(ReferenceData!$AL$54),"",ReferenceData!$AL$54),"")</f>
        <v>266.77100000000002</v>
      </c>
      <c r="AM54">
        <f ca="1">IFERROR(IF(0=LEN(ReferenceData!$AM$54),"",ReferenceData!$AM$54),"")</f>
        <v>278.11900000000003</v>
      </c>
      <c r="AN54">
        <f ca="1">IFERROR(IF(0=LEN(ReferenceData!$AN$54),"",ReferenceData!$AN$54),"")</f>
        <v>282.70100000000002</v>
      </c>
      <c r="AO54">
        <f ca="1">IFERROR(IF(0=LEN(ReferenceData!$AO$54),"",ReferenceData!$AO$54),"")</f>
        <v>291.565</v>
      </c>
      <c r="AP54">
        <f ca="1">IFERROR(IF(0=LEN(ReferenceData!$AP$54),"",ReferenceData!$AP$54),"")</f>
        <v>284.58999999999997</v>
      </c>
      <c r="AQ54">
        <f ca="1">IFERROR(IF(0=LEN(ReferenceData!$AQ$54),"",ReferenceData!$AQ$54),"")</f>
        <v>305.44299999999998</v>
      </c>
      <c r="AR54">
        <f ca="1">IFERROR(IF(0=LEN(ReferenceData!$AR$54),"",ReferenceData!$AR$54),"")</f>
        <v>303.40600000000001</v>
      </c>
      <c r="AS54">
        <f ca="1">IFERROR(IF(0=LEN(ReferenceData!$AS$54),"",ReferenceData!$AS$54),"")</f>
        <v>309.94200000000001</v>
      </c>
      <c r="AT54">
        <f ca="1">IFERROR(IF(0=LEN(ReferenceData!$AT$54),"",ReferenceData!$AT$54),"")</f>
        <v>293.12099999999998</v>
      </c>
      <c r="AU54">
        <f ca="1">IFERROR(IF(0=LEN(ReferenceData!$AU$54),"",ReferenceData!$AU$54),"")</f>
        <v>321.483</v>
      </c>
      <c r="AV54">
        <f ca="1">IFERROR(IF(0=LEN(ReferenceData!$AV$54),"",ReferenceData!$AV$54),"")</f>
        <v>295.37700000000001</v>
      </c>
      <c r="AW54">
        <f ca="1">IFERROR(IF(0=LEN(ReferenceData!$AW$54),"",ReferenceData!$AW$54),"")</f>
        <v>290.84500000000003</v>
      </c>
      <c r="AX54">
        <f ca="1">IFERROR(IF(0=LEN(ReferenceData!$AX$54),"",ReferenceData!$AX$54),"")</f>
        <v>269.46499999999997</v>
      </c>
      <c r="AY54">
        <f ca="1">IFERROR(IF(0=LEN(ReferenceData!$AY$54),"",ReferenceData!$AY$54),"")</f>
        <v>186.12100000000001</v>
      </c>
      <c r="AZ54">
        <f ca="1">IFERROR(IF(0=LEN(ReferenceData!$AZ$54),"",ReferenceData!$AZ$54),"")</f>
        <v>298.48700000000002</v>
      </c>
      <c r="BA54">
        <f ca="1">IFERROR(IF(0=LEN(ReferenceData!$BA$54),"",ReferenceData!$BA$54),"")</f>
        <v>289.81099999999998</v>
      </c>
      <c r="BB54">
        <f ca="1">IFERROR(IF(0=LEN(ReferenceData!$BB$54),"",ReferenceData!$BB$54),"")</f>
        <v>268.51600000000002</v>
      </c>
      <c r="BC54">
        <f ca="1">IFERROR(IF(0=LEN(ReferenceData!$BC$54),"",ReferenceData!$BC$54),"")</f>
        <v>219.89699999999999</v>
      </c>
      <c r="BD54">
        <f ca="1">IFERROR(IF(0=LEN(ReferenceData!$BD$54),"",ReferenceData!$BD$54),"")</f>
        <v>234.88900000000001</v>
      </c>
      <c r="BE54">
        <f ca="1">IFERROR(IF(0=LEN(ReferenceData!$BE$54),"",ReferenceData!$BE$54),"")</f>
        <v>237.85300000000001</v>
      </c>
      <c r="BF54">
        <f ca="1">IFERROR(IF(0=LEN(ReferenceData!$BF$54),"",ReferenceData!$BF$54),"")</f>
        <v>251.43700000000001</v>
      </c>
      <c r="BG54">
        <f ca="1">IFERROR(IF(0=LEN(ReferenceData!$BG$54),"",ReferenceData!$BG$54),"")</f>
        <v>228.023</v>
      </c>
      <c r="BH54">
        <f ca="1">IFERROR(IF(0=LEN(ReferenceData!$BH$54),"",ReferenceData!$BH$54),"")</f>
        <v>243.46299999999999</v>
      </c>
      <c r="BI54">
        <f ca="1">IFERROR(IF(0=LEN(ReferenceData!$BI$54),"",ReferenceData!$BI$54),"")</f>
        <v>277.815</v>
      </c>
      <c r="BJ54">
        <f ca="1">IFERROR(IF(0=LEN(ReferenceData!$BJ$54),"",ReferenceData!$BJ$54),"")</f>
        <v>264.91399999999999</v>
      </c>
      <c r="BK54">
        <f ca="1">IFERROR(IF(0=LEN(ReferenceData!$BK$54),"",ReferenceData!$BK$54),"")</f>
        <v>288.105007</v>
      </c>
      <c r="BL54">
        <f ca="1">IFERROR(IF(0=LEN(ReferenceData!$BL$54),"",ReferenceData!$BL$54),"")</f>
        <v>252.63198</v>
      </c>
      <c r="BM54">
        <f ca="1">IFERROR(IF(0=LEN(ReferenceData!$BM$54),"",ReferenceData!$BM$54),"")</f>
        <v>258.55999800000001</v>
      </c>
    </row>
    <row r="55" spans="1:65">
      <c r="A55" t="str">
        <f>IFERROR(IF(0=LEN(ReferenceData!$A$55),"",ReferenceData!$A$55),"")</f>
        <v xml:space="preserve">    Essex Property Trust Inc</v>
      </c>
      <c r="B55" t="str">
        <f>IFERROR(IF(0=LEN(ReferenceData!$B$55),"",ReferenceData!$B$55),"")</f>
        <v>ESS US Equity</v>
      </c>
      <c r="C55" t="str">
        <f>IFERROR(IF(0=LEN(ReferenceData!$C$55),"",ReferenceData!$C$55),"")</f>
        <v>RR502</v>
      </c>
      <c r="D55" t="str">
        <f>IFERROR(IF(0=LEN(ReferenceData!$D$55),"",ReferenceData!$D$55),"")</f>
        <v>NET_OPER_INCOME</v>
      </c>
      <c r="E55" t="str">
        <f>IFERROR(IF(0=LEN(ReferenceData!$E$55),"",ReferenceData!$E$55),"")</f>
        <v>动态</v>
      </c>
      <c r="F55" t="str">
        <f ca="1">IFERROR(IF(0=LEN(ReferenceData!$F$55),"",ReferenceData!$F$55),"")</f>
        <v/>
      </c>
      <c r="G55">
        <f ca="1">IFERROR(IF(0=LEN(ReferenceData!$G$55),"",ReferenceData!$G$55),"")</f>
        <v>241.43700000000001</v>
      </c>
      <c r="H55">
        <f ca="1">IFERROR(IF(0=LEN(ReferenceData!$H$55),"",ReferenceData!$H$55),"")</f>
        <v>240.232</v>
      </c>
      <c r="I55">
        <f ca="1">IFERROR(IF(0=LEN(ReferenceData!$I$55),"",ReferenceData!$I$55),"")</f>
        <v>240.797</v>
      </c>
      <c r="J55">
        <f ca="1">IFERROR(IF(0=LEN(ReferenceData!$J$55),"",ReferenceData!$J$55),"")</f>
        <v>235.89099999999999</v>
      </c>
      <c r="K55">
        <f ca="1">IFERROR(IF(0=LEN(ReferenceData!$K$55),"",ReferenceData!$K$55),"")</f>
        <v>230.041</v>
      </c>
      <c r="L55">
        <f ca="1">IFERROR(IF(0=LEN(ReferenceData!$L$55),"",ReferenceData!$L$55),"")</f>
        <v>229.81</v>
      </c>
      <c r="M55">
        <f ca="1">IFERROR(IF(0=LEN(ReferenceData!$M$55),"",ReferenceData!$M$55),"")</f>
        <v>225.511</v>
      </c>
      <c r="N55">
        <f ca="1">IFERROR(IF(0=LEN(ReferenceData!$N$55),"",ReferenceData!$N$55),"")</f>
        <v>219.71199999999999</v>
      </c>
      <c r="O55">
        <f ca="1">IFERROR(IF(0=LEN(ReferenceData!$O$55),"",ReferenceData!$O$55),"")</f>
        <v>218.60499999999999</v>
      </c>
      <c r="P55">
        <f ca="1">IFERROR(IF(0=LEN(ReferenceData!$P$55),"",ReferenceData!$P$55),"")</f>
        <v>210.50700000000001</v>
      </c>
      <c r="Q55">
        <f ca="1">IFERROR(IF(0=LEN(ReferenceData!$Q$55),"",ReferenceData!$Q$55),"")</f>
        <v>206.08500000000001</v>
      </c>
      <c r="R55">
        <f ca="1">IFERROR(IF(0=LEN(ReferenceData!$R$55),"",ReferenceData!$R$55),"")</f>
        <v>195.702</v>
      </c>
      <c r="S55">
        <f ca="1">IFERROR(IF(0=LEN(ReferenceData!$S$55),"",ReferenceData!$S$55),"")</f>
        <v>190.64699999999999</v>
      </c>
      <c r="T55">
        <f ca="1">IFERROR(IF(0=LEN(ReferenceData!$T$55),"",ReferenceData!$T$55),"")</f>
        <v>182.81100000000001</v>
      </c>
      <c r="U55">
        <f ca="1">IFERROR(IF(0=LEN(ReferenceData!$U$55),"",ReferenceData!$U$55),"")</f>
        <v>176.23</v>
      </c>
      <c r="V55">
        <f ca="1">IFERROR(IF(0=LEN(ReferenceData!$V$55),"",ReferenceData!$V$55),"")</f>
        <v>108.703</v>
      </c>
      <c r="W55">
        <f ca="1">IFERROR(IF(0=LEN(ReferenceData!$W$55),"",ReferenceData!$W$55),"")</f>
        <v>106.367</v>
      </c>
      <c r="X55">
        <f ca="1">IFERROR(IF(0=LEN(ReferenceData!$X$55),"",ReferenceData!$X$55),"")</f>
        <v>103.626</v>
      </c>
      <c r="Y55">
        <f ca="1">IFERROR(IF(0=LEN(ReferenceData!$Y$55),"",ReferenceData!$Y$55),"")</f>
        <v>102.51900000000001</v>
      </c>
      <c r="Z55">
        <f ca="1">IFERROR(IF(0=LEN(ReferenceData!$Z$55),"",ReferenceData!$Z$55),"")</f>
        <v>99.977999999999994</v>
      </c>
      <c r="AA55">
        <f ca="1">IFERROR(IF(0=LEN(ReferenceData!$AA$55),"",ReferenceData!$AA$55),"")</f>
        <v>96.152000000000001</v>
      </c>
      <c r="AB55">
        <f ca="1">IFERROR(IF(0=LEN(ReferenceData!$AB$55),"",ReferenceData!$AB$55),"")</f>
        <v>91.191000000000003</v>
      </c>
      <c r="AC55">
        <f ca="1">IFERROR(IF(0=LEN(ReferenceData!$AC$55),"",ReferenceData!$AC$55),"")</f>
        <v>88.533000000000001</v>
      </c>
      <c r="AD55">
        <f ca="1">IFERROR(IF(0=LEN(ReferenceData!$AD$55),"",ReferenceData!$AD$55),"")</f>
        <v>86.114000000000004</v>
      </c>
      <c r="AE55">
        <f ca="1">IFERROR(IF(0=LEN(ReferenceData!$AE$55),"",ReferenceData!$AE$55),"")</f>
        <v>83.168999999999997</v>
      </c>
      <c r="AF55">
        <f ca="1">IFERROR(IF(0=LEN(ReferenceData!$AF$55),"",ReferenceData!$AF$55),"")</f>
        <v>77.152000000000001</v>
      </c>
      <c r="AG55">
        <f ca="1">IFERROR(IF(0=LEN(ReferenceData!$AG$55),"",ReferenceData!$AG$55),"")</f>
        <v>75.481999999999999</v>
      </c>
      <c r="AH55">
        <f ca="1">IFERROR(IF(0=LEN(ReferenceData!$AH$55),"",ReferenceData!$AH$55),"")</f>
        <v>73.082999999999998</v>
      </c>
      <c r="AI55">
        <f ca="1">IFERROR(IF(0=LEN(ReferenceData!$AI$55),"",ReferenceData!$AI$55),"")</f>
        <v>70.424000000000007</v>
      </c>
      <c r="AJ55">
        <f ca="1">IFERROR(IF(0=LEN(ReferenceData!$AJ$55),"",ReferenceData!$AJ$55),"")</f>
        <v>66.620999999999995</v>
      </c>
      <c r="AK55">
        <f ca="1">IFERROR(IF(0=LEN(ReferenceData!$AK$55),"",ReferenceData!$AK$55),"")</f>
        <v>65.367999999999995</v>
      </c>
      <c r="AL55">
        <f ca="1">IFERROR(IF(0=LEN(ReferenceData!$AL$55),"",ReferenceData!$AL$55),"")</f>
        <v>66.984999999999999</v>
      </c>
      <c r="AM55">
        <f ca="1">IFERROR(IF(0=LEN(ReferenceData!$AM$55),"",ReferenceData!$AM$55),"")</f>
        <v>64.307000000000002</v>
      </c>
      <c r="AN55">
        <f ca="1">IFERROR(IF(0=LEN(ReferenceData!$AN$55),"",ReferenceData!$AN$55),"")</f>
        <v>65.584999999999994</v>
      </c>
      <c r="AO55">
        <f ca="1">IFERROR(IF(0=LEN(ReferenceData!$AO$55),"",ReferenceData!$AO$55),"")</f>
        <v>69.799000000000007</v>
      </c>
      <c r="AP55">
        <f ca="1">IFERROR(IF(0=LEN(ReferenceData!$AP$55),"",ReferenceData!$AP$55),"")</f>
        <v>71.988</v>
      </c>
      <c r="AQ55">
        <f ca="1">IFERROR(IF(0=LEN(ReferenceData!$AQ$55),"",ReferenceData!$AQ$55),"")</f>
        <v>70.822000000000003</v>
      </c>
      <c r="AR55">
        <f ca="1">IFERROR(IF(0=LEN(ReferenceData!$AR$55),"",ReferenceData!$AR$55),"")</f>
        <v>69.245000000000005</v>
      </c>
      <c r="AS55">
        <f ca="1">IFERROR(IF(0=LEN(ReferenceData!$AS$55),"",ReferenceData!$AS$55),"")</f>
        <v>68.585999999999999</v>
      </c>
      <c r="AT55">
        <f ca="1">IFERROR(IF(0=LEN(ReferenceData!$AT$55),"",ReferenceData!$AT$55),"")</f>
        <v>68.206999999999994</v>
      </c>
      <c r="AU55">
        <f ca="1">IFERROR(IF(0=LEN(ReferenceData!$AU$55),"",ReferenceData!$AU$55),"")</f>
        <v>66.626000000000005</v>
      </c>
      <c r="AV55">
        <f ca="1">IFERROR(IF(0=LEN(ReferenceData!$AV$55),"",ReferenceData!$AV$55),"")</f>
        <v>65.146000000000001</v>
      </c>
      <c r="AW55">
        <f ca="1">IFERROR(IF(0=LEN(ReferenceData!$AW$55),"",ReferenceData!$AW$55),"")</f>
        <v>64.677000000000007</v>
      </c>
      <c r="AX55">
        <f ca="1">IFERROR(IF(0=LEN(ReferenceData!$AX$55),"",ReferenceData!$AX$55),"")</f>
        <v>61.112000000000002</v>
      </c>
      <c r="AY55">
        <f ca="1">IFERROR(IF(0=LEN(ReferenceData!$AY$55),"",ReferenceData!$AY$55),"")</f>
        <v>59.69</v>
      </c>
      <c r="AZ55">
        <f ca="1">IFERROR(IF(0=LEN(ReferenceData!$AZ$55),"",ReferenceData!$AZ$55),"")</f>
        <v>58.924999999999997</v>
      </c>
      <c r="BA55">
        <f ca="1">IFERROR(IF(0=LEN(ReferenceData!$BA$55),"",ReferenceData!$BA$55),"")</f>
        <v>56.14</v>
      </c>
      <c r="BB55">
        <f ca="1">IFERROR(IF(0=LEN(ReferenceData!$BB$55),"",ReferenceData!$BB$55),"")</f>
        <v>54.226999999999997</v>
      </c>
      <c r="BC55">
        <f ca="1">IFERROR(IF(0=LEN(ReferenceData!$BC$55),"",ReferenceData!$BC$55),"")</f>
        <v>47.966999999999999</v>
      </c>
      <c r="BD55">
        <f ca="1">IFERROR(IF(0=LEN(ReferenceData!$BD$55),"",ReferenceData!$BD$55),"")</f>
        <v>55.161999999999999</v>
      </c>
      <c r="BE55">
        <f ca="1">IFERROR(IF(0=LEN(ReferenceData!$BE$55),"",ReferenceData!$BE$55),"")</f>
        <v>53.298000000000002</v>
      </c>
      <c r="BF55">
        <f ca="1">IFERROR(IF(0=LEN(ReferenceData!$BF$55),"",ReferenceData!$BF$55),"")</f>
        <v>57.783999999999999</v>
      </c>
      <c r="BG55">
        <f ca="1">IFERROR(IF(0=LEN(ReferenceData!$BG$55),"",ReferenceData!$BG$55),"")</f>
        <v>46.144998000000001</v>
      </c>
      <c r="BH55">
        <f ca="1">IFERROR(IF(0=LEN(ReferenceData!$BH$55),"",ReferenceData!$BH$55),"")</f>
        <v>62.508000000000003</v>
      </c>
      <c r="BI55">
        <f ca="1">IFERROR(IF(0=LEN(ReferenceData!$BI$55),"",ReferenceData!$BI$55),"")</f>
        <v>43.860996</v>
      </c>
      <c r="BJ55">
        <f ca="1">IFERROR(IF(0=LEN(ReferenceData!$BJ$55),"",ReferenceData!$BJ$55),"")</f>
        <v>42.378999999999998</v>
      </c>
      <c r="BK55">
        <f ca="1">IFERROR(IF(0=LEN(ReferenceData!$BK$55),"",ReferenceData!$BK$55),"")</f>
        <v>40.742001000000002</v>
      </c>
      <c r="BL55">
        <f ca="1">IFERROR(IF(0=LEN(ReferenceData!$BL$55),"",ReferenceData!$BL$55),"")</f>
        <v>40.300998</v>
      </c>
      <c r="BM55">
        <f ca="1">IFERROR(IF(0=LEN(ReferenceData!$BM$55),"",ReferenceData!$BM$55),"")</f>
        <v>40.840997999999999</v>
      </c>
    </row>
    <row r="56" spans="1:65">
      <c r="A56" t="str">
        <f>IFERROR(IF(0=LEN(ReferenceData!$A$56),"",ReferenceData!$A$56),"")</f>
        <v xml:space="preserve">    Mid-America Apartment Communit</v>
      </c>
      <c r="B56" t="str">
        <f>IFERROR(IF(0=LEN(ReferenceData!$B$56),"",ReferenceData!$B$56),"")</f>
        <v>MAA US Equity</v>
      </c>
      <c r="C56" t="str">
        <f>IFERROR(IF(0=LEN(ReferenceData!$C$56),"",ReferenceData!$C$56),"")</f>
        <v>RR502</v>
      </c>
      <c r="D56" t="str">
        <f>IFERROR(IF(0=LEN(ReferenceData!$D$56),"",ReferenceData!$D$56),"")</f>
        <v>NET_OPER_INCOME</v>
      </c>
      <c r="E56" t="str">
        <f>IFERROR(IF(0=LEN(ReferenceData!$E$56),"",ReferenceData!$E$56),"")</f>
        <v>动态</v>
      </c>
      <c r="F56" t="str">
        <f ca="1">IFERROR(IF(0=LEN(ReferenceData!$F$56),"",ReferenceData!$F$56),"")</f>
        <v/>
      </c>
      <c r="G56">
        <f ca="1">IFERROR(IF(0=LEN(ReferenceData!$G$56),"",ReferenceData!$G$56),"")</f>
        <v>230.84700000000001</v>
      </c>
      <c r="H56">
        <f ca="1">IFERROR(IF(0=LEN(ReferenceData!$H$56),"",ReferenceData!$H$56),"")</f>
        <v>198.15899999999999</v>
      </c>
      <c r="I56">
        <f ca="1">IFERROR(IF(0=LEN(ReferenceData!$I$56),"",ReferenceData!$I$56),"")</f>
        <v>199.11799999999999</v>
      </c>
      <c r="J56">
        <f ca="1">IFERROR(IF(0=LEN(ReferenceData!$J$56),"",ReferenceData!$J$56),"")</f>
        <v>198.923</v>
      </c>
      <c r="K56">
        <f ca="1">IFERROR(IF(0=LEN(ReferenceData!$K$56),"",ReferenceData!$K$56),"")</f>
        <v>162.71100000000001</v>
      </c>
      <c r="L56">
        <f ca="1">IFERROR(IF(0=LEN(ReferenceData!$L$56),"",ReferenceData!$L$56),"")</f>
        <v>139.607</v>
      </c>
      <c r="M56">
        <f ca="1">IFERROR(IF(0=LEN(ReferenceData!$M$56),"",ReferenceData!$M$56),"")</f>
        <v>138.06100000000001</v>
      </c>
      <c r="N56">
        <f ca="1">IFERROR(IF(0=LEN(ReferenceData!$N$56),"",ReferenceData!$N$56),"")</f>
        <v>135.78</v>
      </c>
      <c r="O56">
        <f ca="1">IFERROR(IF(0=LEN(ReferenceData!$O$56),"",ReferenceData!$O$56),"")</f>
        <v>135.99600000000001</v>
      </c>
      <c r="P56">
        <f ca="1">IFERROR(IF(0=LEN(ReferenceData!$P$56),"",ReferenceData!$P$56),"")</f>
        <v>130.44300000000001</v>
      </c>
      <c r="Q56">
        <f ca="1">IFERROR(IF(0=LEN(ReferenceData!$Q$56),"",ReferenceData!$Q$56),"")</f>
        <v>128.32300000000001</v>
      </c>
      <c r="R56">
        <f ca="1">IFERROR(IF(0=LEN(ReferenceData!$R$56),"",ReferenceData!$R$56),"")</f>
        <v>125.8</v>
      </c>
      <c r="S56">
        <f ca="1">IFERROR(IF(0=LEN(ReferenceData!$S$56),"",ReferenceData!$S$56),"")</f>
        <v>125.46599999999999</v>
      </c>
      <c r="T56">
        <f ca="1">IFERROR(IF(0=LEN(ReferenceData!$T$56),"",ReferenceData!$T$56),"")</f>
        <v>118.28400000000001</v>
      </c>
      <c r="U56">
        <f ca="1">IFERROR(IF(0=LEN(ReferenceData!$U$56),"",ReferenceData!$U$56),"")</f>
        <v>115.94499999999999</v>
      </c>
      <c r="V56">
        <f ca="1">IFERROR(IF(0=LEN(ReferenceData!$V$56),"",ReferenceData!$V$56),"")</f>
        <v>116.711</v>
      </c>
      <c r="W56">
        <f ca="1">IFERROR(IF(0=LEN(ReferenceData!$W$56),"",ReferenceData!$W$56),"")</f>
        <v>114.883</v>
      </c>
      <c r="X56">
        <f ca="1">IFERROR(IF(0=LEN(ReferenceData!$X$56),"",ReferenceData!$X$56),"")</f>
        <v>64.094999999999999</v>
      </c>
      <c r="Y56">
        <f ca="1">IFERROR(IF(0=LEN(ReferenceData!$Y$56),"",ReferenceData!$Y$56),"")</f>
        <v>63.225999999999999</v>
      </c>
      <c r="Z56">
        <f ca="1">IFERROR(IF(0=LEN(ReferenceData!$Z$56),"",ReferenceData!$Z$56),"")</f>
        <v>62.253</v>
      </c>
      <c r="AA56">
        <f ca="1">IFERROR(IF(0=LEN(ReferenceData!$AA$56),"",ReferenceData!$AA$56),"")</f>
        <v>71.128</v>
      </c>
      <c r="AB56">
        <f ca="1">IFERROR(IF(0=LEN(ReferenceData!$AB$56),"",ReferenceData!$AB$56),"")</f>
        <v>56.475000000000001</v>
      </c>
      <c r="AC56">
        <f ca="1">IFERROR(IF(0=LEN(ReferenceData!$AC$56),"",ReferenceData!$AC$56),"")</f>
        <v>54.874000000000002</v>
      </c>
      <c r="AD56">
        <f ca="1">IFERROR(IF(0=LEN(ReferenceData!$AD$56),"",ReferenceData!$AD$56),"")</f>
        <v>52.819000000000003</v>
      </c>
      <c r="AE56">
        <f ca="1">IFERROR(IF(0=LEN(ReferenceData!$AE$56),"",ReferenceData!$AE$56),"")</f>
        <v>61.064</v>
      </c>
      <c r="AF56">
        <f ca="1">IFERROR(IF(0=LEN(ReferenceData!$AF$56),"",ReferenceData!$AF$56),"")</f>
        <v>48.383000000000003</v>
      </c>
      <c r="AG56">
        <f ca="1">IFERROR(IF(0=LEN(ReferenceData!$AG$56),"",ReferenceData!$AG$56),"")</f>
        <v>47.343000000000004</v>
      </c>
      <c r="AH56">
        <f ca="1">IFERROR(IF(0=LEN(ReferenceData!$AH$56),"",ReferenceData!$AH$56),"")</f>
        <v>46.491999999999997</v>
      </c>
      <c r="AI56">
        <f ca="1">IFERROR(IF(0=LEN(ReferenceData!$AI$56),"",ReferenceData!$AI$56),"")</f>
        <v>54.470999999999997</v>
      </c>
      <c r="AJ56">
        <f ca="1">IFERROR(IF(0=LEN(ReferenceData!$AJ$56),"",ReferenceData!$AJ$56),"")</f>
        <v>43.146000000000001</v>
      </c>
      <c r="AK56">
        <f ca="1">IFERROR(IF(0=LEN(ReferenceData!$AK$56),"",ReferenceData!$AK$56),"")</f>
        <v>43.893999999999998</v>
      </c>
      <c r="AL56">
        <f ca="1">IFERROR(IF(0=LEN(ReferenceData!$AL$56),"",ReferenceData!$AL$56),"")</f>
        <v>44.616</v>
      </c>
      <c r="AM56">
        <f ca="1">IFERROR(IF(0=LEN(ReferenceData!$AM$56),"",ReferenceData!$AM$56),"")</f>
        <v>50.499000000000002</v>
      </c>
      <c r="AN56">
        <f ca="1">IFERROR(IF(0=LEN(ReferenceData!$AN$56),"",ReferenceData!$AN$56),"")</f>
        <v>43.154000000000003</v>
      </c>
      <c r="AO56">
        <f ca="1">IFERROR(IF(0=LEN(ReferenceData!$AO$56),"",ReferenceData!$AO$56),"")</f>
        <v>46.231000000000002</v>
      </c>
      <c r="AP56">
        <f ca="1">IFERROR(IF(0=LEN(ReferenceData!$AP$56),"",ReferenceData!$AP$56),"")</f>
        <v>46.725999999999999</v>
      </c>
      <c r="AQ56">
        <f ca="1">IFERROR(IF(0=LEN(ReferenceData!$AQ$56),"",ReferenceData!$AQ$56),"")</f>
        <v>50.552999999999997</v>
      </c>
      <c r="AR56">
        <f ca="1">IFERROR(IF(0=LEN(ReferenceData!$AR$56),"",ReferenceData!$AR$56),"")</f>
        <v>44.210999999999999</v>
      </c>
      <c r="AS56">
        <f ca="1">IFERROR(IF(0=LEN(ReferenceData!$AS$56),"",ReferenceData!$AS$56),"")</f>
        <v>45.061</v>
      </c>
      <c r="AT56">
        <f ca="1">IFERROR(IF(0=LEN(ReferenceData!$AT$56),"",ReferenceData!$AT$56),"")</f>
        <v>45.465000000000003</v>
      </c>
      <c r="AU56">
        <f ca="1">IFERROR(IF(0=LEN(ReferenceData!$AU$56),"",ReferenceData!$AU$56),"")</f>
        <v>49.146000000000001</v>
      </c>
      <c r="AV56">
        <f ca="1">IFERROR(IF(0=LEN(ReferenceData!$AV$56),"",ReferenceData!$AV$56),"")</f>
        <v>-27.212</v>
      </c>
      <c r="AW56">
        <f ca="1">IFERROR(IF(0=LEN(ReferenceData!$AW$56),"",ReferenceData!$AW$56),"")</f>
        <v>42.026000000000003</v>
      </c>
      <c r="AX56">
        <f ca="1">IFERROR(IF(0=LEN(ReferenceData!$AX$56),"",ReferenceData!$AX$56),"")</f>
        <v>42.142000000000003</v>
      </c>
      <c r="AY56">
        <f ca="1">IFERROR(IF(0=LEN(ReferenceData!$AY$56),"",ReferenceData!$AY$56),"")</f>
        <v>54.329000000000001</v>
      </c>
      <c r="AZ56">
        <f ca="1">IFERROR(IF(0=LEN(ReferenceData!$AZ$56),"",ReferenceData!$AZ$56),"")</f>
        <v>40.103000000000002</v>
      </c>
      <c r="BA56">
        <f ca="1">IFERROR(IF(0=LEN(ReferenceData!$BA$56),"",ReferenceData!$BA$56),"")</f>
        <v>40.515999999999998</v>
      </c>
      <c r="BB56">
        <f ca="1">IFERROR(IF(0=LEN(ReferenceData!$BB$56),"",ReferenceData!$BB$56),"")</f>
        <v>40.466000000000001</v>
      </c>
      <c r="BC56">
        <f ca="1">IFERROR(IF(0=LEN(ReferenceData!$BC$56),"",ReferenceData!$BC$56),"")</f>
        <v>50.9</v>
      </c>
      <c r="BD56">
        <f ca="1">IFERROR(IF(0=LEN(ReferenceData!$BD$56),"",ReferenceData!$BD$56),"")</f>
        <v>39.808</v>
      </c>
      <c r="BE56">
        <f ca="1">IFERROR(IF(0=LEN(ReferenceData!$BE$56),"",ReferenceData!$BE$56),"")</f>
        <v>39.396000000000001</v>
      </c>
      <c r="BF56">
        <f ca="1">IFERROR(IF(0=LEN(ReferenceData!$BF$56),"",ReferenceData!$BF$56),"")</f>
        <v>39.259</v>
      </c>
      <c r="BG56">
        <f ca="1">IFERROR(IF(0=LEN(ReferenceData!$BG$56),"",ReferenceData!$BG$56),"")</f>
        <v>37.210003</v>
      </c>
      <c r="BH56">
        <f ca="1">IFERROR(IF(0=LEN(ReferenceData!$BH$56),"",ReferenceData!$BH$56),"")</f>
        <v>33.191000000000003</v>
      </c>
      <c r="BI56">
        <f ca="1">IFERROR(IF(0=LEN(ReferenceData!$BI$56),"",ReferenceData!$BI$56),"")</f>
        <v>33.280999999999999</v>
      </c>
      <c r="BJ56">
        <f ca="1">IFERROR(IF(0=LEN(ReferenceData!$BJ$56),"",ReferenceData!$BJ$56),"")</f>
        <v>33.478999000000002</v>
      </c>
      <c r="BK56">
        <f ca="1">IFERROR(IF(0=LEN(ReferenceData!$BK$56),"",ReferenceData!$BK$56),"")</f>
        <v>34.825000350000003</v>
      </c>
      <c r="BL56">
        <f ca="1">IFERROR(IF(0=LEN(ReferenceData!$BL$56),"",ReferenceData!$BL$56),"")</f>
        <v>29.252001</v>
      </c>
      <c r="BM56">
        <f ca="1">IFERROR(IF(0=LEN(ReferenceData!$BM$56),"",ReferenceData!$BM$56),"")</f>
        <v>30.262</v>
      </c>
    </row>
    <row r="57" spans="1:65">
      <c r="A57" t="str">
        <f>IFERROR(IF(0=LEN(ReferenceData!$A$57),"",ReferenceData!$A$57),"")</f>
        <v xml:space="preserve">    UDR Inc</v>
      </c>
      <c r="B57" t="str">
        <f>IFERROR(IF(0=LEN(ReferenceData!$B$57),"",ReferenceData!$B$57),"")</f>
        <v>UDR US Equity</v>
      </c>
      <c r="C57" t="str">
        <f>IFERROR(IF(0=LEN(ReferenceData!$C$57),"",ReferenceData!$C$57),"")</f>
        <v>RR502</v>
      </c>
      <c r="D57" t="str">
        <f>IFERROR(IF(0=LEN(ReferenceData!$D$57),"",ReferenceData!$D$57),"")</f>
        <v>NET_OPER_INCOME</v>
      </c>
      <c r="E57" t="str">
        <f>IFERROR(IF(0=LEN(ReferenceData!$E$57),"",ReferenceData!$E$57),"")</f>
        <v>动态</v>
      </c>
      <c r="F57" t="str">
        <f ca="1">IFERROR(IF(0=LEN(ReferenceData!$F$57),"",ReferenceData!$F$57),"")</f>
        <v/>
      </c>
      <c r="G57">
        <f ca="1">IFERROR(IF(0=LEN(ReferenceData!$G$57),"",ReferenceData!$G$57),"")</f>
        <v>170.798</v>
      </c>
      <c r="H57">
        <f ca="1">IFERROR(IF(0=LEN(ReferenceData!$H$57),"",ReferenceData!$H$57),"")</f>
        <v>167.89400000000001</v>
      </c>
      <c r="I57">
        <f ca="1">IFERROR(IF(0=LEN(ReferenceData!$I$57),"",ReferenceData!$I$57),"")</f>
        <v>167.89500000000001</v>
      </c>
      <c r="J57">
        <f ca="1">IFERROR(IF(0=LEN(ReferenceData!$J$57),"",ReferenceData!$J$57),"")</f>
        <v>164.84800000000001</v>
      </c>
      <c r="K57">
        <f ca="1">IFERROR(IF(0=LEN(ReferenceData!$K$57),"",ReferenceData!$K$57),"")</f>
        <v>164.67699999999999</v>
      </c>
      <c r="L57">
        <f ca="1">IFERROR(IF(0=LEN(ReferenceData!$L$57),"",ReferenceData!$L$57),"")</f>
        <v>163.749</v>
      </c>
      <c r="M57">
        <f ca="1">IFERROR(IF(0=LEN(ReferenceData!$M$57),"",ReferenceData!$M$57),"")</f>
        <v>160.821</v>
      </c>
      <c r="N57">
        <f ca="1">IFERROR(IF(0=LEN(ReferenceData!$N$57),"",ReferenceData!$N$57),"")</f>
        <v>157.755</v>
      </c>
      <c r="O57">
        <f ca="1">IFERROR(IF(0=LEN(ReferenceData!$O$57),"",ReferenceData!$O$57),"")</f>
        <v>159.852</v>
      </c>
      <c r="P57">
        <f ca="1">IFERROR(IF(0=LEN(ReferenceData!$P$57),"",ReferenceData!$P$57),"")</f>
        <v>147.577</v>
      </c>
      <c r="Q57">
        <f ca="1">IFERROR(IF(0=LEN(ReferenceData!$Q$57),"",ReferenceData!$Q$57),"")</f>
        <v>144.58099999999999</v>
      </c>
      <c r="R57">
        <f ca="1">IFERROR(IF(0=LEN(ReferenceData!$R$57),"",ReferenceData!$R$57),"")</f>
        <v>137.881</v>
      </c>
      <c r="S57">
        <f ca="1">IFERROR(IF(0=LEN(ReferenceData!$S$57),"",ReferenceData!$S$57),"")</f>
        <v>138.32300000000001</v>
      </c>
      <c r="T57">
        <f ca="1">IFERROR(IF(0=LEN(ReferenceData!$T$57),"",ReferenceData!$T$57),"")</f>
        <v>134.20599999999999</v>
      </c>
      <c r="U57">
        <f ca="1">IFERROR(IF(0=LEN(ReferenceData!$U$57),"",ReferenceData!$U$57),"")</f>
        <v>134.876</v>
      </c>
      <c r="V57">
        <f ca="1">IFERROR(IF(0=LEN(ReferenceData!$V$57),"",ReferenceData!$V$57),"")</f>
        <v>126.85599999999999</v>
      </c>
      <c r="W57">
        <f ca="1">IFERROR(IF(0=LEN(ReferenceData!$W$57),"",ReferenceData!$W$57),"")</f>
        <v>124.95099999999999</v>
      </c>
      <c r="X57">
        <f ca="1">IFERROR(IF(0=LEN(ReferenceData!$X$57),"",ReferenceData!$X$57),"")</f>
        <v>121.983</v>
      </c>
      <c r="Y57">
        <f ca="1">IFERROR(IF(0=LEN(ReferenceData!$Y$57),"",ReferenceData!$Y$57),"")</f>
        <v>122.093</v>
      </c>
      <c r="Z57">
        <f ca="1">IFERROR(IF(0=LEN(ReferenceData!$Z$57),"",ReferenceData!$Z$57),"")</f>
        <v>118.84399999999999</v>
      </c>
      <c r="AA57">
        <f ca="1">IFERROR(IF(0=LEN(ReferenceData!$AA$57),"",ReferenceData!$AA$57),"")</f>
        <v>118.45699999999999</v>
      </c>
      <c r="AB57">
        <f ca="1">IFERROR(IF(0=LEN(ReferenceData!$AB$57),"",ReferenceData!$AB$57),"")</f>
        <v>117.29600000000001</v>
      </c>
      <c r="AC57">
        <f ca="1">IFERROR(IF(0=LEN(ReferenceData!$AC$57),"",ReferenceData!$AC$57),"")</f>
        <v>115.453</v>
      </c>
      <c r="AD57">
        <f ca="1">IFERROR(IF(0=LEN(ReferenceData!$AD$57),"",ReferenceData!$AD$57),"")</f>
        <v>112.205</v>
      </c>
      <c r="AE57">
        <f ca="1">IFERROR(IF(0=LEN(ReferenceData!$AE$57),"",ReferenceData!$AE$57),"")</f>
        <v>110.099</v>
      </c>
      <c r="AF57">
        <f ca="1">IFERROR(IF(0=LEN(ReferenceData!$AF$57),"",ReferenceData!$AF$57),"")</f>
        <v>106.52500000000001</v>
      </c>
      <c r="AG57">
        <f ca="1">IFERROR(IF(0=LEN(ReferenceData!$AG$57),"",ReferenceData!$AG$57),"")</f>
        <v>97.335999999999999</v>
      </c>
      <c r="AH57">
        <f ca="1">IFERROR(IF(0=LEN(ReferenceData!$AH$57),"",ReferenceData!$AH$57),"")</f>
        <v>86.43</v>
      </c>
      <c r="AI57">
        <f ca="1">IFERROR(IF(0=LEN(ReferenceData!$AI$57),"",ReferenceData!$AI$57),"")</f>
        <v>95.903000000000006</v>
      </c>
      <c r="AJ57">
        <f ca="1">IFERROR(IF(0=LEN(ReferenceData!$AJ$57),"",ReferenceData!$AJ$57),"")</f>
        <v>92.581000000000003</v>
      </c>
      <c r="AK57">
        <f ca="1">IFERROR(IF(0=LEN(ReferenceData!$AK$57),"",ReferenceData!$AK$57),"")</f>
        <v>91.116</v>
      </c>
      <c r="AL57">
        <f ca="1">IFERROR(IF(0=LEN(ReferenceData!$AL$57),"",ReferenceData!$AL$57),"")</f>
        <v>89.555000000000007</v>
      </c>
      <c r="AM57">
        <f ca="1">IFERROR(IF(0=LEN(ReferenceData!$AM$57),"",ReferenceData!$AM$57),"")</f>
        <v>95.403999999999996</v>
      </c>
      <c r="AN57">
        <f ca="1">IFERROR(IF(0=LEN(ReferenceData!$AN$57),"",ReferenceData!$AN$57),"")</f>
        <v>93.728999999999999</v>
      </c>
      <c r="AO57">
        <f ca="1">IFERROR(IF(0=LEN(ReferenceData!$AO$57),"",ReferenceData!$AO$57),"")</f>
        <v>97.21</v>
      </c>
      <c r="AP57">
        <f ca="1">IFERROR(IF(0=LEN(ReferenceData!$AP$57),"",ReferenceData!$AP$57),"")</f>
        <v>94.911000000000001</v>
      </c>
      <c r="AQ57">
        <f ca="1">IFERROR(IF(0=LEN(ReferenceData!$AQ$57),"",ReferenceData!$AQ$57),"")</f>
        <v>95.048000000000002</v>
      </c>
      <c r="AR57">
        <f ca="1">IFERROR(IF(0=LEN(ReferenceData!$AR$57),"",ReferenceData!$AR$57),"")</f>
        <v>91.518000000000001</v>
      </c>
      <c r="AS57">
        <f ca="1">IFERROR(IF(0=LEN(ReferenceData!$AS$57),"",ReferenceData!$AS$57),"")</f>
        <v>89.754999999999995</v>
      </c>
      <c r="AT57">
        <f ca="1">IFERROR(IF(0=LEN(ReferenceData!$AT$57),"",ReferenceData!$AT$57),"")</f>
        <v>80.058000000000007</v>
      </c>
      <c r="AU57">
        <f ca="1">IFERROR(IF(0=LEN(ReferenceData!$AU$57),"",ReferenceData!$AU$57),"")</f>
        <v>81.823999999999998</v>
      </c>
      <c r="AV57">
        <f ca="1">IFERROR(IF(0=LEN(ReferenceData!$AV$57),"",ReferenceData!$AV$57),"")</f>
        <v>84.19</v>
      </c>
      <c r="AW57">
        <f ca="1">IFERROR(IF(0=LEN(ReferenceData!$AW$57),"",ReferenceData!$AW$57),"")</f>
        <v>79.557000000000002</v>
      </c>
      <c r="AX57">
        <f ca="1">IFERROR(IF(0=LEN(ReferenceData!$AX$57),"",ReferenceData!$AX$57),"")</f>
        <v>75.864000000000004</v>
      </c>
      <c r="AY57">
        <f ca="1">IFERROR(IF(0=LEN(ReferenceData!$AY$57),"",ReferenceData!$AY$57),"")</f>
        <v>74.587999999999994</v>
      </c>
      <c r="AZ57">
        <f ca="1">IFERROR(IF(0=LEN(ReferenceData!$AZ$57),"",ReferenceData!$AZ$57),"")</f>
        <v>125.643</v>
      </c>
      <c r="BA57">
        <f ca="1">IFERROR(IF(0=LEN(ReferenceData!$BA$57),"",ReferenceData!$BA$57),"")</f>
        <v>101.25700000000001</v>
      </c>
      <c r="BB57">
        <f ca="1">IFERROR(IF(0=LEN(ReferenceData!$BB$57),"",ReferenceData!$BB$57),"")</f>
        <v>98.186999999999998</v>
      </c>
      <c r="BC57">
        <f ca="1">IFERROR(IF(0=LEN(ReferenceData!$BC$57),"",ReferenceData!$BC$57),"")</f>
        <v>130.58099999999999</v>
      </c>
      <c r="BD57">
        <f ca="1">IFERROR(IF(0=LEN(ReferenceData!$BD$57),"",ReferenceData!$BD$57),"")</f>
        <v>114.435</v>
      </c>
      <c r="BE57">
        <f ca="1">IFERROR(IF(0=LEN(ReferenceData!$BE$57),"",ReferenceData!$BE$57),"")</f>
        <v>94.811000000000007</v>
      </c>
      <c r="BF57">
        <f ca="1">IFERROR(IF(0=LEN(ReferenceData!$BF$57),"",ReferenceData!$BF$57),"")</f>
        <v>93.706000000000003</v>
      </c>
      <c r="BG57">
        <f ca="1">IFERROR(IF(0=LEN(ReferenceData!$BG$57),"",ReferenceData!$BG$57),"")</f>
        <v>81.11</v>
      </c>
      <c r="BH57">
        <f ca="1">IFERROR(IF(0=LEN(ReferenceData!$BH$57),"",ReferenceData!$BH$57),"")</f>
        <v>88.37</v>
      </c>
      <c r="BI57">
        <f ca="1">IFERROR(IF(0=LEN(ReferenceData!$BI$57),"",ReferenceData!$BI$57),"")</f>
        <v>108.273</v>
      </c>
      <c r="BJ57">
        <f ca="1">IFERROR(IF(0=LEN(ReferenceData!$BJ$57),"",ReferenceData!$BJ$57),"")</f>
        <v>106.46899999999999</v>
      </c>
      <c r="BK57">
        <f ca="1">IFERROR(IF(0=LEN(ReferenceData!$BK$57),"",ReferenceData!$BK$57),"")</f>
        <v>104.279</v>
      </c>
      <c r="BL57">
        <f ca="1">IFERROR(IF(0=LEN(ReferenceData!$BL$57),"",ReferenceData!$BL$57),"")</f>
        <v>98.527000000000001</v>
      </c>
      <c r="BM57">
        <f ca="1">IFERROR(IF(0=LEN(ReferenceData!$BM$57),"",ReferenceData!$BM$57),"")</f>
        <v>100.49299999999999</v>
      </c>
    </row>
    <row r="58" spans="1:65">
      <c r="A58" t="str">
        <f>IFERROR(IF(0=LEN(ReferenceData!$A$58),"",ReferenceData!$A$58),"")</f>
        <v>EBITDA</v>
      </c>
      <c r="B58" t="str">
        <f>IFERROR(IF(0=LEN(ReferenceData!$B$58),"",ReferenceData!$B$58),"")</f>
        <v/>
      </c>
      <c r="C58" t="str">
        <f>IFERROR(IF(0=LEN(ReferenceData!$C$58),"",ReferenceData!$C$58),"")</f>
        <v/>
      </c>
      <c r="D58" t="str">
        <f>IFERROR(IF(0=LEN(ReferenceData!$D$58),"",ReferenceData!$D$58),"")</f>
        <v/>
      </c>
      <c r="E58" t="str">
        <f>IFERROR(IF(0=LEN(ReferenceData!$E$58),"",ReferenceData!$E$58),"")</f>
        <v>Median</v>
      </c>
      <c r="F58" t="str">
        <f ca="1">IFERROR(IF(0=LEN(ReferenceData!$F$58),"",ReferenceData!$F$58),"")</f>
        <v/>
      </c>
      <c r="G58">
        <f ca="1">IFERROR(IF(0=LEN(ReferenceData!$G$58),"",ReferenceData!$G$58),"")</f>
        <v>187.20100000000002</v>
      </c>
      <c r="H58">
        <f ca="1">IFERROR(IF(0=LEN(ReferenceData!$H$58),"",ReferenceData!$H$58),"")</f>
        <v>183.49700000000001</v>
      </c>
      <c r="I58">
        <f ca="1">IFERROR(IF(0=LEN(ReferenceData!$I$58),"",ReferenceData!$I$58),"")</f>
        <v>184.494</v>
      </c>
      <c r="J58">
        <f ca="1">IFERROR(IF(0=LEN(ReferenceData!$J$58),"",ReferenceData!$J$58),"")</f>
        <v>179.94400000000002</v>
      </c>
      <c r="K58">
        <f ca="1">IFERROR(IF(0=LEN(ReferenceData!$K$58),"",ReferenceData!$K$58),"")</f>
        <v>146.4545</v>
      </c>
      <c r="L58">
        <f ca="1">IFERROR(IF(0=LEN(ReferenceData!$L$58),"",ReferenceData!$L$58),"")</f>
        <v>151.91399999999999</v>
      </c>
      <c r="M58">
        <f ca="1">IFERROR(IF(0=LEN(ReferenceData!$M$58),"",ReferenceData!$M$58),"")</f>
        <v>151.42149999999998</v>
      </c>
      <c r="N58">
        <f ca="1">IFERROR(IF(0=LEN(ReferenceData!$N$58),"",ReferenceData!$N$58),"")</f>
        <v>148.43700000000001</v>
      </c>
      <c r="O58">
        <f ca="1">IFERROR(IF(0=LEN(ReferenceData!$O$58),"",ReferenceData!$O$58),"")</f>
        <v>145.27449999999999</v>
      </c>
      <c r="P58">
        <f ca="1">IFERROR(IF(0=LEN(ReferenceData!$P$58),"",ReferenceData!$P$58),"")</f>
        <v>138.8175</v>
      </c>
      <c r="Q58">
        <f ca="1">IFERROR(IF(0=LEN(ReferenceData!$Q$58),"",ReferenceData!$Q$58),"")</f>
        <v>138.32650000000001</v>
      </c>
      <c r="R58">
        <f ca="1">IFERROR(IF(0=LEN(ReferenceData!$R$58),"",ReferenceData!$R$58),"")</f>
        <v>139.0915</v>
      </c>
      <c r="S58">
        <f ca="1">IFERROR(IF(0=LEN(ReferenceData!$S$58),"",ReferenceData!$S$58),"")</f>
        <v>132.5275</v>
      </c>
      <c r="T58">
        <f ca="1">IFERROR(IF(0=LEN(ReferenceData!$T$58),"",ReferenceData!$T$58),"")</f>
        <v>129.52950000000001</v>
      </c>
      <c r="U58">
        <f ca="1">IFERROR(IF(0=LEN(ReferenceData!$U$58),"",ReferenceData!$U$58),"")</f>
        <v>125.82650000000001</v>
      </c>
      <c r="V58">
        <f ca="1">IFERROR(IF(0=LEN(ReferenceData!$V$58),"",ReferenceData!$V$58),"")</f>
        <v>117.054</v>
      </c>
      <c r="W58">
        <f ca="1">IFERROR(IF(0=LEN(ReferenceData!$W$58),"",ReferenceData!$W$58),"")</f>
        <v>110.61799999999999</v>
      </c>
      <c r="X58">
        <f ca="1">IFERROR(IF(0=LEN(ReferenceData!$X$58),"",ReferenceData!$X$58),"")</f>
        <v>107.56399999999999</v>
      </c>
      <c r="Y58">
        <f ca="1">IFERROR(IF(0=LEN(ReferenceData!$Y$58),"",ReferenceData!$Y$58),"")</f>
        <v>104.3515</v>
      </c>
      <c r="Z58">
        <f ca="1">IFERROR(IF(0=LEN(ReferenceData!$Z$58),"",ReferenceData!$Z$58),"")</f>
        <v>102.2555</v>
      </c>
      <c r="AA58">
        <f ca="1">IFERROR(IF(0=LEN(ReferenceData!$AA$58),"",ReferenceData!$AA$58),"")</f>
        <v>96.938999999999993</v>
      </c>
      <c r="AB58">
        <f ca="1">IFERROR(IF(0=LEN(ReferenceData!$AB$58),"",ReferenceData!$AB$58),"")</f>
        <v>96.453000000000003</v>
      </c>
      <c r="AC58">
        <f ca="1">IFERROR(IF(0=LEN(ReferenceData!$AC$58),"",ReferenceData!$AC$58),"")</f>
        <v>93.039000000000001</v>
      </c>
      <c r="AD58">
        <f ca="1">IFERROR(IF(0=LEN(ReferenceData!$AD$58),"",ReferenceData!$AD$58),"")</f>
        <v>89.753</v>
      </c>
      <c r="AE58">
        <f ca="1">IFERROR(IF(0=LEN(ReferenceData!$AE$58),"",ReferenceData!$AE$58),"")</f>
        <v>86.531499999999994</v>
      </c>
      <c r="AF58">
        <f ca="1">IFERROR(IF(0=LEN(ReferenceData!$AF$58),"",ReferenceData!$AF$58),"")</f>
        <v>81.0505</v>
      </c>
      <c r="AG58">
        <f ca="1">IFERROR(IF(0=LEN(ReferenceData!$AG$58),"",ReferenceData!$AG$58),"")</f>
        <v>78.958500000000001</v>
      </c>
      <c r="AH58">
        <f ca="1">IFERROR(IF(0=LEN(ReferenceData!$AH$58),"",ReferenceData!$AH$58),"")</f>
        <v>81.704999999999998</v>
      </c>
      <c r="AI58">
        <f ca="1">IFERROR(IF(0=LEN(ReferenceData!$AI$58),"",ReferenceData!$AI$58),"")</f>
        <v>83.638000000000005</v>
      </c>
      <c r="AJ58">
        <f ca="1">IFERROR(IF(0=LEN(ReferenceData!$AJ$58),"",ReferenceData!$AJ$58),"")</f>
        <v>89.14</v>
      </c>
      <c r="AK58">
        <f ca="1">IFERROR(IF(0=LEN(ReferenceData!$AK$58),"",ReferenceData!$AK$58),"")</f>
        <v>80.31</v>
      </c>
      <c r="AL58">
        <f ca="1">IFERROR(IF(0=LEN(ReferenceData!$AL$58),"",ReferenceData!$AL$58),"")</f>
        <v>76.200999999999993</v>
      </c>
      <c r="AM58">
        <f ca="1">IFERROR(IF(0=LEN(ReferenceData!$AM$58),"",ReferenceData!$AM$58),"")</f>
        <v>58.332000000000001</v>
      </c>
      <c r="AN58">
        <f ca="1">IFERROR(IF(0=LEN(ReferenceData!$AN$58),"",ReferenceData!$AN$58),"")</f>
        <v>79.89</v>
      </c>
      <c r="AO58">
        <f ca="1">IFERROR(IF(0=LEN(ReferenceData!$AO$58),"",ReferenceData!$AO$58),"")</f>
        <v>82.314999999999998</v>
      </c>
      <c r="AP58">
        <f ca="1">IFERROR(IF(0=LEN(ReferenceData!$AP$58),"",ReferenceData!$AP$58),"")</f>
        <v>83.031999999999996</v>
      </c>
      <c r="AQ58">
        <f ca="1">IFERROR(IF(0=LEN(ReferenceData!$AQ$58),"",ReferenceData!$AQ$58),"")</f>
        <v>58.084499999999998</v>
      </c>
      <c r="AR58">
        <f ca="1">IFERROR(IF(0=LEN(ReferenceData!$AR$58),"",ReferenceData!$AR$58),"")</f>
        <v>81.3</v>
      </c>
      <c r="AS58">
        <f ca="1">IFERROR(IF(0=LEN(ReferenceData!$AS$58),"",ReferenceData!$AS$58),"")</f>
        <v>72.901499999999999</v>
      </c>
      <c r="AT58">
        <f ca="1">IFERROR(IF(0=LEN(ReferenceData!$AT$58),"",ReferenceData!$AT$58),"")</f>
        <v>70.439499999999995</v>
      </c>
      <c r="AU58">
        <f ca="1">IFERROR(IF(0=LEN(ReferenceData!$AU$58),"",ReferenceData!$AU$58),"")</f>
        <v>74.137500000000003</v>
      </c>
      <c r="AV58">
        <f ca="1">IFERROR(IF(0=LEN(ReferenceData!$AV$58),"",ReferenceData!$AV$58),"")</f>
        <v>85.293999999999997</v>
      </c>
      <c r="AW58">
        <f ca="1">IFERROR(IF(0=LEN(ReferenceData!$AW$58),"",ReferenceData!$AW$58),"")</f>
        <v>86.5</v>
      </c>
      <c r="AX58">
        <f ca="1">IFERROR(IF(0=LEN(ReferenceData!$AX$58),"",ReferenceData!$AX$58),"")</f>
        <v>70.785499999999999</v>
      </c>
      <c r="AY58">
        <f ca="1">IFERROR(IF(0=LEN(ReferenceData!$AY$58),"",ReferenceData!$AY$58),"")</f>
        <v>81.405000000000001</v>
      </c>
      <c r="AZ58">
        <f ca="1">IFERROR(IF(0=LEN(ReferenceData!$AZ$58),"",ReferenceData!$AZ$58),"")</f>
        <v>87.146000000000001</v>
      </c>
      <c r="BA58">
        <f ca="1">IFERROR(IF(0=LEN(ReferenceData!$BA$58),"",ReferenceData!$BA$58),"")</f>
        <v>84.89</v>
      </c>
      <c r="BB58">
        <f ca="1">IFERROR(IF(0=LEN(ReferenceData!$BB$58),"",ReferenceData!$BB$58),"")</f>
        <v>67.378</v>
      </c>
      <c r="BC58">
        <f ca="1">IFERROR(IF(0=LEN(ReferenceData!$BC$58),"",ReferenceData!$BC$58),"")</f>
        <v>81.008499999999998</v>
      </c>
      <c r="BD58">
        <f ca="1">IFERROR(IF(0=LEN(ReferenceData!$BD$58),"",ReferenceData!$BD$58),"")</f>
        <v>65.680000000000007</v>
      </c>
      <c r="BE58">
        <f ca="1">IFERROR(IF(0=LEN(ReferenceData!$BE$58),"",ReferenceData!$BE$58),"")</f>
        <v>77.447999999999993</v>
      </c>
      <c r="BF58">
        <f ca="1">IFERROR(IF(0=LEN(ReferenceData!$BF$58),"",ReferenceData!$BF$58),"")</f>
        <v>74.478999999999999</v>
      </c>
      <c r="BG58">
        <f ca="1">IFERROR(IF(0=LEN(ReferenceData!$BG$58),"",ReferenceData!$BG$58),"")</f>
        <v>57.238</v>
      </c>
      <c r="BH58">
        <f ca="1">IFERROR(IF(0=LEN(ReferenceData!$BH$58),"",ReferenceData!$BH$58),"")</f>
        <v>58.261000000000003</v>
      </c>
      <c r="BI58">
        <f ca="1">IFERROR(IF(0=LEN(ReferenceData!$BI$58),"",ReferenceData!$BI$58),"")</f>
        <v>56.899000000000001</v>
      </c>
      <c r="BJ58">
        <f ca="1">IFERROR(IF(0=LEN(ReferenceData!$BJ$58),"",ReferenceData!$BJ$58),"")</f>
        <v>61.283999000000001</v>
      </c>
      <c r="BK58">
        <f ca="1">IFERROR(IF(0=LEN(ReferenceData!$BK$58),"",ReferenceData!$BK$58),"")</f>
        <v>72.793500199999997</v>
      </c>
      <c r="BL58">
        <f ca="1">IFERROR(IF(0=LEN(ReferenceData!$BL$58),"",ReferenceData!$BL$58),"")</f>
        <v>68.400500499999993</v>
      </c>
      <c r="BM58">
        <f ca="1">IFERROR(IF(0=LEN(ReferenceData!$BM$58),"",ReferenceData!$BM$58),"")</f>
        <v>68.498499499999994</v>
      </c>
    </row>
    <row r="59" spans="1:65">
      <c r="A59" t="str">
        <f>IFERROR(IF(0=LEN(ReferenceData!$A$59),"",ReferenceData!$A$59),"")</f>
        <v xml:space="preserve">    American Campus Communities In</v>
      </c>
      <c r="B59" t="str">
        <f>IFERROR(IF(0=LEN(ReferenceData!$B$59),"",ReferenceData!$B$59),"")</f>
        <v>ACC US Equity</v>
      </c>
      <c r="C59" t="str">
        <f>IFERROR(IF(0=LEN(ReferenceData!$C$59),"",ReferenceData!$C$59),"")</f>
        <v>RR009</v>
      </c>
      <c r="D59" t="str">
        <f>IFERROR(IF(0=LEN(ReferenceData!$D$59),"",ReferenceData!$D$59),"")</f>
        <v>EBITDA</v>
      </c>
      <c r="E59" t="str">
        <f>IFERROR(IF(0=LEN(ReferenceData!$E$59),"",ReferenceData!$E$59),"")</f>
        <v>动态</v>
      </c>
      <c r="F59" t="str">
        <f ca="1">IFERROR(IF(0=LEN(ReferenceData!$F$59),"",ReferenceData!$F$59),"")</f>
        <v/>
      </c>
      <c r="G59">
        <f ca="1">IFERROR(IF(0=LEN(ReferenceData!$G$59),"",ReferenceData!$G$59),"")</f>
        <v>128.69800000000001</v>
      </c>
      <c r="H59">
        <f ca="1">IFERROR(IF(0=LEN(ReferenceData!$H$59),"",ReferenceData!$H$59),"")</f>
        <v>78.7</v>
      </c>
      <c r="I59">
        <f ca="1">IFERROR(IF(0=LEN(ReferenceData!$I$59),"",ReferenceData!$I$59),"")</f>
        <v>68.552999999999997</v>
      </c>
      <c r="J59">
        <f ca="1">IFERROR(IF(0=LEN(ReferenceData!$J$59),"",ReferenceData!$J$59),"")</f>
        <v>101.542</v>
      </c>
      <c r="K59">
        <f ca="1">IFERROR(IF(0=LEN(ReferenceData!$K$59),"",ReferenceData!$K$59),"")</f>
        <v>103.625</v>
      </c>
      <c r="L59">
        <f ca="1">IFERROR(IF(0=LEN(ReferenceData!$L$59),"",ReferenceData!$L$59),"")</f>
        <v>81.344999999999999</v>
      </c>
      <c r="M59">
        <f ca="1">IFERROR(IF(0=LEN(ReferenceData!$M$59),"",ReferenceData!$M$59),"")</f>
        <v>92.808999999999997</v>
      </c>
      <c r="N59">
        <f ca="1">IFERROR(IF(0=LEN(ReferenceData!$N$59),"",ReferenceData!$N$59),"")</f>
        <v>106.751</v>
      </c>
      <c r="O59">
        <f ca="1">IFERROR(IF(0=LEN(ReferenceData!$O$59),"",ReferenceData!$O$59),"")</f>
        <v>108.41</v>
      </c>
      <c r="P59">
        <f ca="1">IFERROR(IF(0=LEN(ReferenceData!$P$59),"",ReferenceData!$P$59),"")</f>
        <v>70.799000000000007</v>
      </c>
      <c r="Q59">
        <f ca="1">IFERROR(IF(0=LEN(ReferenceData!$Q$59),"",ReferenceData!$Q$59),"")</f>
        <v>86.034000000000006</v>
      </c>
      <c r="R59">
        <f ca="1">IFERROR(IF(0=LEN(ReferenceData!$R$59),"",ReferenceData!$R$59),"")</f>
        <v>100.449</v>
      </c>
      <c r="S59">
        <f ca="1">IFERROR(IF(0=LEN(ReferenceData!$S$59),"",ReferenceData!$S$59),"")</f>
        <v>104.06399999999999</v>
      </c>
      <c r="T59">
        <f ca="1">IFERROR(IF(0=LEN(ReferenceData!$T$59),"",ReferenceData!$T$59),"")</f>
        <v>70.807000000000002</v>
      </c>
      <c r="U59">
        <f ca="1">IFERROR(IF(0=LEN(ReferenceData!$U$59),"",ReferenceData!$U$59),"")</f>
        <v>83.882999999999996</v>
      </c>
      <c r="V59">
        <f ca="1">IFERROR(IF(0=LEN(ReferenceData!$V$59),"",ReferenceData!$V$59),"")</f>
        <v>96.216999999999999</v>
      </c>
      <c r="W59">
        <f ca="1">IFERROR(IF(0=LEN(ReferenceData!$W$59),"",ReferenceData!$W$59),"")</f>
        <v>96.382999999999996</v>
      </c>
      <c r="X59">
        <f ca="1">IFERROR(IF(0=LEN(ReferenceData!$X$59),"",ReferenceData!$X$59),"")</f>
        <v>60.573999999999998</v>
      </c>
      <c r="Y59">
        <f ca="1">IFERROR(IF(0=LEN(ReferenceData!$Y$59),"",ReferenceData!$Y$59),"")</f>
        <v>73.709000000000003</v>
      </c>
      <c r="Z59">
        <f ca="1">IFERROR(IF(0=LEN(ReferenceData!$Z$59),"",ReferenceData!$Z$59),"")</f>
        <v>88.655000000000001</v>
      </c>
      <c r="AA59">
        <f ca="1">IFERROR(IF(0=LEN(ReferenceData!$AA$59),"",ReferenceData!$AA$59),"")</f>
        <v>77.209999999999994</v>
      </c>
      <c r="AB59">
        <f ca="1">IFERROR(IF(0=LEN(ReferenceData!$AB$59),"",ReferenceData!$AB$59),"")</f>
        <v>41.89</v>
      </c>
      <c r="AC59">
        <f ca="1">IFERROR(IF(0=LEN(ReferenceData!$AC$59),"",ReferenceData!$AC$59),"")</f>
        <v>48.354999999999997</v>
      </c>
      <c r="AD59">
        <f ca="1">IFERROR(IF(0=LEN(ReferenceData!$AD$59),"",ReferenceData!$AD$59),"")</f>
        <v>56.139000000000003</v>
      </c>
      <c r="AE59">
        <f ca="1">IFERROR(IF(0=LEN(ReferenceData!$AE$59),"",ReferenceData!$AE$59),"")</f>
        <v>53.335999999999999</v>
      </c>
      <c r="AF59">
        <f ca="1">IFERROR(IF(0=LEN(ReferenceData!$AF$59),"",ReferenceData!$AF$59),"")</f>
        <v>38.043999999999997</v>
      </c>
      <c r="AG59">
        <f ca="1">IFERROR(IF(0=LEN(ReferenceData!$AG$59),"",ReferenceData!$AG$59),"")</f>
        <v>42.923999999999999</v>
      </c>
      <c r="AH59">
        <f ca="1">IFERROR(IF(0=LEN(ReferenceData!$AH$59),"",ReferenceData!$AH$59),"")</f>
        <v>54.353000000000002</v>
      </c>
      <c r="AI59">
        <f ca="1">IFERROR(IF(0=LEN(ReferenceData!$AI$59),"",ReferenceData!$AI$59),"")</f>
        <v>49.429000000000002</v>
      </c>
      <c r="AJ59">
        <f ca="1">IFERROR(IF(0=LEN(ReferenceData!$AJ$59),"",ReferenceData!$AJ$59),"")</f>
        <v>36.345999999999997</v>
      </c>
      <c r="AK59">
        <f ca="1">IFERROR(IF(0=LEN(ReferenceData!$AK$59),"",ReferenceData!$AK$59),"")</f>
        <v>34.935000000000002</v>
      </c>
      <c r="AL59">
        <f ca="1">IFERROR(IF(0=LEN(ReferenceData!$AL$59),"",ReferenceData!$AL$59),"")</f>
        <v>41.146000000000001</v>
      </c>
      <c r="AM59">
        <f ca="1">IFERROR(IF(0=LEN(ReferenceData!$AM$59),"",ReferenceData!$AM$59),"")</f>
        <v>43.183</v>
      </c>
      <c r="AN59">
        <f ca="1">IFERROR(IF(0=LEN(ReferenceData!$AN$59),"",ReferenceData!$AN$59),"")</f>
        <v>30.77</v>
      </c>
      <c r="AO59">
        <f ca="1">IFERROR(IF(0=LEN(ReferenceData!$AO$59),"",ReferenceData!$AO$59),"")</f>
        <v>31.411999999999999</v>
      </c>
      <c r="AP59">
        <f ca="1">IFERROR(IF(0=LEN(ReferenceData!$AP$59),"",ReferenceData!$AP$59),"")</f>
        <v>37.716000000000001</v>
      </c>
      <c r="AQ59">
        <f ca="1">IFERROR(IF(0=LEN(ReferenceData!$AQ$59),"",ReferenceData!$AQ$59),"")</f>
        <v>36.322000000000003</v>
      </c>
      <c r="AR59">
        <f ca="1">IFERROR(IF(0=LEN(ReferenceData!$AR$59),"",ReferenceData!$AR$59),"")</f>
        <v>23.012</v>
      </c>
      <c r="AS59">
        <f ca="1">IFERROR(IF(0=LEN(ReferenceData!$AS$59),"",ReferenceData!$AS$59),"")</f>
        <v>18.317</v>
      </c>
      <c r="AT59">
        <f ca="1">IFERROR(IF(0=LEN(ReferenceData!$AT$59),"",ReferenceData!$AT$59),"")</f>
        <v>20.762</v>
      </c>
      <c r="AU59">
        <f ca="1">IFERROR(IF(0=LEN(ReferenceData!$AU$59),"",ReferenceData!$AU$59),"")</f>
        <v>22.062000000000001</v>
      </c>
      <c r="AV59">
        <f ca="1">IFERROR(IF(0=LEN(ReferenceData!$AV$59),"",ReferenceData!$AV$59),"")</f>
        <v>13.750999999999999</v>
      </c>
      <c r="AW59">
        <f ca="1">IFERROR(IF(0=LEN(ReferenceData!$AW$59),"",ReferenceData!$AW$59),"")</f>
        <v>14.242000000000001</v>
      </c>
      <c r="AX59">
        <f ca="1">IFERROR(IF(0=LEN(ReferenceData!$AX$59),"",ReferenceData!$AX$59),"")</f>
        <v>8.8219999999999992</v>
      </c>
      <c r="AY59">
        <f ca="1">IFERROR(IF(0=LEN(ReferenceData!$AY$59),"",ReferenceData!$AY$59),"")</f>
        <v>18.163</v>
      </c>
      <c r="AZ59">
        <f ca="1">IFERROR(IF(0=LEN(ReferenceData!$AZ$59),"",ReferenceData!$AZ$59),"")</f>
        <v>12.593</v>
      </c>
      <c r="BA59">
        <f ca="1">IFERROR(IF(0=LEN(ReferenceData!$BA$59),"",ReferenceData!$BA$59),"")</f>
        <v>11.736000000000001</v>
      </c>
      <c r="BB59">
        <f ca="1">IFERROR(IF(0=LEN(ReferenceData!$BB$59),"",ReferenceData!$BB$59),"")</f>
        <v>14.036</v>
      </c>
      <c r="BC59">
        <f ca="1">IFERROR(IF(0=LEN(ReferenceData!$BC$59),"",ReferenceData!$BC$59),"")</f>
        <v>11.548</v>
      </c>
      <c r="BD59">
        <f ca="1">IFERROR(IF(0=LEN(ReferenceData!$BD$59),"",ReferenceData!$BD$59),"")</f>
        <v>8.2409999999999997</v>
      </c>
      <c r="BE59">
        <f ca="1">IFERROR(IF(0=LEN(ReferenceData!$BE$59),"",ReferenceData!$BE$59),"")</f>
        <v>7.4539999999999997</v>
      </c>
      <c r="BF59">
        <f ca="1">IFERROR(IF(0=LEN(ReferenceData!$BF$59),"",ReferenceData!$BF$59),"")</f>
        <v>9.548</v>
      </c>
      <c r="BG59">
        <f ca="1">IFERROR(IF(0=LEN(ReferenceData!$BG$59),"",ReferenceData!$BG$59),"")</f>
        <v>8.8819999999999997</v>
      </c>
      <c r="BH59">
        <f ca="1">IFERROR(IF(0=LEN(ReferenceData!$BH$59),"",ReferenceData!$BH$59),"")</f>
        <v>3.1419999999999999</v>
      </c>
      <c r="BI59">
        <f ca="1">IFERROR(IF(0=LEN(ReferenceData!$BI$59),"",ReferenceData!$BI$59),"")</f>
        <v>5.843000054</v>
      </c>
      <c r="BJ59">
        <f ca="1">IFERROR(IF(0=LEN(ReferenceData!$BJ$59),"",ReferenceData!$BJ$59),"")</f>
        <v>8.5909998420000004</v>
      </c>
      <c r="BK59" t="str">
        <f ca="1">IFERROR(IF(0=LEN(ReferenceData!$BK$59),"",ReferenceData!$BK$59),"")</f>
        <v/>
      </c>
      <c r="BL59" t="str">
        <f ca="1">IFERROR(IF(0=LEN(ReferenceData!$BL$59),"",ReferenceData!$BL$59),"")</f>
        <v/>
      </c>
      <c r="BM59" t="str">
        <f ca="1">IFERROR(IF(0=LEN(ReferenceData!$BM$59),"",ReferenceData!$BM$59),"")</f>
        <v/>
      </c>
    </row>
    <row r="60" spans="1:65">
      <c r="A60" t="str">
        <f>IFERROR(IF(0=LEN(ReferenceData!$A$60),"",ReferenceData!$A$60),"")</f>
        <v xml:space="preserve">    AvalonBay Communities Inc</v>
      </c>
      <c r="B60" t="str">
        <f>IFERROR(IF(0=LEN(ReferenceData!$B$60),"",ReferenceData!$B$60),"")</f>
        <v>AVB US Equity</v>
      </c>
      <c r="C60" t="str">
        <f>IFERROR(IF(0=LEN(ReferenceData!$C$60),"",ReferenceData!$C$60),"")</f>
        <v>RR009</v>
      </c>
      <c r="D60" t="str">
        <f>IFERROR(IF(0=LEN(ReferenceData!$D$60),"",ReferenceData!$D$60),"")</f>
        <v>EBITDA</v>
      </c>
      <c r="E60" t="str">
        <f>IFERROR(IF(0=LEN(ReferenceData!$E$60),"",ReferenceData!$E$60),"")</f>
        <v>动态</v>
      </c>
      <c r="F60" t="str">
        <f ca="1">IFERROR(IF(0=LEN(ReferenceData!$F$60),"",ReferenceData!$F$60),"")</f>
        <v/>
      </c>
      <c r="G60">
        <f ca="1">IFERROR(IF(0=LEN(ReferenceData!$G$60),"",ReferenceData!$G$60),"")</f>
        <v>384.28899999999999</v>
      </c>
      <c r="H60">
        <f ca="1">IFERROR(IF(0=LEN(ReferenceData!$H$60),"",ReferenceData!$H$60),"")</f>
        <v>350.76799999999997</v>
      </c>
      <c r="I60">
        <f ca="1">IFERROR(IF(0=LEN(ReferenceData!$I$60),"",ReferenceData!$I$60),"")</f>
        <v>335.74200000000002</v>
      </c>
      <c r="J60">
        <f ca="1">IFERROR(IF(0=LEN(ReferenceData!$J$60),"",ReferenceData!$J$60),"")</f>
        <v>320.73</v>
      </c>
      <c r="K60">
        <f ca="1">IFERROR(IF(0=LEN(ReferenceData!$K$60),"",ReferenceData!$K$60),"")</f>
        <v>337.14699999999999</v>
      </c>
      <c r="L60">
        <f ca="1">IFERROR(IF(0=LEN(ReferenceData!$L$60),"",ReferenceData!$L$60),"")</f>
        <v>323.35199999999998</v>
      </c>
      <c r="M60">
        <f ca="1">IFERROR(IF(0=LEN(ReferenceData!$M$60),"",ReferenceData!$M$60),"")</f>
        <v>320.58199999999999</v>
      </c>
      <c r="N60">
        <f ca="1">IFERROR(IF(0=LEN(ReferenceData!$N$60),"",ReferenceData!$N$60),"")</f>
        <v>329.14100000000002</v>
      </c>
      <c r="O60">
        <f ca="1">IFERROR(IF(0=LEN(ReferenceData!$O$60),"",ReferenceData!$O$60),"")</f>
        <v>309.26100000000002</v>
      </c>
      <c r="P60">
        <f ca="1">IFERROR(IF(0=LEN(ReferenceData!$P$60),"",ReferenceData!$P$60),"")</f>
        <v>286.52100000000002</v>
      </c>
      <c r="Q60">
        <f ca="1">IFERROR(IF(0=LEN(ReferenceData!$Q$60),"",ReferenceData!$Q$60),"")</f>
        <v>312.54500000000002</v>
      </c>
      <c r="R60">
        <f ca="1">IFERROR(IF(0=LEN(ReferenceData!$R$60),"",ReferenceData!$R$60),"")</f>
        <v>264.97000000000003</v>
      </c>
      <c r="S60">
        <f ca="1">IFERROR(IF(0=LEN(ReferenceData!$S$60),"",ReferenceData!$S$60),"")</f>
        <v>278.46300000000002</v>
      </c>
      <c r="T60">
        <f ca="1">IFERROR(IF(0=LEN(ReferenceData!$T$60),"",ReferenceData!$T$60),"")</f>
        <v>276.39999999999998</v>
      </c>
      <c r="U60">
        <f ca="1">IFERROR(IF(0=LEN(ReferenceData!$U$60),"",ReferenceData!$U$60),"")</f>
        <v>260.64600000000002</v>
      </c>
      <c r="V60">
        <f ca="1">IFERROR(IF(0=LEN(ReferenceData!$V$60),"",ReferenceData!$V$60),"")</f>
        <v>247.09700000000001</v>
      </c>
      <c r="W60">
        <f ca="1">IFERROR(IF(0=LEN(ReferenceData!$W$60),"",ReferenceData!$W$60),"")</f>
        <v>253.58699999999999</v>
      </c>
      <c r="X60">
        <f ca="1">IFERROR(IF(0=LEN(ReferenceData!$X$60),"",ReferenceData!$X$60),"")</f>
        <v>235.917</v>
      </c>
      <c r="Y60">
        <f ca="1">IFERROR(IF(0=LEN(ReferenceData!$Y$60),"",ReferenceData!$Y$60),"")</f>
        <v>243.23500000000001</v>
      </c>
      <c r="Z60">
        <f ca="1">IFERROR(IF(0=LEN(ReferenceData!$Z$60),"",ReferenceData!$Z$60),"")</f>
        <v>151.79900000000001</v>
      </c>
      <c r="AA60">
        <f ca="1">IFERROR(IF(0=LEN(ReferenceData!$AA$60),"",ReferenceData!$AA$60),"")</f>
        <v>153.565</v>
      </c>
      <c r="AB60">
        <f ca="1">IFERROR(IF(0=LEN(ReferenceData!$AB$60),"",ReferenceData!$AB$60),"")</f>
        <v>166.923</v>
      </c>
      <c r="AC60">
        <f ca="1">IFERROR(IF(0=LEN(ReferenceData!$AC$60),"",ReferenceData!$AC$60),"")</f>
        <v>155.45400000000001</v>
      </c>
      <c r="AD60">
        <f ca="1">IFERROR(IF(0=LEN(ReferenceData!$AD$60),"",ReferenceData!$AD$60),"")</f>
        <v>149.29499999999999</v>
      </c>
      <c r="AE60">
        <f ca="1">IFERROR(IF(0=LEN(ReferenceData!$AE$60),"",ReferenceData!$AE$60),"")</f>
        <v>143.36000000000001</v>
      </c>
      <c r="AF60">
        <f ca="1">IFERROR(IF(0=LEN(ReferenceData!$AF$60),"",ReferenceData!$AF$60),"")</f>
        <v>133.72300000000001</v>
      </c>
      <c r="AG60">
        <f ca="1">IFERROR(IF(0=LEN(ReferenceData!$AG$60),"",ReferenceData!$AG$60),"")</f>
        <v>145.416</v>
      </c>
      <c r="AH60">
        <f ca="1">IFERROR(IF(0=LEN(ReferenceData!$AH$60),"",ReferenceData!$AH$60),"")</f>
        <v>133.33099999999999</v>
      </c>
      <c r="AI60">
        <f ca="1">IFERROR(IF(0=LEN(ReferenceData!$AI$60),"",ReferenceData!$AI$60),"")</f>
        <v>135.68299999999999</v>
      </c>
      <c r="AJ60">
        <f ca="1">IFERROR(IF(0=LEN(ReferenceData!$AJ$60),"",ReferenceData!$AJ$60),"")</f>
        <v>128.495</v>
      </c>
      <c r="AK60">
        <f ca="1">IFERROR(IF(0=LEN(ReferenceData!$AK$60),"",ReferenceData!$AK$60),"")</f>
        <v>130.661</v>
      </c>
      <c r="AL60">
        <f ca="1">IFERROR(IF(0=LEN(ReferenceData!$AL$60),"",ReferenceData!$AL$60),"")</f>
        <v>118.60899999999999</v>
      </c>
      <c r="AM60">
        <f ca="1">IFERROR(IF(0=LEN(ReferenceData!$AM$60),"",ReferenceData!$AM$60),"")</f>
        <v>112.72799999999999</v>
      </c>
      <c r="AN60">
        <f ca="1">IFERROR(IF(0=LEN(ReferenceData!$AN$60),"",ReferenceData!$AN$60),"")</f>
        <v>116.13500000000001</v>
      </c>
      <c r="AO60">
        <f ca="1">IFERROR(IF(0=LEN(ReferenceData!$AO$60),"",ReferenceData!$AO$60),"")</f>
        <v>105.751</v>
      </c>
      <c r="AP60">
        <f ca="1">IFERROR(IF(0=LEN(ReferenceData!$AP$60),"",ReferenceData!$AP$60),"")</f>
        <v>118.82</v>
      </c>
      <c r="AQ60">
        <f ca="1">IFERROR(IF(0=LEN(ReferenceData!$AQ$60),"",ReferenceData!$AQ$60),"")</f>
        <v>49.418999999999997</v>
      </c>
      <c r="AR60">
        <f ca="1">IFERROR(IF(0=LEN(ReferenceData!$AR$60),"",ReferenceData!$AR$60),"")</f>
        <v>183.589</v>
      </c>
      <c r="AS60">
        <f ca="1">IFERROR(IF(0=LEN(ReferenceData!$AS$60),"",ReferenceData!$AS$60),"")</f>
        <v>123.047</v>
      </c>
      <c r="AT60">
        <f ca="1">IFERROR(IF(0=LEN(ReferenceData!$AT$60),"",ReferenceData!$AT$60),"")</f>
        <v>120.155</v>
      </c>
      <c r="AU60">
        <f ca="1">IFERROR(IF(0=LEN(ReferenceData!$AU$60),"",ReferenceData!$AU$60),"")</f>
        <v>118.91500000000001</v>
      </c>
      <c r="AV60">
        <f ca="1">IFERROR(IF(0=LEN(ReferenceData!$AV$60),"",ReferenceData!$AV$60),"")</f>
        <v>119.495</v>
      </c>
      <c r="AW60">
        <f ca="1">IFERROR(IF(0=LEN(ReferenceData!$AW$60),"",ReferenceData!$AW$60),"")</f>
        <v>112.666</v>
      </c>
      <c r="AX60">
        <f ca="1">IFERROR(IF(0=LEN(ReferenceData!$AX$60),"",ReferenceData!$AX$60),"")</f>
        <v>117.014</v>
      </c>
      <c r="AY60">
        <f ca="1">IFERROR(IF(0=LEN(ReferenceData!$AY$60),"",ReferenceData!$AY$60),"")</f>
        <v>111.006</v>
      </c>
      <c r="AZ60">
        <f ca="1">IFERROR(IF(0=LEN(ReferenceData!$AZ$60),"",ReferenceData!$AZ$60),"")</f>
        <v>109.09399999999999</v>
      </c>
      <c r="BA60">
        <f ca="1">IFERROR(IF(0=LEN(ReferenceData!$BA$60),"",ReferenceData!$BA$60),"")</f>
        <v>103.53700000000001</v>
      </c>
      <c r="BB60">
        <f ca="1">IFERROR(IF(0=LEN(ReferenceData!$BB$60),"",ReferenceData!$BB$60),"")</f>
        <v>105.404</v>
      </c>
      <c r="BC60">
        <f ca="1">IFERROR(IF(0=LEN(ReferenceData!$BC$60),"",ReferenceData!$BC$60),"")</f>
        <v>99.07</v>
      </c>
      <c r="BD60">
        <f ca="1">IFERROR(IF(0=LEN(ReferenceData!$BD$60),"",ReferenceData!$BD$60),"")</f>
        <v>99.992999999999995</v>
      </c>
      <c r="BE60">
        <f ca="1">IFERROR(IF(0=LEN(ReferenceData!$BE$60),"",ReferenceData!$BE$60),"")</f>
        <v>99.677999999999997</v>
      </c>
      <c r="BF60">
        <f ca="1">IFERROR(IF(0=LEN(ReferenceData!$BF$60),"",ReferenceData!$BF$60),"")</f>
        <v>97.129000000000005</v>
      </c>
      <c r="BG60">
        <f ca="1">IFERROR(IF(0=LEN(ReferenceData!$BG$60),"",ReferenceData!$BG$60),"")</f>
        <v>85.283000000000001</v>
      </c>
      <c r="BH60">
        <f ca="1">IFERROR(IF(0=LEN(ReferenceData!$BH$60),"",ReferenceData!$BH$60),"")</f>
        <v>96.834999999999994</v>
      </c>
      <c r="BI60">
        <f ca="1">IFERROR(IF(0=LEN(ReferenceData!$BI$60),"",ReferenceData!$BI$60),"")</f>
        <v>95.203000000000003</v>
      </c>
      <c r="BJ60">
        <f ca="1">IFERROR(IF(0=LEN(ReferenceData!$BJ$60),"",ReferenceData!$BJ$60),"")</f>
        <v>91.396000000000001</v>
      </c>
      <c r="BK60">
        <f ca="1">IFERROR(IF(0=LEN(ReferenceData!$BK$60),"",ReferenceData!$BK$60),"")</f>
        <v>91.121000289999998</v>
      </c>
      <c r="BL60">
        <f ca="1">IFERROR(IF(0=LEN(ReferenceData!$BL$60),"",ReferenceData!$BL$60),"")</f>
        <v>91.366</v>
      </c>
      <c r="BM60">
        <f ca="1">IFERROR(IF(0=LEN(ReferenceData!$BM$60),"",ReferenceData!$BM$60),"")</f>
        <v>91.093000000000004</v>
      </c>
    </row>
    <row r="61" spans="1:65">
      <c r="A61" t="str">
        <f>IFERROR(IF(0=LEN(ReferenceData!$A$61),"",ReferenceData!$A$61),"")</f>
        <v xml:space="preserve">    Camden Property Trust</v>
      </c>
      <c r="B61" t="str">
        <f>IFERROR(IF(0=LEN(ReferenceData!$B$61),"",ReferenceData!$B$61),"")</f>
        <v>CPT US Equity</v>
      </c>
      <c r="C61" t="str">
        <f>IFERROR(IF(0=LEN(ReferenceData!$C$61),"",ReferenceData!$C$61),"")</f>
        <v>RR009</v>
      </c>
      <c r="D61" t="str">
        <f>IFERROR(IF(0=LEN(ReferenceData!$D$61),"",ReferenceData!$D$61),"")</f>
        <v>EBITDA</v>
      </c>
      <c r="E61" t="str">
        <f>IFERROR(IF(0=LEN(ReferenceData!$E$61),"",ReferenceData!$E$61),"")</f>
        <v>动态</v>
      </c>
      <c r="F61" t="str">
        <f ca="1">IFERROR(IF(0=LEN(ReferenceData!$F$61),"",ReferenceData!$F$61),"")</f>
        <v/>
      </c>
      <c r="G61">
        <f ca="1">IFERROR(IF(0=LEN(ReferenceData!$G$61),"",ReferenceData!$G$61),"")</f>
        <v>131.48099999999999</v>
      </c>
      <c r="H61">
        <f ca="1">IFERROR(IF(0=LEN(ReferenceData!$H$61),"",ReferenceData!$H$61),"")</f>
        <v>122.571</v>
      </c>
      <c r="I61">
        <f ca="1">IFERROR(IF(0=LEN(ReferenceData!$I$61),"",ReferenceData!$I$61),"")</f>
        <v>124.99299999999999</v>
      </c>
      <c r="J61">
        <f ca="1">IFERROR(IF(0=LEN(ReferenceData!$J$61),"",ReferenceData!$J$61),"")</f>
        <v>121.02200000000001</v>
      </c>
      <c r="K61">
        <f ca="1">IFERROR(IF(0=LEN(ReferenceData!$K$61),"",ReferenceData!$K$61),"")</f>
        <v>125.56</v>
      </c>
      <c r="L61">
        <f ca="1">IFERROR(IF(0=LEN(ReferenceData!$L$61),"",ReferenceData!$L$61),"")</f>
        <v>124.217</v>
      </c>
      <c r="M61">
        <f ca="1">IFERROR(IF(0=LEN(ReferenceData!$M$61),"",ReferenceData!$M$61),"")</f>
        <v>123.895</v>
      </c>
      <c r="N61">
        <f ca="1">IFERROR(IF(0=LEN(ReferenceData!$N$61),"",ReferenceData!$N$61),"")</f>
        <v>121.896</v>
      </c>
      <c r="O61">
        <f ca="1">IFERROR(IF(0=LEN(ReferenceData!$O$61),"",ReferenceData!$O$61),"")</f>
        <v>110.703</v>
      </c>
      <c r="P61">
        <f ca="1">IFERROR(IF(0=LEN(ReferenceData!$P$61),"",ReferenceData!$P$61),"")</f>
        <v>128.191</v>
      </c>
      <c r="Q61">
        <f ca="1">IFERROR(IF(0=LEN(ReferenceData!$Q$61),"",ReferenceData!$Q$61),"")</f>
        <v>112.12</v>
      </c>
      <c r="R61">
        <f ca="1">IFERROR(IF(0=LEN(ReferenceData!$R$61),"",ReferenceData!$R$61),"")</f>
        <v>121.8</v>
      </c>
      <c r="S61">
        <f ca="1">IFERROR(IF(0=LEN(ReferenceData!$S$61),"",ReferenceData!$S$61),"")</f>
        <v>114.79</v>
      </c>
      <c r="T61">
        <f ca="1">IFERROR(IF(0=LEN(ReferenceData!$T$61),"",ReferenceData!$T$61),"")</f>
        <v>119.56699999999999</v>
      </c>
      <c r="U61">
        <f ca="1">IFERROR(IF(0=LEN(ReferenceData!$U$61),"",ReferenceData!$U$61),"")</f>
        <v>115.973</v>
      </c>
      <c r="V61">
        <f ca="1">IFERROR(IF(0=LEN(ReferenceData!$V$61),"",ReferenceData!$V$61),"")</f>
        <v>117.985</v>
      </c>
      <c r="W61">
        <f ca="1">IFERROR(IF(0=LEN(ReferenceData!$W$61),"",ReferenceData!$W$61),"")</f>
        <v>119.81699999999999</v>
      </c>
      <c r="X61">
        <f ca="1">IFERROR(IF(0=LEN(ReferenceData!$X$61),"",ReferenceData!$X$61),"")</f>
        <v>114.71899999999999</v>
      </c>
      <c r="Y61">
        <f ca="1">IFERROR(IF(0=LEN(ReferenceData!$Y$61),"",ReferenceData!$Y$61),"")</f>
        <v>109.581</v>
      </c>
      <c r="Z61">
        <f ca="1">IFERROR(IF(0=LEN(ReferenceData!$Z$61),"",ReferenceData!$Z$61),"")</f>
        <v>107.872</v>
      </c>
      <c r="AA61">
        <f ca="1">IFERROR(IF(0=LEN(ReferenceData!$AA$61),"",ReferenceData!$AA$61),"")</f>
        <v>106.376</v>
      </c>
      <c r="AB61">
        <f ca="1">IFERROR(IF(0=LEN(ReferenceData!$AB$61),"",ReferenceData!$AB$61),"")</f>
        <v>104.065</v>
      </c>
      <c r="AC61">
        <f ca="1">IFERROR(IF(0=LEN(ReferenceData!$AC$61),"",ReferenceData!$AC$61),"")</f>
        <v>100.426</v>
      </c>
      <c r="AD61">
        <f ca="1">IFERROR(IF(0=LEN(ReferenceData!$AD$61),"",ReferenceData!$AD$61),"")</f>
        <v>95.826999999999998</v>
      </c>
      <c r="AE61">
        <f ca="1">IFERROR(IF(0=LEN(ReferenceData!$AE$61),"",ReferenceData!$AE$61),"")</f>
        <v>90.018000000000001</v>
      </c>
      <c r="AF61">
        <f ca="1">IFERROR(IF(0=LEN(ReferenceData!$AF$61),"",ReferenceData!$AF$61),"")</f>
        <v>87.491</v>
      </c>
      <c r="AG61">
        <f ca="1">IFERROR(IF(0=LEN(ReferenceData!$AG$61),"",ReferenceData!$AG$61),"")</f>
        <v>86.094999999999999</v>
      </c>
      <c r="AH61">
        <f ca="1">IFERROR(IF(0=LEN(ReferenceData!$AH$61),"",ReferenceData!$AH$61),"")</f>
        <v>81.704999999999998</v>
      </c>
      <c r="AI61">
        <f ca="1">IFERROR(IF(0=LEN(ReferenceData!$AI$61),"",ReferenceData!$AI$61),"")</f>
        <v>81.584000000000003</v>
      </c>
      <c r="AJ61">
        <f ca="1">IFERROR(IF(0=LEN(ReferenceData!$AJ$61),"",ReferenceData!$AJ$61),"")</f>
        <v>79.653999999999996</v>
      </c>
      <c r="AK61">
        <f ca="1">IFERROR(IF(0=LEN(ReferenceData!$AK$61),"",ReferenceData!$AK$61),"")</f>
        <v>78.230999999999995</v>
      </c>
      <c r="AL61">
        <f ca="1">IFERROR(IF(0=LEN(ReferenceData!$AL$61),"",ReferenceData!$AL$61),"")</f>
        <v>76.200999999999993</v>
      </c>
      <c r="AM61">
        <f ca="1">IFERROR(IF(0=LEN(ReferenceData!$AM$61),"",ReferenceData!$AM$61),"")</f>
        <v>-4.452</v>
      </c>
      <c r="AN61">
        <f ca="1">IFERROR(IF(0=LEN(ReferenceData!$AN$61),"",ReferenceData!$AN$61),"")</f>
        <v>79.89</v>
      </c>
      <c r="AO61">
        <f ca="1">IFERROR(IF(0=LEN(ReferenceData!$AO$61),"",ReferenceData!$AO$61),"")</f>
        <v>82.314999999999998</v>
      </c>
      <c r="AP61">
        <f ca="1">IFERROR(IF(0=LEN(ReferenceData!$AP$61),"",ReferenceData!$AP$61),"")</f>
        <v>83.031999999999996</v>
      </c>
      <c r="AQ61">
        <f ca="1">IFERROR(IF(0=LEN(ReferenceData!$AQ$61),"",ReferenceData!$AQ$61),"")</f>
        <v>82.763000000000005</v>
      </c>
      <c r="AR61">
        <f ca="1">IFERROR(IF(0=LEN(ReferenceData!$AR$61),"",ReferenceData!$AR$61),"")</f>
        <v>81.3</v>
      </c>
      <c r="AS61">
        <f ca="1">IFERROR(IF(0=LEN(ReferenceData!$AS$61),"",ReferenceData!$AS$61),"")</f>
        <v>83.728999999999999</v>
      </c>
      <c r="AT61">
        <f ca="1">IFERROR(IF(0=LEN(ReferenceData!$AT$61),"",ReferenceData!$AT$61),"")</f>
        <v>82.542000000000002</v>
      </c>
      <c r="AU61">
        <f ca="1">IFERROR(IF(0=LEN(ReferenceData!$AU$61),"",ReferenceData!$AU$61),"")</f>
        <v>61.241999999999997</v>
      </c>
      <c r="AV61">
        <f ca="1">IFERROR(IF(0=LEN(ReferenceData!$AV$61),"",ReferenceData!$AV$61),"")</f>
        <v>85.293999999999997</v>
      </c>
      <c r="AW61">
        <f ca="1">IFERROR(IF(0=LEN(ReferenceData!$AW$61),"",ReferenceData!$AW$61),"")</f>
        <v>86.5</v>
      </c>
      <c r="AX61">
        <f ca="1">IFERROR(IF(0=LEN(ReferenceData!$AX$61),"",ReferenceData!$AX$61),"")</f>
        <v>83.852000000000004</v>
      </c>
      <c r="AY61">
        <f ca="1">IFERROR(IF(0=LEN(ReferenceData!$AY$61),"",ReferenceData!$AY$61),"")</f>
        <v>81.813000000000002</v>
      </c>
      <c r="AZ61">
        <f ca="1">IFERROR(IF(0=LEN(ReferenceData!$AZ$61),"",ReferenceData!$AZ$61),"")</f>
        <v>87.146000000000001</v>
      </c>
      <c r="BA61">
        <f ca="1">IFERROR(IF(0=LEN(ReferenceData!$BA$61),"",ReferenceData!$BA$61),"")</f>
        <v>84.89</v>
      </c>
      <c r="BB61">
        <f ca="1">IFERROR(IF(0=LEN(ReferenceData!$BB$61),"",ReferenceData!$BB$61),"")</f>
        <v>84.004000000000005</v>
      </c>
      <c r="BC61">
        <f ca="1">IFERROR(IF(0=LEN(ReferenceData!$BC$61),"",ReferenceData!$BC$61),"")</f>
        <v>79.11</v>
      </c>
      <c r="BD61">
        <f ca="1">IFERROR(IF(0=LEN(ReferenceData!$BD$61),"",ReferenceData!$BD$61),"")</f>
        <v>77.180000000000007</v>
      </c>
      <c r="BE61">
        <f ca="1">IFERROR(IF(0=LEN(ReferenceData!$BE$61),"",ReferenceData!$BE$61),"")</f>
        <v>77.447999999999993</v>
      </c>
      <c r="BF61">
        <f ca="1">IFERROR(IF(0=LEN(ReferenceData!$BF$61),"",ReferenceData!$BF$61),"")</f>
        <v>74.478999999999999</v>
      </c>
      <c r="BG61">
        <f ca="1">IFERROR(IF(0=LEN(ReferenceData!$BG$61),"",ReferenceData!$BG$61),"")</f>
        <v>57.238</v>
      </c>
      <c r="BH61">
        <f ca="1">IFERROR(IF(0=LEN(ReferenceData!$BH$61),"",ReferenceData!$BH$61),"")</f>
        <v>58.261000000000003</v>
      </c>
      <c r="BI61">
        <f ca="1">IFERROR(IF(0=LEN(ReferenceData!$BI$61),"",ReferenceData!$BI$61),"")</f>
        <v>56.899000000000001</v>
      </c>
      <c r="BJ61">
        <f ca="1">IFERROR(IF(0=LEN(ReferenceData!$BJ$61),"",ReferenceData!$BJ$61),"")</f>
        <v>61.283999000000001</v>
      </c>
      <c r="BK61">
        <f ca="1">IFERROR(IF(0=LEN(ReferenceData!$BK$61),"",ReferenceData!$BK$61),"")</f>
        <v>60.751000400000002</v>
      </c>
      <c r="BL61">
        <f ca="1">IFERROR(IF(0=LEN(ReferenceData!$BL$61),"",ReferenceData!$BL$61),"")</f>
        <v>55.909001000000004</v>
      </c>
      <c r="BM61">
        <f ca="1">IFERROR(IF(0=LEN(ReferenceData!$BM$61),"",ReferenceData!$BM$61),"")</f>
        <v>53.417999000000002</v>
      </c>
    </row>
    <row r="62" spans="1:65">
      <c r="A62" t="str">
        <f>IFERROR(IF(0=LEN(ReferenceData!$A$62),"",ReferenceData!$A$62),"")</f>
        <v xml:space="preserve">    Education Realty Trust Inc</v>
      </c>
      <c r="B62" t="str">
        <f>IFERROR(IF(0=LEN(ReferenceData!$B$62),"",ReferenceData!$B$62),"")</f>
        <v>EDR US Equity</v>
      </c>
      <c r="C62" t="str">
        <f>IFERROR(IF(0=LEN(ReferenceData!$C$62),"",ReferenceData!$C$62),"")</f>
        <v>RR009</v>
      </c>
      <c r="D62" t="str">
        <f>IFERROR(IF(0=LEN(ReferenceData!$D$62),"",ReferenceData!$D$62),"")</f>
        <v>EBITDA</v>
      </c>
      <c r="E62" t="str">
        <f>IFERROR(IF(0=LEN(ReferenceData!$E$62),"",ReferenceData!$E$62),"")</f>
        <v>动态</v>
      </c>
      <c r="F62" t="str">
        <f ca="1">IFERROR(IF(0=LEN(ReferenceData!$F$62),"",ReferenceData!$F$62),"")</f>
        <v/>
      </c>
      <c r="G62">
        <f ca="1">IFERROR(IF(0=LEN(ReferenceData!$G$62),"",ReferenceData!$G$62),"")</f>
        <v>54.719000000000001</v>
      </c>
      <c r="H62">
        <f ca="1">IFERROR(IF(0=LEN(ReferenceData!$H$62),"",ReferenceData!$H$62),"")</f>
        <v>26.318000000000001</v>
      </c>
      <c r="I62">
        <f ca="1">IFERROR(IF(0=LEN(ReferenceData!$I$62),"",ReferenceData!$I$62),"")</f>
        <v>33.145000000000003</v>
      </c>
      <c r="J62">
        <f ca="1">IFERROR(IF(0=LEN(ReferenceData!$J$62),"",ReferenceData!$J$62),"")</f>
        <v>44.28</v>
      </c>
      <c r="K62">
        <f ca="1">IFERROR(IF(0=LEN(ReferenceData!$K$62),"",ReferenceData!$K$62),"")</f>
        <v>40.594999999999999</v>
      </c>
      <c r="L62">
        <f ca="1">IFERROR(IF(0=LEN(ReferenceData!$L$62),"",ReferenceData!$L$62),"")</f>
        <v>23.567</v>
      </c>
      <c r="M62">
        <f ca="1">IFERROR(IF(0=LEN(ReferenceData!$M$62),"",ReferenceData!$M$62),"")</f>
        <v>28.585000000000001</v>
      </c>
      <c r="N62">
        <f ca="1">IFERROR(IF(0=LEN(ReferenceData!$N$62),"",ReferenceData!$N$62),"")</f>
        <v>37.731999999999999</v>
      </c>
      <c r="O62">
        <f ca="1">IFERROR(IF(0=LEN(ReferenceData!$O$62),"",ReferenceData!$O$62),"")</f>
        <v>38.274000000000001</v>
      </c>
      <c r="P62">
        <f ca="1">IFERROR(IF(0=LEN(ReferenceData!$P$62),"",ReferenceData!$P$62),"")</f>
        <v>20.245000000000001</v>
      </c>
      <c r="Q62">
        <f ca="1">IFERROR(IF(0=LEN(ReferenceData!$Q$62),"",ReferenceData!$Q$62),"")</f>
        <v>24.853999999999999</v>
      </c>
      <c r="R62">
        <f ca="1">IFERROR(IF(0=LEN(ReferenceData!$R$62),"",ReferenceData!$R$62),"")</f>
        <v>29.704000000000001</v>
      </c>
      <c r="S62">
        <f ca="1">IFERROR(IF(0=LEN(ReferenceData!$S$62),"",ReferenceData!$S$62),"")</f>
        <v>33.56</v>
      </c>
      <c r="T62">
        <f ca="1">IFERROR(IF(0=LEN(ReferenceData!$T$62),"",ReferenceData!$T$62),"")</f>
        <v>16.452000000000002</v>
      </c>
      <c r="U62">
        <f ca="1">IFERROR(IF(0=LEN(ReferenceData!$U$62),"",ReferenceData!$U$62),"")</f>
        <v>10.807</v>
      </c>
      <c r="V62">
        <f ca="1">IFERROR(IF(0=LEN(ReferenceData!$V$62),"",ReferenceData!$V$62),"")</f>
        <v>22.094999999999999</v>
      </c>
      <c r="W62">
        <f ca="1">IFERROR(IF(0=LEN(ReferenceData!$W$62),"",ReferenceData!$W$62),"")</f>
        <v>26.137</v>
      </c>
      <c r="X62">
        <f ca="1">IFERROR(IF(0=LEN(ReferenceData!$X$62),"",ReferenceData!$X$62),"")</f>
        <v>11.465999999999999</v>
      </c>
      <c r="Y62">
        <f ca="1">IFERROR(IF(0=LEN(ReferenceData!$Y$62),"",ReferenceData!$Y$62),"")</f>
        <v>15.343</v>
      </c>
      <c r="Z62">
        <f ca="1">IFERROR(IF(0=LEN(ReferenceData!$Z$62),"",ReferenceData!$Z$62),"")</f>
        <v>18.241</v>
      </c>
      <c r="AA62">
        <f ca="1">IFERROR(IF(0=LEN(ReferenceData!$AA$62),"",ReferenceData!$AA$62),"")</f>
        <v>16.501000000000001</v>
      </c>
      <c r="AB62">
        <f ca="1">IFERROR(IF(0=LEN(ReferenceData!$AB$62),"",ReferenceData!$AB$62),"")</f>
        <v>6.2</v>
      </c>
      <c r="AC62">
        <f ca="1">IFERROR(IF(0=LEN(ReferenceData!$AC$62),"",ReferenceData!$AC$62),"")</f>
        <v>11.323</v>
      </c>
      <c r="AD62">
        <f ca="1">IFERROR(IF(0=LEN(ReferenceData!$AD$62),"",ReferenceData!$AD$62),"")</f>
        <v>14.609</v>
      </c>
      <c r="AE62">
        <f ca="1">IFERROR(IF(0=LEN(ReferenceData!$AE$62),"",ReferenceData!$AE$62),"")</f>
        <v>14.605</v>
      </c>
      <c r="AF62">
        <f ca="1">IFERROR(IF(0=LEN(ReferenceData!$AF$62),"",ReferenceData!$AF$62),"")</f>
        <v>5.4409999999999998</v>
      </c>
      <c r="AG62">
        <f ca="1">IFERROR(IF(0=LEN(ReferenceData!$AG$62),"",ReferenceData!$AG$62),"")</f>
        <v>10.611000000000001</v>
      </c>
      <c r="AH62">
        <f ca="1">IFERROR(IF(0=LEN(ReferenceData!$AH$62),"",ReferenceData!$AH$62),"")</f>
        <v>12.692</v>
      </c>
      <c r="AI62">
        <f ca="1">IFERROR(IF(0=LEN(ReferenceData!$AI$62),"",ReferenceData!$AI$62),"")</f>
        <v>10.601000000000001</v>
      </c>
      <c r="AJ62">
        <f ca="1">IFERROR(IF(0=LEN(ReferenceData!$AJ$62),"",ReferenceData!$AJ$62),"")</f>
        <v>6.0739999999999998</v>
      </c>
      <c r="AK62">
        <f ca="1">IFERROR(IF(0=LEN(ReferenceData!$AK$62),"",ReferenceData!$AK$62),"")</f>
        <v>8.6809999999999992</v>
      </c>
      <c r="AL62">
        <f ca="1">IFERROR(IF(0=LEN(ReferenceData!$AL$62),"",ReferenceData!$AL$62),"")</f>
        <v>12.47</v>
      </c>
      <c r="AM62">
        <f ca="1">IFERROR(IF(0=LEN(ReferenceData!$AM$62),"",ReferenceData!$AM$62),"")</f>
        <v>14.237</v>
      </c>
      <c r="AN62">
        <f ca="1">IFERROR(IF(0=LEN(ReferenceData!$AN$62),"",ReferenceData!$AN$62),"")</f>
        <v>6.6840000000000002</v>
      </c>
      <c r="AO62">
        <f ca="1">IFERROR(IF(0=LEN(ReferenceData!$AO$62),"",ReferenceData!$AO$62),"")</f>
        <v>13.179</v>
      </c>
      <c r="AP62">
        <f ca="1">IFERROR(IF(0=LEN(ReferenceData!$AP$62),"",ReferenceData!$AP$62),"")</f>
        <v>14.515000000000001</v>
      </c>
      <c r="AQ62">
        <f ca="1">IFERROR(IF(0=LEN(ReferenceData!$AQ$62),"",ReferenceData!$AQ$62),"")</f>
        <v>16.161000000000001</v>
      </c>
      <c r="AR62">
        <f ca="1">IFERROR(IF(0=LEN(ReferenceData!$AR$62),"",ReferenceData!$AR$62),"")</f>
        <v>6.9210000000000003</v>
      </c>
      <c r="AS62">
        <f ca="1">IFERROR(IF(0=LEN(ReferenceData!$AS$62),"",ReferenceData!$AS$62),"")</f>
        <v>16.887</v>
      </c>
      <c r="AT62">
        <f ca="1">IFERROR(IF(0=LEN(ReferenceData!$AT$62),"",ReferenceData!$AT$62),"")</f>
        <v>15.052</v>
      </c>
      <c r="AU62">
        <f ca="1">IFERROR(IF(0=LEN(ReferenceData!$AU$62),"",ReferenceData!$AU$62),"")</f>
        <v>14.193</v>
      </c>
      <c r="AV62">
        <f ca="1">IFERROR(IF(0=LEN(ReferenceData!$AV$62),"",ReferenceData!$AV$62),"")</f>
        <v>8.609</v>
      </c>
      <c r="AW62">
        <f ca="1">IFERROR(IF(0=LEN(ReferenceData!$AW$62),"",ReferenceData!$AW$62),"")</f>
        <v>13.667999999999999</v>
      </c>
      <c r="AX62">
        <f ca="1">IFERROR(IF(0=LEN(ReferenceData!$AX$62),"",ReferenceData!$AX$62),"")</f>
        <v>14.837</v>
      </c>
      <c r="AY62">
        <f ca="1">IFERROR(IF(0=LEN(ReferenceData!$AY$62),"",ReferenceData!$AY$62),"")</f>
        <v>14.706</v>
      </c>
      <c r="AZ62">
        <f ca="1">IFERROR(IF(0=LEN(ReferenceData!$AZ$62),"",ReferenceData!$AZ$62),"")</f>
        <v>8.8450000000000006</v>
      </c>
      <c r="BA62">
        <f ca="1">IFERROR(IF(0=LEN(ReferenceData!$BA$62),"",ReferenceData!$BA$62),"")</f>
        <v>13.491</v>
      </c>
      <c r="BB62">
        <f ca="1">IFERROR(IF(0=LEN(ReferenceData!$BB$62),"",ReferenceData!$BB$62),"")</f>
        <v>15.271000000000001</v>
      </c>
      <c r="BC62">
        <f ca="1">IFERROR(IF(0=LEN(ReferenceData!$BC$62),"",ReferenceData!$BC$62),"")</f>
        <v>11.622999999999999</v>
      </c>
      <c r="BD62">
        <f ca="1">IFERROR(IF(0=LEN(ReferenceData!$BD$62),"",ReferenceData!$BD$62),"")</f>
        <v>6.0590000000000002</v>
      </c>
      <c r="BE62">
        <f ca="1">IFERROR(IF(0=LEN(ReferenceData!$BE$62),"",ReferenceData!$BE$62),"")</f>
        <v>8.9309999999999992</v>
      </c>
      <c r="BF62">
        <f ca="1">IFERROR(IF(0=LEN(ReferenceData!$BF$62),"",ReferenceData!$BF$62),"")</f>
        <v>3.3780000000000001</v>
      </c>
      <c r="BG62" t="str">
        <f ca="1">IFERROR(IF(0=LEN(ReferenceData!$BG$62),"",ReferenceData!$BG$62),"")</f>
        <v/>
      </c>
      <c r="BH62" t="str">
        <f ca="1">IFERROR(IF(0=LEN(ReferenceData!$BH$62),"",ReferenceData!$BH$62),"")</f>
        <v/>
      </c>
      <c r="BI62" t="str">
        <f ca="1">IFERROR(IF(0=LEN(ReferenceData!$BI$62),"",ReferenceData!$BI$62),"")</f>
        <v/>
      </c>
      <c r="BJ62" t="str">
        <f ca="1">IFERROR(IF(0=LEN(ReferenceData!$BJ$62),"",ReferenceData!$BJ$62),"")</f>
        <v/>
      </c>
      <c r="BK62" t="str">
        <f ca="1">IFERROR(IF(0=LEN(ReferenceData!$BK$62),"",ReferenceData!$BK$62),"")</f>
        <v/>
      </c>
      <c r="BL62" t="str">
        <f ca="1">IFERROR(IF(0=LEN(ReferenceData!$BL$62),"",ReferenceData!$BL$62),"")</f>
        <v/>
      </c>
      <c r="BM62" t="str">
        <f ca="1">IFERROR(IF(0=LEN(ReferenceData!$BM$62),"",ReferenceData!$BM$62),"")</f>
        <v/>
      </c>
    </row>
    <row r="63" spans="1:65">
      <c r="A63" t="str">
        <f>IFERROR(IF(0=LEN(ReferenceData!$A$63),"",ReferenceData!$A$63),"")</f>
        <v xml:space="preserve">    Equity Residential</v>
      </c>
      <c r="B63" t="str">
        <f>IFERROR(IF(0=LEN(ReferenceData!$B$63),"",ReferenceData!$B$63),"")</f>
        <v>EQR US Equity</v>
      </c>
      <c r="C63" t="str">
        <f>IFERROR(IF(0=LEN(ReferenceData!$C$63),"",ReferenceData!$C$63),"")</f>
        <v>RR009</v>
      </c>
      <c r="D63" t="str">
        <f>IFERROR(IF(0=LEN(ReferenceData!$D$63),"",ReferenceData!$D$63),"")</f>
        <v>EBITDA</v>
      </c>
      <c r="E63" t="str">
        <f>IFERROR(IF(0=LEN(ReferenceData!$E$63),"",ReferenceData!$E$63),"")</f>
        <v>动态</v>
      </c>
      <c r="F63" t="str">
        <f ca="1">IFERROR(IF(0=LEN(ReferenceData!$F$63),"",ReferenceData!$F$63),"")</f>
        <v/>
      </c>
      <c r="G63">
        <f ca="1">IFERROR(IF(0=LEN(ReferenceData!$G$63),"",ReferenceData!$G$63),"")</f>
        <v>416.64800000000002</v>
      </c>
      <c r="H63">
        <f ca="1">IFERROR(IF(0=LEN(ReferenceData!$H$63),"",ReferenceData!$H$63),"")</f>
        <v>402.89800000000002</v>
      </c>
      <c r="I63">
        <f ca="1">IFERROR(IF(0=LEN(ReferenceData!$I$63),"",ReferenceData!$I$63),"")</f>
        <v>391.30700000000002</v>
      </c>
      <c r="J63">
        <f ca="1">IFERROR(IF(0=LEN(ReferenceData!$J$63),"",ReferenceData!$J$63),"")</f>
        <v>384.19499999999999</v>
      </c>
      <c r="K63">
        <f ca="1">IFERROR(IF(0=LEN(ReferenceData!$K$63),"",ReferenceData!$K$63),"")</f>
        <v>402.33699999999999</v>
      </c>
      <c r="L63">
        <f ca="1">IFERROR(IF(0=LEN(ReferenceData!$L$63),"",ReferenceData!$L$63),"")</f>
        <v>389.46100000000001</v>
      </c>
      <c r="M63">
        <f ca="1">IFERROR(IF(0=LEN(ReferenceData!$M$63),"",ReferenceData!$M$63),"")</f>
        <v>383.00200000000001</v>
      </c>
      <c r="N63">
        <f ca="1">IFERROR(IF(0=LEN(ReferenceData!$N$63),"",ReferenceData!$N$63),"")</f>
        <v>390.36099999999999</v>
      </c>
      <c r="O63">
        <f ca="1">IFERROR(IF(0=LEN(ReferenceData!$O$63),"",ReferenceData!$O$63),"")</f>
        <v>468.93900000000002</v>
      </c>
      <c r="P63">
        <f ca="1">IFERROR(IF(0=LEN(ReferenceData!$P$63),"",ReferenceData!$P$63),"")</f>
        <v>454.49599999999998</v>
      </c>
      <c r="Q63">
        <f ca="1">IFERROR(IF(0=LEN(ReferenceData!$Q$63),"",ReferenceData!$Q$63),"")</f>
        <v>441.38200000000001</v>
      </c>
      <c r="R63">
        <f ca="1">IFERROR(IF(0=LEN(ReferenceData!$R$63),"",ReferenceData!$R$63),"")</f>
        <v>413.69799999999998</v>
      </c>
      <c r="S63">
        <f ca="1">IFERROR(IF(0=LEN(ReferenceData!$S$63),"",ReferenceData!$S$63),"")</f>
        <v>444.46699999999998</v>
      </c>
      <c r="T63">
        <f ca="1">IFERROR(IF(0=LEN(ReferenceData!$T$63),"",ReferenceData!$T$63),"")</f>
        <v>434.589</v>
      </c>
      <c r="U63">
        <f ca="1">IFERROR(IF(0=LEN(ReferenceData!$U$63),"",ReferenceData!$U$63),"")</f>
        <v>419.14699999999999</v>
      </c>
      <c r="V63">
        <f ca="1">IFERROR(IF(0=LEN(ReferenceData!$V$63),"",ReferenceData!$V$63),"")</f>
        <v>385.255</v>
      </c>
      <c r="W63">
        <f ca="1">IFERROR(IF(0=LEN(ReferenceData!$W$63),"",ReferenceData!$W$63),"")</f>
        <v>405.61700000000002</v>
      </c>
      <c r="X63">
        <f ca="1">IFERROR(IF(0=LEN(ReferenceData!$X$63),"",ReferenceData!$X$63),"")</f>
        <v>401.00299999999999</v>
      </c>
      <c r="Y63">
        <f ca="1">IFERROR(IF(0=LEN(ReferenceData!$Y$63),"",ReferenceData!$Y$63),"")</f>
        <v>395.351</v>
      </c>
      <c r="Z63">
        <f ca="1">IFERROR(IF(0=LEN(ReferenceData!$Z$63),"",ReferenceData!$Z$63),"")</f>
        <v>324.57600000000002</v>
      </c>
      <c r="AA63">
        <f ca="1">IFERROR(IF(0=LEN(ReferenceData!$AA$63),"",ReferenceData!$AA$63),"")</f>
        <v>316.29700000000003</v>
      </c>
      <c r="AB63">
        <f ca="1">IFERROR(IF(0=LEN(ReferenceData!$AB$63),"",ReferenceData!$AB$63),"")</f>
        <v>311.76600000000002</v>
      </c>
      <c r="AC63">
        <f ca="1">IFERROR(IF(0=LEN(ReferenceData!$AC$63),"",ReferenceData!$AC$63),"")</f>
        <v>301.55799999999999</v>
      </c>
      <c r="AD63">
        <f ca="1">IFERROR(IF(0=LEN(ReferenceData!$AD$63),"",ReferenceData!$AD$63),"")</f>
        <v>289.584</v>
      </c>
      <c r="AE63">
        <f ca="1">IFERROR(IF(0=LEN(ReferenceData!$AE$63),"",ReferenceData!$AE$63),"")</f>
        <v>321.95499999999998</v>
      </c>
      <c r="AF63">
        <f ca="1">IFERROR(IF(0=LEN(ReferenceData!$AF$63),"",ReferenceData!$AF$63),"")</f>
        <v>310.267</v>
      </c>
      <c r="AG63">
        <f ca="1">IFERROR(IF(0=LEN(ReferenceData!$AG$63),"",ReferenceData!$AG$63),"")</f>
        <v>301.42399999999998</v>
      </c>
      <c r="AH63">
        <f ca="1">IFERROR(IF(0=LEN(ReferenceData!$AH$63),"",ReferenceData!$AH$63),"")</f>
        <v>285.31599999999997</v>
      </c>
      <c r="AI63">
        <f ca="1">IFERROR(IF(0=LEN(ReferenceData!$AI$63),"",ReferenceData!$AI$63),"")</f>
        <v>248.21100000000001</v>
      </c>
      <c r="AJ63">
        <f ca="1">IFERROR(IF(0=LEN(ReferenceData!$AJ$63),"",ReferenceData!$AJ$63),"")</f>
        <v>279.28300000000002</v>
      </c>
      <c r="AK63">
        <f ca="1">IFERROR(IF(0=LEN(ReferenceData!$AK$63),"",ReferenceData!$AK$63),"")</f>
        <v>275.27100000000002</v>
      </c>
      <c r="AL63">
        <f ca="1">IFERROR(IF(0=LEN(ReferenceData!$AL$63),"",ReferenceData!$AL$63),"")</f>
        <v>262.74200000000002</v>
      </c>
      <c r="AM63">
        <f ca="1">IFERROR(IF(0=LEN(ReferenceData!$AM$63),"",ReferenceData!$AM$63),"")</f>
        <v>275.84199999999998</v>
      </c>
      <c r="AN63">
        <f ca="1">IFERROR(IF(0=LEN(ReferenceData!$AN$63),"",ReferenceData!$AN$63),"")</f>
        <v>278.30700000000002</v>
      </c>
      <c r="AO63">
        <f ca="1">IFERROR(IF(0=LEN(ReferenceData!$AO$63),"",ReferenceData!$AO$63),"")</f>
        <v>278.291</v>
      </c>
      <c r="AP63">
        <f ca="1">IFERROR(IF(0=LEN(ReferenceData!$AP$63),"",ReferenceData!$AP$63),"")</f>
        <v>282.875</v>
      </c>
      <c r="AQ63">
        <f ca="1">IFERROR(IF(0=LEN(ReferenceData!$AQ$63),"",ReferenceData!$AQ$63),"")</f>
        <v>302.786</v>
      </c>
      <c r="AR63">
        <f ca="1">IFERROR(IF(0=LEN(ReferenceData!$AR$63),"",ReferenceData!$AR$63),"")</f>
        <v>301.93700000000001</v>
      </c>
      <c r="AS63">
        <f ca="1">IFERROR(IF(0=LEN(ReferenceData!$AS$63),"",ReferenceData!$AS$63),"")</f>
        <v>304.95</v>
      </c>
      <c r="AT63">
        <f ca="1">IFERROR(IF(0=LEN(ReferenceData!$AT$63),"",ReferenceData!$AT$63),"")</f>
        <v>287.089</v>
      </c>
      <c r="AU63">
        <f ca="1">IFERROR(IF(0=LEN(ReferenceData!$AU$63),"",ReferenceData!$AU$63),"")</f>
        <v>317.67399999999998</v>
      </c>
      <c r="AV63">
        <f ca="1">IFERROR(IF(0=LEN(ReferenceData!$AV$63),"",ReferenceData!$AV$63),"")</f>
        <v>293.31799999999998</v>
      </c>
      <c r="AW63">
        <f ca="1">IFERROR(IF(0=LEN(ReferenceData!$AW$63),"",ReferenceData!$AW$63),"")</f>
        <v>293.00900000000001</v>
      </c>
      <c r="AX63">
        <f ca="1">IFERROR(IF(0=LEN(ReferenceData!$AX$63),"",ReferenceData!$AX$63),"")</f>
        <v>275.24099999999999</v>
      </c>
      <c r="AY63">
        <f ca="1">IFERROR(IF(0=LEN(ReferenceData!$AY$63),"",ReferenceData!$AY$63),"")</f>
        <v>250.273</v>
      </c>
      <c r="AZ63">
        <f ca="1">IFERROR(IF(0=LEN(ReferenceData!$AZ$63),"",ReferenceData!$AZ$63),"")</f>
        <v>284.03899999999999</v>
      </c>
      <c r="BA63">
        <f ca="1">IFERROR(IF(0=LEN(ReferenceData!$BA$63),"",ReferenceData!$BA$63),"")</f>
        <v>291.02199999999999</v>
      </c>
      <c r="BB63">
        <f ca="1">IFERROR(IF(0=LEN(ReferenceData!$BB$63),"",ReferenceData!$BB$63),"")</f>
        <v>273.57100000000003</v>
      </c>
      <c r="BC63">
        <f ca="1">IFERROR(IF(0=LEN(ReferenceData!$BC$63),"",ReferenceData!$BC$63),"")</f>
        <v>232.00899999999999</v>
      </c>
      <c r="BD63">
        <f ca="1">IFERROR(IF(0=LEN(ReferenceData!$BD$63),"",ReferenceData!$BD$63),"")</f>
        <v>240.96</v>
      </c>
      <c r="BE63">
        <f ca="1">IFERROR(IF(0=LEN(ReferenceData!$BE$63),"",ReferenceData!$BE$63),"")</f>
        <v>246.46299999999999</v>
      </c>
      <c r="BF63">
        <f ca="1">IFERROR(IF(0=LEN(ReferenceData!$BF$63),"",ReferenceData!$BF$63),"")</f>
        <v>247.20400000000001</v>
      </c>
      <c r="BG63">
        <f ca="1">IFERROR(IF(0=LEN(ReferenceData!$BG$63),"",ReferenceData!$BG$63),"")</f>
        <v>241.00800000000001</v>
      </c>
      <c r="BH63">
        <f ca="1">IFERROR(IF(0=LEN(ReferenceData!$BH$63),"",ReferenceData!$BH$63),"")</f>
        <v>241.453</v>
      </c>
      <c r="BI63">
        <f ca="1">IFERROR(IF(0=LEN(ReferenceData!$BI$63),"",ReferenceData!$BI$63),"")</f>
        <v>151.082998</v>
      </c>
      <c r="BJ63">
        <f ca="1">IFERROR(IF(0=LEN(ReferenceData!$BJ$63),"",ReferenceData!$BJ$63),"")</f>
        <v>258.60899799999999</v>
      </c>
      <c r="BK63">
        <f ca="1">IFERROR(IF(0=LEN(ReferenceData!$BK$63),"",ReferenceData!$BK$63),"")</f>
        <v>220.38100600000001</v>
      </c>
      <c r="BL63">
        <f ca="1">IFERROR(IF(0=LEN(ReferenceData!$BL$63),"",ReferenceData!$BL$63),"")</f>
        <v>261.46199799999999</v>
      </c>
      <c r="BM63">
        <f ca="1">IFERROR(IF(0=LEN(ReferenceData!$BM$63),"",ReferenceData!$BM$63),"")</f>
        <v>265.92199699999998</v>
      </c>
    </row>
    <row r="64" spans="1:65">
      <c r="A64" t="str">
        <f>IFERROR(IF(0=LEN(ReferenceData!$A$64),"",ReferenceData!$A$64),"")</f>
        <v xml:space="preserve">    Essex Property Trust Inc</v>
      </c>
      <c r="B64" t="str">
        <f>IFERROR(IF(0=LEN(ReferenceData!$B$64),"",ReferenceData!$B$64),"")</f>
        <v>ESS US Equity</v>
      </c>
      <c r="C64" t="str">
        <f>IFERROR(IF(0=LEN(ReferenceData!$C$64),"",ReferenceData!$C$64),"")</f>
        <v>RR009</v>
      </c>
      <c r="D64" t="str">
        <f>IFERROR(IF(0=LEN(ReferenceData!$D$64),"",ReferenceData!$D$64),"")</f>
        <v>EBITDA</v>
      </c>
      <c r="E64" t="str">
        <f>IFERROR(IF(0=LEN(ReferenceData!$E$64),"",ReferenceData!$E$64),"")</f>
        <v>动态</v>
      </c>
      <c r="F64" t="str">
        <f ca="1">IFERROR(IF(0=LEN(ReferenceData!$F$64),"",ReferenceData!$F$64),"")</f>
        <v/>
      </c>
      <c r="G64">
        <f ca="1">IFERROR(IF(0=LEN(ReferenceData!$G$64),"",ReferenceData!$G$64),"")</f>
        <v>235.495</v>
      </c>
      <c r="H64">
        <f ca="1">IFERROR(IF(0=LEN(ReferenceData!$H$64),"",ReferenceData!$H$64),"")</f>
        <v>229.30500000000001</v>
      </c>
      <c r="I64">
        <f ca="1">IFERROR(IF(0=LEN(ReferenceData!$I$64),"",ReferenceData!$I$64),"")</f>
        <v>229.178</v>
      </c>
      <c r="J64">
        <f ca="1">IFERROR(IF(0=LEN(ReferenceData!$J$64),"",ReferenceData!$J$64),"")</f>
        <v>221.42500000000001</v>
      </c>
      <c r="K64">
        <f ca="1">IFERROR(IF(0=LEN(ReferenceData!$K$64),"",ReferenceData!$K$64),"")</f>
        <v>217.35499999999999</v>
      </c>
      <c r="L64">
        <f ca="1">IFERROR(IF(0=LEN(ReferenceData!$L$64),"",ReferenceData!$L$64),"")</f>
        <v>227.477</v>
      </c>
      <c r="M64">
        <f ca="1">IFERROR(IF(0=LEN(ReferenceData!$M$64),"",ReferenceData!$M$64),"")</f>
        <v>211.74299999999999</v>
      </c>
      <c r="N64">
        <f ca="1">IFERROR(IF(0=LEN(ReferenceData!$N$64),"",ReferenceData!$N$64),"")</f>
        <v>205.90700000000001</v>
      </c>
      <c r="O64">
        <f ca="1">IFERROR(IF(0=LEN(ReferenceData!$O$64),"",ReferenceData!$O$64),"")</f>
        <v>208.68100000000001</v>
      </c>
      <c r="P64">
        <f ca="1">IFERROR(IF(0=LEN(ReferenceData!$P$64),"",ReferenceData!$P$64),"")</f>
        <v>210.12200000000001</v>
      </c>
      <c r="Q64">
        <f ca="1">IFERROR(IF(0=LEN(ReferenceData!$Q$64),"",ReferenceData!$Q$64),"")</f>
        <v>190.102</v>
      </c>
      <c r="R64">
        <f ca="1">IFERROR(IF(0=LEN(ReferenceData!$R$64),"",ReferenceData!$R$64),"")</f>
        <v>175.69200000000001</v>
      </c>
      <c r="S64">
        <f ca="1">IFERROR(IF(0=LEN(ReferenceData!$S$64),"",ReferenceData!$S$64),"")</f>
        <v>169.84399999999999</v>
      </c>
      <c r="T64">
        <f ca="1">IFERROR(IF(0=LEN(ReferenceData!$T$64),"",ReferenceData!$T$64),"")</f>
        <v>168.27</v>
      </c>
      <c r="U64">
        <f ca="1">IFERROR(IF(0=LEN(ReferenceData!$U$64),"",ReferenceData!$U$64),"")</f>
        <v>135.81399999999999</v>
      </c>
      <c r="V64">
        <f ca="1">IFERROR(IF(0=LEN(ReferenceData!$V$64),"",ReferenceData!$V$64),"")</f>
        <v>87.858999999999995</v>
      </c>
      <c r="W64">
        <f ca="1">IFERROR(IF(0=LEN(ReferenceData!$W$64),"",ReferenceData!$W$64),"")</f>
        <v>98.266999999999996</v>
      </c>
      <c r="X64">
        <f ca="1">IFERROR(IF(0=LEN(ReferenceData!$X$64),"",ReferenceData!$X$64),"")</f>
        <v>100.40900000000001</v>
      </c>
      <c r="Y64">
        <f ca="1">IFERROR(IF(0=LEN(ReferenceData!$Y$64),"",ReferenceData!$Y$64),"")</f>
        <v>99.122</v>
      </c>
      <c r="Z64">
        <f ca="1">IFERROR(IF(0=LEN(ReferenceData!$Z$64),"",ReferenceData!$Z$64),"")</f>
        <v>96.638999999999996</v>
      </c>
      <c r="AA64">
        <f ca="1">IFERROR(IF(0=LEN(ReferenceData!$AA$64),"",ReferenceData!$AA$64),"")</f>
        <v>92.602000000000004</v>
      </c>
      <c r="AB64">
        <f ca="1">IFERROR(IF(0=LEN(ReferenceData!$AB$64),"",ReferenceData!$AB$64),"")</f>
        <v>88.840999999999994</v>
      </c>
      <c r="AC64">
        <f ca="1">IFERROR(IF(0=LEN(ReferenceData!$AC$64),"",ReferenceData!$AC$64),"")</f>
        <v>85.652000000000001</v>
      </c>
      <c r="AD64">
        <f ca="1">IFERROR(IF(0=LEN(ReferenceData!$AD$64),"",ReferenceData!$AD$64),"")</f>
        <v>83.679000000000002</v>
      </c>
      <c r="AE64">
        <f ca="1">IFERROR(IF(0=LEN(ReferenceData!$AE$64),"",ReferenceData!$AE$64),"")</f>
        <v>83.045000000000002</v>
      </c>
      <c r="AF64">
        <f ca="1">IFERROR(IF(0=LEN(ReferenceData!$AF$64),"",ReferenceData!$AF$64),"")</f>
        <v>74.61</v>
      </c>
      <c r="AG64">
        <f ca="1">IFERROR(IF(0=LEN(ReferenceData!$AG$64),"",ReferenceData!$AG$64),"")</f>
        <v>71.822000000000003</v>
      </c>
      <c r="AH64">
        <f ca="1">IFERROR(IF(0=LEN(ReferenceData!$AH$64),"",ReferenceData!$AH$64),"")</f>
        <v>71.066000000000003</v>
      </c>
      <c r="AI64">
        <f ca="1">IFERROR(IF(0=LEN(ReferenceData!$AI$64),"",ReferenceData!$AI$64),"")</f>
        <v>88.777000000000001</v>
      </c>
      <c r="AJ64">
        <f ca="1">IFERROR(IF(0=LEN(ReferenceData!$AJ$64),"",ReferenceData!$AJ$64),"")</f>
        <v>89.14</v>
      </c>
      <c r="AK64">
        <f ca="1">IFERROR(IF(0=LEN(ReferenceData!$AK$64),"",ReferenceData!$AK$64),"")</f>
        <v>80.31</v>
      </c>
      <c r="AL64">
        <f ca="1">IFERROR(IF(0=LEN(ReferenceData!$AL$64),"",ReferenceData!$AL$64),"")</f>
        <v>40.408000000000001</v>
      </c>
      <c r="AM64">
        <f ca="1">IFERROR(IF(0=LEN(ReferenceData!$AM$64),"",ReferenceData!$AM$64),"")</f>
        <v>58.332000000000001</v>
      </c>
      <c r="AN64">
        <f ca="1">IFERROR(IF(0=LEN(ReferenceData!$AN$64),"",ReferenceData!$AN$64),"")</f>
        <v>48.395000000000003</v>
      </c>
      <c r="AO64">
        <f ca="1">IFERROR(IF(0=LEN(ReferenceData!$AO$64),"",ReferenceData!$AO$64),"")</f>
        <v>26.001000000000001</v>
      </c>
      <c r="AP64">
        <f ca="1">IFERROR(IF(0=LEN(ReferenceData!$AP$64),"",ReferenceData!$AP$64),"")</f>
        <v>40.081000000000003</v>
      </c>
      <c r="AQ64">
        <f ca="1">IFERROR(IF(0=LEN(ReferenceData!$AQ$64),"",ReferenceData!$AQ$64),"")</f>
        <v>66.75</v>
      </c>
      <c r="AR64" t="str">
        <f ca="1">IFERROR(IF(0=LEN(ReferenceData!$AR$64),"",ReferenceData!$AR$64),"")</f>
        <v/>
      </c>
      <c r="AS64">
        <f ca="1">IFERROR(IF(0=LEN(ReferenceData!$AS$64),"",ReferenceData!$AS$64),"")</f>
        <v>62.073999999999998</v>
      </c>
      <c r="AT64">
        <f ca="1">IFERROR(IF(0=LEN(ReferenceData!$AT$64),"",ReferenceData!$AT$64),"")</f>
        <v>64.331999999999994</v>
      </c>
      <c r="AU64">
        <f ca="1">IFERROR(IF(0=LEN(ReferenceData!$AU$64),"",ReferenceData!$AU$64),"")</f>
        <v>110.029</v>
      </c>
      <c r="AV64" t="str">
        <f ca="1">IFERROR(IF(0=LEN(ReferenceData!$AV$64),"",ReferenceData!$AV$64),"")</f>
        <v/>
      </c>
      <c r="AW64" t="str">
        <f ca="1">IFERROR(IF(0=LEN(ReferenceData!$AW$64),"",ReferenceData!$AW$64),"")</f>
        <v/>
      </c>
      <c r="AX64">
        <f ca="1">IFERROR(IF(0=LEN(ReferenceData!$AX$64),"",ReferenceData!$AX$64),"")</f>
        <v>57.719000000000001</v>
      </c>
      <c r="AY64">
        <f ca="1">IFERROR(IF(0=LEN(ReferenceData!$AY$64),"",ReferenceData!$AY$64),"")</f>
        <v>115.855</v>
      </c>
      <c r="AZ64" t="str">
        <f ca="1">IFERROR(IF(0=LEN(ReferenceData!$AZ$64),"",ReferenceData!$AZ$64),"")</f>
        <v/>
      </c>
      <c r="BA64" t="str">
        <f ca="1">IFERROR(IF(0=LEN(ReferenceData!$BA$64),"",ReferenceData!$BA$64),"")</f>
        <v/>
      </c>
      <c r="BB64">
        <f ca="1">IFERROR(IF(0=LEN(ReferenceData!$BB$64),"",ReferenceData!$BB$64),"")</f>
        <v>50.752000000000002</v>
      </c>
      <c r="BC64">
        <f ca="1">IFERROR(IF(0=LEN(ReferenceData!$BC$64),"",ReferenceData!$BC$64),"")</f>
        <v>82.906999999999996</v>
      </c>
      <c r="BD64">
        <f ca="1">IFERROR(IF(0=LEN(ReferenceData!$BD$64),"",ReferenceData!$BD$64),"")</f>
        <v>54.18</v>
      </c>
      <c r="BE64" t="str">
        <f ca="1">IFERROR(IF(0=LEN(ReferenceData!$BE$64),"",ReferenceData!$BE$64),"")</f>
        <v/>
      </c>
      <c r="BF64" t="str">
        <f ca="1">IFERROR(IF(0=LEN(ReferenceData!$BF$64),"",ReferenceData!$BF$64),"")</f>
        <v/>
      </c>
      <c r="BG64">
        <f ca="1">IFERROR(IF(0=LEN(ReferenceData!$BG$64),"",ReferenceData!$BG$64),"")</f>
        <v>46.703000000000003</v>
      </c>
      <c r="BH64">
        <f ca="1">IFERROR(IF(0=LEN(ReferenceData!$BH$64),"",ReferenceData!$BH$64),"")</f>
        <v>55.704999999999998</v>
      </c>
      <c r="BI64">
        <f ca="1">IFERROR(IF(0=LEN(ReferenceData!$BI$64),"",ReferenceData!$BI$64),"")</f>
        <v>45.148000000000003</v>
      </c>
      <c r="BJ64">
        <f ca="1">IFERROR(IF(0=LEN(ReferenceData!$BJ$64),"",ReferenceData!$BJ$64),"")</f>
        <v>43.487999000000002</v>
      </c>
      <c r="BK64">
        <f ca="1">IFERROR(IF(0=LEN(ReferenceData!$BK$64),"",ReferenceData!$BK$64),"")</f>
        <v>42.271000999999998</v>
      </c>
      <c r="BL64">
        <f ca="1">IFERROR(IF(0=LEN(ReferenceData!$BL$64),"",ReferenceData!$BL$64),"")</f>
        <v>41.679000000000002</v>
      </c>
      <c r="BM64">
        <f ca="1">IFERROR(IF(0=LEN(ReferenceData!$BM$64),"",ReferenceData!$BM$64),"")</f>
        <v>42.832999999999998</v>
      </c>
    </row>
    <row r="65" spans="1:65">
      <c r="A65" t="str">
        <f>IFERROR(IF(0=LEN(ReferenceData!$A$65),"",ReferenceData!$A$65),"")</f>
        <v xml:space="preserve">    Mid-America Apartment Communit</v>
      </c>
      <c r="B65" t="str">
        <f>IFERROR(IF(0=LEN(ReferenceData!$B$65),"",ReferenceData!$B$65),"")</f>
        <v>MAA US Equity</v>
      </c>
      <c r="C65" t="str">
        <f>IFERROR(IF(0=LEN(ReferenceData!$C$65),"",ReferenceData!$C$65),"")</f>
        <v>RR009</v>
      </c>
      <c r="D65" t="str">
        <f>IFERROR(IF(0=LEN(ReferenceData!$D$65),"",ReferenceData!$D$65),"")</f>
        <v>EBITDA</v>
      </c>
      <c r="E65" t="str">
        <f>IFERROR(IF(0=LEN(ReferenceData!$E$65),"",ReferenceData!$E$65),"")</f>
        <v>动态</v>
      </c>
      <c r="F65" t="str">
        <f ca="1">IFERROR(IF(0=LEN(ReferenceData!$F$65),"",ReferenceData!$F$65),"")</f>
        <v/>
      </c>
      <c r="G65">
        <f ca="1">IFERROR(IF(0=LEN(ReferenceData!$G$65),"",ReferenceData!$G$65),"")</f>
        <v>216.066</v>
      </c>
      <c r="H65">
        <f ca="1">IFERROR(IF(0=LEN(ReferenceData!$H$65),"",ReferenceData!$H$65),"")</f>
        <v>212.74600000000001</v>
      </c>
      <c r="I65">
        <f ca="1">IFERROR(IF(0=LEN(ReferenceData!$I$65),"",ReferenceData!$I$65),"")</f>
        <v>212.76599999999999</v>
      </c>
      <c r="J65">
        <f ca="1">IFERROR(IF(0=LEN(ReferenceData!$J$65),"",ReferenceData!$J$65),"")</f>
        <v>207.738</v>
      </c>
      <c r="K65">
        <f ca="1">IFERROR(IF(0=LEN(ReferenceData!$K$65),"",ReferenceData!$K$65),"")</f>
        <v>139.828</v>
      </c>
      <c r="L65">
        <f ca="1">IFERROR(IF(0=LEN(ReferenceData!$L$65),"",ReferenceData!$L$65),"")</f>
        <v>150.749</v>
      </c>
      <c r="M65">
        <f ca="1">IFERROR(IF(0=LEN(ReferenceData!$M$65),"",ReferenceData!$M$65),"")</f>
        <v>153.76</v>
      </c>
      <c r="N65">
        <f ca="1">IFERROR(IF(0=LEN(ReferenceData!$N$65),"",ReferenceData!$N$65),"")</f>
        <v>151.857</v>
      </c>
      <c r="O65">
        <f ca="1">IFERROR(IF(0=LEN(ReferenceData!$O$65),"",ReferenceData!$O$65),"")</f>
        <v>148.92599999999999</v>
      </c>
      <c r="P65">
        <f ca="1">IFERROR(IF(0=LEN(ReferenceData!$P$65),"",ReferenceData!$P$65),"")</f>
        <v>145.40899999999999</v>
      </c>
      <c r="Q65">
        <f ca="1">IFERROR(IF(0=LEN(ReferenceData!$Q$65),"",ReferenceData!$Q$65),"")</f>
        <v>145.30699999999999</v>
      </c>
      <c r="R65">
        <f ca="1">IFERROR(IF(0=LEN(ReferenceData!$R$65),"",ReferenceData!$R$65),"")</f>
        <v>142.51</v>
      </c>
      <c r="S65">
        <f ca="1">IFERROR(IF(0=LEN(ReferenceData!$S$65),"",ReferenceData!$S$65),"")</f>
        <v>137.22300000000001</v>
      </c>
      <c r="T65">
        <f ca="1">IFERROR(IF(0=LEN(ReferenceData!$T$65),"",ReferenceData!$T$65),"")</f>
        <v>135.25200000000001</v>
      </c>
      <c r="U65">
        <f ca="1">IFERROR(IF(0=LEN(ReferenceData!$U$65),"",ReferenceData!$U$65),"")</f>
        <v>128.72200000000001</v>
      </c>
      <c r="V65">
        <f ca="1">IFERROR(IF(0=LEN(ReferenceData!$V$65),"",ReferenceData!$V$65),"")</f>
        <v>130.298</v>
      </c>
      <c r="W65">
        <f ca="1">IFERROR(IF(0=LEN(ReferenceData!$W$65),"",ReferenceData!$W$65),"")</f>
        <v>106.297</v>
      </c>
      <c r="X65">
        <f ca="1">IFERROR(IF(0=LEN(ReferenceData!$X$65),"",ReferenceData!$X$65),"")</f>
        <v>66.326999999999998</v>
      </c>
      <c r="Y65">
        <f ca="1">IFERROR(IF(0=LEN(ReferenceData!$Y$65),"",ReferenceData!$Y$65),"")</f>
        <v>65.918999999999997</v>
      </c>
      <c r="Z65">
        <f ca="1">IFERROR(IF(0=LEN(ReferenceData!$Z$65),"",ReferenceData!$Z$65),"")</f>
        <v>71.084000000000003</v>
      </c>
      <c r="AA65">
        <f ca="1">IFERROR(IF(0=LEN(ReferenceData!$AA$65),"",ReferenceData!$AA$65),"")</f>
        <v>69.673000000000002</v>
      </c>
      <c r="AB65">
        <f ca="1">IFERROR(IF(0=LEN(ReferenceData!$AB$65),"",ReferenceData!$AB$65),"")</f>
        <v>63.942</v>
      </c>
      <c r="AC65">
        <f ca="1">IFERROR(IF(0=LEN(ReferenceData!$AC$65),"",ReferenceData!$AC$65),"")</f>
        <v>62.933</v>
      </c>
      <c r="AD65">
        <f ca="1">IFERROR(IF(0=LEN(ReferenceData!$AD$65),"",ReferenceData!$AD$65),"")</f>
        <v>61.512</v>
      </c>
      <c r="AE65">
        <f ca="1">IFERROR(IF(0=LEN(ReferenceData!$AE$65),"",ReferenceData!$AE$65),"")</f>
        <v>58.085000000000001</v>
      </c>
      <c r="AF65">
        <f ca="1">IFERROR(IF(0=LEN(ReferenceData!$AF$65),"",ReferenceData!$AF$65),"")</f>
        <v>54.951999999999998</v>
      </c>
      <c r="AG65">
        <f ca="1">IFERROR(IF(0=LEN(ReferenceData!$AG$65),"",ReferenceData!$AG$65),"")</f>
        <v>50.908000000000001</v>
      </c>
      <c r="AH65" t="str">
        <f ca="1">IFERROR(IF(0=LEN(ReferenceData!$AH$65),"",ReferenceData!$AH$65),"")</f>
        <v/>
      </c>
      <c r="AI65" t="str">
        <f ca="1">IFERROR(IF(0=LEN(ReferenceData!$AI$65),"",ReferenceData!$AI$65),"")</f>
        <v/>
      </c>
      <c r="AJ65" t="str">
        <f ca="1">IFERROR(IF(0=LEN(ReferenceData!$AJ$65),"",ReferenceData!$AJ$65),"")</f>
        <v/>
      </c>
      <c r="AK65" t="str">
        <f ca="1">IFERROR(IF(0=LEN(ReferenceData!$AK$65),"",ReferenceData!$AK$65),"")</f>
        <v/>
      </c>
      <c r="AL65" t="str">
        <f ca="1">IFERROR(IF(0=LEN(ReferenceData!$AL$65),"",ReferenceData!$AL$65),"")</f>
        <v/>
      </c>
      <c r="AM65" t="str">
        <f ca="1">IFERROR(IF(0=LEN(ReferenceData!$AM$65),"",ReferenceData!$AM$65),"")</f>
        <v/>
      </c>
      <c r="AN65" t="str">
        <f ca="1">IFERROR(IF(0=LEN(ReferenceData!$AN$65),"",ReferenceData!$AN$65),"")</f>
        <v/>
      </c>
      <c r="AO65" t="str">
        <f ca="1">IFERROR(IF(0=LEN(ReferenceData!$AO$65),"",ReferenceData!$AO$65),"")</f>
        <v/>
      </c>
      <c r="AP65" t="str">
        <f ca="1">IFERROR(IF(0=LEN(ReferenceData!$AP$65),"",ReferenceData!$AP$65),"")</f>
        <v/>
      </c>
      <c r="AQ65">
        <f ca="1">IFERROR(IF(0=LEN(ReferenceData!$AQ$65),"",ReferenceData!$AQ$65),"")</f>
        <v>48.948</v>
      </c>
      <c r="AR65">
        <f ca="1">IFERROR(IF(0=LEN(ReferenceData!$AR$65),"",ReferenceData!$AR$65),"")</f>
        <v>46.018999999999998</v>
      </c>
      <c r="AS65">
        <f ca="1">IFERROR(IF(0=LEN(ReferenceData!$AS$65),"",ReferenceData!$AS$65),"")</f>
        <v>46.462000000000003</v>
      </c>
      <c r="AT65">
        <f ca="1">IFERROR(IF(0=LEN(ReferenceData!$AT$65),"",ReferenceData!$AT$65),"")</f>
        <v>47.649000000000001</v>
      </c>
      <c r="AU65">
        <f ca="1">IFERROR(IF(0=LEN(ReferenceData!$AU$65),"",ReferenceData!$AU$65),"")</f>
        <v>48.387</v>
      </c>
      <c r="AV65">
        <f ca="1">IFERROR(IF(0=LEN(ReferenceData!$AV$65),"",ReferenceData!$AV$65),"")</f>
        <v>45.030999999999999</v>
      </c>
      <c r="AW65">
        <f ca="1">IFERROR(IF(0=LEN(ReferenceData!$AW$65),"",ReferenceData!$AW$65),"")</f>
        <v>43.948</v>
      </c>
      <c r="AX65">
        <f ca="1">IFERROR(IF(0=LEN(ReferenceData!$AX$65),"",ReferenceData!$AX$65),"")</f>
        <v>43.518000000000001</v>
      </c>
      <c r="AY65">
        <f ca="1">IFERROR(IF(0=LEN(ReferenceData!$AY$65),"",ReferenceData!$AY$65),"")</f>
        <v>43.302</v>
      </c>
      <c r="AZ65">
        <f ca="1">IFERROR(IF(0=LEN(ReferenceData!$AZ$65),"",ReferenceData!$AZ$65),"")</f>
        <v>41.598999999999997</v>
      </c>
      <c r="BA65">
        <f ca="1">IFERROR(IF(0=LEN(ReferenceData!$BA$65),"",ReferenceData!$BA$65),"")</f>
        <v>41.776000000000003</v>
      </c>
      <c r="BB65">
        <f ca="1">IFERROR(IF(0=LEN(ReferenceData!$BB$65),"",ReferenceData!$BB$65),"")</f>
        <v>41.075000000000003</v>
      </c>
      <c r="BC65">
        <f ca="1">IFERROR(IF(0=LEN(ReferenceData!$BC$65),"",ReferenceData!$BC$65),"")</f>
        <v>40.287999999999997</v>
      </c>
      <c r="BD65">
        <f ca="1">IFERROR(IF(0=LEN(ReferenceData!$BD$65),"",ReferenceData!$BD$65),"")</f>
        <v>37.941000000000003</v>
      </c>
      <c r="BE65">
        <f ca="1">IFERROR(IF(0=LEN(ReferenceData!$BE$65),"",ReferenceData!$BE$65),"")</f>
        <v>37.564</v>
      </c>
      <c r="BF65">
        <f ca="1">IFERROR(IF(0=LEN(ReferenceData!$BF$65),"",ReferenceData!$BF$65),"")</f>
        <v>36.603000000000002</v>
      </c>
      <c r="BG65">
        <f ca="1">IFERROR(IF(0=LEN(ReferenceData!$BG$65),"",ReferenceData!$BG$65),"")</f>
        <v>35.570999999999998</v>
      </c>
      <c r="BH65">
        <f ca="1">IFERROR(IF(0=LEN(ReferenceData!$BH$65),"",ReferenceData!$BH$65),"")</f>
        <v>34.301999000000002</v>
      </c>
      <c r="BI65">
        <f ca="1">IFERROR(IF(0=LEN(ReferenceData!$BI$65),"",ReferenceData!$BI$65),"")</f>
        <v>34.095999999999997</v>
      </c>
      <c r="BJ65">
        <f ca="1">IFERROR(IF(0=LEN(ReferenceData!$BJ$65),"",ReferenceData!$BJ$65),"")</f>
        <v>34.378999</v>
      </c>
      <c r="BK65">
        <f ca="1">IFERROR(IF(0=LEN(ReferenceData!$BK$65),"",ReferenceData!$BK$65),"")</f>
        <v>32.858000279999999</v>
      </c>
      <c r="BL65">
        <f ca="1">IFERROR(IF(0=LEN(ReferenceData!$BL$65),"",ReferenceData!$BL$65),"")</f>
        <v>30.434000000000001</v>
      </c>
      <c r="BM65">
        <f ca="1">IFERROR(IF(0=LEN(ReferenceData!$BM$65),"",ReferenceData!$BM$65),"")</f>
        <v>31.035</v>
      </c>
    </row>
    <row r="66" spans="1:65">
      <c r="A66" t="str">
        <f>IFERROR(IF(0=LEN(ReferenceData!$A$66),"",ReferenceData!$A$66),"")</f>
        <v xml:space="preserve">    UDR Inc</v>
      </c>
      <c r="B66" t="str">
        <f>IFERROR(IF(0=LEN(ReferenceData!$B$66),"",ReferenceData!$B$66),"")</f>
        <v>UDR US Equity</v>
      </c>
      <c r="C66" t="str">
        <f>IFERROR(IF(0=LEN(ReferenceData!$C$66),"",ReferenceData!$C$66),"")</f>
        <v>RR009</v>
      </c>
      <c r="D66" t="str">
        <f>IFERROR(IF(0=LEN(ReferenceData!$D$66),"",ReferenceData!$D$66),"")</f>
        <v>EBITDA</v>
      </c>
      <c r="E66" t="str">
        <f>IFERROR(IF(0=LEN(ReferenceData!$E$66),"",ReferenceData!$E$66),"")</f>
        <v>动态</v>
      </c>
      <c r="F66" t="str">
        <f ca="1">IFERROR(IF(0=LEN(ReferenceData!$F$66),"",ReferenceData!$F$66),"")</f>
        <v/>
      </c>
      <c r="G66">
        <f ca="1">IFERROR(IF(0=LEN(ReferenceData!$G$66),"",ReferenceData!$G$66),"")</f>
        <v>158.33600000000001</v>
      </c>
      <c r="H66">
        <f ca="1">IFERROR(IF(0=LEN(ReferenceData!$H$66),"",ReferenceData!$H$66),"")</f>
        <v>154.24799999999999</v>
      </c>
      <c r="I66">
        <f ca="1">IFERROR(IF(0=LEN(ReferenceData!$I$66),"",ReferenceData!$I$66),"")</f>
        <v>156.22200000000001</v>
      </c>
      <c r="J66">
        <f ca="1">IFERROR(IF(0=LEN(ReferenceData!$J$66),"",ReferenceData!$J$66),"")</f>
        <v>152.15</v>
      </c>
      <c r="K66">
        <f ca="1">IFERROR(IF(0=LEN(ReferenceData!$K$66),"",ReferenceData!$K$66),"")</f>
        <v>153.08099999999999</v>
      </c>
      <c r="L66">
        <f ca="1">IFERROR(IF(0=LEN(ReferenceData!$L$66),"",ReferenceData!$L$66),"")</f>
        <v>153.07900000000001</v>
      </c>
      <c r="M66">
        <f ca="1">IFERROR(IF(0=LEN(ReferenceData!$M$66),"",ReferenceData!$M$66),"")</f>
        <v>149.083</v>
      </c>
      <c r="N66">
        <f ca="1">IFERROR(IF(0=LEN(ReferenceData!$N$66),"",ReferenceData!$N$66),"")</f>
        <v>145.017</v>
      </c>
      <c r="O66">
        <f ca="1">IFERROR(IF(0=LEN(ReferenceData!$O$66),"",ReferenceData!$O$66),"")</f>
        <v>141.62299999999999</v>
      </c>
      <c r="P66">
        <f ca="1">IFERROR(IF(0=LEN(ReferenceData!$P$66),"",ReferenceData!$P$66),"")</f>
        <v>132.226</v>
      </c>
      <c r="Q66">
        <f ca="1">IFERROR(IF(0=LEN(ReferenceData!$Q$66),"",ReferenceData!$Q$66),"")</f>
        <v>131.346</v>
      </c>
      <c r="R66">
        <f ca="1">IFERROR(IF(0=LEN(ReferenceData!$R$66),"",ReferenceData!$R$66),"")</f>
        <v>135.673</v>
      </c>
      <c r="S66">
        <f ca="1">IFERROR(IF(0=LEN(ReferenceData!$S$66),"",ReferenceData!$S$66),"")</f>
        <v>127.83199999999999</v>
      </c>
      <c r="T66">
        <f ca="1">IFERROR(IF(0=LEN(ReferenceData!$T$66),"",ReferenceData!$T$66),"")</f>
        <v>123.807</v>
      </c>
      <c r="U66">
        <f ca="1">IFERROR(IF(0=LEN(ReferenceData!$U$66),"",ReferenceData!$U$66),"")</f>
        <v>122.931</v>
      </c>
      <c r="V66">
        <f ca="1">IFERROR(IF(0=LEN(ReferenceData!$V$66),"",ReferenceData!$V$66),"")</f>
        <v>116.123</v>
      </c>
      <c r="W66">
        <f ca="1">IFERROR(IF(0=LEN(ReferenceData!$W$66),"",ReferenceData!$W$66),"")</f>
        <v>114.93899999999999</v>
      </c>
      <c r="X66">
        <f ca="1">IFERROR(IF(0=LEN(ReferenceData!$X$66),"",ReferenceData!$X$66),"")</f>
        <v>119.039</v>
      </c>
      <c r="Y66">
        <f ca="1">IFERROR(IF(0=LEN(ReferenceData!$Y$66),"",ReferenceData!$Y$66),"")</f>
        <v>116.952</v>
      </c>
      <c r="Z66">
        <f ca="1">IFERROR(IF(0=LEN(ReferenceData!$Z$66),"",ReferenceData!$Z$66),"")</f>
        <v>114.22</v>
      </c>
      <c r="AA66">
        <f ca="1">IFERROR(IF(0=LEN(ReferenceData!$AA$66),"",ReferenceData!$AA$66),"")</f>
        <v>101.276</v>
      </c>
      <c r="AB66">
        <f ca="1">IFERROR(IF(0=LEN(ReferenceData!$AB$66),"",ReferenceData!$AB$66),"")</f>
        <v>109.127</v>
      </c>
      <c r="AC66">
        <f ca="1">IFERROR(IF(0=LEN(ReferenceData!$AC$66),"",ReferenceData!$AC$66),"")</f>
        <v>100.685</v>
      </c>
      <c r="AD66">
        <f ca="1">IFERROR(IF(0=LEN(ReferenceData!$AD$66),"",ReferenceData!$AD$66),"")</f>
        <v>110.77200000000001</v>
      </c>
      <c r="AE66">
        <f ca="1">IFERROR(IF(0=LEN(ReferenceData!$AE$66),"",ReferenceData!$AE$66),"")</f>
        <v>105.315</v>
      </c>
      <c r="AF66">
        <f ca="1">IFERROR(IF(0=LEN(ReferenceData!$AF$66),"",ReferenceData!$AF$66),"")</f>
        <v>112.82899999999999</v>
      </c>
      <c r="AG66">
        <f ca="1">IFERROR(IF(0=LEN(ReferenceData!$AG$66),"",ReferenceData!$AG$66),"")</f>
        <v>99.474000000000004</v>
      </c>
      <c r="AH66">
        <f ca="1">IFERROR(IF(0=LEN(ReferenceData!$AH$66),"",ReferenceData!$AH$66),"")</f>
        <v>92.8</v>
      </c>
      <c r="AI66">
        <f ca="1">IFERROR(IF(0=LEN(ReferenceData!$AI$66),"",ReferenceData!$AI$66),"")</f>
        <v>83.638000000000005</v>
      </c>
      <c r="AJ66">
        <f ca="1">IFERROR(IF(0=LEN(ReferenceData!$AJ$66),"",ReferenceData!$AJ$66),"")</f>
        <v>90.334999999999994</v>
      </c>
      <c r="AK66">
        <f ca="1">IFERROR(IF(0=LEN(ReferenceData!$AK$66),"",ReferenceData!$AK$66),"")</f>
        <v>86.046000000000006</v>
      </c>
      <c r="AL66">
        <f ca="1">IFERROR(IF(0=LEN(ReferenceData!$AL$66),"",ReferenceData!$AL$66),"")</f>
        <v>82.004000000000005</v>
      </c>
      <c r="AM66">
        <f ca="1">IFERROR(IF(0=LEN(ReferenceData!$AM$66),"",ReferenceData!$AM$66),"")</f>
        <v>82.911000000000001</v>
      </c>
      <c r="AN66">
        <f ca="1">IFERROR(IF(0=LEN(ReferenceData!$AN$66),"",ReferenceData!$AN$66),"")</f>
        <v>82.314999999999998</v>
      </c>
      <c r="AO66">
        <f ca="1">IFERROR(IF(0=LEN(ReferenceData!$AO$66),"",ReferenceData!$AO$66),"")</f>
        <v>93.793000000000006</v>
      </c>
      <c r="AP66">
        <f ca="1">IFERROR(IF(0=LEN(ReferenceData!$AP$66),"",ReferenceData!$AP$66),"")</f>
        <v>87.287999999999997</v>
      </c>
      <c r="AQ66">
        <f ca="1">IFERROR(IF(0=LEN(ReferenceData!$AQ$66),"",ReferenceData!$AQ$66),"")</f>
        <v>80.888000000000005</v>
      </c>
      <c r="AR66">
        <f ca="1">IFERROR(IF(0=LEN(ReferenceData!$AR$66),"",ReferenceData!$AR$66),"")</f>
        <v>89.808000000000007</v>
      </c>
      <c r="AS66">
        <f ca="1">IFERROR(IF(0=LEN(ReferenceData!$AS$66),"",ReferenceData!$AS$66),"")</f>
        <v>85.608000000000004</v>
      </c>
      <c r="AT66">
        <f ca="1">IFERROR(IF(0=LEN(ReferenceData!$AT$66),"",ReferenceData!$AT$66),"")</f>
        <v>76.546999999999997</v>
      </c>
      <c r="AU66">
        <f ca="1">IFERROR(IF(0=LEN(ReferenceData!$AU$66),"",ReferenceData!$AU$66),"")</f>
        <v>87.033000000000001</v>
      </c>
      <c r="AV66">
        <f ca="1">IFERROR(IF(0=LEN(ReferenceData!$AV$66),"",ReferenceData!$AV$66),"")</f>
        <v>99.396000000000001</v>
      </c>
      <c r="AW66">
        <f ca="1">IFERROR(IF(0=LEN(ReferenceData!$AW$66),"",ReferenceData!$AW$66),"")</f>
        <v>89.837000000000003</v>
      </c>
      <c r="AX66">
        <f ca="1">IFERROR(IF(0=LEN(ReferenceData!$AX$66),"",ReferenceData!$AX$66),"")</f>
        <v>90.495000000000005</v>
      </c>
      <c r="AY66">
        <f ca="1">IFERROR(IF(0=LEN(ReferenceData!$AY$66),"",ReferenceData!$AY$66),"")</f>
        <v>80.997</v>
      </c>
      <c r="AZ66">
        <f ca="1">IFERROR(IF(0=LEN(ReferenceData!$AZ$66),"",ReferenceData!$AZ$66),"")</f>
        <v>105.264</v>
      </c>
      <c r="BA66">
        <f ca="1">IFERROR(IF(0=LEN(ReferenceData!$BA$66),"",ReferenceData!$BA$66),"")</f>
        <v>97.963999999999999</v>
      </c>
      <c r="BB66">
        <f ca="1">IFERROR(IF(0=LEN(ReferenceData!$BB$66),"",ReferenceData!$BB$66),"")</f>
        <v>97.921999999999997</v>
      </c>
      <c r="BC66">
        <f ca="1">IFERROR(IF(0=LEN(ReferenceData!$BC$66),"",ReferenceData!$BC$66),"")</f>
        <v>106.55500000000001</v>
      </c>
      <c r="BD66">
        <f ca="1">IFERROR(IF(0=LEN(ReferenceData!$BD$66),"",ReferenceData!$BD$66),"")</f>
        <v>93.954999999999998</v>
      </c>
      <c r="BE66">
        <f ca="1">IFERROR(IF(0=LEN(ReferenceData!$BE$66),"",ReferenceData!$BE$66),"")</f>
        <v>92.945999999999998</v>
      </c>
      <c r="BF66">
        <f ca="1">IFERROR(IF(0=LEN(ReferenceData!$BF$66),"",ReferenceData!$BF$66),"")</f>
        <v>90.206000000000003</v>
      </c>
      <c r="BG66">
        <f ca="1">IFERROR(IF(0=LEN(ReferenceData!$BG$66),"",ReferenceData!$BG$66),"")</f>
        <v>72.921999999999997</v>
      </c>
      <c r="BH66">
        <f ca="1">IFERROR(IF(0=LEN(ReferenceData!$BH$66),"",ReferenceData!$BH$66),"")</f>
        <v>83.98</v>
      </c>
      <c r="BI66">
        <f ca="1">IFERROR(IF(0=LEN(ReferenceData!$BI$66),"",ReferenceData!$BI$66),"")</f>
        <v>88.396000000000001</v>
      </c>
      <c r="BJ66">
        <f ca="1">IFERROR(IF(0=LEN(ReferenceData!$BJ$66),"",ReferenceData!$BJ$66),"")</f>
        <v>86.507999999999996</v>
      </c>
      <c r="BK66">
        <f ca="1">IFERROR(IF(0=LEN(ReferenceData!$BK$66),"",ReferenceData!$BK$66),"")</f>
        <v>84.835999999999999</v>
      </c>
      <c r="BL66">
        <f ca="1">IFERROR(IF(0=LEN(ReferenceData!$BL$66),"",ReferenceData!$BL$66),"")</f>
        <v>80.891999999999996</v>
      </c>
      <c r="BM66">
        <f ca="1">IFERROR(IF(0=LEN(ReferenceData!$BM$66),"",ReferenceData!$BM$66),"")</f>
        <v>83.578999999999994</v>
      </c>
    </row>
    <row r="67" spans="1:65">
      <c r="A67" t="str">
        <f>IFERROR(IF(0=LEN(ReferenceData!$A$67),"",ReferenceData!$A$67),"")</f>
        <v>调整后EBITDA</v>
      </c>
      <c r="B67" t="str">
        <f>IFERROR(IF(0=LEN(ReferenceData!$B$67),"",ReferenceData!$B$67),"")</f>
        <v/>
      </c>
      <c r="C67" t="str">
        <f>IFERROR(IF(0=LEN(ReferenceData!$C$67),"",ReferenceData!$C$67),"")</f>
        <v/>
      </c>
      <c r="D67" t="str">
        <f>IFERROR(IF(0=LEN(ReferenceData!$D$67),"",ReferenceData!$D$67),"")</f>
        <v/>
      </c>
      <c r="E67" t="str">
        <f>IFERROR(IF(0=LEN(ReferenceData!$E$67),"",ReferenceData!$E$67),"")</f>
        <v>Median</v>
      </c>
      <c r="F67" t="str">
        <f ca="1">IFERROR(IF(0=LEN(ReferenceData!$F$67),"",ReferenceData!$F$67),"")</f>
        <v/>
      </c>
      <c r="G67">
        <f ca="1">IFERROR(IF(0=LEN(ReferenceData!$G$67),"",ReferenceData!$G$67),"")</f>
        <v>225.149</v>
      </c>
      <c r="H67">
        <f ca="1">IFERROR(IF(0=LEN(ReferenceData!$H$67),"",ReferenceData!$H$67),"")</f>
        <v>221.36699999999999</v>
      </c>
      <c r="I67">
        <f ca="1">IFERROR(IF(0=LEN(ReferenceData!$I$67),"",ReferenceData!$I$67),"")</f>
        <v>217.52199999999999</v>
      </c>
      <c r="J67">
        <f ca="1">IFERROR(IF(0=LEN(ReferenceData!$J$67),"",ReferenceData!$J$67),"")</f>
        <v>216.85</v>
      </c>
      <c r="K67">
        <f ca="1">IFERROR(IF(0=LEN(ReferenceData!$K$67),"",ReferenceData!$K$67),"")</f>
        <v>177.44900000000001</v>
      </c>
      <c r="L67">
        <f ca="1">IFERROR(IF(0=LEN(ReferenceData!$L$67),"",ReferenceData!$L$67),"")</f>
        <v>165.95599999999999</v>
      </c>
      <c r="M67">
        <f ca="1">IFERROR(IF(0=LEN(ReferenceData!$M$67),"",ReferenceData!$M$67),"")</f>
        <v>158.9615</v>
      </c>
      <c r="N67">
        <f ca="1">IFERROR(IF(0=LEN(ReferenceData!$N$67),"",ReferenceData!$N$67),"")</f>
        <v>155.25299999999999</v>
      </c>
      <c r="O67">
        <f ca="1">IFERROR(IF(0=LEN(ReferenceData!$O$67),"",ReferenceData!$O$67),"")</f>
        <v>154.108</v>
      </c>
      <c r="P67">
        <f ca="1">IFERROR(IF(0=LEN(ReferenceData!$P$67),"",ReferenceData!$P$67),"")</f>
        <v>146.71249999999998</v>
      </c>
      <c r="Q67">
        <f ca="1">IFERROR(IF(0=LEN(ReferenceData!$Q$67),"",ReferenceData!$Q$67),"")</f>
        <v>144.48250000000002</v>
      </c>
      <c r="R67">
        <f ca="1">IFERROR(IF(0=LEN(ReferenceData!$R$67),"",ReferenceData!$R$67),"")</f>
        <v>142.64099999999999</v>
      </c>
      <c r="S67">
        <f ca="1">IFERROR(IF(0=LEN(ReferenceData!$S$67),"",ReferenceData!$S$67),"")</f>
        <v>143.047</v>
      </c>
      <c r="T67">
        <f ca="1">IFERROR(IF(0=LEN(ReferenceData!$T$67),"",ReferenceData!$T$67),"")</f>
        <v>137.30199999999999</v>
      </c>
      <c r="U67">
        <f ca="1">IFERROR(IF(0=LEN(ReferenceData!$U$67),"",ReferenceData!$U$67),"")</f>
        <v>133.01599999999999</v>
      </c>
      <c r="V67">
        <f ca="1">IFERROR(IF(0=LEN(ReferenceData!$V$67),"",ReferenceData!$V$67),"")</f>
        <v>130.26</v>
      </c>
      <c r="W67">
        <f ca="1">IFERROR(IF(0=LEN(ReferenceData!$W$67),"",ReferenceData!$W$67),"")</f>
        <v>129.40449999999998</v>
      </c>
      <c r="X67">
        <f ca="1">IFERROR(IF(0=LEN(ReferenceData!$X$67),"",ReferenceData!$X$67),"")</f>
        <v>72.159000000000006</v>
      </c>
      <c r="Y67">
        <f ca="1">IFERROR(IF(0=LEN(ReferenceData!$Y$67),"",ReferenceData!$Y$67),"")</f>
        <v>73.108999999999995</v>
      </c>
      <c r="Z67">
        <f ca="1">IFERROR(IF(0=LEN(ReferenceData!$Z$67),"",ReferenceData!$Z$67),"")</f>
        <v>72.173000000000002</v>
      </c>
      <c r="AA67">
        <f ca="1">IFERROR(IF(0=LEN(ReferenceData!$AA$67),"",ReferenceData!$AA$67),"")</f>
        <v>71.174999999999997</v>
      </c>
      <c r="AB67">
        <f ca="1">IFERROR(IF(0=LEN(ReferenceData!$AB$67),"",ReferenceData!$AB$67),"")</f>
        <v>8.2769999999999992</v>
      </c>
      <c r="AC67">
        <f ca="1">IFERROR(IF(0=LEN(ReferenceData!$AC$67),"",ReferenceData!$AC$67),"")</f>
        <v>14.599</v>
      </c>
      <c r="AD67">
        <f ca="1">IFERROR(IF(0=LEN(ReferenceData!$AD$67),"",ReferenceData!$AD$67),"")</f>
        <v>16.451000000000001</v>
      </c>
      <c r="AE67">
        <f ca="1">IFERROR(IF(0=LEN(ReferenceData!$AE$67),"",ReferenceData!$AE$67),"")</f>
        <v>16.838000000000001</v>
      </c>
      <c r="AF67">
        <f ca="1">IFERROR(IF(0=LEN(ReferenceData!$AF$67),"",ReferenceData!$AF$67),"")</f>
        <v>6.1180000000000003</v>
      </c>
      <c r="AG67" t="str">
        <f ca="1">IFERROR(IF(0=LEN(ReferenceData!$AG$67),"",ReferenceData!$AG$67),"")</f>
        <v/>
      </c>
      <c r="AH67" t="str">
        <f ca="1">IFERROR(IF(0=LEN(ReferenceData!$AH$67),"",ReferenceData!$AH$67),"")</f>
        <v/>
      </c>
      <c r="AI67" t="str">
        <f ca="1">IFERROR(IF(0=LEN(ReferenceData!$AI$67),"",ReferenceData!$AI$67),"")</f>
        <v/>
      </c>
      <c r="AJ67" t="str">
        <f ca="1">IFERROR(IF(0=LEN(ReferenceData!$AJ$67),"",ReferenceData!$AJ$67),"")</f>
        <v/>
      </c>
      <c r="AK67" t="str">
        <f ca="1">IFERROR(IF(0=LEN(ReferenceData!$AK$67),"",ReferenceData!$AK$67),"")</f>
        <v/>
      </c>
      <c r="AL67" t="str">
        <f ca="1">IFERROR(IF(0=LEN(ReferenceData!$AL$67),"",ReferenceData!$AL$67),"")</f>
        <v/>
      </c>
      <c r="AM67" t="str">
        <f ca="1">IFERROR(IF(0=LEN(ReferenceData!$AM$67),"",ReferenceData!$AM$67),"")</f>
        <v/>
      </c>
      <c r="AN67" t="str">
        <f ca="1">IFERROR(IF(0=LEN(ReferenceData!$AN$67),"",ReferenceData!$AN$67),"")</f>
        <v/>
      </c>
      <c r="AO67" t="str">
        <f ca="1">IFERROR(IF(0=LEN(ReferenceData!$AO$67),"",ReferenceData!$AO$67),"")</f>
        <v/>
      </c>
      <c r="AP67" t="str">
        <f ca="1">IFERROR(IF(0=LEN(ReferenceData!$AP$67),"",ReferenceData!$AP$67),"")</f>
        <v/>
      </c>
      <c r="AQ67" t="str">
        <f ca="1">IFERROR(IF(0=LEN(ReferenceData!$AQ$67),"",ReferenceData!$AQ$67),"")</f>
        <v/>
      </c>
      <c r="AR67" t="str">
        <f ca="1">IFERROR(IF(0=LEN(ReferenceData!$AR$67),"",ReferenceData!$AR$67),"")</f>
        <v/>
      </c>
      <c r="AS67" t="str">
        <f ca="1">IFERROR(IF(0=LEN(ReferenceData!$AS$67),"",ReferenceData!$AS$67),"")</f>
        <v/>
      </c>
      <c r="AT67" t="str">
        <f ca="1">IFERROR(IF(0=LEN(ReferenceData!$AT$67),"",ReferenceData!$AT$67),"")</f>
        <v/>
      </c>
      <c r="AU67" t="str">
        <f ca="1">IFERROR(IF(0=LEN(ReferenceData!$AU$67),"",ReferenceData!$AU$67),"")</f>
        <v/>
      </c>
      <c r="AV67" t="str">
        <f ca="1">IFERROR(IF(0=LEN(ReferenceData!$AV$67),"",ReferenceData!$AV$67),"")</f>
        <v/>
      </c>
      <c r="AW67" t="str">
        <f ca="1">IFERROR(IF(0=LEN(ReferenceData!$AW$67),"",ReferenceData!$AW$67),"")</f>
        <v/>
      </c>
      <c r="AX67" t="str">
        <f ca="1">IFERROR(IF(0=LEN(ReferenceData!$AX$67),"",ReferenceData!$AX$67),"")</f>
        <v/>
      </c>
      <c r="AY67" t="str">
        <f ca="1">IFERROR(IF(0=LEN(ReferenceData!$AY$67),"",ReferenceData!$AY$67),"")</f>
        <v/>
      </c>
      <c r="AZ67" t="str">
        <f ca="1">IFERROR(IF(0=LEN(ReferenceData!$AZ$67),"",ReferenceData!$AZ$67),"")</f>
        <v/>
      </c>
      <c r="BA67" t="str">
        <f ca="1">IFERROR(IF(0=LEN(ReferenceData!$BA$67),"",ReferenceData!$BA$67),"")</f>
        <v/>
      </c>
      <c r="BB67" t="str">
        <f ca="1">IFERROR(IF(0=LEN(ReferenceData!$BB$67),"",ReferenceData!$BB$67),"")</f>
        <v/>
      </c>
      <c r="BC67" t="str">
        <f ca="1">IFERROR(IF(0=LEN(ReferenceData!$BC$67),"",ReferenceData!$BC$67),"")</f>
        <v/>
      </c>
      <c r="BD67" t="str">
        <f ca="1">IFERROR(IF(0=LEN(ReferenceData!$BD$67),"",ReferenceData!$BD$67),"")</f>
        <v/>
      </c>
      <c r="BE67" t="str">
        <f ca="1">IFERROR(IF(0=LEN(ReferenceData!$BE$67),"",ReferenceData!$BE$67),"")</f>
        <v/>
      </c>
      <c r="BF67" t="str">
        <f ca="1">IFERROR(IF(0=LEN(ReferenceData!$BF$67),"",ReferenceData!$BF$67),"")</f>
        <v/>
      </c>
      <c r="BG67" t="str">
        <f ca="1">IFERROR(IF(0=LEN(ReferenceData!$BG$67),"",ReferenceData!$BG$67),"")</f>
        <v/>
      </c>
      <c r="BH67" t="str">
        <f ca="1">IFERROR(IF(0=LEN(ReferenceData!$BH$67),"",ReferenceData!$BH$67),"")</f>
        <v/>
      </c>
      <c r="BI67" t="str">
        <f ca="1">IFERROR(IF(0=LEN(ReferenceData!$BI$67),"",ReferenceData!$BI$67),"")</f>
        <v/>
      </c>
      <c r="BJ67" t="str">
        <f ca="1">IFERROR(IF(0=LEN(ReferenceData!$BJ$67),"",ReferenceData!$BJ$67),"")</f>
        <v/>
      </c>
      <c r="BK67" t="str">
        <f ca="1">IFERROR(IF(0=LEN(ReferenceData!$BK$67),"",ReferenceData!$BK$67),"")</f>
        <v/>
      </c>
      <c r="BL67" t="str">
        <f ca="1">IFERROR(IF(0=LEN(ReferenceData!$BL$67),"",ReferenceData!$BL$67),"")</f>
        <v/>
      </c>
      <c r="BM67" t="str">
        <f ca="1">IFERROR(IF(0=LEN(ReferenceData!$BM$67),"",ReferenceData!$BM$67),"")</f>
        <v/>
      </c>
    </row>
    <row r="68" spans="1:65">
      <c r="A68" t="str">
        <f>IFERROR(IF(0=LEN(ReferenceData!$A$68),"",ReferenceData!$A$68),"")</f>
        <v xml:space="preserve">    American Campus Communities In</v>
      </c>
      <c r="B68" t="str">
        <f>IFERROR(IF(0=LEN(ReferenceData!$B$68),"",ReferenceData!$B$68),"")</f>
        <v>ACC US Equity</v>
      </c>
      <c r="C68" t="str">
        <f>IFERROR(IF(0=LEN(ReferenceData!$C$68),"",ReferenceData!$C$68),"")</f>
        <v>IS972</v>
      </c>
      <c r="D68" t="str">
        <f>IFERROR(IF(0=LEN(ReferenceData!$D$68),"",ReferenceData!$D$68),"")</f>
        <v>IS_ADJUSTED_EBITDA_AS_REPORTED</v>
      </c>
      <c r="E68" t="str">
        <f>IFERROR(IF(0=LEN(ReferenceData!$E$68),"",ReferenceData!$E$68),"")</f>
        <v>动态</v>
      </c>
      <c r="F68" t="str">
        <f ca="1">IFERROR(IF(0=LEN(ReferenceData!$F$68),"",ReferenceData!$F$68),"")</f>
        <v/>
      </c>
      <c r="G68" t="str">
        <f ca="1">IFERROR(IF(0=LEN(ReferenceData!$G$68),"",ReferenceData!$G$68),"")</f>
        <v/>
      </c>
      <c r="H68" t="str">
        <f ca="1">IFERROR(IF(0=LEN(ReferenceData!$H$68),"",ReferenceData!$H$68),"")</f>
        <v/>
      </c>
      <c r="I68" t="str">
        <f ca="1">IFERROR(IF(0=LEN(ReferenceData!$I$68),"",ReferenceData!$I$68),"")</f>
        <v/>
      </c>
      <c r="J68" t="str">
        <f ca="1">IFERROR(IF(0=LEN(ReferenceData!$J$68),"",ReferenceData!$J$68),"")</f>
        <v/>
      </c>
      <c r="K68" t="str">
        <f ca="1">IFERROR(IF(0=LEN(ReferenceData!$K$68),"",ReferenceData!$K$68),"")</f>
        <v/>
      </c>
      <c r="L68" t="str">
        <f ca="1">IFERROR(IF(0=LEN(ReferenceData!$L$68),"",ReferenceData!$L$68),"")</f>
        <v/>
      </c>
      <c r="M68" t="str">
        <f ca="1">IFERROR(IF(0=LEN(ReferenceData!$M$68),"",ReferenceData!$M$68),"")</f>
        <v/>
      </c>
      <c r="N68" t="str">
        <f ca="1">IFERROR(IF(0=LEN(ReferenceData!$N$68),"",ReferenceData!$N$68),"")</f>
        <v/>
      </c>
      <c r="O68" t="str">
        <f ca="1">IFERROR(IF(0=LEN(ReferenceData!$O$68),"",ReferenceData!$O$68),"")</f>
        <v/>
      </c>
      <c r="P68" t="str">
        <f ca="1">IFERROR(IF(0=LEN(ReferenceData!$P$68),"",ReferenceData!$P$68),"")</f>
        <v/>
      </c>
      <c r="Q68" t="str">
        <f ca="1">IFERROR(IF(0=LEN(ReferenceData!$Q$68),"",ReferenceData!$Q$68),"")</f>
        <v/>
      </c>
      <c r="R68" t="str">
        <f ca="1">IFERROR(IF(0=LEN(ReferenceData!$R$68),"",ReferenceData!$R$68),"")</f>
        <v/>
      </c>
      <c r="S68" t="str">
        <f ca="1">IFERROR(IF(0=LEN(ReferenceData!$S$68),"",ReferenceData!$S$68),"")</f>
        <v/>
      </c>
      <c r="T68" t="str">
        <f ca="1">IFERROR(IF(0=LEN(ReferenceData!$T$68),"",ReferenceData!$T$68),"")</f>
        <v/>
      </c>
      <c r="U68" t="str">
        <f ca="1">IFERROR(IF(0=LEN(ReferenceData!$U$68),"",ReferenceData!$U$68),"")</f>
        <v/>
      </c>
      <c r="V68" t="str">
        <f ca="1">IFERROR(IF(0=LEN(ReferenceData!$V$68),"",ReferenceData!$V$68),"")</f>
        <v/>
      </c>
      <c r="W68" t="str">
        <f ca="1">IFERROR(IF(0=LEN(ReferenceData!$W$68),"",ReferenceData!$W$68),"")</f>
        <v/>
      </c>
      <c r="X68" t="str">
        <f ca="1">IFERROR(IF(0=LEN(ReferenceData!$X$68),"",ReferenceData!$X$68),"")</f>
        <v/>
      </c>
      <c r="Y68" t="str">
        <f ca="1">IFERROR(IF(0=LEN(ReferenceData!$Y$68),"",ReferenceData!$Y$68),"")</f>
        <v/>
      </c>
      <c r="Z68" t="str">
        <f ca="1">IFERROR(IF(0=LEN(ReferenceData!$Z$68),"",ReferenceData!$Z$68),"")</f>
        <v/>
      </c>
      <c r="AA68" t="str">
        <f ca="1">IFERROR(IF(0=LEN(ReferenceData!$AA$68),"",ReferenceData!$AA$68),"")</f>
        <v/>
      </c>
      <c r="AB68" t="str">
        <f ca="1">IFERROR(IF(0=LEN(ReferenceData!$AB$68),"",ReferenceData!$AB$68),"")</f>
        <v/>
      </c>
      <c r="AC68" t="str">
        <f ca="1">IFERROR(IF(0=LEN(ReferenceData!$AC$68),"",ReferenceData!$AC$68),"")</f>
        <v/>
      </c>
      <c r="AD68" t="str">
        <f ca="1">IFERROR(IF(0=LEN(ReferenceData!$AD$68),"",ReferenceData!$AD$68),"")</f>
        <v/>
      </c>
      <c r="AE68" t="str">
        <f ca="1">IFERROR(IF(0=LEN(ReferenceData!$AE$68),"",ReferenceData!$AE$68),"")</f>
        <v/>
      </c>
      <c r="AF68" t="str">
        <f ca="1">IFERROR(IF(0=LEN(ReferenceData!$AF$68),"",ReferenceData!$AF$68),"")</f>
        <v/>
      </c>
      <c r="AG68" t="str">
        <f ca="1">IFERROR(IF(0=LEN(ReferenceData!$AG$68),"",ReferenceData!$AG$68),"")</f>
        <v/>
      </c>
      <c r="AH68" t="str">
        <f ca="1">IFERROR(IF(0=LEN(ReferenceData!$AH$68),"",ReferenceData!$AH$68),"")</f>
        <v/>
      </c>
      <c r="AI68" t="str">
        <f ca="1">IFERROR(IF(0=LEN(ReferenceData!$AI$68),"",ReferenceData!$AI$68),"")</f>
        <v/>
      </c>
      <c r="AJ68" t="str">
        <f ca="1">IFERROR(IF(0=LEN(ReferenceData!$AJ$68),"",ReferenceData!$AJ$68),"")</f>
        <v/>
      </c>
      <c r="AK68" t="str">
        <f ca="1">IFERROR(IF(0=LEN(ReferenceData!$AK$68),"",ReferenceData!$AK$68),"")</f>
        <v/>
      </c>
      <c r="AL68" t="str">
        <f ca="1">IFERROR(IF(0=LEN(ReferenceData!$AL$68),"",ReferenceData!$AL$68),"")</f>
        <v/>
      </c>
      <c r="AM68" t="str">
        <f ca="1">IFERROR(IF(0=LEN(ReferenceData!$AM$68),"",ReferenceData!$AM$68),"")</f>
        <v/>
      </c>
      <c r="AN68" t="str">
        <f ca="1">IFERROR(IF(0=LEN(ReferenceData!$AN$68),"",ReferenceData!$AN$68),"")</f>
        <v/>
      </c>
      <c r="AO68" t="str">
        <f ca="1">IFERROR(IF(0=LEN(ReferenceData!$AO$68),"",ReferenceData!$AO$68),"")</f>
        <v/>
      </c>
      <c r="AP68" t="str">
        <f ca="1">IFERROR(IF(0=LEN(ReferenceData!$AP$68),"",ReferenceData!$AP$68),"")</f>
        <v/>
      </c>
      <c r="AQ68" t="str">
        <f ca="1">IFERROR(IF(0=LEN(ReferenceData!$AQ$68),"",ReferenceData!$AQ$68),"")</f>
        <v/>
      </c>
      <c r="AR68" t="str">
        <f ca="1">IFERROR(IF(0=LEN(ReferenceData!$AR$68),"",ReferenceData!$AR$68),"")</f>
        <v/>
      </c>
      <c r="AS68" t="str">
        <f ca="1">IFERROR(IF(0=LEN(ReferenceData!$AS$68),"",ReferenceData!$AS$68),"")</f>
        <v/>
      </c>
      <c r="AT68" t="str">
        <f ca="1">IFERROR(IF(0=LEN(ReferenceData!$AT$68),"",ReferenceData!$AT$68),"")</f>
        <v/>
      </c>
      <c r="AU68" t="str">
        <f ca="1">IFERROR(IF(0=LEN(ReferenceData!$AU$68),"",ReferenceData!$AU$68),"")</f>
        <v/>
      </c>
      <c r="AV68" t="str">
        <f ca="1">IFERROR(IF(0=LEN(ReferenceData!$AV$68),"",ReferenceData!$AV$68),"")</f>
        <v/>
      </c>
      <c r="AW68" t="str">
        <f ca="1">IFERROR(IF(0=LEN(ReferenceData!$AW$68),"",ReferenceData!$AW$68),"")</f>
        <v/>
      </c>
      <c r="AX68" t="str">
        <f ca="1">IFERROR(IF(0=LEN(ReferenceData!$AX$68),"",ReferenceData!$AX$68),"")</f>
        <v/>
      </c>
      <c r="AY68" t="str">
        <f ca="1">IFERROR(IF(0=LEN(ReferenceData!$AY$68),"",ReferenceData!$AY$68),"")</f>
        <v/>
      </c>
      <c r="AZ68" t="str">
        <f ca="1">IFERROR(IF(0=LEN(ReferenceData!$AZ$68),"",ReferenceData!$AZ$68),"")</f>
        <v/>
      </c>
      <c r="BA68" t="str">
        <f ca="1">IFERROR(IF(0=LEN(ReferenceData!$BA$68),"",ReferenceData!$BA$68),"")</f>
        <v/>
      </c>
      <c r="BB68" t="str">
        <f ca="1">IFERROR(IF(0=LEN(ReferenceData!$BB$68),"",ReferenceData!$BB$68),"")</f>
        <v/>
      </c>
      <c r="BC68" t="str">
        <f ca="1">IFERROR(IF(0=LEN(ReferenceData!$BC$68),"",ReferenceData!$BC$68),"")</f>
        <v/>
      </c>
      <c r="BD68" t="str">
        <f ca="1">IFERROR(IF(0=LEN(ReferenceData!$BD$68),"",ReferenceData!$BD$68),"")</f>
        <v/>
      </c>
      <c r="BE68" t="str">
        <f ca="1">IFERROR(IF(0=LEN(ReferenceData!$BE$68),"",ReferenceData!$BE$68),"")</f>
        <v/>
      </c>
      <c r="BF68" t="str">
        <f ca="1">IFERROR(IF(0=LEN(ReferenceData!$BF$68),"",ReferenceData!$BF$68),"")</f>
        <v/>
      </c>
      <c r="BG68" t="str">
        <f ca="1">IFERROR(IF(0=LEN(ReferenceData!$BG$68),"",ReferenceData!$BG$68),"")</f>
        <v/>
      </c>
      <c r="BH68" t="str">
        <f ca="1">IFERROR(IF(0=LEN(ReferenceData!$BH$68),"",ReferenceData!$BH$68),"")</f>
        <v/>
      </c>
      <c r="BI68" t="str">
        <f ca="1">IFERROR(IF(0=LEN(ReferenceData!$BI$68),"",ReferenceData!$BI$68),"")</f>
        <v/>
      </c>
      <c r="BJ68" t="str">
        <f ca="1">IFERROR(IF(0=LEN(ReferenceData!$BJ$68),"",ReferenceData!$BJ$68),"")</f>
        <v/>
      </c>
      <c r="BK68" t="str">
        <f ca="1">IFERROR(IF(0=LEN(ReferenceData!$BK$68),"",ReferenceData!$BK$68),"")</f>
        <v/>
      </c>
      <c r="BL68" t="str">
        <f ca="1">IFERROR(IF(0=LEN(ReferenceData!$BL$68),"",ReferenceData!$BL$68),"")</f>
        <v/>
      </c>
      <c r="BM68" t="str">
        <f ca="1">IFERROR(IF(0=LEN(ReferenceData!$BM$68),"",ReferenceData!$BM$68),"")</f>
        <v/>
      </c>
    </row>
    <row r="69" spans="1:65">
      <c r="A69" t="str">
        <f>IFERROR(IF(0=LEN(ReferenceData!$A$69),"",ReferenceData!$A$69),"")</f>
        <v xml:space="preserve">    AvalonBay Communities Inc</v>
      </c>
      <c r="B69" t="str">
        <f>IFERROR(IF(0=LEN(ReferenceData!$B$69),"",ReferenceData!$B$69),"")</f>
        <v>AVB US Equity</v>
      </c>
      <c r="C69" t="str">
        <f>IFERROR(IF(0=LEN(ReferenceData!$C$69),"",ReferenceData!$C$69),"")</f>
        <v>IS972</v>
      </c>
      <c r="D69" t="str">
        <f>IFERROR(IF(0=LEN(ReferenceData!$D$69),"",ReferenceData!$D$69),"")</f>
        <v>IS_ADJUSTED_EBITDA_AS_REPORTED</v>
      </c>
      <c r="E69" t="str">
        <f>IFERROR(IF(0=LEN(ReferenceData!$E$69),"",ReferenceData!$E$69),"")</f>
        <v>动态</v>
      </c>
      <c r="F69" t="str">
        <f ca="1">IFERROR(IF(0=LEN(ReferenceData!$F$69),"",ReferenceData!$F$69),"")</f>
        <v/>
      </c>
      <c r="G69">
        <f ca="1">IFERROR(IF(0=LEN(ReferenceData!$G$69),"",ReferenceData!$G$69),"")</f>
        <v>362.197</v>
      </c>
      <c r="H69">
        <f ca="1">IFERROR(IF(0=LEN(ReferenceData!$H$69),"",ReferenceData!$H$69),"")</f>
        <v>348.18700000000001</v>
      </c>
      <c r="I69">
        <f ca="1">IFERROR(IF(0=LEN(ReferenceData!$I$69),"",ReferenceData!$I$69),"")</f>
        <v>337.30399999999997</v>
      </c>
      <c r="J69">
        <f ca="1">IFERROR(IF(0=LEN(ReferenceData!$J$69),"",ReferenceData!$J$69),"")</f>
        <v>333.47699999999998</v>
      </c>
      <c r="K69">
        <f ca="1">IFERROR(IF(0=LEN(ReferenceData!$K$69),"",ReferenceData!$K$69),"")</f>
        <v>339.05500000000001</v>
      </c>
      <c r="L69">
        <f ca="1">IFERROR(IF(0=LEN(ReferenceData!$L$69),"",ReferenceData!$L$69),"")</f>
        <v>323.66800000000001</v>
      </c>
      <c r="M69">
        <f ca="1">IFERROR(IF(0=LEN(ReferenceData!$M$69),"",ReferenceData!$M$69),"")</f>
        <v>320.74900000000002</v>
      </c>
      <c r="N69">
        <f ca="1">IFERROR(IF(0=LEN(ReferenceData!$N$69),"",ReferenceData!$N$69),"")</f>
        <v>311.54300000000001</v>
      </c>
      <c r="O69">
        <f ca="1">IFERROR(IF(0=LEN(ReferenceData!$O$69),"",ReferenceData!$O$69),"")</f>
        <v>310.90600000000001</v>
      </c>
      <c r="P69">
        <f ca="1">IFERROR(IF(0=LEN(ReferenceData!$P$69),"",ReferenceData!$P$69),"")</f>
        <v>299.28100000000001</v>
      </c>
      <c r="Q69">
        <f ca="1">IFERROR(IF(0=LEN(ReferenceData!$Q$69),"",ReferenceData!$Q$69),"")</f>
        <v>289.23899999999998</v>
      </c>
      <c r="R69">
        <f ca="1">IFERROR(IF(0=LEN(ReferenceData!$R$69),"",ReferenceData!$R$69),"")</f>
        <v>264.23200000000003</v>
      </c>
      <c r="S69">
        <f ca="1">IFERROR(IF(0=LEN(ReferenceData!$S$69),"",ReferenceData!$S$69),"")</f>
        <v>282.56700000000001</v>
      </c>
      <c r="T69">
        <f ca="1">IFERROR(IF(0=LEN(ReferenceData!$T$69),"",ReferenceData!$T$69),"")</f>
        <v>267.50400000000002</v>
      </c>
      <c r="U69">
        <f ca="1">IFERROR(IF(0=LEN(ReferenceData!$U$69),"",ReferenceData!$U$69),"")</f>
        <v>255.65</v>
      </c>
      <c r="V69" t="str">
        <f ca="1">IFERROR(IF(0=LEN(ReferenceData!$V$69),"",ReferenceData!$V$69),"")</f>
        <v/>
      </c>
      <c r="W69" t="str">
        <f ca="1">IFERROR(IF(0=LEN(ReferenceData!$W$69),"",ReferenceData!$W$69),"")</f>
        <v/>
      </c>
      <c r="X69" t="str">
        <f ca="1">IFERROR(IF(0=LEN(ReferenceData!$X$69),"",ReferenceData!$X$69),"")</f>
        <v/>
      </c>
      <c r="Y69" t="str">
        <f ca="1">IFERROR(IF(0=LEN(ReferenceData!$Y$69),"",ReferenceData!$Y$69),"")</f>
        <v/>
      </c>
      <c r="Z69" t="str">
        <f ca="1">IFERROR(IF(0=LEN(ReferenceData!$Z$69),"",ReferenceData!$Z$69),"")</f>
        <v/>
      </c>
      <c r="AA69" t="str">
        <f ca="1">IFERROR(IF(0=LEN(ReferenceData!$AA$69),"",ReferenceData!$AA$69),"")</f>
        <v/>
      </c>
      <c r="AB69" t="str">
        <f ca="1">IFERROR(IF(0=LEN(ReferenceData!$AB$69),"",ReferenceData!$AB$69),"")</f>
        <v/>
      </c>
      <c r="AC69" t="str">
        <f ca="1">IFERROR(IF(0=LEN(ReferenceData!$AC$69),"",ReferenceData!$AC$69),"")</f>
        <v/>
      </c>
      <c r="AD69" t="str">
        <f ca="1">IFERROR(IF(0=LEN(ReferenceData!$AD$69),"",ReferenceData!$AD$69),"")</f>
        <v/>
      </c>
      <c r="AE69" t="str">
        <f ca="1">IFERROR(IF(0=LEN(ReferenceData!$AE$69),"",ReferenceData!$AE$69),"")</f>
        <v/>
      </c>
      <c r="AF69" t="str">
        <f ca="1">IFERROR(IF(0=LEN(ReferenceData!$AF$69),"",ReferenceData!$AF$69),"")</f>
        <v/>
      </c>
      <c r="AG69" t="str">
        <f ca="1">IFERROR(IF(0=LEN(ReferenceData!$AG$69),"",ReferenceData!$AG$69),"")</f>
        <v/>
      </c>
      <c r="AH69" t="str">
        <f ca="1">IFERROR(IF(0=LEN(ReferenceData!$AH$69),"",ReferenceData!$AH$69),"")</f>
        <v/>
      </c>
      <c r="AI69" t="str">
        <f ca="1">IFERROR(IF(0=LEN(ReferenceData!$AI$69),"",ReferenceData!$AI$69),"")</f>
        <v/>
      </c>
      <c r="AJ69" t="str">
        <f ca="1">IFERROR(IF(0=LEN(ReferenceData!$AJ$69),"",ReferenceData!$AJ$69),"")</f>
        <v/>
      </c>
      <c r="AK69" t="str">
        <f ca="1">IFERROR(IF(0=LEN(ReferenceData!$AK$69),"",ReferenceData!$AK$69),"")</f>
        <v/>
      </c>
      <c r="AL69" t="str">
        <f ca="1">IFERROR(IF(0=LEN(ReferenceData!$AL$69),"",ReferenceData!$AL$69),"")</f>
        <v/>
      </c>
      <c r="AM69" t="str">
        <f ca="1">IFERROR(IF(0=LEN(ReferenceData!$AM$69),"",ReferenceData!$AM$69),"")</f>
        <v/>
      </c>
      <c r="AN69" t="str">
        <f ca="1">IFERROR(IF(0=LEN(ReferenceData!$AN$69),"",ReferenceData!$AN$69),"")</f>
        <v/>
      </c>
      <c r="AO69" t="str">
        <f ca="1">IFERROR(IF(0=LEN(ReferenceData!$AO$69),"",ReferenceData!$AO$69),"")</f>
        <v/>
      </c>
      <c r="AP69" t="str">
        <f ca="1">IFERROR(IF(0=LEN(ReferenceData!$AP$69),"",ReferenceData!$AP$69),"")</f>
        <v/>
      </c>
      <c r="AQ69" t="str">
        <f ca="1">IFERROR(IF(0=LEN(ReferenceData!$AQ$69),"",ReferenceData!$AQ$69),"")</f>
        <v/>
      </c>
      <c r="AR69" t="str">
        <f ca="1">IFERROR(IF(0=LEN(ReferenceData!$AR$69),"",ReferenceData!$AR$69),"")</f>
        <v/>
      </c>
      <c r="AS69" t="str">
        <f ca="1">IFERROR(IF(0=LEN(ReferenceData!$AS$69),"",ReferenceData!$AS$69),"")</f>
        <v/>
      </c>
      <c r="AT69" t="str">
        <f ca="1">IFERROR(IF(0=LEN(ReferenceData!$AT$69),"",ReferenceData!$AT$69),"")</f>
        <v/>
      </c>
      <c r="AU69" t="str">
        <f ca="1">IFERROR(IF(0=LEN(ReferenceData!$AU$69),"",ReferenceData!$AU$69),"")</f>
        <v/>
      </c>
      <c r="AV69" t="str">
        <f ca="1">IFERROR(IF(0=LEN(ReferenceData!$AV$69),"",ReferenceData!$AV$69),"")</f>
        <v/>
      </c>
      <c r="AW69" t="str">
        <f ca="1">IFERROR(IF(0=LEN(ReferenceData!$AW$69),"",ReferenceData!$AW$69),"")</f>
        <v/>
      </c>
      <c r="AX69" t="str">
        <f ca="1">IFERROR(IF(0=LEN(ReferenceData!$AX$69),"",ReferenceData!$AX$69),"")</f>
        <v/>
      </c>
      <c r="AY69" t="str">
        <f ca="1">IFERROR(IF(0=LEN(ReferenceData!$AY$69),"",ReferenceData!$AY$69),"")</f>
        <v/>
      </c>
      <c r="AZ69" t="str">
        <f ca="1">IFERROR(IF(0=LEN(ReferenceData!$AZ$69),"",ReferenceData!$AZ$69),"")</f>
        <v/>
      </c>
      <c r="BA69" t="str">
        <f ca="1">IFERROR(IF(0=LEN(ReferenceData!$BA$69),"",ReferenceData!$BA$69),"")</f>
        <v/>
      </c>
      <c r="BB69" t="str">
        <f ca="1">IFERROR(IF(0=LEN(ReferenceData!$BB$69),"",ReferenceData!$BB$69),"")</f>
        <v/>
      </c>
      <c r="BC69" t="str">
        <f ca="1">IFERROR(IF(0=LEN(ReferenceData!$BC$69),"",ReferenceData!$BC$69),"")</f>
        <v/>
      </c>
      <c r="BD69" t="str">
        <f ca="1">IFERROR(IF(0=LEN(ReferenceData!$BD$69),"",ReferenceData!$BD$69),"")</f>
        <v/>
      </c>
      <c r="BE69" t="str">
        <f ca="1">IFERROR(IF(0=LEN(ReferenceData!$BE$69),"",ReferenceData!$BE$69),"")</f>
        <v/>
      </c>
      <c r="BF69" t="str">
        <f ca="1">IFERROR(IF(0=LEN(ReferenceData!$BF$69),"",ReferenceData!$BF$69),"")</f>
        <v/>
      </c>
      <c r="BG69" t="str">
        <f ca="1">IFERROR(IF(0=LEN(ReferenceData!$BG$69),"",ReferenceData!$BG$69),"")</f>
        <v/>
      </c>
      <c r="BH69" t="str">
        <f ca="1">IFERROR(IF(0=LEN(ReferenceData!$BH$69),"",ReferenceData!$BH$69),"")</f>
        <v/>
      </c>
      <c r="BI69" t="str">
        <f ca="1">IFERROR(IF(0=LEN(ReferenceData!$BI$69),"",ReferenceData!$BI$69),"")</f>
        <v/>
      </c>
      <c r="BJ69" t="str">
        <f ca="1">IFERROR(IF(0=LEN(ReferenceData!$BJ$69),"",ReferenceData!$BJ$69),"")</f>
        <v/>
      </c>
      <c r="BK69" t="str">
        <f ca="1">IFERROR(IF(0=LEN(ReferenceData!$BK$69),"",ReferenceData!$BK$69),"")</f>
        <v/>
      </c>
      <c r="BL69" t="str">
        <f ca="1">IFERROR(IF(0=LEN(ReferenceData!$BL$69),"",ReferenceData!$BL$69),"")</f>
        <v/>
      </c>
      <c r="BM69" t="str">
        <f ca="1">IFERROR(IF(0=LEN(ReferenceData!$BM$69),"",ReferenceData!$BM$69),"")</f>
        <v/>
      </c>
    </row>
    <row r="70" spans="1:65">
      <c r="A70" t="str">
        <f>IFERROR(IF(0=LEN(ReferenceData!$A$70),"",ReferenceData!$A$70),"")</f>
        <v xml:space="preserve">    Camden Property Trust</v>
      </c>
      <c r="B70" t="str">
        <f>IFERROR(IF(0=LEN(ReferenceData!$B$70),"",ReferenceData!$B$70),"")</f>
        <v>CPT US Equity</v>
      </c>
      <c r="C70" t="str">
        <f>IFERROR(IF(0=LEN(ReferenceData!$C$70),"",ReferenceData!$C$70),"")</f>
        <v>IS972</v>
      </c>
      <c r="D70" t="str">
        <f>IFERROR(IF(0=LEN(ReferenceData!$D$70),"",ReferenceData!$D$70),"")</f>
        <v>IS_ADJUSTED_EBITDA_AS_REPORTED</v>
      </c>
      <c r="E70" t="str">
        <f>IFERROR(IF(0=LEN(ReferenceData!$E$70),"",ReferenceData!$E$70),"")</f>
        <v>动态</v>
      </c>
      <c r="F70" t="str">
        <f ca="1">IFERROR(IF(0=LEN(ReferenceData!$F$70),"",ReferenceData!$F$70),"")</f>
        <v/>
      </c>
      <c r="G70">
        <f ca="1">IFERROR(IF(0=LEN(ReferenceData!$G$70),"",ReferenceData!$G$70),"")</f>
        <v>132.91300000000001</v>
      </c>
      <c r="H70">
        <f ca="1">IFERROR(IF(0=LEN(ReferenceData!$H$70),"",ReferenceData!$H$70),"")</f>
        <v>122.956</v>
      </c>
      <c r="I70">
        <f ca="1">IFERROR(IF(0=LEN(ReferenceData!$I$70),"",ReferenceData!$I$70),"")</f>
        <v>125.553</v>
      </c>
      <c r="J70">
        <f ca="1">IFERROR(IF(0=LEN(ReferenceData!$J$70),"",ReferenceData!$J$70),"")</f>
        <v>121.65600000000001</v>
      </c>
      <c r="K70">
        <f ca="1">IFERROR(IF(0=LEN(ReferenceData!$K$70),"",ReferenceData!$K$70),"")</f>
        <v>126.396</v>
      </c>
      <c r="L70">
        <f ca="1">IFERROR(IF(0=LEN(ReferenceData!$L$70),"",ReferenceData!$L$70),"")</f>
        <v>125.14400000000001</v>
      </c>
      <c r="M70">
        <f ca="1">IFERROR(IF(0=LEN(ReferenceData!$M$70),"",ReferenceData!$M$70),"")</f>
        <v>126.639</v>
      </c>
      <c r="N70">
        <f ca="1">IFERROR(IF(0=LEN(ReferenceData!$N$70),"",ReferenceData!$N$70),"")</f>
        <v>131.523</v>
      </c>
      <c r="O70">
        <f ca="1">IFERROR(IF(0=LEN(ReferenceData!$O$70),"",ReferenceData!$O$70),"")</f>
        <v>131.18899999999999</v>
      </c>
      <c r="P70">
        <f ca="1">IFERROR(IF(0=LEN(ReferenceData!$P$70),"",ReferenceData!$P$70),"")</f>
        <v>126.187</v>
      </c>
      <c r="Q70">
        <f ca="1">IFERROR(IF(0=LEN(ReferenceData!$Q$70),"",ReferenceData!$Q$70),"")</f>
        <v>124.836</v>
      </c>
      <c r="R70" t="str">
        <f ca="1">IFERROR(IF(0=LEN(ReferenceData!$R$70),"",ReferenceData!$R$70),"")</f>
        <v/>
      </c>
      <c r="S70" t="str">
        <f ca="1">IFERROR(IF(0=LEN(ReferenceData!$S$70),"",ReferenceData!$S$70),"")</f>
        <v/>
      </c>
      <c r="T70" t="str">
        <f ca="1">IFERROR(IF(0=LEN(ReferenceData!$T$70),"",ReferenceData!$T$70),"")</f>
        <v/>
      </c>
      <c r="U70" t="str">
        <f ca="1">IFERROR(IF(0=LEN(ReferenceData!$U$70),"",ReferenceData!$U$70),"")</f>
        <v/>
      </c>
      <c r="V70" t="str">
        <f ca="1">IFERROR(IF(0=LEN(ReferenceData!$V$70),"",ReferenceData!$V$70),"")</f>
        <v/>
      </c>
      <c r="W70" t="str">
        <f ca="1">IFERROR(IF(0=LEN(ReferenceData!$W$70),"",ReferenceData!$W$70),"")</f>
        <v/>
      </c>
      <c r="X70" t="str">
        <f ca="1">IFERROR(IF(0=LEN(ReferenceData!$X$70),"",ReferenceData!$X$70),"")</f>
        <v/>
      </c>
      <c r="Y70" t="str">
        <f ca="1">IFERROR(IF(0=LEN(ReferenceData!$Y$70),"",ReferenceData!$Y$70),"")</f>
        <v/>
      </c>
      <c r="Z70" t="str">
        <f ca="1">IFERROR(IF(0=LEN(ReferenceData!$Z$70),"",ReferenceData!$Z$70),"")</f>
        <v/>
      </c>
      <c r="AA70" t="str">
        <f ca="1">IFERROR(IF(0=LEN(ReferenceData!$AA$70),"",ReferenceData!$AA$70),"")</f>
        <v/>
      </c>
      <c r="AB70" t="str">
        <f ca="1">IFERROR(IF(0=LEN(ReferenceData!$AB$70),"",ReferenceData!$AB$70),"")</f>
        <v/>
      </c>
      <c r="AC70" t="str">
        <f ca="1">IFERROR(IF(0=LEN(ReferenceData!$AC$70),"",ReferenceData!$AC$70),"")</f>
        <v/>
      </c>
      <c r="AD70" t="str">
        <f ca="1">IFERROR(IF(0=LEN(ReferenceData!$AD$70),"",ReferenceData!$AD$70),"")</f>
        <v/>
      </c>
      <c r="AE70" t="str">
        <f ca="1">IFERROR(IF(0=LEN(ReferenceData!$AE$70),"",ReferenceData!$AE$70),"")</f>
        <v/>
      </c>
      <c r="AF70" t="str">
        <f ca="1">IFERROR(IF(0=LEN(ReferenceData!$AF$70),"",ReferenceData!$AF$70),"")</f>
        <v/>
      </c>
      <c r="AG70" t="str">
        <f ca="1">IFERROR(IF(0=LEN(ReferenceData!$AG$70),"",ReferenceData!$AG$70),"")</f>
        <v/>
      </c>
      <c r="AH70" t="str">
        <f ca="1">IFERROR(IF(0=LEN(ReferenceData!$AH$70),"",ReferenceData!$AH$70),"")</f>
        <v/>
      </c>
      <c r="AI70" t="str">
        <f ca="1">IFERROR(IF(0=LEN(ReferenceData!$AI$70),"",ReferenceData!$AI$70),"")</f>
        <v/>
      </c>
      <c r="AJ70" t="str">
        <f ca="1">IFERROR(IF(0=LEN(ReferenceData!$AJ$70),"",ReferenceData!$AJ$70),"")</f>
        <v/>
      </c>
      <c r="AK70" t="str">
        <f ca="1">IFERROR(IF(0=LEN(ReferenceData!$AK$70),"",ReferenceData!$AK$70),"")</f>
        <v/>
      </c>
      <c r="AL70" t="str">
        <f ca="1">IFERROR(IF(0=LEN(ReferenceData!$AL$70),"",ReferenceData!$AL$70),"")</f>
        <v/>
      </c>
      <c r="AM70" t="str">
        <f ca="1">IFERROR(IF(0=LEN(ReferenceData!$AM$70),"",ReferenceData!$AM$70),"")</f>
        <v/>
      </c>
      <c r="AN70" t="str">
        <f ca="1">IFERROR(IF(0=LEN(ReferenceData!$AN$70),"",ReferenceData!$AN$70),"")</f>
        <v/>
      </c>
      <c r="AO70" t="str">
        <f ca="1">IFERROR(IF(0=LEN(ReferenceData!$AO$70),"",ReferenceData!$AO$70),"")</f>
        <v/>
      </c>
      <c r="AP70" t="str">
        <f ca="1">IFERROR(IF(0=LEN(ReferenceData!$AP$70),"",ReferenceData!$AP$70),"")</f>
        <v/>
      </c>
      <c r="AQ70" t="str">
        <f ca="1">IFERROR(IF(0=LEN(ReferenceData!$AQ$70),"",ReferenceData!$AQ$70),"")</f>
        <v/>
      </c>
      <c r="AR70" t="str">
        <f ca="1">IFERROR(IF(0=LEN(ReferenceData!$AR$70),"",ReferenceData!$AR$70),"")</f>
        <v/>
      </c>
      <c r="AS70" t="str">
        <f ca="1">IFERROR(IF(0=LEN(ReferenceData!$AS$70),"",ReferenceData!$AS$70),"")</f>
        <v/>
      </c>
      <c r="AT70" t="str">
        <f ca="1">IFERROR(IF(0=LEN(ReferenceData!$AT$70),"",ReferenceData!$AT$70),"")</f>
        <v/>
      </c>
      <c r="AU70" t="str">
        <f ca="1">IFERROR(IF(0=LEN(ReferenceData!$AU$70),"",ReferenceData!$AU$70),"")</f>
        <v/>
      </c>
      <c r="AV70" t="str">
        <f ca="1">IFERROR(IF(0=LEN(ReferenceData!$AV$70),"",ReferenceData!$AV$70),"")</f>
        <v/>
      </c>
      <c r="AW70" t="str">
        <f ca="1">IFERROR(IF(0=LEN(ReferenceData!$AW$70),"",ReferenceData!$AW$70),"")</f>
        <v/>
      </c>
      <c r="AX70" t="str">
        <f ca="1">IFERROR(IF(0=LEN(ReferenceData!$AX$70),"",ReferenceData!$AX$70),"")</f>
        <v/>
      </c>
      <c r="AY70" t="str">
        <f ca="1">IFERROR(IF(0=LEN(ReferenceData!$AY$70),"",ReferenceData!$AY$70),"")</f>
        <v/>
      </c>
      <c r="AZ70" t="str">
        <f ca="1">IFERROR(IF(0=LEN(ReferenceData!$AZ$70),"",ReferenceData!$AZ$70),"")</f>
        <v/>
      </c>
      <c r="BA70" t="str">
        <f ca="1">IFERROR(IF(0=LEN(ReferenceData!$BA$70),"",ReferenceData!$BA$70),"")</f>
        <v/>
      </c>
      <c r="BB70" t="str">
        <f ca="1">IFERROR(IF(0=LEN(ReferenceData!$BB$70),"",ReferenceData!$BB$70),"")</f>
        <v/>
      </c>
      <c r="BC70" t="str">
        <f ca="1">IFERROR(IF(0=LEN(ReferenceData!$BC$70),"",ReferenceData!$BC$70),"")</f>
        <v/>
      </c>
      <c r="BD70" t="str">
        <f ca="1">IFERROR(IF(0=LEN(ReferenceData!$BD$70),"",ReferenceData!$BD$70),"")</f>
        <v/>
      </c>
      <c r="BE70" t="str">
        <f ca="1">IFERROR(IF(0=LEN(ReferenceData!$BE$70),"",ReferenceData!$BE$70),"")</f>
        <v/>
      </c>
      <c r="BF70" t="str">
        <f ca="1">IFERROR(IF(0=LEN(ReferenceData!$BF$70),"",ReferenceData!$BF$70),"")</f>
        <v/>
      </c>
      <c r="BG70" t="str">
        <f ca="1">IFERROR(IF(0=LEN(ReferenceData!$BG$70),"",ReferenceData!$BG$70),"")</f>
        <v/>
      </c>
      <c r="BH70" t="str">
        <f ca="1">IFERROR(IF(0=LEN(ReferenceData!$BH$70),"",ReferenceData!$BH$70),"")</f>
        <v/>
      </c>
      <c r="BI70" t="str">
        <f ca="1">IFERROR(IF(0=LEN(ReferenceData!$BI$70),"",ReferenceData!$BI$70),"")</f>
        <v/>
      </c>
      <c r="BJ70" t="str">
        <f ca="1">IFERROR(IF(0=LEN(ReferenceData!$BJ$70),"",ReferenceData!$BJ$70),"")</f>
        <v/>
      </c>
      <c r="BK70" t="str">
        <f ca="1">IFERROR(IF(0=LEN(ReferenceData!$BK$70),"",ReferenceData!$BK$70),"")</f>
        <v/>
      </c>
      <c r="BL70" t="str">
        <f ca="1">IFERROR(IF(0=LEN(ReferenceData!$BL$70),"",ReferenceData!$BL$70),"")</f>
        <v/>
      </c>
      <c r="BM70" t="str">
        <f ca="1">IFERROR(IF(0=LEN(ReferenceData!$BM$70),"",ReferenceData!$BM$70),"")</f>
        <v/>
      </c>
    </row>
    <row r="71" spans="1:65">
      <c r="A71" t="str">
        <f>IFERROR(IF(0=LEN(ReferenceData!$A$71),"",ReferenceData!$A$71),"")</f>
        <v xml:space="preserve">    Education Realty Trust Inc</v>
      </c>
      <c r="B71" t="str">
        <f>IFERROR(IF(0=LEN(ReferenceData!$B$71),"",ReferenceData!$B$71),"")</f>
        <v>EDR US Equity</v>
      </c>
      <c r="C71" t="str">
        <f>IFERROR(IF(0=LEN(ReferenceData!$C$71),"",ReferenceData!$C$71),"")</f>
        <v>IS972</v>
      </c>
      <c r="D71" t="str">
        <f>IFERROR(IF(0=LEN(ReferenceData!$D$71),"",ReferenceData!$D$71),"")</f>
        <v>IS_ADJUSTED_EBITDA_AS_REPORTED</v>
      </c>
      <c r="E71" t="str">
        <f>IFERROR(IF(0=LEN(ReferenceData!$E$71),"",ReferenceData!$E$71),"")</f>
        <v>动态</v>
      </c>
      <c r="F71" t="str">
        <f ca="1">IFERROR(IF(0=LEN(ReferenceData!$F$71),"",ReferenceData!$F$71),"")</f>
        <v/>
      </c>
      <c r="G71">
        <f ca="1">IFERROR(IF(0=LEN(ReferenceData!$G$71),"",ReferenceData!$G$71),"")</f>
        <v>50.853999999999999</v>
      </c>
      <c r="H71">
        <f ca="1">IFERROR(IF(0=LEN(ReferenceData!$H$71),"",ReferenceData!$H$71),"")</f>
        <v>25.547999999999998</v>
      </c>
      <c r="I71">
        <f ca="1">IFERROR(IF(0=LEN(ReferenceData!$I$71),"",ReferenceData!$I$71),"")</f>
        <v>34.450000000000003</v>
      </c>
      <c r="J71">
        <f ca="1">IFERROR(IF(0=LEN(ReferenceData!$J$71),"",ReferenceData!$J$71),"")</f>
        <v>46.234999999999999</v>
      </c>
      <c r="K71">
        <f ca="1">IFERROR(IF(0=LEN(ReferenceData!$K$71),"",ReferenceData!$K$71),"")</f>
        <v>46.911000000000001</v>
      </c>
      <c r="L71">
        <f ca="1">IFERROR(IF(0=LEN(ReferenceData!$L$71),"",ReferenceData!$L$71),"")</f>
        <v>23.344999999999999</v>
      </c>
      <c r="M71">
        <f ca="1">IFERROR(IF(0=LEN(ReferenceData!$M$71),"",ReferenceData!$M$71),"")</f>
        <v>30.056000000000001</v>
      </c>
      <c r="N71">
        <f ca="1">IFERROR(IF(0=LEN(ReferenceData!$N$71),"",ReferenceData!$N$71),"")</f>
        <v>38.734999999999999</v>
      </c>
      <c r="O71">
        <f ca="1">IFERROR(IF(0=LEN(ReferenceData!$O$71),"",ReferenceData!$O$71),"")</f>
        <v>39.615000000000002</v>
      </c>
      <c r="P71">
        <f ca="1">IFERROR(IF(0=LEN(ReferenceData!$P$71),"",ReferenceData!$P$71),"")</f>
        <v>21.216000000000001</v>
      </c>
      <c r="Q71">
        <f ca="1">IFERROR(IF(0=LEN(ReferenceData!$Q$71),"",ReferenceData!$Q$71),"")</f>
        <v>25.942</v>
      </c>
      <c r="R71">
        <f ca="1">IFERROR(IF(0=LEN(ReferenceData!$R$71),"",ReferenceData!$R$71),"")</f>
        <v>30.710999999999999</v>
      </c>
      <c r="S71">
        <f ca="1">IFERROR(IF(0=LEN(ReferenceData!$S$71),"",ReferenceData!$S$71),"")</f>
        <v>34.418999999999997</v>
      </c>
      <c r="T71">
        <f ca="1">IFERROR(IF(0=LEN(ReferenceData!$T$71),"",ReferenceData!$T$71),"")</f>
        <v>22.414999999999999</v>
      </c>
      <c r="U71">
        <f ca="1">IFERROR(IF(0=LEN(ReferenceData!$U$71),"",ReferenceData!$U$71),"")</f>
        <v>21.800999999999998</v>
      </c>
      <c r="V71">
        <f ca="1">IFERROR(IF(0=LEN(ReferenceData!$V$71),"",ReferenceData!$V$71),"")</f>
        <v>25.195</v>
      </c>
      <c r="W71">
        <f ca="1">IFERROR(IF(0=LEN(ReferenceData!$W$71),"",ReferenceData!$W$71),"")</f>
        <v>29.111999999999998</v>
      </c>
      <c r="X71">
        <f ca="1">IFERROR(IF(0=LEN(ReferenceData!$X$71),"",ReferenceData!$X$71),"")</f>
        <v>13.276999999999999</v>
      </c>
      <c r="Y71">
        <f ca="1">IFERROR(IF(0=LEN(ReferenceData!$Y$71),"",ReferenceData!$Y$71),"")</f>
        <v>17.84</v>
      </c>
      <c r="Z71">
        <f ca="1">IFERROR(IF(0=LEN(ReferenceData!$Z$71),"",ReferenceData!$Z$71),"")</f>
        <v>20.044</v>
      </c>
      <c r="AA71">
        <f ca="1">IFERROR(IF(0=LEN(ReferenceData!$AA$71),"",ReferenceData!$AA$71),"")</f>
        <v>21.687999999999999</v>
      </c>
      <c r="AB71">
        <f ca="1">IFERROR(IF(0=LEN(ReferenceData!$AB$71),"",ReferenceData!$AB$71),"")</f>
        <v>8.2769999999999992</v>
      </c>
      <c r="AC71">
        <f ca="1">IFERROR(IF(0=LEN(ReferenceData!$AC$71),"",ReferenceData!$AC$71),"")</f>
        <v>14.599</v>
      </c>
      <c r="AD71">
        <f ca="1">IFERROR(IF(0=LEN(ReferenceData!$AD$71),"",ReferenceData!$AD$71),"")</f>
        <v>16.451000000000001</v>
      </c>
      <c r="AE71">
        <f ca="1">IFERROR(IF(0=LEN(ReferenceData!$AE$71),"",ReferenceData!$AE$71),"")</f>
        <v>16.838000000000001</v>
      </c>
      <c r="AF71">
        <f ca="1">IFERROR(IF(0=LEN(ReferenceData!$AF$71),"",ReferenceData!$AF$71),"")</f>
        <v>6.1180000000000003</v>
      </c>
      <c r="AG71" t="str">
        <f ca="1">IFERROR(IF(0=LEN(ReferenceData!$AG$71),"",ReferenceData!$AG$71),"")</f>
        <v/>
      </c>
      <c r="AH71" t="str">
        <f ca="1">IFERROR(IF(0=LEN(ReferenceData!$AH$71),"",ReferenceData!$AH$71),"")</f>
        <v/>
      </c>
      <c r="AI71" t="str">
        <f ca="1">IFERROR(IF(0=LEN(ReferenceData!$AI$71),"",ReferenceData!$AI$71),"")</f>
        <v/>
      </c>
      <c r="AJ71" t="str">
        <f ca="1">IFERROR(IF(0=LEN(ReferenceData!$AJ$71),"",ReferenceData!$AJ$71),"")</f>
        <v/>
      </c>
      <c r="AK71" t="str">
        <f ca="1">IFERROR(IF(0=LEN(ReferenceData!$AK$71),"",ReferenceData!$AK$71),"")</f>
        <v/>
      </c>
      <c r="AL71" t="str">
        <f ca="1">IFERROR(IF(0=LEN(ReferenceData!$AL$71),"",ReferenceData!$AL$71),"")</f>
        <v/>
      </c>
      <c r="AM71" t="str">
        <f ca="1">IFERROR(IF(0=LEN(ReferenceData!$AM$71),"",ReferenceData!$AM$71),"")</f>
        <v/>
      </c>
      <c r="AN71" t="str">
        <f ca="1">IFERROR(IF(0=LEN(ReferenceData!$AN$71),"",ReferenceData!$AN$71),"")</f>
        <v/>
      </c>
      <c r="AO71" t="str">
        <f ca="1">IFERROR(IF(0=LEN(ReferenceData!$AO$71),"",ReferenceData!$AO$71),"")</f>
        <v/>
      </c>
      <c r="AP71" t="str">
        <f ca="1">IFERROR(IF(0=LEN(ReferenceData!$AP$71),"",ReferenceData!$AP$71),"")</f>
        <v/>
      </c>
      <c r="AQ71" t="str">
        <f ca="1">IFERROR(IF(0=LEN(ReferenceData!$AQ$71),"",ReferenceData!$AQ$71),"")</f>
        <v/>
      </c>
      <c r="AR71" t="str">
        <f ca="1">IFERROR(IF(0=LEN(ReferenceData!$AR$71),"",ReferenceData!$AR$71),"")</f>
        <v/>
      </c>
      <c r="AS71" t="str">
        <f ca="1">IFERROR(IF(0=LEN(ReferenceData!$AS$71),"",ReferenceData!$AS$71),"")</f>
        <v/>
      </c>
      <c r="AT71" t="str">
        <f ca="1">IFERROR(IF(0=LEN(ReferenceData!$AT$71),"",ReferenceData!$AT$71),"")</f>
        <v/>
      </c>
      <c r="AU71" t="str">
        <f ca="1">IFERROR(IF(0=LEN(ReferenceData!$AU$71),"",ReferenceData!$AU$71),"")</f>
        <v/>
      </c>
      <c r="AV71" t="str">
        <f ca="1">IFERROR(IF(0=LEN(ReferenceData!$AV$71),"",ReferenceData!$AV$71),"")</f>
        <v/>
      </c>
      <c r="AW71" t="str">
        <f ca="1">IFERROR(IF(0=LEN(ReferenceData!$AW$71),"",ReferenceData!$AW$71),"")</f>
        <v/>
      </c>
      <c r="AX71" t="str">
        <f ca="1">IFERROR(IF(0=LEN(ReferenceData!$AX$71),"",ReferenceData!$AX$71),"")</f>
        <v/>
      </c>
      <c r="AY71" t="str">
        <f ca="1">IFERROR(IF(0=LEN(ReferenceData!$AY$71),"",ReferenceData!$AY$71),"")</f>
        <v/>
      </c>
      <c r="AZ71" t="str">
        <f ca="1">IFERROR(IF(0=LEN(ReferenceData!$AZ$71),"",ReferenceData!$AZ$71),"")</f>
        <v/>
      </c>
      <c r="BA71" t="str">
        <f ca="1">IFERROR(IF(0=LEN(ReferenceData!$BA$71),"",ReferenceData!$BA$71),"")</f>
        <v/>
      </c>
      <c r="BB71" t="str">
        <f ca="1">IFERROR(IF(0=LEN(ReferenceData!$BB$71),"",ReferenceData!$BB$71),"")</f>
        <v/>
      </c>
      <c r="BC71" t="str">
        <f ca="1">IFERROR(IF(0=LEN(ReferenceData!$BC$71),"",ReferenceData!$BC$71),"")</f>
        <v/>
      </c>
      <c r="BD71" t="str">
        <f ca="1">IFERROR(IF(0=LEN(ReferenceData!$BD$71),"",ReferenceData!$BD$71),"")</f>
        <v/>
      </c>
      <c r="BE71" t="str">
        <f ca="1">IFERROR(IF(0=LEN(ReferenceData!$BE$71),"",ReferenceData!$BE$71),"")</f>
        <v/>
      </c>
      <c r="BF71" t="str">
        <f ca="1">IFERROR(IF(0=LEN(ReferenceData!$BF$71),"",ReferenceData!$BF$71),"")</f>
        <v/>
      </c>
      <c r="BG71" t="str">
        <f ca="1">IFERROR(IF(0=LEN(ReferenceData!$BG$71),"",ReferenceData!$BG$71),"")</f>
        <v/>
      </c>
      <c r="BH71" t="str">
        <f ca="1">IFERROR(IF(0=LEN(ReferenceData!$BH$71),"",ReferenceData!$BH$71),"")</f>
        <v/>
      </c>
      <c r="BI71" t="str">
        <f ca="1">IFERROR(IF(0=LEN(ReferenceData!$BI$71),"",ReferenceData!$BI$71),"")</f>
        <v/>
      </c>
      <c r="BJ71" t="str">
        <f ca="1">IFERROR(IF(0=LEN(ReferenceData!$BJ$71),"",ReferenceData!$BJ$71),"")</f>
        <v/>
      </c>
      <c r="BK71" t="str">
        <f ca="1">IFERROR(IF(0=LEN(ReferenceData!$BK$71),"",ReferenceData!$BK$71),"")</f>
        <v/>
      </c>
      <c r="BL71" t="str">
        <f ca="1">IFERROR(IF(0=LEN(ReferenceData!$BL$71),"",ReferenceData!$BL$71),"")</f>
        <v/>
      </c>
      <c r="BM71" t="str">
        <f ca="1">IFERROR(IF(0=LEN(ReferenceData!$BM$71),"",ReferenceData!$BM$71),"")</f>
        <v/>
      </c>
    </row>
    <row r="72" spans="1:65">
      <c r="A72" t="str">
        <f>IFERROR(IF(0=LEN(ReferenceData!$A$72),"",ReferenceData!$A$72),"")</f>
        <v xml:space="preserve">    Equity Residential</v>
      </c>
      <c r="B72" t="str">
        <f>IFERROR(IF(0=LEN(ReferenceData!$B$72),"",ReferenceData!$B$72),"")</f>
        <v>EQR US Equity</v>
      </c>
      <c r="C72" t="str">
        <f>IFERROR(IF(0=LEN(ReferenceData!$C$72),"",ReferenceData!$C$72),"")</f>
        <v>IS972</v>
      </c>
      <c r="D72" t="str">
        <f>IFERROR(IF(0=LEN(ReferenceData!$D$72),"",ReferenceData!$D$72),"")</f>
        <v>IS_ADJUSTED_EBITDA_AS_REPORTED</v>
      </c>
      <c r="E72" t="str">
        <f>IFERROR(IF(0=LEN(ReferenceData!$E$72),"",ReferenceData!$E$72),"")</f>
        <v>动态</v>
      </c>
      <c r="F72" t="str">
        <f ca="1">IFERROR(IF(0=LEN(ReferenceData!$F$72),"",ReferenceData!$F$72),"")</f>
        <v/>
      </c>
      <c r="G72">
        <f ca="1">IFERROR(IF(0=LEN(ReferenceData!$G$72),"",ReferenceData!$G$72),"")</f>
        <v>417.245</v>
      </c>
      <c r="H72">
        <f ca="1">IFERROR(IF(0=LEN(ReferenceData!$H$72),"",ReferenceData!$H$72),"")</f>
        <v>402.18099999999998</v>
      </c>
      <c r="I72">
        <f ca="1">IFERROR(IF(0=LEN(ReferenceData!$I$72),"",ReferenceData!$I$72),"")</f>
        <v>390.59800000000001</v>
      </c>
      <c r="J72">
        <f ca="1">IFERROR(IF(0=LEN(ReferenceData!$J$72),"",ReferenceData!$J$72),"")</f>
        <v>383.57400000000001</v>
      </c>
      <c r="K72">
        <f ca="1">IFERROR(IF(0=LEN(ReferenceData!$K$72),"",ReferenceData!$K$72),"")</f>
        <v>402.34699999999998</v>
      </c>
      <c r="L72">
        <f ca="1">IFERROR(IF(0=LEN(ReferenceData!$L$72),"",ReferenceData!$L$72),"")</f>
        <v>389.625</v>
      </c>
      <c r="M72">
        <f ca="1">IFERROR(IF(0=LEN(ReferenceData!$M$72),"",ReferenceData!$M$72),"")</f>
        <v>382.83600000000001</v>
      </c>
      <c r="N72">
        <f ca="1">IFERROR(IF(0=LEN(ReferenceData!$N$72),"",ReferenceData!$N$72),"")</f>
        <v>392.137</v>
      </c>
      <c r="O72">
        <f ca="1">IFERROR(IF(0=LEN(ReferenceData!$O$72),"",ReferenceData!$O$72),"")</f>
        <v>470.15800000000002</v>
      </c>
      <c r="P72">
        <f ca="1">IFERROR(IF(0=LEN(ReferenceData!$P$72),"",ReferenceData!$P$72),"")</f>
        <v>458.42899999999997</v>
      </c>
      <c r="Q72">
        <f ca="1">IFERROR(IF(0=LEN(ReferenceData!$Q$72),"",ReferenceData!$Q$72),"")</f>
        <v>442.69499999999999</v>
      </c>
      <c r="R72">
        <f ca="1">IFERROR(IF(0=LEN(ReferenceData!$R$72),"",ReferenceData!$R$72),"")</f>
        <v>415.19</v>
      </c>
      <c r="S72">
        <f ca="1">IFERROR(IF(0=LEN(ReferenceData!$S$72),"",ReferenceData!$S$72),"")</f>
        <v>443.78199999999998</v>
      </c>
      <c r="T72">
        <f ca="1">IFERROR(IF(0=LEN(ReferenceData!$T$72),"",ReferenceData!$T$72),"")</f>
        <v>433.57900000000001</v>
      </c>
      <c r="U72">
        <f ca="1">IFERROR(IF(0=LEN(ReferenceData!$U$72),"",ReferenceData!$U$72),"")</f>
        <v>418.49200000000002</v>
      </c>
      <c r="V72">
        <f ca="1">IFERROR(IF(0=LEN(ReferenceData!$V$72),"",ReferenceData!$V$72),"")</f>
        <v>385.346</v>
      </c>
      <c r="W72">
        <f ca="1">IFERROR(IF(0=LEN(ReferenceData!$W$72),"",ReferenceData!$W$72),"")</f>
        <v>405.50799999999998</v>
      </c>
      <c r="X72" t="str">
        <f ca="1">IFERROR(IF(0=LEN(ReferenceData!$X$72),"",ReferenceData!$X$72),"")</f>
        <v/>
      </c>
      <c r="Y72" t="str">
        <f ca="1">IFERROR(IF(0=LEN(ReferenceData!$Y$72),"",ReferenceData!$Y$72),"")</f>
        <v/>
      </c>
      <c r="Z72" t="str">
        <f ca="1">IFERROR(IF(0=LEN(ReferenceData!$Z$72),"",ReferenceData!$Z$72),"")</f>
        <v/>
      </c>
      <c r="AA72" t="str">
        <f ca="1">IFERROR(IF(0=LEN(ReferenceData!$AA$72),"",ReferenceData!$AA$72),"")</f>
        <v/>
      </c>
      <c r="AB72" t="str">
        <f ca="1">IFERROR(IF(0=LEN(ReferenceData!$AB$72),"",ReferenceData!$AB$72),"")</f>
        <v/>
      </c>
      <c r="AC72" t="str">
        <f ca="1">IFERROR(IF(0=LEN(ReferenceData!$AC$72),"",ReferenceData!$AC$72),"")</f>
        <v/>
      </c>
      <c r="AD72" t="str">
        <f ca="1">IFERROR(IF(0=LEN(ReferenceData!$AD$72),"",ReferenceData!$AD$72),"")</f>
        <v/>
      </c>
      <c r="AE72" t="str">
        <f ca="1">IFERROR(IF(0=LEN(ReferenceData!$AE$72),"",ReferenceData!$AE$72),"")</f>
        <v/>
      </c>
      <c r="AF72" t="str">
        <f ca="1">IFERROR(IF(0=LEN(ReferenceData!$AF$72),"",ReferenceData!$AF$72),"")</f>
        <v/>
      </c>
      <c r="AG72" t="str">
        <f ca="1">IFERROR(IF(0=LEN(ReferenceData!$AG$72),"",ReferenceData!$AG$72),"")</f>
        <v/>
      </c>
      <c r="AH72" t="str">
        <f ca="1">IFERROR(IF(0=LEN(ReferenceData!$AH$72),"",ReferenceData!$AH$72),"")</f>
        <v/>
      </c>
      <c r="AI72" t="str">
        <f ca="1">IFERROR(IF(0=LEN(ReferenceData!$AI$72),"",ReferenceData!$AI$72),"")</f>
        <v/>
      </c>
      <c r="AJ72" t="str">
        <f ca="1">IFERROR(IF(0=LEN(ReferenceData!$AJ$72),"",ReferenceData!$AJ$72),"")</f>
        <v/>
      </c>
      <c r="AK72" t="str">
        <f ca="1">IFERROR(IF(0=LEN(ReferenceData!$AK$72),"",ReferenceData!$AK$72),"")</f>
        <v/>
      </c>
      <c r="AL72" t="str">
        <f ca="1">IFERROR(IF(0=LEN(ReferenceData!$AL$72),"",ReferenceData!$AL$72),"")</f>
        <v/>
      </c>
      <c r="AM72" t="str">
        <f ca="1">IFERROR(IF(0=LEN(ReferenceData!$AM$72),"",ReferenceData!$AM$72),"")</f>
        <v/>
      </c>
      <c r="AN72" t="str">
        <f ca="1">IFERROR(IF(0=LEN(ReferenceData!$AN$72),"",ReferenceData!$AN$72),"")</f>
        <v/>
      </c>
      <c r="AO72" t="str">
        <f ca="1">IFERROR(IF(0=LEN(ReferenceData!$AO$72),"",ReferenceData!$AO$72),"")</f>
        <v/>
      </c>
      <c r="AP72" t="str">
        <f ca="1">IFERROR(IF(0=LEN(ReferenceData!$AP$72),"",ReferenceData!$AP$72),"")</f>
        <v/>
      </c>
      <c r="AQ72" t="str">
        <f ca="1">IFERROR(IF(0=LEN(ReferenceData!$AQ$72),"",ReferenceData!$AQ$72),"")</f>
        <v/>
      </c>
      <c r="AR72" t="str">
        <f ca="1">IFERROR(IF(0=LEN(ReferenceData!$AR$72),"",ReferenceData!$AR$72),"")</f>
        <v/>
      </c>
      <c r="AS72" t="str">
        <f ca="1">IFERROR(IF(0=LEN(ReferenceData!$AS$72),"",ReferenceData!$AS$72),"")</f>
        <v/>
      </c>
      <c r="AT72" t="str">
        <f ca="1">IFERROR(IF(0=LEN(ReferenceData!$AT$72),"",ReferenceData!$AT$72),"")</f>
        <v/>
      </c>
      <c r="AU72" t="str">
        <f ca="1">IFERROR(IF(0=LEN(ReferenceData!$AU$72),"",ReferenceData!$AU$72),"")</f>
        <v/>
      </c>
      <c r="AV72" t="str">
        <f ca="1">IFERROR(IF(0=LEN(ReferenceData!$AV$72),"",ReferenceData!$AV$72),"")</f>
        <v/>
      </c>
      <c r="AW72" t="str">
        <f ca="1">IFERROR(IF(0=LEN(ReferenceData!$AW$72),"",ReferenceData!$AW$72),"")</f>
        <v/>
      </c>
      <c r="AX72" t="str">
        <f ca="1">IFERROR(IF(0=LEN(ReferenceData!$AX$72),"",ReferenceData!$AX$72),"")</f>
        <v/>
      </c>
      <c r="AY72" t="str">
        <f ca="1">IFERROR(IF(0=LEN(ReferenceData!$AY$72),"",ReferenceData!$AY$72),"")</f>
        <v/>
      </c>
      <c r="AZ72" t="str">
        <f ca="1">IFERROR(IF(0=LEN(ReferenceData!$AZ$72),"",ReferenceData!$AZ$72),"")</f>
        <v/>
      </c>
      <c r="BA72" t="str">
        <f ca="1">IFERROR(IF(0=LEN(ReferenceData!$BA$72),"",ReferenceData!$BA$72),"")</f>
        <v/>
      </c>
      <c r="BB72" t="str">
        <f ca="1">IFERROR(IF(0=LEN(ReferenceData!$BB$72),"",ReferenceData!$BB$72),"")</f>
        <v/>
      </c>
      <c r="BC72" t="str">
        <f ca="1">IFERROR(IF(0=LEN(ReferenceData!$BC$72),"",ReferenceData!$BC$72),"")</f>
        <v/>
      </c>
      <c r="BD72" t="str">
        <f ca="1">IFERROR(IF(0=LEN(ReferenceData!$BD$72),"",ReferenceData!$BD$72),"")</f>
        <v/>
      </c>
      <c r="BE72" t="str">
        <f ca="1">IFERROR(IF(0=LEN(ReferenceData!$BE$72),"",ReferenceData!$BE$72),"")</f>
        <v/>
      </c>
      <c r="BF72" t="str">
        <f ca="1">IFERROR(IF(0=LEN(ReferenceData!$BF$72),"",ReferenceData!$BF$72),"")</f>
        <v/>
      </c>
      <c r="BG72" t="str">
        <f ca="1">IFERROR(IF(0=LEN(ReferenceData!$BG$72),"",ReferenceData!$BG$72),"")</f>
        <v/>
      </c>
      <c r="BH72" t="str">
        <f ca="1">IFERROR(IF(0=LEN(ReferenceData!$BH$72),"",ReferenceData!$BH$72),"")</f>
        <v/>
      </c>
      <c r="BI72" t="str">
        <f ca="1">IFERROR(IF(0=LEN(ReferenceData!$BI$72),"",ReferenceData!$BI$72),"")</f>
        <v/>
      </c>
      <c r="BJ72" t="str">
        <f ca="1">IFERROR(IF(0=LEN(ReferenceData!$BJ$72),"",ReferenceData!$BJ$72),"")</f>
        <v/>
      </c>
      <c r="BK72" t="str">
        <f ca="1">IFERROR(IF(0=LEN(ReferenceData!$BK$72),"",ReferenceData!$BK$72),"")</f>
        <v/>
      </c>
      <c r="BL72" t="str">
        <f ca="1">IFERROR(IF(0=LEN(ReferenceData!$BL$72),"",ReferenceData!$BL$72),"")</f>
        <v/>
      </c>
      <c r="BM72" t="str">
        <f ca="1">IFERROR(IF(0=LEN(ReferenceData!$BM$72),"",ReferenceData!$BM$72),"")</f>
        <v/>
      </c>
    </row>
    <row r="73" spans="1:65">
      <c r="A73" t="str">
        <f>IFERROR(IF(0=LEN(ReferenceData!$A$73),"",ReferenceData!$A$73),"")</f>
        <v xml:space="preserve">    Essex Property Trust Inc</v>
      </c>
      <c r="B73" t="str">
        <f>IFERROR(IF(0=LEN(ReferenceData!$B$73),"",ReferenceData!$B$73),"")</f>
        <v>ESS US Equity</v>
      </c>
      <c r="C73" t="str">
        <f>IFERROR(IF(0=LEN(ReferenceData!$C$73),"",ReferenceData!$C$73),"")</f>
        <v>IS972</v>
      </c>
      <c r="D73" t="str">
        <f>IFERROR(IF(0=LEN(ReferenceData!$D$73),"",ReferenceData!$D$73),"")</f>
        <v>IS_ADJUSTED_EBITDA_AS_REPORTED</v>
      </c>
      <c r="E73" t="str">
        <f>IFERROR(IF(0=LEN(ReferenceData!$E$73),"",ReferenceData!$E$73),"")</f>
        <v>动态</v>
      </c>
      <c r="F73" t="str">
        <f ca="1">IFERROR(IF(0=LEN(ReferenceData!$F$73),"",ReferenceData!$F$73),"")</f>
        <v/>
      </c>
      <c r="G73">
        <f ca="1">IFERROR(IF(0=LEN(ReferenceData!$G$73),"",ReferenceData!$G$73),"")</f>
        <v>242.423</v>
      </c>
      <c r="H73">
        <f ca="1">IFERROR(IF(0=LEN(ReferenceData!$H$73),"",ReferenceData!$H$73),"")</f>
        <v>242.51</v>
      </c>
      <c r="I73">
        <f ca="1">IFERROR(IF(0=LEN(ReferenceData!$I$73),"",ReferenceData!$I$73),"")</f>
        <v>223.99</v>
      </c>
      <c r="J73">
        <f ca="1">IFERROR(IF(0=LEN(ReferenceData!$J$73),"",ReferenceData!$J$73),"")</f>
        <v>236.07</v>
      </c>
      <c r="K73">
        <f ca="1">IFERROR(IF(0=LEN(ReferenceData!$K$73),"",ReferenceData!$K$73),"")</f>
        <v>227.59800000000001</v>
      </c>
      <c r="L73">
        <f ca="1">IFERROR(IF(0=LEN(ReferenceData!$L$73),"",ReferenceData!$L$73),"")</f>
        <v>228.34399999999999</v>
      </c>
      <c r="M73" t="str">
        <f ca="1">IFERROR(IF(0=LEN(ReferenceData!$M$73),"",ReferenceData!$M$73),"")</f>
        <v/>
      </c>
      <c r="N73" t="str">
        <f ca="1">IFERROR(IF(0=LEN(ReferenceData!$N$73),"",ReferenceData!$N$73),"")</f>
        <v/>
      </c>
      <c r="O73" t="str">
        <f ca="1">IFERROR(IF(0=LEN(ReferenceData!$O$73),"",ReferenceData!$O$73),"")</f>
        <v/>
      </c>
      <c r="P73" t="str">
        <f ca="1">IFERROR(IF(0=LEN(ReferenceData!$P$73),"",ReferenceData!$P$73),"")</f>
        <v/>
      </c>
      <c r="Q73" t="str">
        <f ca="1">IFERROR(IF(0=LEN(ReferenceData!$Q$73),"",ReferenceData!$Q$73),"")</f>
        <v/>
      </c>
      <c r="R73" t="str">
        <f ca="1">IFERROR(IF(0=LEN(ReferenceData!$R$73),"",ReferenceData!$R$73),"")</f>
        <v/>
      </c>
      <c r="S73" t="str">
        <f ca="1">IFERROR(IF(0=LEN(ReferenceData!$S$73),"",ReferenceData!$S$73),"")</f>
        <v/>
      </c>
      <c r="T73" t="str">
        <f ca="1">IFERROR(IF(0=LEN(ReferenceData!$T$73),"",ReferenceData!$T$73),"")</f>
        <v/>
      </c>
      <c r="U73" t="str">
        <f ca="1">IFERROR(IF(0=LEN(ReferenceData!$U$73),"",ReferenceData!$U$73),"")</f>
        <v/>
      </c>
      <c r="V73" t="str">
        <f ca="1">IFERROR(IF(0=LEN(ReferenceData!$V$73),"",ReferenceData!$V$73),"")</f>
        <v/>
      </c>
      <c r="W73" t="str">
        <f ca="1">IFERROR(IF(0=LEN(ReferenceData!$W$73),"",ReferenceData!$W$73),"")</f>
        <v/>
      </c>
      <c r="X73" t="str">
        <f ca="1">IFERROR(IF(0=LEN(ReferenceData!$X$73),"",ReferenceData!$X$73),"")</f>
        <v/>
      </c>
      <c r="Y73" t="str">
        <f ca="1">IFERROR(IF(0=LEN(ReferenceData!$Y$73),"",ReferenceData!$Y$73),"")</f>
        <v/>
      </c>
      <c r="Z73" t="str">
        <f ca="1">IFERROR(IF(0=LEN(ReferenceData!$Z$73),"",ReferenceData!$Z$73),"")</f>
        <v/>
      </c>
      <c r="AA73" t="str">
        <f ca="1">IFERROR(IF(0=LEN(ReferenceData!$AA$73),"",ReferenceData!$AA$73),"")</f>
        <v/>
      </c>
      <c r="AB73" t="str">
        <f ca="1">IFERROR(IF(0=LEN(ReferenceData!$AB$73),"",ReferenceData!$AB$73),"")</f>
        <v/>
      </c>
      <c r="AC73" t="str">
        <f ca="1">IFERROR(IF(0=LEN(ReferenceData!$AC$73),"",ReferenceData!$AC$73),"")</f>
        <v/>
      </c>
      <c r="AD73" t="str">
        <f ca="1">IFERROR(IF(0=LEN(ReferenceData!$AD$73),"",ReferenceData!$AD$73),"")</f>
        <v/>
      </c>
      <c r="AE73" t="str">
        <f ca="1">IFERROR(IF(0=LEN(ReferenceData!$AE$73),"",ReferenceData!$AE$73),"")</f>
        <v/>
      </c>
      <c r="AF73" t="str">
        <f ca="1">IFERROR(IF(0=LEN(ReferenceData!$AF$73),"",ReferenceData!$AF$73),"")</f>
        <v/>
      </c>
      <c r="AG73" t="str">
        <f ca="1">IFERROR(IF(0=LEN(ReferenceData!$AG$73),"",ReferenceData!$AG$73),"")</f>
        <v/>
      </c>
      <c r="AH73" t="str">
        <f ca="1">IFERROR(IF(0=LEN(ReferenceData!$AH$73),"",ReferenceData!$AH$73),"")</f>
        <v/>
      </c>
      <c r="AI73" t="str">
        <f ca="1">IFERROR(IF(0=LEN(ReferenceData!$AI$73),"",ReferenceData!$AI$73),"")</f>
        <v/>
      </c>
      <c r="AJ73" t="str">
        <f ca="1">IFERROR(IF(0=LEN(ReferenceData!$AJ$73),"",ReferenceData!$AJ$73),"")</f>
        <v/>
      </c>
      <c r="AK73" t="str">
        <f ca="1">IFERROR(IF(0=LEN(ReferenceData!$AK$73),"",ReferenceData!$AK$73),"")</f>
        <v/>
      </c>
      <c r="AL73" t="str">
        <f ca="1">IFERROR(IF(0=LEN(ReferenceData!$AL$73),"",ReferenceData!$AL$73),"")</f>
        <v/>
      </c>
      <c r="AM73" t="str">
        <f ca="1">IFERROR(IF(0=LEN(ReferenceData!$AM$73),"",ReferenceData!$AM$73),"")</f>
        <v/>
      </c>
      <c r="AN73" t="str">
        <f ca="1">IFERROR(IF(0=LEN(ReferenceData!$AN$73),"",ReferenceData!$AN$73),"")</f>
        <v/>
      </c>
      <c r="AO73" t="str">
        <f ca="1">IFERROR(IF(0=LEN(ReferenceData!$AO$73),"",ReferenceData!$AO$73),"")</f>
        <v/>
      </c>
      <c r="AP73" t="str">
        <f ca="1">IFERROR(IF(0=LEN(ReferenceData!$AP$73),"",ReferenceData!$AP$73),"")</f>
        <v/>
      </c>
      <c r="AQ73" t="str">
        <f ca="1">IFERROR(IF(0=LEN(ReferenceData!$AQ$73),"",ReferenceData!$AQ$73),"")</f>
        <v/>
      </c>
      <c r="AR73" t="str">
        <f ca="1">IFERROR(IF(0=LEN(ReferenceData!$AR$73),"",ReferenceData!$AR$73),"")</f>
        <v/>
      </c>
      <c r="AS73" t="str">
        <f ca="1">IFERROR(IF(0=LEN(ReferenceData!$AS$73),"",ReferenceData!$AS$73),"")</f>
        <v/>
      </c>
      <c r="AT73" t="str">
        <f ca="1">IFERROR(IF(0=LEN(ReferenceData!$AT$73),"",ReferenceData!$AT$73),"")</f>
        <v/>
      </c>
      <c r="AU73" t="str">
        <f ca="1">IFERROR(IF(0=LEN(ReferenceData!$AU$73),"",ReferenceData!$AU$73),"")</f>
        <v/>
      </c>
      <c r="AV73" t="str">
        <f ca="1">IFERROR(IF(0=LEN(ReferenceData!$AV$73),"",ReferenceData!$AV$73),"")</f>
        <v/>
      </c>
      <c r="AW73" t="str">
        <f ca="1">IFERROR(IF(0=LEN(ReferenceData!$AW$73),"",ReferenceData!$AW$73),"")</f>
        <v/>
      </c>
      <c r="AX73" t="str">
        <f ca="1">IFERROR(IF(0=LEN(ReferenceData!$AX$73),"",ReferenceData!$AX$73),"")</f>
        <v/>
      </c>
      <c r="AY73" t="str">
        <f ca="1">IFERROR(IF(0=LEN(ReferenceData!$AY$73),"",ReferenceData!$AY$73),"")</f>
        <v/>
      </c>
      <c r="AZ73" t="str">
        <f ca="1">IFERROR(IF(0=LEN(ReferenceData!$AZ$73),"",ReferenceData!$AZ$73),"")</f>
        <v/>
      </c>
      <c r="BA73" t="str">
        <f ca="1">IFERROR(IF(0=LEN(ReferenceData!$BA$73),"",ReferenceData!$BA$73),"")</f>
        <v/>
      </c>
      <c r="BB73" t="str">
        <f ca="1">IFERROR(IF(0=LEN(ReferenceData!$BB$73),"",ReferenceData!$BB$73),"")</f>
        <v/>
      </c>
      <c r="BC73" t="str">
        <f ca="1">IFERROR(IF(0=LEN(ReferenceData!$BC$73),"",ReferenceData!$BC$73),"")</f>
        <v/>
      </c>
      <c r="BD73" t="str">
        <f ca="1">IFERROR(IF(0=LEN(ReferenceData!$BD$73),"",ReferenceData!$BD$73),"")</f>
        <v/>
      </c>
      <c r="BE73" t="str">
        <f ca="1">IFERROR(IF(0=LEN(ReferenceData!$BE$73),"",ReferenceData!$BE$73),"")</f>
        <v/>
      </c>
      <c r="BF73" t="str">
        <f ca="1">IFERROR(IF(0=LEN(ReferenceData!$BF$73),"",ReferenceData!$BF$73),"")</f>
        <v/>
      </c>
      <c r="BG73" t="str">
        <f ca="1">IFERROR(IF(0=LEN(ReferenceData!$BG$73),"",ReferenceData!$BG$73),"")</f>
        <v/>
      </c>
      <c r="BH73" t="str">
        <f ca="1">IFERROR(IF(0=LEN(ReferenceData!$BH$73),"",ReferenceData!$BH$73),"")</f>
        <v/>
      </c>
      <c r="BI73" t="str">
        <f ca="1">IFERROR(IF(0=LEN(ReferenceData!$BI$73),"",ReferenceData!$BI$73),"")</f>
        <v/>
      </c>
      <c r="BJ73" t="str">
        <f ca="1">IFERROR(IF(0=LEN(ReferenceData!$BJ$73),"",ReferenceData!$BJ$73),"")</f>
        <v/>
      </c>
      <c r="BK73" t="str">
        <f ca="1">IFERROR(IF(0=LEN(ReferenceData!$BK$73),"",ReferenceData!$BK$73),"")</f>
        <v/>
      </c>
      <c r="BL73" t="str">
        <f ca="1">IFERROR(IF(0=LEN(ReferenceData!$BL$73),"",ReferenceData!$BL$73),"")</f>
        <v/>
      </c>
      <c r="BM73" t="str">
        <f ca="1">IFERROR(IF(0=LEN(ReferenceData!$BM$73),"",ReferenceData!$BM$73),"")</f>
        <v/>
      </c>
    </row>
    <row r="74" spans="1:65">
      <c r="A74" t="str">
        <f>IFERROR(IF(0=LEN(ReferenceData!$A$74),"",ReferenceData!$A$74),"")</f>
        <v xml:space="preserve">    Mid-America Apartment Communit</v>
      </c>
      <c r="B74" t="str">
        <f>IFERROR(IF(0=LEN(ReferenceData!$B$74),"",ReferenceData!$B$74),"")</f>
        <v>MAA US Equity</v>
      </c>
      <c r="C74" t="str">
        <f>IFERROR(IF(0=LEN(ReferenceData!$C$74),"",ReferenceData!$C$74),"")</f>
        <v>IS972</v>
      </c>
      <c r="D74" t="str">
        <f>IFERROR(IF(0=LEN(ReferenceData!$D$74),"",ReferenceData!$D$74),"")</f>
        <v>IS_ADJUSTED_EBITDA_AS_REPORTED</v>
      </c>
      <c r="E74" t="str">
        <f>IFERROR(IF(0=LEN(ReferenceData!$E$74),"",ReferenceData!$E$74),"")</f>
        <v>动态</v>
      </c>
      <c r="F74" t="str">
        <f ca="1">IFERROR(IF(0=LEN(ReferenceData!$F$74),"",ReferenceData!$F$74),"")</f>
        <v/>
      </c>
      <c r="G74">
        <f ca="1">IFERROR(IF(0=LEN(ReferenceData!$G$74),"",ReferenceData!$G$74),"")</f>
        <v>225.149</v>
      </c>
      <c r="H74">
        <f ca="1">IFERROR(IF(0=LEN(ReferenceData!$H$74),"",ReferenceData!$H$74),"")</f>
        <v>221.36699999999999</v>
      </c>
      <c r="I74">
        <f ca="1">IFERROR(IF(0=LEN(ReferenceData!$I$74),"",ReferenceData!$I$74),"")</f>
        <v>217.52199999999999</v>
      </c>
      <c r="J74">
        <f ca="1">IFERROR(IF(0=LEN(ReferenceData!$J$74),"",ReferenceData!$J$74),"")</f>
        <v>216.85</v>
      </c>
      <c r="K74">
        <f ca="1">IFERROR(IF(0=LEN(ReferenceData!$K$74),"",ReferenceData!$K$74),"")</f>
        <v>177.44900000000001</v>
      </c>
      <c r="L74">
        <f ca="1">IFERROR(IF(0=LEN(ReferenceData!$L$74),"",ReferenceData!$L$74),"")</f>
        <v>155.74700000000001</v>
      </c>
      <c r="M74">
        <f ca="1">IFERROR(IF(0=LEN(ReferenceData!$M$74),"",ReferenceData!$M$74),"")</f>
        <v>154.01900000000001</v>
      </c>
      <c r="N74">
        <f ca="1">IFERROR(IF(0=LEN(ReferenceData!$N$74),"",ReferenceData!$N$74),"")</f>
        <v>152.58000000000001</v>
      </c>
      <c r="O74">
        <f ca="1">IFERROR(IF(0=LEN(ReferenceData!$O$74),"",ReferenceData!$O$74),"")</f>
        <v>151.29400000000001</v>
      </c>
      <c r="P74">
        <f ca="1">IFERROR(IF(0=LEN(ReferenceData!$P$74),"",ReferenceData!$P$74),"")</f>
        <v>146.71199999999999</v>
      </c>
      <c r="Q74">
        <f ca="1">IFERROR(IF(0=LEN(ReferenceData!$Q$74),"",ReferenceData!$Q$74),"")</f>
        <v>144.398</v>
      </c>
      <c r="R74">
        <f ca="1">IFERROR(IF(0=LEN(ReferenceData!$R$74),"",ReferenceData!$R$74),"")</f>
        <v>142.64099999999999</v>
      </c>
      <c r="S74">
        <f ca="1">IFERROR(IF(0=LEN(ReferenceData!$S$74),"",ReferenceData!$S$74),"")</f>
        <v>143.047</v>
      </c>
      <c r="T74">
        <f ca="1">IFERROR(IF(0=LEN(ReferenceData!$T$74),"",ReferenceData!$T$74),"")</f>
        <v>137.30199999999999</v>
      </c>
      <c r="U74">
        <f ca="1">IFERROR(IF(0=LEN(ReferenceData!$U$74),"",ReferenceData!$U$74),"")</f>
        <v>133.01599999999999</v>
      </c>
      <c r="V74">
        <f ca="1">IFERROR(IF(0=LEN(ReferenceData!$V$74),"",ReferenceData!$V$74),"")</f>
        <v>135.36500000000001</v>
      </c>
      <c r="W74">
        <f ca="1">IFERROR(IF(0=LEN(ReferenceData!$W$74),"",ReferenceData!$W$74),"")</f>
        <v>133.934</v>
      </c>
      <c r="X74">
        <f ca="1">IFERROR(IF(0=LEN(ReferenceData!$X$74),"",ReferenceData!$X$74),"")</f>
        <v>72.159000000000006</v>
      </c>
      <c r="Y74">
        <f ca="1">IFERROR(IF(0=LEN(ReferenceData!$Y$74),"",ReferenceData!$Y$74),"")</f>
        <v>73.108999999999995</v>
      </c>
      <c r="Z74">
        <f ca="1">IFERROR(IF(0=LEN(ReferenceData!$Z$74),"",ReferenceData!$Z$74),"")</f>
        <v>72.173000000000002</v>
      </c>
      <c r="AA74" t="str">
        <f ca="1">IFERROR(IF(0=LEN(ReferenceData!$AA$74),"",ReferenceData!$AA$74),"")</f>
        <v/>
      </c>
      <c r="AB74" t="str">
        <f ca="1">IFERROR(IF(0=LEN(ReferenceData!$AB$74),"",ReferenceData!$AB$74),"")</f>
        <v/>
      </c>
      <c r="AC74" t="str">
        <f ca="1">IFERROR(IF(0=LEN(ReferenceData!$AC$74),"",ReferenceData!$AC$74),"")</f>
        <v/>
      </c>
      <c r="AD74" t="str">
        <f ca="1">IFERROR(IF(0=LEN(ReferenceData!$AD$74),"",ReferenceData!$AD$74),"")</f>
        <v/>
      </c>
      <c r="AE74" t="str">
        <f ca="1">IFERROR(IF(0=LEN(ReferenceData!$AE$74),"",ReferenceData!$AE$74),"")</f>
        <v/>
      </c>
      <c r="AF74" t="str">
        <f ca="1">IFERROR(IF(0=LEN(ReferenceData!$AF$74),"",ReferenceData!$AF$74),"")</f>
        <v/>
      </c>
      <c r="AG74" t="str">
        <f ca="1">IFERROR(IF(0=LEN(ReferenceData!$AG$74),"",ReferenceData!$AG$74),"")</f>
        <v/>
      </c>
      <c r="AH74" t="str">
        <f ca="1">IFERROR(IF(0=LEN(ReferenceData!$AH$74),"",ReferenceData!$AH$74),"")</f>
        <v/>
      </c>
      <c r="AI74" t="str">
        <f ca="1">IFERROR(IF(0=LEN(ReferenceData!$AI$74),"",ReferenceData!$AI$74),"")</f>
        <v/>
      </c>
      <c r="AJ74" t="str">
        <f ca="1">IFERROR(IF(0=LEN(ReferenceData!$AJ$74),"",ReferenceData!$AJ$74),"")</f>
        <v/>
      </c>
      <c r="AK74" t="str">
        <f ca="1">IFERROR(IF(0=LEN(ReferenceData!$AK$74),"",ReferenceData!$AK$74),"")</f>
        <v/>
      </c>
      <c r="AL74" t="str">
        <f ca="1">IFERROR(IF(0=LEN(ReferenceData!$AL$74),"",ReferenceData!$AL$74),"")</f>
        <v/>
      </c>
      <c r="AM74" t="str">
        <f ca="1">IFERROR(IF(0=LEN(ReferenceData!$AM$74),"",ReferenceData!$AM$74),"")</f>
        <v/>
      </c>
      <c r="AN74" t="str">
        <f ca="1">IFERROR(IF(0=LEN(ReferenceData!$AN$74),"",ReferenceData!$AN$74),"")</f>
        <v/>
      </c>
      <c r="AO74" t="str">
        <f ca="1">IFERROR(IF(0=LEN(ReferenceData!$AO$74),"",ReferenceData!$AO$74),"")</f>
        <v/>
      </c>
      <c r="AP74" t="str">
        <f ca="1">IFERROR(IF(0=LEN(ReferenceData!$AP$74),"",ReferenceData!$AP$74),"")</f>
        <v/>
      </c>
      <c r="AQ74" t="str">
        <f ca="1">IFERROR(IF(0=LEN(ReferenceData!$AQ$74),"",ReferenceData!$AQ$74),"")</f>
        <v/>
      </c>
      <c r="AR74" t="str">
        <f ca="1">IFERROR(IF(0=LEN(ReferenceData!$AR$74),"",ReferenceData!$AR$74),"")</f>
        <v/>
      </c>
      <c r="AS74" t="str">
        <f ca="1">IFERROR(IF(0=LEN(ReferenceData!$AS$74),"",ReferenceData!$AS$74),"")</f>
        <v/>
      </c>
      <c r="AT74" t="str">
        <f ca="1">IFERROR(IF(0=LEN(ReferenceData!$AT$74),"",ReferenceData!$AT$74),"")</f>
        <v/>
      </c>
      <c r="AU74" t="str">
        <f ca="1">IFERROR(IF(0=LEN(ReferenceData!$AU$74),"",ReferenceData!$AU$74),"")</f>
        <v/>
      </c>
      <c r="AV74" t="str">
        <f ca="1">IFERROR(IF(0=LEN(ReferenceData!$AV$74),"",ReferenceData!$AV$74),"")</f>
        <v/>
      </c>
      <c r="AW74" t="str">
        <f ca="1">IFERROR(IF(0=LEN(ReferenceData!$AW$74),"",ReferenceData!$AW$74),"")</f>
        <v/>
      </c>
      <c r="AX74" t="str">
        <f ca="1">IFERROR(IF(0=LEN(ReferenceData!$AX$74),"",ReferenceData!$AX$74),"")</f>
        <v/>
      </c>
      <c r="AY74" t="str">
        <f ca="1">IFERROR(IF(0=LEN(ReferenceData!$AY$74),"",ReferenceData!$AY$74),"")</f>
        <v/>
      </c>
      <c r="AZ74" t="str">
        <f ca="1">IFERROR(IF(0=LEN(ReferenceData!$AZ$74),"",ReferenceData!$AZ$74),"")</f>
        <v/>
      </c>
      <c r="BA74" t="str">
        <f ca="1">IFERROR(IF(0=LEN(ReferenceData!$BA$74),"",ReferenceData!$BA$74),"")</f>
        <v/>
      </c>
      <c r="BB74" t="str">
        <f ca="1">IFERROR(IF(0=LEN(ReferenceData!$BB$74),"",ReferenceData!$BB$74),"")</f>
        <v/>
      </c>
      <c r="BC74" t="str">
        <f ca="1">IFERROR(IF(0=LEN(ReferenceData!$BC$74),"",ReferenceData!$BC$74),"")</f>
        <v/>
      </c>
      <c r="BD74" t="str">
        <f ca="1">IFERROR(IF(0=LEN(ReferenceData!$BD$74),"",ReferenceData!$BD$74),"")</f>
        <v/>
      </c>
      <c r="BE74" t="str">
        <f ca="1">IFERROR(IF(0=LEN(ReferenceData!$BE$74),"",ReferenceData!$BE$74),"")</f>
        <v/>
      </c>
      <c r="BF74" t="str">
        <f ca="1">IFERROR(IF(0=LEN(ReferenceData!$BF$74),"",ReferenceData!$BF$74),"")</f>
        <v/>
      </c>
      <c r="BG74" t="str">
        <f ca="1">IFERROR(IF(0=LEN(ReferenceData!$BG$74),"",ReferenceData!$BG$74),"")</f>
        <v/>
      </c>
      <c r="BH74" t="str">
        <f ca="1">IFERROR(IF(0=LEN(ReferenceData!$BH$74),"",ReferenceData!$BH$74),"")</f>
        <v/>
      </c>
      <c r="BI74" t="str">
        <f ca="1">IFERROR(IF(0=LEN(ReferenceData!$BI$74),"",ReferenceData!$BI$74),"")</f>
        <v/>
      </c>
      <c r="BJ74" t="str">
        <f ca="1">IFERROR(IF(0=LEN(ReferenceData!$BJ$74),"",ReferenceData!$BJ$74),"")</f>
        <v/>
      </c>
      <c r="BK74" t="str">
        <f ca="1">IFERROR(IF(0=LEN(ReferenceData!$BK$74),"",ReferenceData!$BK$74),"")</f>
        <v/>
      </c>
      <c r="BL74" t="str">
        <f ca="1">IFERROR(IF(0=LEN(ReferenceData!$BL$74),"",ReferenceData!$BL$74),"")</f>
        <v/>
      </c>
      <c r="BM74" t="str">
        <f ca="1">IFERROR(IF(0=LEN(ReferenceData!$BM$74),"",ReferenceData!$BM$74),"")</f>
        <v/>
      </c>
    </row>
    <row r="75" spans="1:65">
      <c r="A75" t="str">
        <f>IFERROR(IF(0=LEN(ReferenceData!$A$75),"",ReferenceData!$A$75),"")</f>
        <v xml:space="preserve">    UDR Inc</v>
      </c>
      <c r="B75" t="str">
        <f>IFERROR(IF(0=LEN(ReferenceData!$B$75),"",ReferenceData!$B$75),"")</f>
        <v>UDR US Equity</v>
      </c>
      <c r="C75" t="str">
        <f>IFERROR(IF(0=LEN(ReferenceData!$C$75),"",ReferenceData!$C$75),"")</f>
        <v>IS972</v>
      </c>
      <c r="D75" t="str">
        <f>IFERROR(IF(0=LEN(ReferenceData!$D$75),"",ReferenceData!$D$75),"")</f>
        <v>IS_ADJUSTED_EBITDA_AS_REPORTED</v>
      </c>
      <c r="E75" t="str">
        <f>IFERROR(IF(0=LEN(ReferenceData!$E$75),"",ReferenceData!$E$75),"")</f>
        <v>动态</v>
      </c>
      <c r="F75" t="str">
        <f ca="1">IFERROR(IF(0=LEN(ReferenceData!$F$75),"",ReferenceData!$F$75),"")</f>
        <v/>
      </c>
      <c r="G75">
        <f ca="1">IFERROR(IF(0=LEN(ReferenceData!$G$75),"",ReferenceData!$G$75),"")</f>
        <v>173.126</v>
      </c>
      <c r="H75">
        <f ca="1">IFERROR(IF(0=LEN(ReferenceData!$H$75),"",ReferenceData!$H$75),"")</f>
        <v>171.411</v>
      </c>
      <c r="I75">
        <f ca="1">IFERROR(IF(0=LEN(ReferenceData!$I$75),"",ReferenceData!$I$75),"")</f>
        <v>170.999</v>
      </c>
      <c r="J75">
        <f ca="1">IFERROR(IF(0=LEN(ReferenceData!$J$75),"",ReferenceData!$J$75),"")</f>
        <v>165.005</v>
      </c>
      <c r="K75">
        <f ca="1">IFERROR(IF(0=LEN(ReferenceData!$K$75),"",ReferenceData!$K$75),"")</f>
        <v>166.12100000000001</v>
      </c>
      <c r="L75">
        <f ca="1">IFERROR(IF(0=LEN(ReferenceData!$L$75),"",ReferenceData!$L$75),"")</f>
        <v>165.95599999999999</v>
      </c>
      <c r="M75">
        <f ca="1">IFERROR(IF(0=LEN(ReferenceData!$M$75),"",ReferenceData!$M$75),"")</f>
        <v>163.904</v>
      </c>
      <c r="N75">
        <f ca="1">IFERROR(IF(0=LEN(ReferenceData!$N$75),"",ReferenceData!$N$75),"")</f>
        <v>157.92599999999999</v>
      </c>
      <c r="O75">
        <f ca="1">IFERROR(IF(0=LEN(ReferenceData!$O$75),"",ReferenceData!$O$75),"")</f>
        <v>156.922</v>
      </c>
      <c r="P75">
        <f ca="1">IFERROR(IF(0=LEN(ReferenceData!$P$75),"",ReferenceData!$P$75),"")</f>
        <v>146.71299999999999</v>
      </c>
      <c r="Q75">
        <f ca="1">IFERROR(IF(0=LEN(ReferenceData!$Q$75),"",ReferenceData!$Q$75),"")</f>
        <v>144.56700000000001</v>
      </c>
      <c r="R75">
        <f ca="1">IFERROR(IF(0=LEN(ReferenceData!$R$75),"",ReferenceData!$R$75),"")</f>
        <v>137.53100000000001</v>
      </c>
      <c r="S75">
        <f ca="1">IFERROR(IF(0=LEN(ReferenceData!$S$75),"",ReferenceData!$S$75),"")</f>
        <v>138.22499999999999</v>
      </c>
      <c r="T75">
        <f ca="1">IFERROR(IF(0=LEN(ReferenceData!$T$75),"",ReferenceData!$T$75),"")</f>
        <v>133.923</v>
      </c>
      <c r="U75">
        <f ca="1">IFERROR(IF(0=LEN(ReferenceData!$U$75),"",ReferenceData!$U$75),"")</f>
        <v>132.768</v>
      </c>
      <c r="V75">
        <f ca="1">IFERROR(IF(0=LEN(ReferenceData!$V$75),"",ReferenceData!$V$75),"")</f>
        <v>125.155</v>
      </c>
      <c r="W75">
        <f ca="1">IFERROR(IF(0=LEN(ReferenceData!$W$75),"",ReferenceData!$W$75),"")</f>
        <v>124.875</v>
      </c>
      <c r="X75">
        <f ca="1">IFERROR(IF(0=LEN(ReferenceData!$X$75),"",ReferenceData!$X$75),"")</f>
        <v>123.377</v>
      </c>
      <c r="Y75">
        <f ca="1">IFERROR(IF(0=LEN(ReferenceData!$Y$75),"",ReferenceData!$Y$75),"")</f>
        <v>122.696</v>
      </c>
      <c r="Z75">
        <f ca="1">IFERROR(IF(0=LEN(ReferenceData!$Z$75),"",ReferenceData!$Z$75),"")</f>
        <v>119.458</v>
      </c>
      <c r="AA75">
        <f ca="1">IFERROR(IF(0=LEN(ReferenceData!$AA$75),"",ReferenceData!$AA$75),"")</f>
        <v>120.66200000000001</v>
      </c>
      <c r="AB75" t="str">
        <f ca="1">IFERROR(IF(0=LEN(ReferenceData!$AB$75),"",ReferenceData!$AB$75),"")</f>
        <v/>
      </c>
      <c r="AC75" t="str">
        <f ca="1">IFERROR(IF(0=LEN(ReferenceData!$AC$75),"",ReferenceData!$AC$75),"")</f>
        <v/>
      </c>
      <c r="AD75" t="str">
        <f ca="1">IFERROR(IF(0=LEN(ReferenceData!$AD$75),"",ReferenceData!$AD$75),"")</f>
        <v/>
      </c>
      <c r="AE75" t="str">
        <f ca="1">IFERROR(IF(0=LEN(ReferenceData!$AE$75),"",ReferenceData!$AE$75),"")</f>
        <v/>
      </c>
      <c r="AF75" t="str">
        <f ca="1">IFERROR(IF(0=LEN(ReferenceData!$AF$75),"",ReferenceData!$AF$75),"")</f>
        <v/>
      </c>
      <c r="AG75" t="str">
        <f ca="1">IFERROR(IF(0=LEN(ReferenceData!$AG$75),"",ReferenceData!$AG$75),"")</f>
        <v/>
      </c>
      <c r="AH75" t="str">
        <f ca="1">IFERROR(IF(0=LEN(ReferenceData!$AH$75),"",ReferenceData!$AH$75),"")</f>
        <v/>
      </c>
      <c r="AI75" t="str">
        <f ca="1">IFERROR(IF(0=LEN(ReferenceData!$AI$75),"",ReferenceData!$AI$75),"")</f>
        <v/>
      </c>
      <c r="AJ75" t="str">
        <f ca="1">IFERROR(IF(0=LEN(ReferenceData!$AJ$75),"",ReferenceData!$AJ$75),"")</f>
        <v/>
      </c>
      <c r="AK75" t="str">
        <f ca="1">IFERROR(IF(0=LEN(ReferenceData!$AK$75),"",ReferenceData!$AK$75),"")</f>
        <v/>
      </c>
      <c r="AL75" t="str">
        <f ca="1">IFERROR(IF(0=LEN(ReferenceData!$AL$75),"",ReferenceData!$AL$75),"")</f>
        <v/>
      </c>
      <c r="AM75" t="str">
        <f ca="1">IFERROR(IF(0=LEN(ReferenceData!$AM$75),"",ReferenceData!$AM$75),"")</f>
        <v/>
      </c>
      <c r="AN75" t="str">
        <f ca="1">IFERROR(IF(0=LEN(ReferenceData!$AN$75),"",ReferenceData!$AN$75),"")</f>
        <v/>
      </c>
      <c r="AO75" t="str">
        <f ca="1">IFERROR(IF(0=LEN(ReferenceData!$AO$75),"",ReferenceData!$AO$75),"")</f>
        <v/>
      </c>
      <c r="AP75" t="str">
        <f ca="1">IFERROR(IF(0=LEN(ReferenceData!$AP$75),"",ReferenceData!$AP$75),"")</f>
        <v/>
      </c>
      <c r="AQ75" t="str">
        <f ca="1">IFERROR(IF(0=LEN(ReferenceData!$AQ$75),"",ReferenceData!$AQ$75),"")</f>
        <v/>
      </c>
      <c r="AR75" t="str">
        <f ca="1">IFERROR(IF(0=LEN(ReferenceData!$AR$75),"",ReferenceData!$AR$75),"")</f>
        <v/>
      </c>
      <c r="AS75" t="str">
        <f ca="1">IFERROR(IF(0=LEN(ReferenceData!$AS$75),"",ReferenceData!$AS$75),"")</f>
        <v/>
      </c>
      <c r="AT75" t="str">
        <f ca="1">IFERROR(IF(0=LEN(ReferenceData!$AT$75),"",ReferenceData!$AT$75),"")</f>
        <v/>
      </c>
      <c r="AU75" t="str">
        <f ca="1">IFERROR(IF(0=LEN(ReferenceData!$AU$75),"",ReferenceData!$AU$75),"")</f>
        <v/>
      </c>
      <c r="AV75" t="str">
        <f ca="1">IFERROR(IF(0=LEN(ReferenceData!$AV$75),"",ReferenceData!$AV$75),"")</f>
        <v/>
      </c>
      <c r="AW75" t="str">
        <f ca="1">IFERROR(IF(0=LEN(ReferenceData!$AW$75),"",ReferenceData!$AW$75),"")</f>
        <v/>
      </c>
      <c r="AX75" t="str">
        <f ca="1">IFERROR(IF(0=LEN(ReferenceData!$AX$75),"",ReferenceData!$AX$75),"")</f>
        <v/>
      </c>
      <c r="AY75" t="str">
        <f ca="1">IFERROR(IF(0=LEN(ReferenceData!$AY$75),"",ReferenceData!$AY$75),"")</f>
        <v/>
      </c>
      <c r="AZ75" t="str">
        <f ca="1">IFERROR(IF(0=LEN(ReferenceData!$AZ$75),"",ReferenceData!$AZ$75),"")</f>
        <v/>
      </c>
      <c r="BA75" t="str">
        <f ca="1">IFERROR(IF(0=LEN(ReferenceData!$BA$75),"",ReferenceData!$BA$75),"")</f>
        <v/>
      </c>
      <c r="BB75" t="str">
        <f ca="1">IFERROR(IF(0=LEN(ReferenceData!$BB$75),"",ReferenceData!$BB$75),"")</f>
        <v/>
      </c>
      <c r="BC75" t="str">
        <f ca="1">IFERROR(IF(0=LEN(ReferenceData!$BC$75),"",ReferenceData!$BC$75),"")</f>
        <v/>
      </c>
      <c r="BD75" t="str">
        <f ca="1">IFERROR(IF(0=LEN(ReferenceData!$BD$75),"",ReferenceData!$BD$75),"")</f>
        <v/>
      </c>
      <c r="BE75" t="str">
        <f ca="1">IFERROR(IF(0=LEN(ReferenceData!$BE$75),"",ReferenceData!$BE$75),"")</f>
        <v/>
      </c>
      <c r="BF75" t="str">
        <f ca="1">IFERROR(IF(0=LEN(ReferenceData!$BF$75),"",ReferenceData!$BF$75),"")</f>
        <v/>
      </c>
      <c r="BG75" t="str">
        <f ca="1">IFERROR(IF(0=LEN(ReferenceData!$BG$75),"",ReferenceData!$BG$75),"")</f>
        <v/>
      </c>
      <c r="BH75" t="str">
        <f ca="1">IFERROR(IF(0=LEN(ReferenceData!$BH$75),"",ReferenceData!$BH$75),"")</f>
        <v/>
      </c>
      <c r="BI75" t="str">
        <f ca="1">IFERROR(IF(0=LEN(ReferenceData!$BI$75),"",ReferenceData!$BI$75),"")</f>
        <v/>
      </c>
      <c r="BJ75" t="str">
        <f ca="1">IFERROR(IF(0=LEN(ReferenceData!$BJ$75),"",ReferenceData!$BJ$75),"")</f>
        <v/>
      </c>
      <c r="BK75" t="str">
        <f ca="1">IFERROR(IF(0=LEN(ReferenceData!$BK$75),"",ReferenceData!$BK$75),"")</f>
        <v/>
      </c>
      <c r="BL75" t="str">
        <f ca="1">IFERROR(IF(0=LEN(ReferenceData!$BL$75),"",ReferenceData!$BL$75),"")</f>
        <v/>
      </c>
      <c r="BM75" t="str">
        <f ca="1">IFERROR(IF(0=LEN(ReferenceData!$BM$75),"",ReferenceData!$BM$75),"")</f>
        <v/>
      </c>
    </row>
    <row r="76" spans="1:65">
      <c r="A76" t="str">
        <f>IFERROR(IF(0=LEN(ReferenceData!$A$76),"",ReferenceData!$A$76),"")</f>
        <v>营运现金流</v>
      </c>
      <c r="B76" t="str">
        <f>IFERROR(IF(0=LEN(ReferenceData!$B$76),"",ReferenceData!$B$76),"")</f>
        <v/>
      </c>
      <c r="C76" t="str">
        <f>IFERROR(IF(0=LEN(ReferenceData!$C$76),"",ReferenceData!$C$76),"")</f>
        <v/>
      </c>
      <c r="D76" t="str">
        <f>IFERROR(IF(0=LEN(ReferenceData!$D$76),"",ReferenceData!$D$76),"")</f>
        <v/>
      </c>
      <c r="E76" t="str">
        <f>IFERROR(IF(0=LEN(ReferenceData!$E$76),"",ReferenceData!$E$76),"")</f>
        <v>Median</v>
      </c>
      <c r="F76" t="str">
        <f ca="1">IFERROR(IF(0=LEN(ReferenceData!$F$76),"",ReferenceData!$F$76),"")</f>
        <v/>
      </c>
      <c r="G76">
        <f ca="1">IFERROR(IF(0=LEN(ReferenceData!$G$76),"",ReferenceData!$G$76),"")</f>
        <v>157.1165</v>
      </c>
      <c r="H76">
        <f ca="1">IFERROR(IF(0=LEN(ReferenceData!$H$76),"",ReferenceData!$H$76),"")</f>
        <v>156.65899999999999</v>
      </c>
      <c r="I76">
        <f ca="1">IFERROR(IF(0=LEN(ReferenceData!$I$76),"",ReferenceData!$I$76),"")</f>
        <v>154.23099999999999</v>
      </c>
      <c r="J76">
        <f ca="1">IFERROR(IF(0=LEN(ReferenceData!$J$76),"",ReferenceData!$J$76),"")</f>
        <v>153.08600000000001</v>
      </c>
      <c r="K76">
        <f ca="1">IFERROR(IF(0=LEN(ReferenceData!$K$76),"",ReferenceData!$K$76),"")</f>
        <v>122.0155</v>
      </c>
      <c r="L76">
        <f ca="1">IFERROR(IF(0=LEN(ReferenceData!$L$76),"",ReferenceData!$L$76),"")</f>
        <v>126.5975</v>
      </c>
      <c r="M76">
        <f ca="1">IFERROR(IF(0=LEN(ReferenceData!$M$76),"",ReferenceData!$M$76),"")</f>
        <v>126.52550000000001</v>
      </c>
      <c r="N76">
        <f ca="1">IFERROR(IF(0=LEN(ReferenceData!$N$76),"",ReferenceData!$N$76),"")</f>
        <v>122.64449999999999</v>
      </c>
      <c r="O76">
        <f ca="1">IFERROR(IF(0=LEN(ReferenceData!$O$76),"",ReferenceData!$O$76),"")</f>
        <v>118.511</v>
      </c>
      <c r="P76">
        <f ca="1">IFERROR(IF(0=LEN(ReferenceData!$P$76),"",ReferenceData!$P$76),"")</f>
        <v>114.10400000000001</v>
      </c>
      <c r="Q76">
        <f ca="1">IFERROR(IF(0=LEN(ReferenceData!$Q$76),"",ReferenceData!$Q$76),"")</f>
        <v>110.8505</v>
      </c>
      <c r="R76">
        <f ca="1">IFERROR(IF(0=LEN(ReferenceData!$R$76),"",ReferenceData!$R$76),"")</f>
        <v>111.43350000000001</v>
      </c>
      <c r="S76">
        <f ca="1">IFERROR(IF(0=LEN(ReferenceData!$S$76),"",ReferenceData!$S$76),"")</f>
        <v>107.65</v>
      </c>
      <c r="T76">
        <f ca="1">IFERROR(IF(0=LEN(ReferenceData!$T$76),"",ReferenceData!$T$76),"")</f>
        <v>103.837</v>
      </c>
      <c r="U76">
        <f ca="1">IFERROR(IF(0=LEN(ReferenceData!$U$76),"",ReferenceData!$U$76),"")</f>
        <v>95.513000000000005</v>
      </c>
      <c r="V76">
        <f ca="1">IFERROR(IF(0=LEN(ReferenceData!$V$76),"",ReferenceData!$V$76),"")</f>
        <v>94.935000000000002</v>
      </c>
      <c r="W76">
        <f ca="1">IFERROR(IF(0=LEN(ReferenceData!$W$76),"",ReferenceData!$W$76),"")</f>
        <v>84.42</v>
      </c>
      <c r="X76">
        <f ca="1">IFERROR(IF(0=LEN(ReferenceData!$X$76),"",ReferenceData!$X$76),"")</f>
        <v>84.472999999999999</v>
      </c>
      <c r="Y76">
        <f ca="1">IFERROR(IF(0=LEN(ReferenceData!$Y$76),"",ReferenceData!$Y$76),"")</f>
        <v>83.527000000000001</v>
      </c>
      <c r="Z76">
        <f ca="1">IFERROR(IF(0=LEN(ReferenceData!$Z$76),"",ReferenceData!$Z$76),"")</f>
        <v>78.235500000000002</v>
      </c>
      <c r="AA76">
        <f ca="1">IFERROR(IF(0=LEN(ReferenceData!$AA$76),"",ReferenceData!$AA$76),"")</f>
        <v>73.5565</v>
      </c>
      <c r="AB76">
        <f ca="1">IFERROR(IF(0=LEN(ReferenceData!$AB$76),"",ReferenceData!$AB$76),"")</f>
        <v>72.745000000000005</v>
      </c>
      <c r="AC76">
        <f ca="1">IFERROR(IF(0=LEN(ReferenceData!$AC$76),"",ReferenceData!$AC$76),"")</f>
        <v>69.574999999999989</v>
      </c>
      <c r="AD76">
        <f ca="1">IFERROR(IF(0=LEN(ReferenceData!$AD$76),"",ReferenceData!$AD$76),"")</f>
        <v>63.923500000000004</v>
      </c>
      <c r="AE76">
        <f ca="1">IFERROR(IF(0=LEN(ReferenceData!$AE$76),"",ReferenceData!$AE$76),"")</f>
        <v>59.9</v>
      </c>
      <c r="AF76">
        <f ca="1">IFERROR(IF(0=LEN(ReferenceData!$AF$76),"",ReferenceData!$AF$76),"")</f>
        <v>54.665000000000006</v>
      </c>
      <c r="AG76">
        <f ca="1">IFERROR(IF(0=LEN(ReferenceData!$AG$76),"",ReferenceData!$AG$76),"")</f>
        <v>40.714500000000001</v>
      </c>
      <c r="AH76">
        <f ca="1">IFERROR(IF(0=LEN(ReferenceData!$AH$76),"",ReferenceData!$AH$76),"")</f>
        <v>51.316000000000003</v>
      </c>
      <c r="AI76">
        <f ca="1">IFERROR(IF(0=LEN(ReferenceData!$AI$76),"",ReferenceData!$AI$76),"")</f>
        <v>48.242000000000004</v>
      </c>
      <c r="AJ76">
        <f ca="1">IFERROR(IF(0=LEN(ReferenceData!$AJ$76),"",ReferenceData!$AJ$76),"")</f>
        <v>43.304000000000002</v>
      </c>
      <c r="AK76">
        <f ca="1">IFERROR(IF(0=LEN(ReferenceData!$AK$76),"",ReferenceData!$AK$76),"")</f>
        <v>44.156500000000001</v>
      </c>
      <c r="AL76">
        <f ca="1">IFERROR(IF(0=LEN(ReferenceData!$AL$76),"",ReferenceData!$AL$76),"")</f>
        <v>45.797499999999999</v>
      </c>
      <c r="AM76">
        <f ca="1">IFERROR(IF(0=LEN(ReferenceData!$AM$76),"",ReferenceData!$AM$76),"")</f>
        <v>32.243499999999997</v>
      </c>
      <c r="AN76">
        <f ca="1">IFERROR(IF(0=LEN(ReferenceData!$AN$76),"",ReferenceData!$AN$76),"")</f>
        <v>38.451999999999998</v>
      </c>
      <c r="AO76">
        <f ca="1">IFERROR(IF(0=LEN(ReferenceData!$AO$76),"",ReferenceData!$AO$76),"")</f>
        <v>44.287500000000001</v>
      </c>
      <c r="AP76">
        <f ca="1">IFERROR(IF(0=LEN(ReferenceData!$AP$76),"",ReferenceData!$AP$76),"")</f>
        <v>53.292500000000004</v>
      </c>
      <c r="AQ76">
        <f ca="1">IFERROR(IF(0=LEN(ReferenceData!$AQ$76),"",ReferenceData!$AQ$76),"")</f>
        <v>25.532499999999999</v>
      </c>
      <c r="AR76">
        <f ca="1">IFERROR(IF(0=LEN(ReferenceData!$AR$76),"",ReferenceData!$AR$76),"")</f>
        <v>44.546500000000002</v>
      </c>
      <c r="AS76">
        <f ca="1">IFERROR(IF(0=LEN(ReferenceData!$AS$76),"",ReferenceData!$AS$76),"")</f>
        <v>42.435500000000005</v>
      </c>
      <c r="AT76">
        <f ca="1">IFERROR(IF(0=LEN(ReferenceData!$AT$76),"",ReferenceData!$AT$76),"")</f>
        <v>48.578000000000003</v>
      </c>
      <c r="AU76">
        <f ca="1">IFERROR(IF(0=LEN(ReferenceData!$AU$76),"",ReferenceData!$AU$76),"")</f>
        <v>45.918999999999997</v>
      </c>
      <c r="AV76">
        <f ca="1">IFERROR(IF(0=LEN(ReferenceData!$AV$76),"",ReferenceData!$AV$76),"")</f>
        <v>46.802500000000002</v>
      </c>
      <c r="AW76">
        <f ca="1">IFERROR(IF(0=LEN(ReferenceData!$AW$76),"",ReferenceData!$AW$76),"")</f>
        <v>47.154499999999999</v>
      </c>
      <c r="AX76">
        <f ca="1">IFERROR(IF(0=LEN(ReferenceData!$AX$76),"",ReferenceData!$AX$76),"")</f>
        <v>50.652999999999999</v>
      </c>
      <c r="AY76">
        <f ca="1">IFERROR(IF(0=LEN(ReferenceData!$AY$76),"",ReferenceData!$AY$76),"")</f>
        <v>43.159499999999994</v>
      </c>
      <c r="AZ76">
        <f ca="1">IFERROR(IF(0=LEN(ReferenceData!$AZ$76),"",ReferenceData!$AZ$76),"")</f>
        <v>46.078499999999998</v>
      </c>
      <c r="BA76">
        <f ca="1">IFERROR(IF(0=LEN(ReferenceData!$BA$76),"",ReferenceData!$BA$76),"")</f>
        <v>45.277500000000003</v>
      </c>
      <c r="BB76">
        <f ca="1">IFERROR(IF(0=LEN(ReferenceData!$BB$76),"",ReferenceData!$BB$76),"")</f>
        <v>40.378</v>
      </c>
      <c r="BC76">
        <f ca="1">IFERROR(IF(0=LEN(ReferenceData!$BC$76),"",ReferenceData!$BC$76),"")</f>
        <v>35.439</v>
      </c>
      <c r="BD76">
        <f ca="1">IFERROR(IF(0=LEN(ReferenceData!$BD$76),"",ReferenceData!$BD$76),"")</f>
        <v>37.018500000000003</v>
      </c>
      <c r="BE76">
        <f ca="1">IFERROR(IF(0=LEN(ReferenceData!$BE$76),"",ReferenceData!$BE$76),"")</f>
        <v>47.103000000000002</v>
      </c>
      <c r="BF76">
        <f ca="1">IFERROR(IF(0=LEN(ReferenceData!$BF$76),"",ReferenceData!$BF$76),"")</f>
        <v>45.96</v>
      </c>
      <c r="BG76">
        <f ca="1">IFERROR(IF(0=LEN(ReferenceData!$BG$76),"",ReferenceData!$BG$76),"")</f>
        <v>38.185000000000002</v>
      </c>
      <c r="BH76">
        <f ca="1">IFERROR(IF(0=LEN(ReferenceData!$BH$76),"",ReferenceData!$BH$76),"")</f>
        <v>34.47</v>
      </c>
      <c r="BI76">
        <f ca="1">IFERROR(IF(0=LEN(ReferenceData!$BI$76),"",ReferenceData!$BI$76),"")</f>
        <v>24.603999999999999</v>
      </c>
      <c r="BJ76">
        <f ca="1">IFERROR(IF(0=LEN(ReferenceData!$BJ$76),"",ReferenceData!$BJ$76),"")</f>
        <v>36.785998999999997</v>
      </c>
      <c r="BK76">
        <f ca="1">IFERROR(IF(0=LEN(ReferenceData!$BK$76),"",ReferenceData!$BK$76),"")</f>
        <v>36.337001800000003</v>
      </c>
      <c r="BL76">
        <f ca="1">IFERROR(IF(0=LEN(ReferenceData!$BL$76),"",ReferenceData!$BL$76),"")</f>
        <v>42.553999500000003</v>
      </c>
      <c r="BM76">
        <f ca="1">IFERROR(IF(0=LEN(ReferenceData!$BM$76),"",ReferenceData!$BM$76),"")</f>
        <v>42.409499499999995</v>
      </c>
    </row>
    <row r="77" spans="1:65">
      <c r="A77" t="str">
        <f>IFERROR(IF(0=LEN(ReferenceData!$A$77),"",ReferenceData!$A$77),"")</f>
        <v xml:space="preserve">    American Campus Communities In</v>
      </c>
      <c r="B77" t="str">
        <f>IFERROR(IF(0=LEN(ReferenceData!$B$77),"",ReferenceData!$B$77),"")</f>
        <v>ACC US Equity</v>
      </c>
      <c r="C77" t="str">
        <f>IFERROR(IF(0=LEN(ReferenceData!$C$77),"",ReferenceData!$C$77),"")</f>
        <v>CF039</v>
      </c>
      <c r="D77" t="str">
        <f>IFERROR(IF(0=LEN(ReferenceData!$D$77),"",ReferenceData!$D$77),"")</f>
        <v>CF_FFO</v>
      </c>
      <c r="E77" t="str">
        <f>IFERROR(IF(0=LEN(ReferenceData!$E$77),"",ReferenceData!$E$77),"")</f>
        <v>动态</v>
      </c>
      <c r="F77" t="str">
        <f ca="1">IFERROR(IF(0=LEN(ReferenceData!$F$77),"",ReferenceData!$F$77),"")</f>
        <v/>
      </c>
      <c r="G77">
        <f ca="1">IFERROR(IF(0=LEN(ReferenceData!$G$77),"",ReferenceData!$G$77),"")</f>
        <v>103.90900000000001</v>
      </c>
      <c r="H77">
        <f ca="1">IFERROR(IF(0=LEN(ReferenceData!$H$77),"",ReferenceData!$H$77),"")</f>
        <v>58.975000000000001</v>
      </c>
      <c r="I77">
        <f ca="1">IFERROR(IF(0=LEN(ReferenceData!$I$77),"",ReferenceData!$I$77),"")</f>
        <v>68.507000000000005</v>
      </c>
      <c r="J77">
        <f ca="1">IFERROR(IF(0=LEN(ReferenceData!$J$77),"",ReferenceData!$J$77),"")</f>
        <v>85.966999999999999</v>
      </c>
      <c r="K77">
        <f ca="1">IFERROR(IF(0=LEN(ReferenceData!$K$77),"",ReferenceData!$K$77),"")</f>
        <v>77.954999999999998</v>
      </c>
      <c r="L77">
        <f ca="1">IFERROR(IF(0=LEN(ReferenceData!$L$77),"",ReferenceData!$L$77),"")</f>
        <v>61.146000000000001</v>
      </c>
      <c r="M77">
        <f ca="1">IFERROR(IF(0=LEN(ReferenceData!$M$77),"",ReferenceData!$M$77),"")</f>
        <v>71.650000000000006</v>
      </c>
      <c r="N77">
        <f ca="1">IFERROR(IF(0=LEN(ReferenceData!$N$77),"",ReferenceData!$N$77),"")</f>
        <v>81.846000000000004</v>
      </c>
      <c r="O77">
        <f ca="1">IFERROR(IF(0=LEN(ReferenceData!$O$77),"",ReferenceData!$O$77),"")</f>
        <v>82.626000000000005</v>
      </c>
      <c r="P77">
        <f ca="1">IFERROR(IF(0=LEN(ReferenceData!$P$77),"",ReferenceData!$P$77),"")</f>
        <v>48.603000000000002</v>
      </c>
      <c r="Q77">
        <f ca="1">IFERROR(IF(0=LEN(ReferenceData!$Q$77),"",ReferenceData!$Q$77),"")</f>
        <v>63.113</v>
      </c>
      <c r="R77">
        <f ca="1">IFERROR(IF(0=LEN(ReferenceData!$R$77),"",ReferenceData!$R$77),"")</f>
        <v>77.039000000000001</v>
      </c>
      <c r="S77">
        <f ca="1">IFERROR(IF(0=LEN(ReferenceData!$S$77),"",ReferenceData!$S$77),"")</f>
        <v>78.135000000000005</v>
      </c>
      <c r="T77">
        <f ca="1">IFERROR(IF(0=LEN(ReferenceData!$T$77),"",ReferenceData!$T$77),"")</f>
        <v>45.688000000000002</v>
      </c>
      <c r="U77">
        <f ca="1">IFERROR(IF(0=LEN(ReferenceData!$U$77),"",ReferenceData!$U$77),"")</f>
        <v>61.615000000000002</v>
      </c>
      <c r="V77">
        <f ca="1">IFERROR(IF(0=LEN(ReferenceData!$V$77),"",ReferenceData!$V$77),"")</f>
        <v>73.792000000000002</v>
      </c>
      <c r="W77">
        <f ca="1">IFERROR(IF(0=LEN(ReferenceData!$W$77),"",ReferenceData!$W$77),"")</f>
        <v>72.816000000000003</v>
      </c>
      <c r="X77">
        <f ca="1">IFERROR(IF(0=LEN(ReferenceData!$X$77),"",ReferenceData!$X$77),"")</f>
        <v>39.905999999999999</v>
      </c>
      <c r="Y77">
        <f ca="1">IFERROR(IF(0=LEN(ReferenceData!$Y$77),"",ReferenceData!$Y$77),"")</f>
        <v>55.552999999999997</v>
      </c>
      <c r="Z77">
        <f ca="1">IFERROR(IF(0=LEN(ReferenceData!$Z$77),"",ReferenceData!$Z$77),"")</f>
        <v>68.501999999999995</v>
      </c>
      <c r="AA77">
        <f ca="1">IFERROR(IF(0=LEN(ReferenceData!$AA$77),"",ReferenceData!$AA$77),"")</f>
        <v>58.472999999999999</v>
      </c>
      <c r="AB77">
        <f ca="1">IFERROR(IF(0=LEN(ReferenceData!$AB$77),"",ReferenceData!$AB$77),"")</f>
        <v>28.878</v>
      </c>
      <c r="AC77">
        <f ca="1">IFERROR(IF(0=LEN(ReferenceData!$AC$77),"",ReferenceData!$AC$77),"")</f>
        <v>36.606999999999999</v>
      </c>
      <c r="AD77">
        <f ca="1">IFERROR(IF(0=LEN(ReferenceData!$AD$77),"",ReferenceData!$AD$77),"")</f>
        <v>44.396999999999998</v>
      </c>
      <c r="AE77">
        <f ca="1">IFERROR(IF(0=LEN(ReferenceData!$AE$77),"",ReferenceData!$AE$77),"")</f>
        <v>39.390999999999998</v>
      </c>
      <c r="AF77">
        <f ca="1">IFERROR(IF(0=LEN(ReferenceData!$AF$77),"",ReferenceData!$AF$77),"")</f>
        <v>23.725000000000001</v>
      </c>
      <c r="AG77">
        <f ca="1">IFERROR(IF(0=LEN(ReferenceData!$AG$77),"",ReferenceData!$AG$77),"")</f>
        <v>29.367999999999999</v>
      </c>
      <c r="AH77">
        <f ca="1">IFERROR(IF(0=LEN(ReferenceData!$AH$77),"",ReferenceData!$AH$77),"")</f>
        <v>39.802999999999997</v>
      </c>
      <c r="AI77">
        <f ca="1">IFERROR(IF(0=LEN(ReferenceData!$AI$77),"",ReferenceData!$AI$77),"")</f>
        <v>35.366999999999997</v>
      </c>
      <c r="AJ77">
        <f ca="1">IFERROR(IF(0=LEN(ReferenceData!$AJ$77),"",ReferenceData!$AJ$77),"")</f>
        <v>23.614999999999998</v>
      </c>
      <c r="AK77">
        <f ca="1">IFERROR(IF(0=LEN(ReferenceData!$AK$77),"",ReferenceData!$AK$77),"")</f>
        <v>18.68</v>
      </c>
      <c r="AL77">
        <f ca="1">IFERROR(IF(0=LEN(ReferenceData!$AL$77),"",ReferenceData!$AL$77),"")</f>
        <v>19.635999999999999</v>
      </c>
      <c r="AM77">
        <f ca="1">IFERROR(IF(0=LEN(ReferenceData!$AM$77),"",ReferenceData!$AM$77),"")</f>
        <v>25.795999999999999</v>
      </c>
      <c r="AN77">
        <f ca="1">IFERROR(IF(0=LEN(ReferenceData!$AN$77),"",ReferenceData!$AN$77),"")</f>
        <v>13.101000000000001</v>
      </c>
      <c r="AO77">
        <f ca="1">IFERROR(IF(0=LEN(ReferenceData!$AO$77),"",ReferenceData!$AO$77),"")</f>
        <v>15.378</v>
      </c>
      <c r="AP77">
        <f ca="1">IFERROR(IF(0=LEN(ReferenceData!$AP$77),"",ReferenceData!$AP$77),"")</f>
        <v>20.756</v>
      </c>
      <c r="AQ77">
        <f ca="1">IFERROR(IF(0=LEN(ReferenceData!$AQ$77),"",ReferenceData!$AQ$77),"")</f>
        <v>16.821000000000002</v>
      </c>
      <c r="AR77">
        <f ca="1">IFERROR(IF(0=LEN(ReferenceData!$AR$77),"",ReferenceData!$AR$77),"")</f>
        <v>5.1120000000000001</v>
      </c>
      <c r="AS77">
        <f ca="1">IFERROR(IF(0=LEN(ReferenceData!$AS$77),"",ReferenceData!$AS$77),"")</f>
        <v>9.6739999999999995</v>
      </c>
      <c r="AT77">
        <f ca="1">IFERROR(IF(0=LEN(ReferenceData!$AT$77),"",ReferenceData!$AT$77),"")</f>
        <v>13.164999999999999</v>
      </c>
      <c r="AU77">
        <f ca="1">IFERROR(IF(0=LEN(ReferenceData!$AU$77),"",ReferenceData!$AU$77),"")</f>
        <v>14.39</v>
      </c>
      <c r="AV77">
        <f ca="1">IFERROR(IF(0=LEN(ReferenceData!$AV$77),"",ReferenceData!$AV$77),"")</f>
        <v>5.2290000000000001</v>
      </c>
      <c r="AW77">
        <f ca="1">IFERROR(IF(0=LEN(ReferenceData!$AW$77),"",ReferenceData!$AW$77),"")</f>
        <v>6.8339999999999996</v>
      </c>
      <c r="AX77">
        <f ca="1">IFERROR(IF(0=LEN(ReferenceData!$AX$77),"",ReferenceData!$AX$77),"")</f>
        <v>1.94</v>
      </c>
      <c r="AY77">
        <f ca="1">IFERROR(IF(0=LEN(ReferenceData!$AY$77),"",ReferenceData!$AY$77),"")</f>
        <v>12.25</v>
      </c>
      <c r="AZ77">
        <f ca="1">IFERROR(IF(0=LEN(ReferenceData!$AZ$77),"",ReferenceData!$AZ$77),"")</f>
        <v>4.9509999999999996</v>
      </c>
      <c r="BA77">
        <f ca="1">IFERROR(IF(0=LEN(ReferenceData!$BA$77),"",ReferenceData!$BA$77),"")</f>
        <v>4.7949999999999999</v>
      </c>
      <c r="BB77">
        <f ca="1">IFERROR(IF(0=LEN(ReferenceData!$BB$77),"",ReferenceData!$BB$77),"")</f>
        <v>8.9469999999999992</v>
      </c>
      <c r="BC77">
        <f ca="1">IFERROR(IF(0=LEN(ReferenceData!$BC$77),"",ReferenceData!$BC$77),"")</f>
        <v>6.5119999999999996</v>
      </c>
      <c r="BD77">
        <f ca="1">IFERROR(IF(0=LEN(ReferenceData!$BD$77),"",ReferenceData!$BD$77),"")</f>
        <v>3.5670000000000002</v>
      </c>
      <c r="BE77">
        <f ca="1">IFERROR(IF(0=LEN(ReferenceData!$BE$77),"",ReferenceData!$BE$77),"")</f>
        <v>2.54</v>
      </c>
      <c r="BF77">
        <f ca="1">IFERROR(IF(0=LEN(ReferenceData!$BF$77),"",ReferenceData!$BF$77),"")</f>
        <v>5.7220000000000004</v>
      </c>
      <c r="BG77">
        <f ca="1">IFERROR(IF(0=LEN(ReferenceData!$BG$77),"",ReferenceData!$BG$77),"")</f>
        <v>6.1609999999999996</v>
      </c>
      <c r="BH77">
        <f ca="1">IFERROR(IF(0=LEN(ReferenceData!$BH$77),"",ReferenceData!$BH$77),"")</f>
        <v>-2.641</v>
      </c>
      <c r="BI77">
        <f ca="1">IFERROR(IF(0=LEN(ReferenceData!$BI$77),"",ReferenceData!$BI$77),"")</f>
        <v>1.2649999860000001</v>
      </c>
      <c r="BJ77">
        <f ca="1">IFERROR(IF(0=LEN(ReferenceData!$BJ$77),"",ReferenceData!$BJ$77),"")</f>
        <v>3.7850000860000002</v>
      </c>
      <c r="BK77" t="str">
        <f ca="1">IFERROR(IF(0=LEN(ReferenceData!$BK$77),"",ReferenceData!$BK$77),"")</f>
        <v/>
      </c>
      <c r="BL77" t="str">
        <f ca="1">IFERROR(IF(0=LEN(ReferenceData!$BL$77),"",ReferenceData!$BL$77),"")</f>
        <v/>
      </c>
      <c r="BM77" t="str">
        <f ca="1">IFERROR(IF(0=LEN(ReferenceData!$BM$77),"",ReferenceData!$BM$77),"")</f>
        <v/>
      </c>
    </row>
    <row r="78" spans="1:65">
      <c r="A78" t="str">
        <f>IFERROR(IF(0=LEN(ReferenceData!$A$78),"",ReferenceData!$A$78),"")</f>
        <v xml:space="preserve">    AvalonBay Communities Inc</v>
      </c>
      <c r="B78" t="str">
        <f>IFERROR(IF(0=LEN(ReferenceData!$B$78),"",ReferenceData!$B$78),"")</f>
        <v>AVB US Equity</v>
      </c>
      <c r="C78" t="str">
        <f>IFERROR(IF(0=LEN(ReferenceData!$C$78),"",ReferenceData!$C$78),"")</f>
        <v>CF039</v>
      </c>
      <c r="D78" t="str">
        <f>IFERROR(IF(0=LEN(ReferenceData!$D$78),"",ReferenceData!$D$78),"")</f>
        <v>CF_FFO</v>
      </c>
      <c r="E78" t="str">
        <f>IFERROR(IF(0=LEN(ReferenceData!$E$78),"",ReferenceData!$E$78),"")</f>
        <v>动态</v>
      </c>
      <c r="F78" t="str">
        <f ca="1">IFERROR(IF(0=LEN(ReferenceData!$F$78),"",ReferenceData!$F$78),"")</f>
        <v/>
      </c>
      <c r="G78">
        <f ca="1">IFERROR(IF(0=LEN(ReferenceData!$G$78),"",ReferenceData!$G$78),"")</f>
        <v>301.20800000000003</v>
      </c>
      <c r="H78">
        <f ca="1">IFERROR(IF(0=LEN(ReferenceData!$H$78),"",ReferenceData!$H$78),"")</f>
        <v>323.517</v>
      </c>
      <c r="I78">
        <f ca="1">IFERROR(IF(0=LEN(ReferenceData!$I$78),"",ReferenceData!$I$78),"")</f>
        <v>262.29599999999999</v>
      </c>
      <c r="J78">
        <f ca="1">IFERROR(IF(0=LEN(ReferenceData!$J$78),"",ReferenceData!$J$78),"")</f>
        <v>280.197</v>
      </c>
      <c r="K78">
        <f ca="1">IFERROR(IF(0=LEN(ReferenceData!$K$78),"",ReferenceData!$K$78),"")</f>
        <v>288.08</v>
      </c>
      <c r="L78">
        <f ca="1">IFERROR(IF(0=LEN(ReferenceData!$L$78),"",ReferenceData!$L$78),"")</f>
        <v>289.51499999999999</v>
      </c>
      <c r="M78">
        <f ca="1">IFERROR(IF(0=LEN(ReferenceData!$M$78),"",ReferenceData!$M$78),"")</f>
        <v>273.58</v>
      </c>
      <c r="N78">
        <f ca="1">IFERROR(IF(0=LEN(ReferenceData!$N$78),"",ReferenceData!$N$78),"")</f>
        <v>284.58699999999999</v>
      </c>
      <c r="O78">
        <f ca="1">IFERROR(IF(0=LEN(ReferenceData!$O$78),"",ReferenceData!$O$78),"")</f>
        <v>270.15499999999997</v>
      </c>
      <c r="P78">
        <f ca="1">IFERROR(IF(0=LEN(ReferenceData!$P$78),"",ReferenceData!$P$78),"")</f>
        <v>271.87900000000002</v>
      </c>
      <c r="Q78">
        <f ca="1">IFERROR(IF(0=LEN(ReferenceData!$Q$78),"",ReferenceData!$Q$78),"")</f>
        <v>290.47399999999999</v>
      </c>
      <c r="R78">
        <f ca="1">IFERROR(IF(0=LEN(ReferenceData!$R$78),"",ReferenceData!$R$78),"")</f>
        <v>250.577</v>
      </c>
      <c r="S78">
        <f ca="1">IFERROR(IF(0=LEN(ReferenceData!$S$78),"",ReferenceData!$S$78),"")</f>
        <v>233.48400000000001</v>
      </c>
      <c r="T78">
        <f ca="1">IFERROR(IF(0=LEN(ReferenceData!$T$78),"",ReferenceData!$T$78),"")</f>
        <v>282.221</v>
      </c>
      <c r="U78">
        <f ca="1">IFERROR(IF(0=LEN(ReferenceData!$U$78),"",ReferenceData!$U$78),"")</f>
        <v>222.48599999999999</v>
      </c>
      <c r="V78">
        <f ca="1">IFERROR(IF(0=LEN(ReferenceData!$V$78),"",ReferenceData!$V$78),"")</f>
        <v>212.845</v>
      </c>
      <c r="W78">
        <f ca="1">IFERROR(IF(0=LEN(ReferenceData!$W$78),"",ReferenceData!$W$78),"")</f>
        <v>195.34399999999999</v>
      </c>
      <c r="X78">
        <f ca="1">IFERROR(IF(0=LEN(ReferenceData!$X$78),"",ReferenceData!$X$78),"")</f>
        <v>153.36099999999999</v>
      </c>
      <c r="Y78">
        <f ca="1">IFERROR(IF(0=LEN(ReferenceData!$Y$78),"",ReferenceData!$Y$78),"")</f>
        <v>200.57400000000001</v>
      </c>
      <c r="Z78">
        <f ca="1">IFERROR(IF(0=LEN(ReferenceData!$Z$78),"",ReferenceData!$Z$78),"")</f>
        <v>93.536000000000001</v>
      </c>
      <c r="AA78">
        <f ca="1">IFERROR(IF(0=LEN(ReferenceData!$AA$78),"",ReferenceData!$AA$78),"")</f>
        <v>130.63499999999999</v>
      </c>
      <c r="AB78">
        <f ca="1">IFERROR(IF(0=LEN(ReferenceData!$AB$78),"",ReferenceData!$AB$78),"")</f>
        <v>140.24799999999999</v>
      </c>
      <c r="AC78">
        <f ca="1">IFERROR(IF(0=LEN(ReferenceData!$AC$78),"",ReferenceData!$AC$78),"")</f>
        <v>128.19300000000001</v>
      </c>
      <c r="AD78">
        <f ca="1">IFERROR(IF(0=LEN(ReferenceData!$AD$78),"",ReferenceData!$AD$78),"")</f>
        <v>121.971</v>
      </c>
      <c r="AE78">
        <f ca="1">IFERROR(IF(0=LEN(ReferenceData!$AE$78),"",ReferenceData!$AE$78),"")</f>
        <v>113.41</v>
      </c>
      <c r="AF78">
        <f ca="1">IFERROR(IF(0=LEN(ReferenceData!$AF$78),"",ReferenceData!$AF$78),"")</f>
        <v>107.587</v>
      </c>
      <c r="AG78">
        <f ca="1">IFERROR(IF(0=LEN(ReferenceData!$AG$78),"",ReferenceData!$AG$78),"")</f>
        <v>99.944999999999993</v>
      </c>
      <c r="AH78">
        <f ca="1">IFERROR(IF(0=LEN(ReferenceData!$AH$78),"",ReferenceData!$AH$78),"")</f>
        <v>93.542000000000002</v>
      </c>
      <c r="AI78">
        <f ca="1">IFERROR(IF(0=LEN(ReferenceData!$AI$78),"",ReferenceData!$AI$78),"")</f>
        <v>86.828999999999994</v>
      </c>
      <c r="AJ78">
        <f ca="1">IFERROR(IF(0=LEN(ReferenceData!$AJ$78),"",ReferenceData!$AJ$78),"")</f>
        <v>84.462000000000003</v>
      </c>
      <c r="AK78">
        <f ca="1">IFERROR(IF(0=LEN(ReferenceData!$AK$78),"",ReferenceData!$AK$78),"")</f>
        <v>87.802999999999997</v>
      </c>
      <c r="AL78">
        <f ca="1">IFERROR(IF(0=LEN(ReferenceData!$AL$78),"",ReferenceData!$AL$78),"")</f>
        <v>79.257000000000005</v>
      </c>
      <c r="AM78">
        <f ca="1">IFERROR(IF(0=LEN(ReferenceData!$AM$78),"",ReferenceData!$AM$78),"")</f>
        <v>52.715000000000003</v>
      </c>
      <c r="AN78">
        <f ca="1">IFERROR(IF(0=LEN(ReferenceData!$AN$78),"",ReferenceData!$AN$78),"")</f>
        <v>87.736999999999995</v>
      </c>
      <c r="AO78">
        <f ca="1">IFERROR(IF(0=LEN(ReferenceData!$AO$78),"",ReferenceData!$AO$78),"")</f>
        <v>71.813999999999993</v>
      </c>
      <c r="AP78">
        <f ca="1">IFERROR(IF(0=LEN(ReferenceData!$AP$78),"",ReferenceData!$AP$78),"")</f>
        <v>100.97499999999999</v>
      </c>
      <c r="AQ78">
        <f ca="1">IFERROR(IF(0=LEN(ReferenceData!$AQ$78),"",ReferenceData!$AQ$78),"")</f>
        <v>22.963000000000001</v>
      </c>
      <c r="AR78">
        <f ca="1">IFERROR(IF(0=LEN(ReferenceData!$AR$78),"",ReferenceData!$AR$78),"")</f>
        <v>99.015000000000001</v>
      </c>
      <c r="AS78">
        <f ca="1">IFERROR(IF(0=LEN(ReferenceData!$AS$78),"",ReferenceData!$AS$78),"")</f>
        <v>97.852000000000004</v>
      </c>
      <c r="AT78">
        <f ca="1">IFERROR(IF(0=LEN(ReferenceData!$AT$78),"",ReferenceData!$AT$78),"")</f>
        <v>96.117000000000004</v>
      </c>
      <c r="AU78">
        <f ca="1">IFERROR(IF(0=LEN(ReferenceData!$AU$78),"",ReferenceData!$AU$78),"")</f>
        <v>89.596999999999994</v>
      </c>
      <c r="AV78">
        <f ca="1">IFERROR(IF(0=LEN(ReferenceData!$AV$78),"",ReferenceData!$AV$78),"")</f>
        <v>95.302000000000007</v>
      </c>
      <c r="AW78">
        <f ca="1">IFERROR(IF(0=LEN(ReferenceData!$AW$78),"",ReferenceData!$AW$78),"")</f>
        <v>94.040999999999997</v>
      </c>
      <c r="AX78">
        <f ca="1">IFERROR(IF(0=LEN(ReferenceData!$AX$78),"",ReferenceData!$AX$78),"")</f>
        <v>89.117999999999995</v>
      </c>
      <c r="AY78">
        <f ca="1">IFERROR(IF(0=LEN(ReferenceData!$AY$78),"",ReferenceData!$AY$78),"")</f>
        <v>79.894000000000005</v>
      </c>
      <c r="AZ78">
        <f ca="1">IFERROR(IF(0=LEN(ReferenceData!$AZ$78),"",ReferenceData!$AZ$78),"")</f>
        <v>81.260999999999996</v>
      </c>
      <c r="BA78">
        <f ca="1">IFERROR(IF(0=LEN(ReferenceData!$BA$78),"",ReferenceData!$BA$78),"")</f>
        <v>74.855000000000004</v>
      </c>
      <c r="BB78">
        <f ca="1">IFERROR(IF(0=LEN(ReferenceData!$BB$78),"",ReferenceData!$BB$78),"")</f>
        <v>84.188999999999993</v>
      </c>
      <c r="BC78">
        <f ca="1">IFERROR(IF(0=LEN(ReferenceData!$BC$78),"",ReferenceData!$BC$78),"")</f>
        <v>70.108000000000004</v>
      </c>
      <c r="BD78">
        <f ca="1">IFERROR(IF(0=LEN(ReferenceData!$BD$78),"",ReferenceData!$BD$78),"")</f>
        <v>68.090999999999994</v>
      </c>
      <c r="BE78">
        <f ca="1">IFERROR(IF(0=LEN(ReferenceData!$BE$78),"",ReferenceData!$BE$78),"")</f>
        <v>72.325000000000003</v>
      </c>
      <c r="BF78">
        <f ca="1">IFERROR(IF(0=LEN(ReferenceData!$BF$78),"",ReferenceData!$BF$78),"")</f>
        <v>71.248999999999995</v>
      </c>
      <c r="BG78">
        <f ca="1">IFERROR(IF(0=LEN(ReferenceData!$BG$78),"",ReferenceData!$BG$78),"")</f>
        <v>64.817999999999998</v>
      </c>
      <c r="BH78">
        <f ca="1">IFERROR(IF(0=LEN(ReferenceData!$BH$78),"",ReferenceData!$BH$78),"")</f>
        <v>63.600999999999999</v>
      </c>
      <c r="BI78">
        <f ca="1">IFERROR(IF(0=LEN(ReferenceData!$BI$78),"",ReferenceData!$BI$78),"")</f>
        <v>60.45</v>
      </c>
      <c r="BJ78">
        <f ca="1">IFERROR(IF(0=LEN(ReferenceData!$BJ$78),"",ReferenceData!$BJ$78),"")</f>
        <v>57.378</v>
      </c>
      <c r="BK78">
        <f ca="1">IFERROR(IF(0=LEN(ReferenceData!$BK$78),"",ReferenceData!$BK$78),"")</f>
        <v>58.4640007</v>
      </c>
      <c r="BL78">
        <f ca="1">IFERROR(IF(0=LEN(ReferenceData!$BL$78),"",ReferenceData!$BL$78),"")</f>
        <v>56.158000000000001</v>
      </c>
      <c r="BM78">
        <f ca="1">IFERROR(IF(0=LEN(ReferenceData!$BM$78),"",ReferenceData!$BM$78),"")</f>
        <v>57.152999999999999</v>
      </c>
    </row>
    <row r="79" spans="1:65">
      <c r="A79" t="str">
        <f>IFERROR(IF(0=LEN(ReferenceData!$A$79),"",ReferenceData!$A$79),"")</f>
        <v xml:space="preserve">    Camden Property Trust</v>
      </c>
      <c r="B79" t="str">
        <f>IFERROR(IF(0=LEN(ReferenceData!$B$79),"",ReferenceData!$B$79),"")</f>
        <v>CPT US Equity</v>
      </c>
      <c r="C79" t="str">
        <f>IFERROR(IF(0=LEN(ReferenceData!$C$79),"",ReferenceData!$C$79),"")</f>
        <v>CF039</v>
      </c>
      <c r="D79" t="str">
        <f>IFERROR(IF(0=LEN(ReferenceData!$D$79),"",ReferenceData!$D$79),"")</f>
        <v>CF_FFO</v>
      </c>
      <c r="E79" t="str">
        <f>IFERROR(IF(0=LEN(ReferenceData!$E$79),"",ReferenceData!$E$79),"")</f>
        <v>动态</v>
      </c>
      <c r="F79" t="str">
        <f ca="1">IFERROR(IF(0=LEN(ReferenceData!$F$79),"",ReferenceData!$F$79),"")</f>
        <v/>
      </c>
      <c r="G79">
        <f ca="1">IFERROR(IF(0=LEN(ReferenceData!$G$79),"",ReferenceData!$G$79),"")</f>
        <v>114.55200000000001</v>
      </c>
      <c r="H79">
        <f ca="1">IFERROR(IF(0=LEN(ReferenceData!$H$79),"",ReferenceData!$H$79),"")</f>
        <v>103.187</v>
      </c>
      <c r="I79">
        <f ca="1">IFERROR(IF(0=LEN(ReferenceData!$I$79),"",ReferenceData!$I$79),"")</f>
        <v>105.97799999999999</v>
      </c>
      <c r="J79">
        <f ca="1">IFERROR(IF(0=LEN(ReferenceData!$J$79),"",ReferenceData!$J$79),"")</f>
        <v>100.355</v>
      </c>
      <c r="K79">
        <f ca="1">IFERROR(IF(0=LEN(ReferenceData!$K$79),"",ReferenceData!$K$79),"")</f>
        <v>105.544</v>
      </c>
      <c r="L79">
        <f ca="1">IFERROR(IF(0=LEN(ReferenceData!$L$79),"",ReferenceData!$L$79),"")</f>
        <v>104.232</v>
      </c>
      <c r="M79">
        <f ca="1">IFERROR(IF(0=LEN(ReferenceData!$M$79),"",ReferenceData!$M$79),"")</f>
        <v>105.578</v>
      </c>
      <c r="N79">
        <f ca="1">IFERROR(IF(0=LEN(ReferenceData!$N$79),"",ReferenceData!$N$79),"")</f>
        <v>110.11</v>
      </c>
      <c r="O79">
        <f ca="1">IFERROR(IF(0=LEN(ReferenceData!$O$79),"",ReferenceData!$O$79),"")</f>
        <v>109.58199999999999</v>
      </c>
      <c r="P79">
        <f ca="1">IFERROR(IF(0=LEN(ReferenceData!$P$79),"",ReferenceData!$P$79),"")</f>
        <v>104.346</v>
      </c>
      <c r="Q79">
        <f ca="1">IFERROR(IF(0=LEN(ReferenceData!$Q$79),"",ReferenceData!$Q$79),"")</f>
        <v>102.041</v>
      </c>
      <c r="R79">
        <f ca="1">IFERROR(IF(0=LEN(ReferenceData!$R$79),"",ReferenceData!$R$79),"")</f>
        <v>98.528000000000006</v>
      </c>
      <c r="S79">
        <f ca="1">IFERROR(IF(0=LEN(ReferenceData!$S$79),"",ReferenceData!$S$79),"")</f>
        <v>90.332999999999998</v>
      </c>
      <c r="T79">
        <f ca="1">IFERROR(IF(0=LEN(ReferenceData!$T$79),"",ReferenceData!$T$79),"")</f>
        <v>98.712000000000003</v>
      </c>
      <c r="U79">
        <f ca="1">IFERROR(IF(0=LEN(ReferenceData!$U$79),"",ReferenceData!$U$79),"")</f>
        <v>94.165999999999997</v>
      </c>
      <c r="V79">
        <f ca="1">IFERROR(IF(0=LEN(ReferenceData!$V$79),"",ReferenceData!$V$79),"")</f>
        <v>94.831999999999994</v>
      </c>
      <c r="W79">
        <f ca="1">IFERROR(IF(0=LEN(ReferenceData!$W$79),"",ReferenceData!$W$79),"")</f>
        <v>96.914000000000001</v>
      </c>
      <c r="X79">
        <f ca="1">IFERROR(IF(0=LEN(ReferenceData!$X$79),"",ReferenceData!$X$79),"")</f>
        <v>93.33</v>
      </c>
      <c r="Y79">
        <f ca="1">IFERROR(IF(0=LEN(ReferenceData!$Y$79),"",ReferenceData!$Y$79),"")</f>
        <v>91.445999999999998</v>
      </c>
      <c r="Z79">
        <f ca="1">IFERROR(IF(0=LEN(ReferenceData!$Z$79),"",ReferenceData!$Z$79),"")</f>
        <v>86.631</v>
      </c>
      <c r="AA79">
        <f ca="1">IFERROR(IF(0=LEN(ReferenceData!$AA$79),"",ReferenceData!$AA$79),"")</f>
        <v>85.927999999999997</v>
      </c>
      <c r="AB79">
        <f ca="1">IFERROR(IF(0=LEN(ReferenceData!$AB$79),"",ReferenceData!$AB$79),"")</f>
        <v>82.113</v>
      </c>
      <c r="AC79">
        <f ca="1">IFERROR(IF(0=LEN(ReferenceData!$AC$79),"",ReferenceData!$AC$79),"")</f>
        <v>76.706999999999994</v>
      </c>
      <c r="AD79">
        <f ca="1">IFERROR(IF(0=LEN(ReferenceData!$AD$79),"",ReferenceData!$AD$79),"")</f>
        <v>68.588999999999999</v>
      </c>
      <c r="AE79">
        <f ca="1">IFERROR(IF(0=LEN(ReferenceData!$AE$79),"",ReferenceData!$AE$79),"")</f>
        <v>64.263999999999996</v>
      </c>
      <c r="AF79">
        <f ca="1">IFERROR(IF(0=LEN(ReferenceData!$AF$79),"",ReferenceData!$AF$79),"")</f>
        <v>58.807000000000002</v>
      </c>
      <c r="AG79">
        <f ca="1">IFERROR(IF(0=LEN(ReferenceData!$AG$79),"",ReferenceData!$AG$79),"")</f>
        <v>30.350999999999999</v>
      </c>
      <c r="AH79">
        <f ca="1">IFERROR(IF(0=LEN(ReferenceData!$AH$79),"",ReferenceData!$AH$79),"")</f>
        <v>54.113</v>
      </c>
      <c r="AI79">
        <f ca="1">IFERROR(IF(0=LEN(ReferenceData!$AI$79),"",ReferenceData!$AI$79),"")</f>
        <v>53.948</v>
      </c>
      <c r="AJ79">
        <f ca="1">IFERROR(IF(0=LEN(ReferenceData!$AJ$79),"",ReferenceData!$AJ$79),"")</f>
        <v>46.68</v>
      </c>
      <c r="AK79">
        <f ca="1">IFERROR(IF(0=LEN(ReferenceData!$AK$79),"",ReferenceData!$AK$79),"")</f>
        <v>46.698999999999998</v>
      </c>
      <c r="AL79">
        <f ca="1">IFERROR(IF(0=LEN(ReferenceData!$AL$79),"",ReferenceData!$AL$79),"")</f>
        <v>46.981999999999999</v>
      </c>
      <c r="AM79">
        <f ca="1">IFERROR(IF(0=LEN(ReferenceData!$AM$79),"",ReferenceData!$AM$79),"")</f>
        <v>-36.319000000000003</v>
      </c>
      <c r="AN79">
        <f ca="1">IFERROR(IF(0=LEN(ReferenceData!$AN$79),"",ReferenceData!$AN$79),"")</f>
        <v>48.112000000000002</v>
      </c>
      <c r="AO79">
        <f ca="1">IFERROR(IF(0=LEN(ReferenceData!$AO$79),"",ReferenceData!$AO$79),"")</f>
        <v>46.573</v>
      </c>
      <c r="AP79">
        <f ca="1">IFERROR(IF(0=LEN(ReferenceData!$AP$79),"",ReferenceData!$AP$79),"")</f>
        <v>51.581000000000003</v>
      </c>
      <c r="AQ79">
        <f ca="1">IFERROR(IF(0=LEN(ReferenceData!$AQ$79),"",ReferenceData!$AQ$79),"")</f>
        <v>10.103999999999999</v>
      </c>
      <c r="AR79">
        <f ca="1">IFERROR(IF(0=LEN(ReferenceData!$AR$79),"",ReferenceData!$AR$79),"")</f>
        <v>52.283000000000001</v>
      </c>
      <c r="AS79">
        <f ca="1">IFERROR(IF(0=LEN(ReferenceData!$AS$79),"",ReferenceData!$AS$79),"")</f>
        <v>54.868000000000002</v>
      </c>
      <c r="AT79">
        <f ca="1">IFERROR(IF(0=LEN(ReferenceData!$AT$79),"",ReferenceData!$AT$79),"")</f>
        <v>52.33</v>
      </c>
      <c r="AU79">
        <f ca="1">IFERROR(IF(0=LEN(ReferenceData!$AU$79),"",ReferenceData!$AU$79),"")</f>
        <v>57.139000000000003</v>
      </c>
      <c r="AV79">
        <f ca="1">IFERROR(IF(0=LEN(ReferenceData!$AV$79),"",ReferenceData!$AV$79),"")</f>
        <v>56.283000000000001</v>
      </c>
      <c r="AW79">
        <f ca="1">IFERROR(IF(0=LEN(ReferenceData!$AW$79),"",ReferenceData!$AW$79),"")</f>
        <v>57.811999999999998</v>
      </c>
      <c r="AX79">
        <f ca="1">IFERROR(IF(0=LEN(ReferenceData!$AX$79),"",ReferenceData!$AX$79),"")</f>
        <v>55.918999999999997</v>
      </c>
      <c r="AY79">
        <f ca="1">IFERROR(IF(0=LEN(ReferenceData!$AY$79),"",ReferenceData!$AY$79),"")</f>
        <v>54.723999999999997</v>
      </c>
      <c r="AZ79">
        <f ca="1">IFERROR(IF(0=LEN(ReferenceData!$AZ$79),"",ReferenceData!$AZ$79),"")</f>
        <v>77.823999999999998</v>
      </c>
      <c r="BA79">
        <f ca="1">IFERROR(IF(0=LEN(ReferenceData!$BA$79),"",ReferenceData!$BA$79),"")</f>
        <v>53.402999999999999</v>
      </c>
      <c r="BB79">
        <f ca="1">IFERROR(IF(0=LEN(ReferenceData!$BB$79),"",ReferenceData!$BB$79),"")</f>
        <v>51.838999999999999</v>
      </c>
      <c r="BC79">
        <f ca="1">IFERROR(IF(0=LEN(ReferenceData!$BC$79),"",ReferenceData!$BC$79),"")</f>
        <v>49.378</v>
      </c>
      <c r="BD79">
        <f ca="1">IFERROR(IF(0=LEN(ReferenceData!$BD$79),"",ReferenceData!$BD$79),"")</f>
        <v>44.371000000000002</v>
      </c>
      <c r="BE79">
        <f ca="1">IFERROR(IF(0=LEN(ReferenceData!$BE$79),"",ReferenceData!$BE$79),"")</f>
        <v>47.103000000000002</v>
      </c>
      <c r="BF79">
        <f ca="1">IFERROR(IF(0=LEN(ReferenceData!$BF$79),"",ReferenceData!$BF$79),"")</f>
        <v>54.438000000000002</v>
      </c>
      <c r="BG79">
        <f ca="1">IFERROR(IF(0=LEN(ReferenceData!$BG$79),"",ReferenceData!$BG$79),"")</f>
        <v>38.185000000000002</v>
      </c>
      <c r="BH79">
        <f ca="1">IFERROR(IF(0=LEN(ReferenceData!$BH$79),"",ReferenceData!$BH$79),"")</f>
        <v>33.624000000000002</v>
      </c>
      <c r="BI79">
        <f ca="1">IFERROR(IF(0=LEN(ReferenceData!$BI$79),"",ReferenceData!$BI$79),"")</f>
        <v>35.074001000000003</v>
      </c>
      <c r="BJ79">
        <f ca="1">IFERROR(IF(0=LEN(ReferenceData!$BJ$79),"",ReferenceData!$BJ$79),"")</f>
        <v>36.785998999999997</v>
      </c>
      <c r="BK79">
        <f ca="1">IFERROR(IF(0=LEN(ReferenceData!$BK$79),"",ReferenceData!$BK$79),"")</f>
        <v>36.337001800000003</v>
      </c>
      <c r="BL79">
        <f ca="1">IFERROR(IF(0=LEN(ReferenceData!$BL$79),"",ReferenceData!$BL$79),"")</f>
        <v>32.814999</v>
      </c>
      <c r="BM79">
        <f ca="1">IFERROR(IF(0=LEN(ReferenceData!$BM$79),"",ReferenceData!$BM$79),"")</f>
        <v>32.396999000000001</v>
      </c>
    </row>
    <row r="80" spans="1:65">
      <c r="A80" t="str">
        <f>IFERROR(IF(0=LEN(ReferenceData!$A$80),"",ReferenceData!$A$80),"")</f>
        <v xml:space="preserve">    Education Realty Trust Inc</v>
      </c>
      <c r="B80" t="str">
        <f>IFERROR(IF(0=LEN(ReferenceData!$B$80),"",ReferenceData!$B$80),"")</f>
        <v>EDR US Equity</v>
      </c>
      <c r="C80" t="str">
        <f>IFERROR(IF(0=LEN(ReferenceData!$C$80),"",ReferenceData!$C$80),"")</f>
        <v>CF039</v>
      </c>
      <c r="D80" t="str">
        <f>IFERROR(IF(0=LEN(ReferenceData!$D$80),"",ReferenceData!$D$80),"")</f>
        <v>CF_FFO</v>
      </c>
      <c r="E80" t="str">
        <f>IFERROR(IF(0=LEN(ReferenceData!$E$80),"",ReferenceData!$E$80),"")</f>
        <v>动态</v>
      </c>
      <c r="F80" t="str">
        <f ca="1">IFERROR(IF(0=LEN(ReferenceData!$F$80),"",ReferenceData!$F$80),"")</f>
        <v/>
      </c>
      <c r="G80">
        <f ca="1">IFERROR(IF(0=LEN(ReferenceData!$G$80),"",ReferenceData!$G$80),"")</f>
        <v>48.399000000000001</v>
      </c>
      <c r="H80">
        <f ca="1">IFERROR(IF(0=LEN(ReferenceData!$H$80),"",ReferenceData!$H$80),"")</f>
        <v>22.192</v>
      </c>
      <c r="I80">
        <f ca="1">IFERROR(IF(0=LEN(ReferenceData!$I$80),"",ReferenceData!$I$80),"")</f>
        <v>29.866</v>
      </c>
      <c r="J80">
        <f ca="1">IFERROR(IF(0=LEN(ReferenceData!$J$80),"",ReferenceData!$J$80),"")</f>
        <v>42.295999999999999</v>
      </c>
      <c r="K80">
        <f ca="1">IFERROR(IF(0=LEN(ReferenceData!$K$80),"",ReferenceData!$K$80),"")</f>
        <v>39.692</v>
      </c>
      <c r="L80">
        <f ca="1">IFERROR(IF(0=LEN(ReferenceData!$L$80),"",ReferenceData!$L$80),"")</f>
        <v>18.664000000000001</v>
      </c>
      <c r="M80">
        <f ca="1">IFERROR(IF(0=LEN(ReferenceData!$M$80),"",ReferenceData!$M$80),"")</f>
        <v>24.835999999999999</v>
      </c>
      <c r="N80">
        <f ca="1">IFERROR(IF(0=LEN(ReferenceData!$N$80),"",ReferenceData!$N$80),"")</f>
        <v>22.780999999999999</v>
      </c>
      <c r="O80">
        <f ca="1">IFERROR(IF(0=LEN(ReferenceData!$O$80),"",ReferenceData!$O$80),"")</f>
        <v>31.074000000000002</v>
      </c>
      <c r="P80">
        <f ca="1">IFERROR(IF(0=LEN(ReferenceData!$P$80),"",ReferenceData!$P$80),"")</f>
        <v>13.141999999999999</v>
      </c>
      <c r="Q80">
        <f ca="1">IFERROR(IF(0=LEN(ReferenceData!$Q$80),"",ReferenceData!$Q$80),"")</f>
        <v>18.766999999999999</v>
      </c>
      <c r="R80">
        <f ca="1">IFERROR(IF(0=LEN(ReferenceData!$R$80),"",ReferenceData!$R$80),"")</f>
        <v>23.096</v>
      </c>
      <c r="S80">
        <f ca="1">IFERROR(IF(0=LEN(ReferenceData!$S$80),"",ReferenceData!$S$80),"")</f>
        <v>25.024999999999999</v>
      </c>
      <c r="T80">
        <f ca="1">IFERROR(IF(0=LEN(ReferenceData!$T$80),"",ReferenceData!$T$80),"")</f>
        <v>20.361999999999998</v>
      </c>
      <c r="U80">
        <f ca="1">IFERROR(IF(0=LEN(ReferenceData!$U$80),"",ReferenceData!$U$80),"")</f>
        <v>15.284000000000001</v>
      </c>
      <c r="V80">
        <f ca="1">IFERROR(IF(0=LEN(ReferenceData!$V$80),"",ReferenceData!$V$80),"")</f>
        <v>17.05</v>
      </c>
      <c r="W80">
        <f ca="1">IFERROR(IF(0=LEN(ReferenceData!$W$80),"",ReferenceData!$W$80),"")</f>
        <v>21.666</v>
      </c>
      <c r="X80">
        <f ca="1">IFERROR(IF(0=LEN(ReferenceData!$X$80),"",ReferenceData!$X$80),"")</f>
        <v>7.0609999999999999</v>
      </c>
      <c r="Y80">
        <f ca="1">IFERROR(IF(0=LEN(ReferenceData!$Y$80),"",ReferenceData!$Y$80),"")</f>
        <v>11.836</v>
      </c>
      <c r="Z80">
        <f ca="1">IFERROR(IF(0=LEN(ReferenceData!$Z$80),"",ReferenceData!$Z$80),"")</f>
        <v>14.609</v>
      </c>
      <c r="AA80">
        <f ca="1">IFERROR(IF(0=LEN(ReferenceData!$AA$80),"",ReferenceData!$AA$80),"")</f>
        <v>15.972</v>
      </c>
      <c r="AB80">
        <f ca="1">IFERROR(IF(0=LEN(ReferenceData!$AB$80),"",ReferenceData!$AB$80),"")</f>
        <v>4.1589999999999998</v>
      </c>
      <c r="AC80">
        <f ca="1">IFERROR(IF(0=LEN(ReferenceData!$AC$80),"",ReferenceData!$AC$80),"")</f>
        <v>9.8030000000000008</v>
      </c>
      <c r="AD80">
        <f ca="1">IFERROR(IF(0=LEN(ReferenceData!$AD$80),"",ReferenceData!$AD$80),"")</f>
        <v>10.846</v>
      </c>
      <c r="AE80">
        <f ca="1">IFERROR(IF(0=LEN(ReferenceData!$AE$80),"",ReferenceData!$AE$80),"")</f>
        <v>10.651</v>
      </c>
      <c r="AF80">
        <f ca="1">IFERROR(IF(0=LEN(ReferenceData!$AF$80),"",ReferenceData!$AF$80),"")</f>
        <v>0.5</v>
      </c>
      <c r="AG80">
        <f ca="1">IFERROR(IF(0=LEN(ReferenceData!$AG$80),"",ReferenceData!$AG$80),"")</f>
        <v>6.4</v>
      </c>
      <c r="AH80">
        <f ca="1">IFERROR(IF(0=LEN(ReferenceData!$AH$80),"",ReferenceData!$AH$80),"")</f>
        <v>6.9189999999999996</v>
      </c>
      <c r="AI80">
        <f ca="1">IFERROR(IF(0=LEN(ReferenceData!$AI$80),"",ReferenceData!$AI$80),"")</f>
        <v>5.5419999999999998</v>
      </c>
      <c r="AJ80">
        <f ca="1">IFERROR(IF(0=LEN(ReferenceData!$AJ$80),"",ReferenceData!$AJ$80),"")</f>
        <v>-32.597999999999999</v>
      </c>
      <c r="AK80">
        <f ca="1">IFERROR(IF(0=LEN(ReferenceData!$AK$80),"",ReferenceData!$AK$80),"")</f>
        <v>6.8949999999999996</v>
      </c>
      <c r="AL80">
        <f ca="1">IFERROR(IF(0=LEN(ReferenceData!$AL$80),"",ReferenceData!$AL$80),"")</f>
        <v>7.8150000000000004</v>
      </c>
      <c r="AM80">
        <f ca="1">IFERROR(IF(0=LEN(ReferenceData!$AM$80),"",ReferenceData!$AM$80),"")</f>
        <v>7.2930000000000001</v>
      </c>
      <c r="AN80">
        <f ca="1">IFERROR(IF(0=LEN(ReferenceData!$AN$80),"",ReferenceData!$AN$80),"")</f>
        <v>-0.39900000000000002</v>
      </c>
      <c r="AO80">
        <f ca="1">IFERROR(IF(0=LEN(ReferenceData!$AO$80),"",ReferenceData!$AO$80),"")</f>
        <v>7.2539999999999996</v>
      </c>
      <c r="AP80">
        <f ca="1">IFERROR(IF(0=LEN(ReferenceData!$AP$80),"",ReferenceData!$AP$80),"")</f>
        <v>7.7949999999999999</v>
      </c>
      <c r="AQ80">
        <f ca="1">IFERROR(IF(0=LEN(ReferenceData!$AQ$80),"",ReferenceData!$AQ$80),"")</f>
        <v>2.5819999999999999</v>
      </c>
      <c r="AR80">
        <f ca="1">IFERROR(IF(0=LEN(ReferenceData!$AR$80),"",ReferenceData!$AR$80),"")</f>
        <v>-0.51300000000000001</v>
      </c>
      <c r="AS80">
        <f ca="1">IFERROR(IF(0=LEN(ReferenceData!$AS$80),"",ReferenceData!$AS$80),"")</f>
        <v>10.609</v>
      </c>
      <c r="AT80">
        <f ca="1">IFERROR(IF(0=LEN(ReferenceData!$AT$80),"",ReferenceData!$AT$80),"")</f>
        <v>9.0739999999999998</v>
      </c>
      <c r="AU80">
        <f ca="1">IFERROR(IF(0=LEN(ReferenceData!$AU$80),"",ReferenceData!$AU$80),"")</f>
        <v>9.2149999999999999</v>
      </c>
      <c r="AV80">
        <f ca="1">IFERROR(IF(0=LEN(ReferenceData!$AV$80),"",ReferenceData!$AV$80),"")</f>
        <v>1.8340000000000001</v>
      </c>
      <c r="AW80">
        <f ca="1">IFERROR(IF(0=LEN(ReferenceData!$AW$80),"",ReferenceData!$AW$80),"")</f>
        <v>6.6550000000000002</v>
      </c>
      <c r="AX80">
        <f ca="1">IFERROR(IF(0=LEN(ReferenceData!$AX$80),"",ReferenceData!$AX$80),"")</f>
        <v>8.2100000000000009</v>
      </c>
      <c r="AY80">
        <f ca="1">IFERROR(IF(0=LEN(ReferenceData!$AY$80),"",ReferenceData!$AY$80),"")</f>
        <v>8.0310000000000006</v>
      </c>
      <c r="AZ80">
        <f ca="1">IFERROR(IF(0=LEN(ReferenceData!$AZ$80),"",ReferenceData!$AZ$80),"")</f>
        <v>0.442</v>
      </c>
      <c r="BA80">
        <f ca="1">IFERROR(IF(0=LEN(ReferenceData!$BA$80),"",ReferenceData!$BA$80),"")</f>
        <v>6.2789999999999999</v>
      </c>
      <c r="BB80">
        <f ca="1">IFERROR(IF(0=LEN(ReferenceData!$BB$80),"",ReferenceData!$BB$80),"")</f>
        <v>8.43</v>
      </c>
      <c r="BC80">
        <f ca="1">IFERROR(IF(0=LEN(ReferenceData!$BC$80),"",ReferenceData!$BC$80),"")</f>
        <v>7.4660000000000002</v>
      </c>
      <c r="BD80">
        <f ca="1">IFERROR(IF(0=LEN(ReferenceData!$BD$80),"",ReferenceData!$BD$80),"")</f>
        <v>0.97499999999999998</v>
      </c>
      <c r="BE80" t="str">
        <f ca="1">IFERROR(IF(0=LEN(ReferenceData!$BE$80),"",ReferenceData!$BE$80),"")</f>
        <v/>
      </c>
      <c r="BF80">
        <f ca="1">IFERROR(IF(0=LEN(ReferenceData!$BF$80),"",ReferenceData!$BF$80),"")</f>
        <v>-0.33600000000000002</v>
      </c>
      <c r="BG80" t="str">
        <f ca="1">IFERROR(IF(0=LEN(ReferenceData!$BG$80),"",ReferenceData!$BG$80),"")</f>
        <v/>
      </c>
      <c r="BH80" t="str">
        <f ca="1">IFERROR(IF(0=LEN(ReferenceData!$BH$80),"",ReferenceData!$BH$80),"")</f>
        <v/>
      </c>
      <c r="BI80" t="str">
        <f ca="1">IFERROR(IF(0=LEN(ReferenceData!$BI$80),"",ReferenceData!$BI$80),"")</f>
        <v/>
      </c>
      <c r="BJ80" t="str">
        <f ca="1">IFERROR(IF(0=LEN(ReferenceData!$BJ$80),"",ReferenceData!$BJ$80),"")</f>
        <v/>
      </c>
      <c r="BK80" t="str">
        <f ca="1">IFERROR(IF(0=LEN(ReferenceData!$BK$80),"",ReferenceData!$BK$80),"")</f>
        <v/>
      </c>
      <c r="BL80" t="str">
        <f ca="1">IFERROR(IF(0=LEN(ReferenceData!$BL$80),"",ReferenceData!$BL$80),"")</f>
        <v/>
      </c>
      <c r="BM80" t="str">
        <f ca="1">IFERROR(IF(0=LEN(ReferenceData!$BM$80),"",ReferenceData!$BM$80),"")</f>
        <v/>
      </c>
    </row>
    <row r="81" spans="1:65">
      <c r="A81" t="str">
        <f>IFERROR(IF(0=LEN(ReferenceData!$A$81),"",ReferenceData!$A$81),"")</f>
        <v xml:space="preserve">    Equity Residential</v>
      </c>
      <c r="B81" t="str">
        <f>IFERROR(IF(0=LEN(ReferenceData!$B$81),"",ReferenceData!$B$81),"")</f>
        <v>EQR US Equity</v>
      </c>
      <c r="C81" t="str">
        <f>IFERROR(IF(0=LEN(ReferenceData!$C$81),"",ReferenceData!$C$81),"")</f>
        <v>CF039</v>
      </c>
      <c r="D81" t="str">
        <f>IFERROR(IF(0=LEN(ReferenceData!$D$81),"",ReferenceData!$D$81),"")</f>
        <v>CF_FFO</v>
      </c>
      <c r="E81" t="str">
        <f>IFERROR(IF(0=LEN(ReferenceData!$E$81),"",ReferenceData!$E$81),"")</f>
        <v>动态</v>
      </c>
      <c r="F81" t="str">
        <f ca="1">IFERROR(IF(0=LEN(ReferenceData!$F$81),"",ReferenceData!$F$81),"")</f>
        <v/>
      </c>
      <c r="G81">
        <f ca="1">IFERROR(IF(0=LEN(ReferenceData!$G$81),"",ReferenceData!$G$81),"")</f>
        <v>313.02199999999999</v>
      </c>
      <c r="H81">
        <f ca="1">IFERROR(IF(0=LEN(ReferenceData!$H$81),"",ReferenceData!$H$81),"")</f>
        <v>308.47800000000001</v>
      </c>
      <c r="I81">
        <f ca="1">IFERROR(IF(0=LEN(ReferenceData!$I$81),"",ReferenceData!$I$81),"")</f>
        <v>293.81900000000002</v>
      </c>
      <c r="J81">
        <f ca="1">IFERROR(IF(0=LEN(ReferenceData!$J$81),"",ReferenceData!$J$81),"")</f>
        <v>289.58499999999998</v>
      </c>
      <c r="K81">
        <f ca="1">IFERROR(IF(0=LEN(ReferenceData!$K$81),"",ReferenceData!$K$81),"")</f>
        <v>305.22800000000001</v>
      </c>
      <c r="L81">
        <f ca="1">IFERROR(IF(0=LEN(ReferenceData!$L$81),"",ReferenceData!$L$81),"")</f>
        <v>295.11</v>
      </c>
      <c r="M81">
        <f ca="1">IFERROR(IF(0=LEN(ReferenceData!$M$81),"",ReferenceData!$M$81),"")</f>
        <v>344.67599999999999</v>
      </c>
      <c r="N81">
        <f ca="1">IFERROR(IF(0=LEN(ReferenceData!$N$81),"",ReferenceData!$N$81),"")</f>
        <v>178.51599999999999</v>
      </c>
      <c r="O81">
        <f ca="1">IFERROR(IF(0=LEN(ReferenceData!$O$81),"",ReferenceData!$O$81),"")</f>
        <v>351.56400000000002</v>
      </c>
      <c r="P81">
        <f ca="1">IFERROR(IF(0=LEN(ReferenceData!$P$81),"",ReferenceData!$P$81),"")</f>
        <v>331.55900000000003</v>
      </c>
      <c r="Q81">
        <f ca="1">IFERROR(IF(0=LEN(ReferenceData!$Q$81),"",ReferenceData!$Q$81),"")</f>
        <v>341.30399999999997</v>
      </c>
      <c r="R81">
        <f ca="1">IFERROR(IF(0=LEN(ReferenceData!$R$81),"",ReferenceData!$R$81),"")</f>
        <v>299.35899999999998</v>
      </c>
      <c r="S81">
        <f ca="1">IFERROR(IF(0=LEN(ReferenceData!$S$81),"",ReferenceData!$S$81),"")</f>
        <v>328.69099999999997</v>
      </c>
      <c r="T81">
        <f ca="1">IFERROR(IF(0=LEN(ReferenceData!$T$81),"",ReferenceData!$T$81),"")</f>
        <v>305.81200000000001</v>
      </c>
      <c r="U81">
        <f ca="1">IFERROR(IF(0=LEN(ReferenceData!$U$81),"",ReferenceData!$U$81),"")</f>
        <v>290.77699999999999</v>
      </c>
      <c r="V81">
        <f ca="1">IFERROR(IF(0=LEN(ReferenceData!$V$81),"",ReferenceData!$V$81),"")</f>
        <v>265.63499999999999</v>
      </c>
      <c r="W81">
        <f ca="1">IFERROR(IF(0=LEN(ReferenceData!$W$81),"",ReferenceData!$W$81),"")</f>
        <v>251.42599999999999</v>
      </c>
      <c r="X81">
        <f ca="1">IFERROR(IF(0=LEN(ReferenceData!$X$81),"",ReferenceData!$X$81),"")</f>
        <v>267.27</v>
      </c>
      <c r="Y81">
        <f ca="1">IFERROR(IF(0=LEN(ReferenceData!$Y$81),"",ReferenceData!$Y$81),"")</f>
        <v>274.61700000000002</v>
      </c>
      <c r="Z81">
        <f ca="1">IFERROR(IF(0=LEN(ReferenceData!$Z$81),"",ReferenceData!$Z$81),"")</f>
        <v>79.108000000000004</v>
      </c>
      <c r="AA81">
        <f ca="1">IFERROR(IF(0=LEN(ReferenceData!$AA$81),"",ReferenceData!$AA$81),"")</f>
        <v>308.05200000000002</v>
      </c>
      <c r="AB81">
        <f ca="1">IFERROR(IF(0=LEN(ReferenceData!$AB$81),"",ReferenceData!$AB$81),"")</f>
        <v>292.31099999999998</v>
      </c>
      <c r="AC81">
        <f ca="1">IFERROR(IF(0=LEN(ReferenceData!$AC$81),"",ReferenceData!$AC$81),"")</f>
        <v>204.55600000000001</v>
      </c>
      <c r="AD81">
        <f ca="1">IFERROR(IF(0=LEN(ReferenceData!$AD$81),"",ReferenceData!$AD$81),"")</f>
        <v>188.298</v>
      </c>
      <c r="AE81">
        <f ca="1">IFERROR(IF(0=LEN(ReferenceData!$AE$81),"",ReferenceData!$AE$81),"")</f>
        <v>201.37200000000001</v>
      </c>
      <c r="AF81">
        <f ca="1">IFERROR(IF(0=LEN(ReferenceData!$AF$81),"",ReferenceData!$AF$81),"")</f>
        <v>196.59100000000001</v>
      </c>
      <c r="AG81">
        <f ca="1">IFERROR(IF(0=LEN(ReferenceData!$AG$81),"",ReferenceData!$AG$81),"")</f>
        <v>180.73400000000001</v>
      </c>
      <c r="AH81">
        <f ca="1">IFERROR(IF(0=LEN(ReferenceData!$AH$81),"",ReferenceData!$AH$81),"")</f>
        <v>173.45599999999999</v>
      </c>
      <c r="AI81">
        <f ca="1">IFERROR(IF(0=LEN(ReferenceData!$AI$81),"",ReferenceData!$AI$81),"")</f>
        <v>136.43</v>
      </c>
      <c r="AJ81">
        <f ca="1">IFERROR(IF(0=LEN(ReferenceData!$AJ$81),"",ReferenceData!$AJ$81),"")</f>
        <v>166.07900000000001</v>
      </c>
      <c r="AK81">
        <f ca="1">IFERROR(IF(0=LEN(ReferenceData!$AK$81),"",ReferenceData!$AK$81),"")</f>
        <v>174.86500000000001</v>
      </c>
      <c r="AL81">
        <f ca="1">IFERROR(IF(0=LEN(ReferenceData!$AL$81),"",ReferenceData!$AL$81),"")</f>
        <v>145.41200000000001</v>
      </c>
      <c r="AM81">
        <f ca="1">IFERROR(IF(0=LEN(ReferenceData!$AM$81),"",ReferenceData!$AM$81),"")</f>
        <v>126.791</v>
      </c>
      <c r="AN81">
        <f ca="1">IFERROR(IF(0=LEN(ReferenceData!$AN$81),"",ReferenceData!$AN$81),"")</f>
        <v>154.28200000000001</v>
      </c>
      <c r="AO81">
        <f ca="1">IFERROR(IF(0=LEN(ReferenceData!$AO$81),"",ReferenceData!$AO$81),"")</f>
        <v>168.49299999999999</v>
      </c>
      <c r="AP81">
        <f ca="1">IFERROR(IF(0=LEN(ReferenceData!$AP$81),"",ReferenceData!$AP$81),"")</f>
        <v>165.93899999999999</v>
      </c>
      <c r="AQ81">
        <f ca="1">IFERROR(IF(0=LEN(ReferenceData!$AQ$81),"",ReferenceData!$AQ$81),"")</f>
        <v>79.102000000000004</v>
      </c>
      <c r="AR81">
        <f ca="1">IFERROR(IF(0=LEN(ReferenceData!$AR$81),"",ReferenceData!$AR$81),"")</f>
        <v>186.428</v>
      </c>
      <c r="AS81">
        <f ca="1">IFERROR(IF(0=LEN(ReferenceData!$AS$81),"",ReferenceData!$AS$81),"")</f>
        <v>184.80699999999999</v>
      </c>
      <c r="AT81">
        <f ca="1">IFERROR(IF(0=LEN(ReferenceData!$AT$81),"",ReferenceData!$AT$81),"")</f>
        <v>168.035</v>
      </c>
      <c r="AU81">
        <f ca="1">IFERROR(IF(0=LEN(ReferenceData!$AU$81),"",ReferenceData!$AU$81),"")</f>
        <v>193.83500000000001</v>
      </c>
      <c r="AV81">
        <f ca="1">IFERROR(IF(0=LEN(ReferenceData!$AV$81),"",ReferenceData!$AV$81),"")</f>
        <v>172.196</v>
      </c>
      <c r="AW81">
        <f ca="1">IFERROR(IF(0=LEN(ReferenceData!$AW$81),"",ReferenceData!$AW$81),"")</f>
        <v>184.61699999999999</v>
      </c>
      <c r="AX81">
        <f ca="1">IFERROR(IF(0=LEN(ReferenceData!$AX$81),"",ReferenceData!$AX$81),"")</f>
        <v>173.01900000000001</v>
      </c>
      <c r="AY81">
        <f ca="1">IFERROR(IF(0=LEN(ReferenceData!$AY$81),"",ReferenceData!$AY$81),"")</f>
        <v>154.501</v>
      </c>
      <c r="AZ81">
        <f ca="1">IFERROR(IF(0=LEN(ReferenceData!$AZ$81),"",ReferenceData!$AZ$81),"")</f>
        <v>195.411</v>
      </c>
      <c r="BA81">
        <f ca="1">IFERROR(IF(0=LEN(ReferenceData!$BA$81),"",ReferenceData!$BA$81),"")</f>
        <v>191.98699999999999</v>
      </c>
      <c r="BB81">
        <f ca="1">IFERROR(IF(0=LEN(ReferenceData!$BB$81),"",ReferenceData!$BB$81),"")</f>
        <v>174.45400000000001</v>
      </c>
      <c r="BC81">
        <f ca="1">IFERROR(IF(0=LEN(ReferenceData!$BC$81),"",ReferenceData!$BC$81),"")</f>
        <v>206.12899999999999</v>
      </c>
      <c r="BD81">
        <f ca="1">IFERROR(IF(0=LEN(ReferenceData!$BD$81),"",ReferenceData!$BD$81),"")</f>
        <v>175.19200000000001</v>
      </c>
      <c r="BE81">
        <f ca="1">IFERROR(IF(0=LEN(ReferenceData!$BE$81),"",ReferenceData!$BE$81),"")</f>
        <v>173.488</v>
      </c>
      <c r="BF81">
        <f ca="1">IFERROR(IF(0=LEN(ReferenceData!$BF$81),"",ReferenceData!$BF$81),"")</f>
        <v>229.81700000000001</v>
      </c>
      <c r="BG81">
        <f ca="1">IFERROR(IF(0=LEN(ReferenceData!$BG$81),"",ReferenceData!$BG$81),"")</f>
        <v>174.291</v>
      </c>
      <c r="BH81">
        <f ca="1">IFERROR(IF(0=LEN(ReferenceData!$BH$81),"",ReferenceData!$BH$81),"")</f>
        <v>153.22499999999999</v>
      </c>
      <c r="BI81">
        <f ca="1">IFERROR(IF(0=LEN(ReferenceData!$BI$81),"",ReferenceData!$BI$81),"")</f>
        <v>14.465011000000001</v>
      </c>
      <c r="BJ81">
        <f ca="1">IFERROR(IF(0=LEN(ReferenceData!$BJ$81),"",ReferenceData!$BJ$81),"")</f>
        <v>156.10699500000001</v>
      </c>
      <c r="BK81" t="str">
        <f ca="1">IFERROR(IF(0=LEN(ReferenceData!$BK$81),"",ReferenceData!$BK$81),"")</f>
        <v/>
      </c>
      <c r="BL81">
        <f ca="1">IFERROR(IF(0=LEN(ReferenceData!$BL$81),"",ReferenceData!$BL$81),"")</f>
        <v>168.475998</v>
      </c>
      <c r="BM81">
        <f ca="1">IFERROR(IF(0=LEN(ReferenceData!$BM$81),"",ReferenceData!$BM$81),"")</f>
        <v>170.229004</v>
      </c>
    </row>
    <row r="82" spans="1:65">
      <c r="A82" t="str">
        <f>IFERROR(IF(0=LEN(ReferenceData!$A$82),"",ReferenceData!$A$82),"")</f>
        <v xml:space="preserve">    Essex Property Trust Inc</v>
      </c>
      <c r="B82" t="str">
        <f>IFERROR(IF(0=LEN(ReferenceData!$B$82),"",ReferenceData!$B$82),"")</f>
        <v>ESS US Equity</v>
      </c>
      <c r="C82" t="str">
        <f>IFERROR(IF(0=LEN(ReferenceData!$C$82),"",ReferenceData!$C$82),"")</f>
        <v>CF039</v>
      </c>
      <c r="D82" t="str">
        <f>IFERROR(IF(0=LEN(ReferenceData!$D$82),"",ReferenceData!$D$82),"")</f>
        <v>CF_FFO</v>
      </c>
      <c r="E82" t="str">
        <f>IFERROR(IF(0=LEN(ReferenceData!$E$82),"",ReferenceData!$E$82),"")</f>
        <v>动态</v>
      </c>
      <c r="F82" t="str">
        <f ca="1">IFERROR(IF(0=LEN(ReferenceData!$F$82),"",ReferenceData!$F$82),"")</f>
        <v/>
      </c>
      <c r="G82">
        <f ca="1">IFERROR(IF(0=LEN(ReferenceData!$G$82),"",ReferenceData!$G$82),"")</f>
        <v>205.34200000000001</v>
      </c>
      <c r="H82">
        <f ca="1">IFERROR(IF(0=LEN(ReferenceData!$H$82),"",ReferenceData!$H$82),"")</f>
        <v>203.41900000000001</v>
      </c>
      <c r="I82">
        <f ca="1">IFERROR(IF(0=LEN(ReferenceData!$I$82),"",ReferenceData!$I$82),"")</f>
        <v>202.56200000000001</v>
      </c>
      <c r="J82">
        <f ca="1">IFERROR(IF(0=LEN(ReferenceData!$J$82),"",ReferenceData!$J$82),"")</f>
        <v>200.786</v>
      </c>
      <c r="K82">
        <f ca="1">IFERROR(IF(0=LEN(ReferenceData!$K$82),"",ReferenceData!$K$82),"")</f>
        <v>193.477</v>
      </c>
      <c r="L82">
        <f ca="1">IFERROR(IF(0=LEN(ReferenceData!$L$82),"",ReferenceData!$L$82),"")</f>
        <v>191.10300000000001</v>
      </c>
      <c r="M82">
        <f ca="1">IFERROR(IF(0=LEN(ReferenceData!$M$82),"",ReferenceData!$M$82),"")</f>
        <v>190.97800000000001</v>
      </c>
      <c r="N82">
        <f ca="1">IFERROR(IF(0=LEN(ReferenceData!$N$82),"",ReferenceData!$N$82),"")</f>
        <v>179.08699999999999</v>
      </c>
      <c r="O82">
        <f ca="1">IFERROR(IF(0=LEN(ReferenceData!$O$82),"",ReferenceData!$O$82),"")</f>
        <v>171.566</v>
      </c>
      <c r="P82">
        <f ca="1">IFERROR(IF(0=LEN(ReferenceData!$P$82),"",ReferenceData!$P$82),"")</f>
        <v>170.898</v>
      </c>
      <c r="Q82">
        <f ca="1">IFERROR(IF(0=LEN(ReferenceData!$Q$82),"",ReferenceData!$Q$82),"")</f>
        <v>160.06899999999999</v>
      </c>
      <c r="R82">
        <f ca="1">IFERROR(IF(0=LEN(ReferenceData!$R$82),"",ReferenceData!$R$82),"")</f>
        <v>151.52699999999999</v>
      </c>
      <c r="S82">
        <f ca="1">IFERROR(IF(0=LEN(ReferenceData!$S$82),"",ReferenceData!$S$82),"")</f>
        <v>150.52799999999999</v>
      </c>
      <c r="T82">
        <f ca="1">IFERROR(IF(0=LEN(ReferenceData!$T$82),"",ReferenceData!$T$82),"")</f>
        <v>135.947</v>
      </c>
      <c r="U82">
        <f ca="1">IFERROR(IF(0=LEN(ReferenceData!$U$82),"",ReferenceData!$U$82),"")</f>
        <v>110.69</v>
      </c>
      <c r="V82">
        <f ca="1">IFERROR(IF(0=LEN(ReferenceData!$V$82),"",ReferenceData!$V$82),"")</f>
        <v>67.78</v>
      </c>
      <c r="W82">
        <f ca="1">IFERROR(IF(0=LEN(ReferenceData!$W$82),"",ReferenceData!$W$82),"")</f>
        <v>71.144999999999996</v>
      </c>
      <c r="X82">
        <f ca="1">IFERROR(IF(0=LEN(ReferenceData!$X$82),"",ReferenceData!$X$82),"")</f>
        <v>75.616</v>
      </c>
      <c r="Y82">
        <f ca="1">IFERROR(IF(0=LEN(ReferenceData!$Y$82),"",ReferenceData!$Y$82),"")</f>
        <v>75.608000000000004</v>
      </c>
      <c r="Z82">
        <f ca="1">IFERROR(IF(0=LEN(ReferenceData!$Z$82),"",ReferenceData!$Z$82),"")</f>
        <v>77.363</v>
      </c>
      <c r="AA82">
        <f ca="1">IFERROR(IF(0=LEN(ReferenceData!$AA$82),"",ReferenceData!$AA$82),"")</f>
        <v>65.525000000000006</v>
      </c>
      <c r="AB82">
        <f ca="1">IFERROR(IF(0=LEN(ReferenceData!$AB$82),"",ReferenceData!$AB$82),"")</f>
        <v>63.377000000000002</v>
      </c>
      <c r="AC82">
        <f ca="1">IFERROR(IF(0=LEN(ReferenceData!$AC$82),"",ReferenceData!$AC$82),"")</f>
        <v>62.442999999999998</v>
      </c>
      <c r="AD82">
        <f ca="1">IFERROR(IF(0=LEN(ReferenceData!$AD$82),"",ReferenceData!$AD$82),"")</f>
        <v>59.258000000000003</v>
      </c>
      <c r="AE82">
        <f ca="1">IFERROR(IF(0=LEN(ReferenceData!$AE$82),"",ReferenceData!$AE$82),"")</f>
        <v>55.536000000000001</v>
      </c>
      <c r="AF82">
        <f ca="1">IFERROR(IF(0=LEN(ReferenceData!$AF$82),"",ReferenceData!$AF$82),"")</f>
        <v>50.523000000000003</v>
      </c>
      <c r="AG82">
        <f ca="1">IFERROR(IF(0=LEN(ReferenceData!$AG$82),"",ReferenceData!$AG$82),"")</f>
        <v>45.253999999999998</v>
      </c>
      <c r="AH82">
        <f ca="1">IFERROR(IF(0=LEN(ReferenceData!$AH$82),"",ReferenceData!$AH$82),"")</f>
        <v>48.518999999999998</v>
      </c>
      <c r="AI82">
        <f ca="1">IFERROR(IF(0=LEN(ReferenceData!$AI$82),"",ReferenceData!$AI$82),"")</f>
        <v>43.042000000000002</v>
      </c>
      <c r="AJ82">
        <f ca="1">IFERROR(IF(0=LEN(ReferenceData!$AJ$82),"",ReferenceData!$AJ$82),"")</f>
        <v>39.927999999999997</v>
      </c>
      <c r="AK82">
        <f ca="1">IFERROR(IF(0=LEN(ReferenceData!$AK$82),"",ReferenceData!$AK$82),"")</f>
        <v>42.654000000000003</v>
      </c>
      <c r="AL82">
        <f ca="1">IFERROR(IF(0=LEN(ReferenceData!$AL$82),"",ReferenceData!$AL$82),"")</f>
        <v>45.743000000000002</v>
      </c>
      <c r="AM82">
        <f ca="1">IFERROR(IF(0=LEN(ReferenceData!$AM$82),"",ReferenceData!$AM$82),"")</f>
        <v>35.789000000000001</v>
      </c>
      <c r="AN82">
        <f ca="1">IFERROR(IF(0=LEN(ReferenceData!$AN$82),"",ReferenceData!$AN$82),"")</f>
        <v>50.787999999999997</v>
      </c>
      <c r="AO82">
        <f ca="1">IFERROR(IF(0=LEN(ReferenceData!$AO$82),"",ReferenceData!$AO$82),"")</f>
        <v>42.002000000000002</v>
      </c>
      <c r="AP82">
        <f ca="1">IFERROR(IF(0=LEN(ReferenceData!$AP$82),"",ReferenceData!$AP$82),"")</f>
        <v>71.807000000000002</v>
      </c>
      <c r="AQ82">
        <f ca="1">IFERROR(IF(0=LEN(ReferenceData!$AQ$82),"",ReferenceData!$AQ$82),"")</f>
        <v>43.627000000000002</v>
      </c>
      <c r="AR82">
        <f ca="1">IFERROR(IF(0=LEN(ReferenceData!$AR$82),"",ReferenceData!$AR$82),"")</f>
        <v>42.09</v>
      </c>
      <c r="AS82">
        <f ca="1">IFERROR(IF(0=LEN(ReferenceData!$AS$82),"",ReferenceData!$AS$82),"")</f>
        <v>39.234999999999999</v>
      </c>
      <c r="AT82">
        <f ca="1">IFERROR(IF(0=LEN(ReferenceData!$AT$82),"",ReferenceData!$AT$82),"")</f>
        <v>44.826000000000001</v>
      </c>
      <c r="AU82">
        <f ca="1">IFERROR(IF(0=LEN(ReferenceData!$AU$82),"",ReferenceData!$AU$82),"")</f>
        <v>34.698999999999998</v>
      </c>
      <c r="AV82">
        <f ca="1">IFERROR(IF(0=LEN(ReferenceData!$AV$82),"",ReferenceData!$AV$82),"")</f>
        <v>37.322000000000003</v>
      </c>
      <c r="AW82">
        <f ca="1">IFERROR(IF(0=LEN(ReferenceData!$AW$82),"",ReferenceData!$AW$82),"")</f>
        <v>36.497</v>
      </c>
      <c r="AX82">
        <f ca="1">IFERROR(IF(0=LEN(ReferenceData!$AX$82),"",ReferenceData!$AX$82),"")</f>
        <v>45.387</v>
      </c>
      <c r="AY82">
        <f ca="1">IFERROR(IF(0=LEN(ReferenceData!$AY$82),"",ReferenceData!$AY$82),"")</f>
        <v>31.594999999999999</v>
      </c>
      <c r="AZ82">
        <f ca="1">IFERROR(IF(0=LEN(ReferenceData!$AZ$82),"",ReferenceData!$AZ$82),"")</f>
        <v>32.854999999999997</v>
      </c>
      <c r="BA82">
        <f ca="1">IFERROR(IF(0=LEN(ReferenceData!$BA$82),"",ReferenceData!$BA$82),"")</f>
        <v>37.152000000000001</v>
      </c>
      <c r="BB82">
        <f ca="1">IFERROR(IF(0=LEN(ReferenceData!$BB$82),"",ReferenceData!$BB$82),"")</f>
        <v>28.917000000000002</v>
      </c>
      <c r="BC82">
        <f ca="1">IFERROR(IF(0=LEN(ReferenceData!$BC$82),"",ReferenceData!$BC$82),"")</f>
        <v>21.5</v>
      </c>
      <c r="BD82">
        <f ca="1">IFERROR(IF(0=LEN(ReferenceData!$BD$82),"",ReferenceData!$BD$82),"")</f>
        <v>29.666</v>
      </c>
      <c r="BE82">
        <f ca="1">IFERROR(IF(0=LEN(ReferenceData!$BE$82),"",ReferenceData!$BE$82),"")</f>
        <v>27.54</v>
      </c>
      <c r="BF82">
        <f ca="1">IFERROR(IF(0=LEN(ReferenceData!$BF$82),"",ReferenceData!$BF$82),"")</f>
        <v>32.832000000000001</v>
      </c>
      <c r="BG82">
        <f ca="1">IFERROR(IF(0=LEN(ReferenceData!$BG$82),"",ReferenceData!$BG$82),"")</f>
        <v>29.379999000000002</v>
      </c>
      <c r="BH82">
        <f ca="1">IFERROR(IF(0=LEN(ReferenceData!$BH$82),"",ReferenceData!$BH$82),"")</f>
        <v>34.47</v>
      </c>
      <c r="BI82">
        <f ca="1">IFERROR(IF(0=LEN(ReferenceData!$BI$82),"",ReferenceData!$BI$82),"")</f>
        <v>24.603999999999999</v>
      </c>
      <c r="BJ82">
        <f ca="1">IFERROR(IF(0=LEN(ReferenceData!$BJ$82),"",ReferenceData!$BJ$82),"")</f>
        <v>26.292000000000002</v>
      </c>
      <c r="BK82">
        <f ca="1">IFERROR(IF(0=LEN(ReferenceData!$BK$82),"",ReferenceData!$BK$82),"")</f>
        <v>23.608999000000001</v>
      </c>
      <c r="BL82">
        <f ca="1">IFERROR(IF(0=LEN(ReferenceData!$BL$82),"",ReferenceData!$BL$82),"")</f>
        <v>24.795999999999999</v>
      </c>
      <c r="BM82">
        <f ca="1">IFERROR(IF(0=LEN(ReferenceData!$BM$82),"",ReferenceData!$BM$82),"")</f>
        <v>24.768999000000001</v>
      </c>
    </row>
    <row r="83" spans="1:65">
      <c r="A83" t="str">
        <f>IFERROR(IF(0=LEN(ReferenceData!$A$83),"",ReferenceData!$A$83),"")</f>
        <v xml:space="preserve">    Mid-America Apartment Communit</v>
      </c>
      <c r="B83" t="str">
        <f>IFERROR(IF(0=LEN(ReferenceData!$B$83),"",ReferenceData!$B$83),"")</f>
        <v>MAA US Equity</v>
      </c>
      <c r="C83" t="str">
        <f>IFERROR(IF(0=LEN(ReferenceData!$C$83),"",ReferenceData!$C$83),"")</f>
        <v>CF039</v>
      </c>
      <c r="D83" t="str">
        <f>IFERROR(IF(0=LEN(ReferenceData!$D$83),"",ReferenceData!$D$83),"")</f>
        <v>CF_FFO</v>
      </c>
      <c r="E83" t="str">
        <f>IFERROR(IF(0=LEN(ReferenceData!$E$83),"",ReferenceData!$E$83),"")</f>
        <v>动态</v>
      </c>
      <c r="F83" t="str">
        <f ca="1">IFERROR(IF(0=LEN(ReferenceData!$F$83),"",ReferenceData!$F$83),"")</f>
        <v/>
      </c>
      <c r="G83">
        <f ca="1">IFERROR(IF(0=LEN(ReferenceData!$G$83),"",ReferenceData!$G$83),"")</f>
        <v>177.19900000000001</v>
      </c>
      <c r="H83">
        <f ca="1">IFERROR(IF(0=LEN(ReferenceData!$H$83),"",ReferenceData!$H$83),"")</f>
        <v>176.22200000000001</v>
      </c>
      <c r="I83">
        <f ca="1">IFERROR(IF(0=LEN(ReferenceData!$I$83),"",ReferenceData!$I$83),"")</f>
        <v>174.453</v>
      </c>
      <c r="J83">
        <f ca="1">IFERROR(IF(0=LEN(ReferenceData!$J$83),"",ReferenceData!$J$83),"")</f>
        <v>171.68700000000001</v>
      </c>
      <c r="K83">
        <f ca="1">IFERROR(IF(0=LEN(ReferenceData!$K$83),"",ReferenceData!$K$83),"")</f>
        <v>104.176</v>
      </c>
      <c r="L83">
        <f ca="1">IFERROR(IF(0=LEN(ReferenceData!$L$83),"",ReferenceData!$L$83),"")</f>
        <v>117.262</v>
      </c>
      <c r="M83">
        <f ca="1">IFERROR(IF(0=LEN(ReferenceData!$M$83),"",ReferenceData!$M$83),"")</f>
        <v>122.566</v>
      </c>
      <c r="N83">
        <f ca="1">IFERROR(IF(0=LEN(ReferenceData!$N$83),"",ReferenceData!$N$83),"")</f>
        <v>119.381</v>
      </c>
      <c r="O83">
        <f ca="1">IFERROR(IF(0=LEN(ReferenceData!$O$83),"",ReferenceData!$O$83),"")</f>
        <v>118.568</v>
      </c>
      <c r="P83">
        <f ca="1">IFERROR(IF(0=LEN(ReferenceData!$P$83),"",ReferenceData!$P$83),"")</f>
        <v>114.54900000000001</v>
      </c>
      <c r="Q83">
        <f ca="1">IFERROR(IF(0=LEN(ReferenceData!$Q$83),"",ReferenceData!$Q$83),"")</f>
        <v>112.36</v>
      </c>
      <c r="R83">
        <f ca="1">IFERROR(IF(0=LEN(ReferenceData!$R$83),"",ReferenceData!$R$83),"")</f>
        <v>106.896</v>
      </c>
      <c r="S83">
        <f ca="1">IFERROR(IF(0=LEN(ReferenceData!$S$83),"",ReferenceData!$S$83),"")</f>
        <v>107.378</v>
      </c>
      <c r="T83">
        <f ca="1">IFERROR(IF(0=LEN(ReferenceData!$T$83),"",ReferenceData!$T$83),"")</f>
        <v>103.837</v>
      </c>
      <c r="U83">
        <f ca="1">IFERROR(IF(0=LEN(ReferenceData!$U$83),"",ReferenceData!$U$83),"")</f>
        <v>95.513000000000005</v>
      </c>
      <c r="V83">
        <f ca="1">IFERROR(IF(0=LEN(ReferenceData!$V$83),"",ReferenceData!$V$83),"")</f>
        <v>97.36</v>
      </c>
      <c r="W83">
        <f ca="1">IFERROR(IF(0=LEN(ReferenceData!$W$83),"",ReferenceData!$W$83),"")</f>
        <v>74.918999999999997</v>
      </c>
      <c r="X83">
        <f ca="1">IFERROR(IF(0=LEN(ReferenceData!$X$83),"",ReferenceData!$X$83),"")</f>
        <v>50.052</v>
      </c>
      <c r="Y83">
        <f ca="1">IFERROR(IF(0=LEN(ReferenceData!$Y$83),"",ReferenceData!$Y$83),"")</f>
        <v>50.835000000000001</v>
      </c>
      <c r="Z83">
        <f ca="1">IFERROR(IF(0=LEN(ReferenceData!$Z$83),"",ReferenceData!$Z$83),"")</f>
        <v>55.219000000000001</v>
      </c>
      <c r="AA83">
        <f ca="1">IFERROR(IF(0=LEN(ReferenceData!$AA$83),"",ReferenceData!$AA$83),"")</f>
        <v>53.408999999999999</v>
      </c>
      <c r="AB83">
        <f ca="1">IFERROR(IF(0=LEN(ReferenceData!$AB$83),"",ReferenceData!$AB$83),"")</f>
        <v>48.170999999999999</v>
      </c>
      <c r="AC83">
        <f ca="1">IFERROR(IF(0=LEN(ReferenceData!$AC$83),"",ReferenceData!$AC$83),"")</f>
        <v>48.283000000000001</v>
      </c>
      <c r="AD83">
        <f ca="1">IFERROR(IF(0=LEN(ReferenceData!$AD$83),"",ReferenceData!$AD$83),"")</f>
        <v>46.445999999999998</v>
      </c>
      <c r="AE83">
        <f ca="1">IFERROR(IF(0=LEN(ReferenceData!$AE$83),"",ReferenceData!$AE$83),"")</f>
        <v>43.09</v>
      </c>
      <c r="AF83">
        <f ca="1">IFERROR(IF(0=LEN(ReferenceData!$AF$83),"",ReferenceData!$AF$83),"")</f>
        <v>39.247999999999998</v>
      </c>
      <c r="AG83">
        <f ca="1">IFERROR(IF(0=LEN(ReferenceData!$AG$83),"",ReferenceData!$AG$83),"")</f>
        <v>36.174999999999997</v>
      </c>
      <c r="AH83">
        <f ca="1">IFERROR(IF(0=LEN(ReferenceData!$AH$83),"",ReferenceData!$AH$83),"")</f>
        <v>37.029000000000003</v>
      </c>
      <c r="AI83">
        <f ca="1">IFERROR(IF(0=LEN(ReferenceData!$AI$83),"",ReferenceData!$AI$83),"")</f>
        <v>34.622999999999998</v>
      </c>
      <c r="AJ83">
        <f ca="1">IFERROR(IF(0=LEN(ReferenceData!$AJ$83),"",ReferenceData!$AJ$83),"")</f>
        <v>29.88</v>
      </c>
      <c r="AK83">
        <f ca="1">IFERROR(IF(0=LEN(ReferenceData!$AK$83),"",ReferenceData!$AK$83),"")</f>
        <v>26.413</v>
      </c>
      <c r="AL83">
        <f ca="1">IFERROR(IF(0=LEN(ReferenceData!$AL$83),"",ReferenceData!$AL$83),"")</f>
        <v>31.077000000000002</v>
      </c>
      <c r="AM83">
        <f ca="1">IFERROR(IF(0=LEN(ReferenceData!$AM$83),"",ReferenceData!$AM$83),"")</f>
        <v>28.698</v>
      </c>
      <c r="AN83">
        <f ca="1">IFERROR(IF(0=LEN(ReferenceData!$AN$83),"",ReferenceData!$AN$83),"")</f>
        <v>27.417999999999999</v>
      </c>
      <c r="AO83">
        <f ca="1">IFERROR(IF(0=LEN(ReferenceData!$AO$83),"",ReferenceData!$AO$83),"")</f>
        <v>29.824000000000002</v>
      </c>
      <c r="AP83">
        <f ca="1">IFERROR(IF(0=LEN(ReferenceData!$AP$83),"",ReferenceData!$AP$83),"")</f>
        <v>30.725000000000001</v>
      </c>
      <c r="AQ83">
        <f ca="1">IFERROR(IF(0=LEN(ReferenceData!$AQ$83),"",ReferenceData!$AQ$83),"")</f>
        <v>28.102</v>
      </c>
      <c r="AR83">
        <f ca="1">IFERROR(IF(0=LEN(ReferenceData!$AR$83),"",ReferenceData!$AR$83),"")</f>
        <v>26.837</v>
      </c>
      <c r="AS83">
        <f ca="1">IFERROR(IF(0=LEN(ReferenceData!$AS$83),"",ReferenceData!$AS$83),"")</f>
        <v>27.827999999999999</v>
      </c>
      <c r="AT83">
        <f ca="1">IFERROR(IF(0=LEN(ReferenceData!$AT$83),"",ReferenceData!$AT$83),"")</f>
        <v>26.981999999999999</v>
      </c>
      <c r="AU83">
        <f ca="1">IFERROR(IF(0=LEN(ReferenceData!$AU$83),"",ReferenceData!$AU$83),"")</f>
        <v>22.036000000000001</v>
      </c>
      <c r="AV83">
        <f ca="1">IFERROR(IF(0=LEN(ReferenceData!$AV$83),"",ReferenceData!$AV$83),"")</f>
        <v>25.577999999999999</v>
      </c>
      <c r="AW83">
        <f ca="1">IFERROR(IF(0=LEN(ReferenceData!$AW$83),"",ReferenceData!$AW$83),"")</f>
        <v>23.396000000000001</v>
      </c>
      <c r="AX83">
        <f ca="1">IFERROR(IF(0=LEN(ReferenceData!$AX$83),"",ReferenceData!$AX$83),"")</f>
        <v>24.091999999999999</v>
      </c>
      <c r="AY83">
        <f ca="1">IFERROR(IF(0=LEN(ReferenceData!$AY$83),"",ReferenceData!$AY$83),"")</f>
        <v>22.567</v>
      </c>
      <c r="AZ83">
        <f ca="1">IFERROR(IF(0=LEN(ReferenceData!$AZ$83),"",ReferenceData!$AZ$83),"")</f>
        <v>21.972000000000001</v>
      </c>
      <c r="BA83">
        <f ca="1">IFERROR(IF(0=LEN(ReferenceData!$BA$83),"",ReferenceData!$BA$83),"")</f>
        <v>21.876999999999999</v>
      </c>
      <c r="BB83">
        <f ca="1">IFERROR(IF(0=LEN(ReferenceData!$BB$83),"",ReferenceData!$BB$83),"")</f>
        <v>20.780999999999999</v>
      </c>
      <c r="BC83">
        <f ca="1">IFERROR(IF(0=LEN(ReferenceData!$BC$83),"",ReferenceData!$BC$83),"")</f>
        <v>19.872</v>
      </c>
      <c r="BD83">
        <f ca="1">IFERROR(IF(0=LEN(ReferenceData!$BD$83),"",ReferenceData!$BD$83),"")</f>
        <v>18.298999999999999</v>
      </c>
      <c r="BE83">
        <f ca="1">IFERROR(IF(0=LEN(ReferenceData!$BE$83),"",ReferenceData!$BE$83),"")</f>
        <v>20.501999999999999</v>
      </c>
      <c r="BF83">
        <f ca="1">IFERROR(IF(0=LEN(ReferenceData!$BF$83),"",ReferenceData!$BF$83),"")</f>
        <v>37.481999999999999</v>
      </c>
      <c r="BG83">
        <f ca="1">IFERROR(IF(0=LEN(ReferenceData!$BG$83),"",ReferenceData!$BG$83),"")</f>
        <v>18.124001</v>
      </c>
      <c r="BH83">
        <f ca="1">IFERROR(IF(0=LEN(ReferenceData!$BH$83),"",ReferenceData!$BH$83),"")</f>
        <v>17.135000000000002</v>
      </c>
      <c r="BI83">
        <f ca="1">IFERROR(IF(0=LEN(ReferenceData!$BI$83),"",ReferenceData!$BI$83),"")</f>
        <v>17.274999999999999</v>
      </c>
      <c r="BJ83">
        <f ca="1">IFERROR(IF(0=LEN(ReferenceData!$BJ$83),"",ReferenceData!$BJ$83),"")</f>
        <v>17.490998999999999</v>
      </c>
      <c r="BK83">
        <f ca="1">IFERROR(IF(0=LEN(ReferenceData!$BK$83),"",ReferenceData!$BK$83),"")</f>
        <v>17.118999479999999</v>
      </c>
      <c r="BL83">
        <f ca="1">IFERROR(IF(0=LEN(ReferenceData!$BL$83),"",ReferenceData!$BL$83),"")</f>
        <v>8.6549999999999994</v>
      </c>
      <c r="BM83">
        <f ca="1">IFERROR(IF(0=LEN(ReferenceData!$BM$83),"",ReferenceData!$BM$83),"")</f>
        <v>15.069000000000001</v>
      </c>
    </row>
    <row r="84" spans="1:65">
      <c r="A84" t="str">
        <f>IFERROR(IF(0=LEN(ReferenceData!$A$84),"",ReferenceData!$A$84),"")</f>
        <v xml:space="preserve">    UDR Inc</v>
      </c>
      <c r="B84" t="str">
        <f>IFERROR(IF(0=LEN(ReferenceData!$B$84),"",ReferenceData!$B$84),"")</f>
        <v>UDR US Equity</v>
      </c>
      <c r="C84" t="str">
        <f>IFERROR(IF(0=LEN(ReferenceData!$C$84),"",ReferenceData!$C$84),"")</f>
        <v>CF039</v>
      </c>
      <c r="D84" t="str">
        <f>IFERROR(IF(0=LEN(ReferenceData!$D$84),"",ReferenceData!$D$84),"")</f>
        <v>CF_FFO</v>
      </c>
      <c r="E84" t="str">
        <f>IFERROR(IF(0=LEN(ReferenceData!$E$84),"",ReferenceData!$E$84),"")</f>
        <v>动态</v>
      </c>
      <c r="F84" t="str">
        <f ca="1">IFERROR(IF(0=LEN(ReferenceData!$F$84),"",ReferenceData!$F$84),"")</f>
        <v/>
      </c>
      <c r="G84">
        <f ca="1">IFERROR(IF(0=LEN(ReferenceData!$G$84),"",ReferenceData!$G$84),"")</f>
        <v>137.03399999999999</v>
      </c>
      <c r="H84">
        <f ca="1">IFERROR(IF(0=LEN(ReferenceData!$H$84),"",ReferenceData!$H$84),"")</f>
        <v>137.096</v>
      </c>
      <c r="I84">
        <f ca="1">IFERROR(IF(0=LEN(ReferenceData!$I$84),"",ReferenceData!$I$84),"")</f>
        <v>134.00899999999999</v>
      </c>
      <c r="J84">
        <f ca="1">IFERROR(IF(0=LEN(ReferenceData!$J$84),"",ReferenceData!$J$84),"")</f>
        <v>134.48500000000001</v>
      </c>
      <c r="K84">
        <f ca="1">IFERROR(IF(0=LEN(ReferenceData!$K$84),"",ReferenceData!$K$84),"")</f>
        <v>138.48699999999999</v>
      </c>
      <c r="L84">
        <f ca="1">IFERROR(IF(0=LEN(ReferenceData!$L$84),"",ReferenceData!$L$84),"")</f>
        <v>135.93299999999999</v>
      </c>
      <c r="M84">
        <f ca="1">IFERROR(IF(0=LEN(ReferenceData!$M$84),"",ReferenceData!$M$84),"")</f>
        <v>130.48500000000001</v>
      </c>
      <c r="N84">
        <f ca="1">IFERROR(IF(0=LEN(ReferenceData!$N$84),"",ReferenceData!$N$84),"")</f>
        <v>125.908</v>
      </c>
      <c r="O84">
        <f ca="1">IFERROR(IF(0=LEN(ReferenceData!$O$84),"",ReferenceData!$O$84),"")</f>
        <v>118.45399999999999</v>
      </c>
      <c r="P84">
        <f ca="1">IFERROR(IF(0=LEN(ReferenceData!$P$84),"",ReferenceData!$P$84),"")</f>
        <v>113.65900000000001</v>
      </c>
      <c r="Q84">
        <f ca="1">IFERROR(IF(0=LEN(ReferenceData!$Q$84),"",ReferenceData!$Q$84),"")</f>
        <v>109.34099999999999</v>
      </c>
      <c r="R84">
        <f ca="1">IFERROR(IF(0=LEN(ReferenceData!$R$84),"",ReferenceData!$R$84),"")</f>
        <v>115.971</v>
      </c>
      <c r="S84">
        <f ca="1">IFERROR(IF(0=LEN(ReferenceData!$S$84),"",ReferenceData!$S$84),"")</f>
        <v>107.922</v>
      </c>
      <c r="T84" t="str">
        <f ca="1">IFERROR(IF(0=LEN(ReferenceData!$T$84),"",ReferenceData!$T$84),"")</f>
        <v/>
      </c>
      <c r="U84" t="str">
        <f ca="1">IFERROR(IF(0=LEN(ReferenceData!$U$84),"",ReferenceData!$U$84),"")</f>
        <v/>
      </c>
      <c r="V84">
        <f ca="1">IFERROR(IF(0=LEN(ReferenceData!$V$84),"",ReferenceData!$V$84),"")</f>
        <v>95.037999999999997</v>
      </c>
      <c r="W84">
        <f ca="1">IFERROR(IF(0=LEN(ReferenceData!$W$84),"",ReferenceData!$W$84),"")</f>
        <v>93.921000000000006</v>
      </c>
      <c r="X84">
        <f ca="1">IFERROR(IF(0=LEN(ReferenceData!$X$84),"",ReferenceData!$X$84),"")</f>
        <v>98.015000000000001</v>
      </c>
      <c r="Y84">
        <f ca="1">IFERROR(IF(0=LEN(ReferenceData!$Y$84),"",ReferenceData!$Y$84),"")</f>
        <v>96.427999999999997</v>
      </c>
      <c r="Z84">
        <f ca="1">IFERROR(IF(0=LEN(ReferenceData!$Z$84),"",ReferenceData!$Z$84),"")</f>
        <v>92.138000000000005</v>
      </c>
      <c r="AA84">
        <f ca="1">IFERROR(IF(0=LEN(ReferenceData!$AA$84),"",ReferenceData!$AA$84),"")</f>
        <v>81.587999999999994</v>
      </c>
      <c r="AB84">
        <f ca="1">IFERROR(IF(0=LEN(ReferenceData!$AB$84),"",ReferenceData!$AB$84),"")</f>
        <v>86.531999999999996</v>
      </c>
      <c r="AC84">
        <f ca="1">IFERROR(IF(0=LEN(ReferenceData!$AC$84),"",ReferenceData!$AC$84),"")</f>
        <v>81.182000000000002</v>
      </c>
      <c r="AD84">
        <f ca="1">IFERROR(IF(0=LEN(ReferenceData!$AD$84),"",ReferenceData!$AD$84),"")</f>
        <v>83.52</v>
      </c>
      <c r="AE84">
        <f ca="1">IFERROR(IF(0=LEN(ReferenceData!$AE$84),"",ReferenceData!$AE$84),"")</f>
        <v>80.191999999999993</v>
      </c>
      <c r="AF84">
        <f ca="1">IFERROR(IF(0=LEN(ReferenceData!$AF$84),"",ReferenceData!$AF$84),"")</f>
        <v>72.983000000000004</v>
      </c>
      <c r="AG84">
        <f ca="1">IFERROR(IF(0=LEN(ReferenceData!$AG$84),"",ReferenceData!$AG$84),"")</f>
        <v>63.576000000000001</v>
      </c>
      <c r="AH84">
        <f ca="1">IFERROR(IF(0=LEN(ReferenceData!$AH$84),"",ReferenceData!$AH$84),"")</f>
        <v>55.898000000000003</v>
      </c>
      <c r="AI84">
        <f ca="1">IFERROR(IF(0=LEN(ReferenceData!$AI$84),"",ReferenceData!$AI$84),"")</f>
        <v>53.442</v>
      </c>
      <c r="AJ84">
        <f ca="1">IFERROR(IF(0=LEN(ReferenceData!$AJ$84),"",ReferenceData!$AJ$84),"")</f>
        <v>46.887</v>
      </c>
      <c r="AK84">
        <f ca="1">IFERROR(IF(0=LEN(ReferenceData!$AK$84),"",ReferenceData!$AK$84),"")</f>
        <v>45.658999999999999</v>
      </c>
      <c r="AL84">
        <f ca="1">IFERROR(IF(0=LEN(ReferenceData!$AL$84),"",ReferenceData!$AL$84),"")</f>
        <v>45.851999999999997</v>
      </c>
      <c r="AM84">
        <f ca="1">IFERROR(IF(0=LEN(ReferenceData!$AM$84),"",ReferenceData!$AM$84),"")</f>
        <v>44.55</v>
      </c>
      <c r="AN84">
        <f ca="1">IFERROR(IF(0=LEN(ReferenceData!$AN$84),"",ReferenceData!$AN$84),"")</f>
        <v>28.792000000000002</v>
      </c>
      <c r="AO84">
        <f ca="1">IFERROR(IF(0=LEN(ReferenceData!$AO$84),"",ReferenceData!$AO$84),"")</f>
        <v>53.65</v>
      </c>
      <c r="AP84">
        <f ca="1">IFERROR(IF(0=LEN(ReferenceData!$AP$84),"",ReferenceData!$AP$84),"")</f>
        <v>55.003999999999998</v>
      </c>
      <c r="AQ84">
        <f ca="1">IFERROR(IF(0=LEN(ReferenceData!$AQ$84),"",ReferenceData!$AQ$84),"")</f>
        <v>52.466999999999999</v>
      </c>
      <c r="AR84">
        <f ca="1">IFERROR(IF(0=LEN(ReferenceData!$AR$84),"",ReferenceData!$AR$84),"")</f>
        <v>47.003</v>
      </c>
      <c r="AS84">
        <f ca="1">IFERROR(IF(0=LEN(ReferenceData!$AS$84),"",ReferenceData!$AS$84),"")</f>
        <v>45.636000000000003</v>
      </c>
      <c r="AT84">
        <f ca="1">IFERROR(IF(0=LEN(ReferenceData!$AT$84),"",ReferenceData!$AT$84),"")</f>
        <v>56.051000000000002</v>
      </c>
      <c r="AU84">
        <f ca="1">IFERROR(IF(0=LEN(ReferenceData!$AU$84),"",ReferenceData!$AU$84),"")</f>
        <v>57.396999999999998</v>
      </c>
      <c r="AV84">
        <f ca="1">IFERROR(IF(0=LEN(ReferenceData!$AV$84),"",ReferenceData!$AV$84),"")</f>
        <v>67.757999999999996</v>
      </c>
      <c r="AW84">
        <f ca="1">IFERROR(IF(0=LEN(ReferenceData!$AW$84),"",ReferenceData!$AW$84),"")</f>
        <v>65.311000000000007</v>
      </c>
      <c r="AX84">
        <f ca="1">IFERROR(IF(0=LEN(ReferenceData!$AX$84),"",ReferenceData!$AX$84),"")</f>
        <v>56.942</v>
      </c>
      <c r="AY84">
        <f ca="1">IFERROR(IF(0=LEN(ReferenceData!$AY$84),"",ReferenceData!$AY$84),"")</f>
        <v>62.393999999999998</v>
      </c>
      <c r="AZ84">
        <f ca="1">IFERROR(IF(0=LEN(ReferenceData!$AZ$84),"",ReferenceData!$AZ$84),"")</f>
        <v>59.302</v>
      </c>
      <c r="BA84">
        <f ca="1">IFERROR(IF(0=LEN(ReferenceData!$BA$84),"",ReferenceData!$BA$84),"")</f>
        <v>61.289000000000001</v>
      </c>
      <c r="BB84">
        <f ca="1">IFERROR(IF(0=LEN(ReferenceData!$BB$84),"",ReferenceData!$BB$84),"")</f>
        <v>61.485999999999997</v>
      </c>
      <c r="BC84">
        <f ca="1">IFERROR(IF(0=LEN(ReferenceData!$BC$84),"",ReferenceData!$BC$84),"")</f>
        <v>68.453999999999994</v>
      </c>
      <c r="BD84">
        <f ca="1">IFERROR(IF(0=LEN(ReferenceData!$BD$84),"",ReferenceData!$BD$84),"")</f>
        <v>58.49</v>
      </c>
      <c r="BE84">
        <f ca="1">IFERROR(IF(0=LEN(ReferenceData!$BE$84),"",ReferenceData!$BE$84),"")</f>
        <v>57.557000000000002</v>
      </c>
      <c r="BF84">
        <f ca="1">IFERROR(IF(0=LEN(ReferenceData!$BF$84),"",ReferenceData!$BF$84),"")</f>
        <v>57.478999999999999</v>
      </c>
      <c r="BG84">
        <f ca="1">IFERROR(IF(0=LEN(ReferenceData!$BG$84),"",ReferenceData!$BG$84),"")</f>
        <v>56.335999999999999</v>
      </c>
      <c r="BH84">
        <f ca="1">IFERROR(IF(0=LEN(ReferenceData!$BH$84),"",ReferenceData!$BH$84),"")</f>
        <v>50.67</v>
      </c>
      <c r="BI84">
        <f ca="1">IFERROR(IF(0=LEN(ReferenceData!$BI$84),"",ReferenceData!$BI$84),"")</f>
        <v>56.576999999999998</v>
      </c>
      <c r="BJ84">
        <f ca="1">IFERROR(IF(0=LEN(ReferenceData!$BJ$84),"",ReferenceData!$BJ$84),"")</f>
        <v>54.77</v>
      </c>
      <c r="BK84">
        <f ca="1">IFERROR(IF(0=LEN(ReferenceData!$BK$84),"",ReferenceData!$BK$84),"")</f>
        <v>53.816000000000003</v>
      </c>
      <c r="BL84">
        <f ca="1">IFERROR(IF(0=LEN(ReferenceData!$BL$84),"",ReferenceData!$BL$84),"")</f>
        <v>52.292999999999999</v>
      </c>
      <c r="BM84">
        <f ca="1">IFERROR(IF(0=LEN(ReferenceData!$BM$84),"",ReferenceData!$BM$84),"")</f>
        <v>52.421999999999997</v>
      </c>
    </row>
    <row r="85" spans="1:65">
      <c r="A85" t="str">
        <f>IFERROR(IF(0=LEN(ReferenceData!$A$85),"",ReferenceData!$A$85),"")</f>
        <v>可分配资金</v>
      </c>
      <c r="B85" t="str">
        <f>IFERROR(IF(0=LEN(ReferenceData!$B$85),"",ReferenceData!$B$85),"")</f>
        <v/>
      </c>
      <c r="C85" t="str">
        <f>IFERROR(IF(0=LEN(ReferenceData!$C$85),"",ReferenceData!$C$85),"")</f>
        <v/>
      </c>
      <c r="D85" t="str">
        <f>IFERROR(IF(0=LEN(ReferenceData!$D$85),"",ReferenceData!$D$85),"")</f>
        <v/>
      </c>
      <c r="E85" t="str">
        <f>IFERROR(IF(0=LEN(ReferenceData!$E$85),"",ReferenceData!$E$85),"")</f>
        <v>Median</v>
      </c>
      <c r="F85" t="str">
        <f ca="1">IFERROR(IF(0=LEN(ReferenceData!$F$85),"",ReferenceData!$F$85),"")</f>
        <v/>
      </c>
      <c r="G85">
        <f ca="1">IFERROR(IF(0=LEN(ReferenceData!$G$85),"",ReferenceData!$G$85),"")</f>
        <v>126.31049999999999</v>
      </c>
      <c r="H85">
        <f ca="1">IFERROR(IF(0=LEN(ReferenceData!$H$85),"",ReferenceData!$H$85),"")</f>
        <v>126.94</v>
      </c>
      <c r="I85">
        <f ca="1">IFERROR(IF(0=LEN(ReferenceData!$I$85),"",ReferenceData!$I$85),"")</f>
        <v>126.601</v>
      </c>
      <c r="J85">
        <f ca="1">IFERROR(IF(0=LEN(ReferenceData!$J$85),"",ReferenceData!$J$85),"")</f>
        <v>136.214</v>
      </c>
      <c r="K85">
        <f ca="1">IFERROR(IF(0=LEN(ReferenceData!$K$85),"",ReferenceData!$K$85),"")</f>
        <v>105.045</v>
      </c>
      <c r="L85">
        <f ca="1">IFERROR(IF(0=LEN(ReferenceData!$L$85),"",ReferenceData!$L$85),"")</f>
        <v>102.9135</v>
      </c>
      <c r="M85">
        <f ca="1">IFERROR(IF(0=LEN(ReferenceData!$M$85),"",ReferenceData!$M$85),"")</f>
        <v>105.79949999999999</v>
      </c>
      <c r="N85">
        <f ca="1">IFERROR(IF(0=LEN(ReferenceData!$N$85),"",ReferenceData!$N$85),"")</f>
        <v>109.76349999999999</v>
      </c>
      <c r="O85">
        <f ca="1">IFERROR(IF(0=LEN(ReferenceData!$O$85),"",ReferenceData!$O$85),"")</f>
        <v>100.50550000000001</v>
      </c>
      <c r="P85">
        <f ca="1">IFERROR(IF(0=LEN(ReferenceData!$P$85),"",ReferenceData!$P$85),"")</f>
        <v>94.0535</v>
      </c>
      <c r="Q85">
        <f ca="1">IFERROR(IF(0=LEN(ReferenceData!$Q$85),"",ReferenceData!$Q$85),"")</f>
        <v>95.3005</v>
      </c>
      <c r="R85">
        <f ca="1">IFERROR(IF(0=LEN(ReferenceData!$R$85),"",ReferenceData!$R$85),"")</f>
        <v>96.165000000000006</v>
      </c>
      <c r="S85">
        <f ca="1">IFERROR(IF(0=LEN(ReferenceData!$S$85),"",ReferenceData!$S$85),"")</f>
        <v>93.594499999999996</v>
      </c>
      <c r="T85">
        <f ca="1">IFERROR(IF(0=LEN(ReferenceData!$T$85),"",ReferenceData!$T$85),"")</f>
        <v>89.381</v>
      </c>
      <c r="U85">
        <f ca="1">IFERROR(IF(0=LEN(ReferenceData!$U$85),"",ReferenceData!$U$85),"")</f>
        <v>87.515000000000001</v>
      </c>
      <c r="V85">
        <f ca="1">IFERROR(IF(0=LEN(ReferenceData!$V$85),"",ReferenceData!$V$85),"")</f>
        <v>88.115499999999997</v>
      </c>
      <c r="W85">
        <f ca="1">IFERROR(IF(0=LEN(ReferenceData!$W$85),"",ReferenceData!$W$85),"")</f>
        <v>78.215000000000003</v>
      </c>
      <c r="X85">
        <f ca="1">IFERROR(IF(0=LEN(ReferenceData!$X$85),"",ReferenceData!$X$85),"")</f>
        <v>74.005499999999998</v>
      </c>
      <c r="Y85">
        <f ca="1">IFERROR(IF(0=LEN(ReferenceData!$Y$85),"",ReferenceData!$Y$85),"")</f>
        <v>73.645499999999998</v>
      </c>
      <c r="Z85">
        <f ca="1">IFERROR(IF(0=LEN(ReferenceData!$Z$85),"",ReferenceData!$Z$85),"")</f>
        <v>74.388499999999993</v>
      </c>
      <c r="AA85">
        <f ca="1">IFERROR(IF(0=LEN(ReferenceData!$AA$85),"",ReferenceData!$AA$85),"")</f>
        <v>68.064499999999995</v>
      </c>
      <c r="AB85">
        <f ca="1">IFERROR(IF(0=LEN(ReferenceData!$AB$85),"",ReferenceData!$AB$85),"")</f>
        <v>73.63300000000001</v>
      </c>
      <c r="AC85">
        <f ca="1">IFERROR(IF(0=LEN(ReferenceData!$AC$85),"",ReferenceData!$AC$85),"")</f>
        <v>63.109000000000002</v>
      </c>
      <c r="AD85">
        <f ca="1">IFERROR(IF(0=LEN(ReferenceData!$AD$85),"",ReferenceData!$AD$85),"")</f>
        <v>60.034999999999997</v>
      </c>
      <c r="AE85">
        <f ca="1">IFERROR(IF(0=LEN(ReferenceData!$AE$85),"",ReferenceData!$AE$85),"")</f>
        <v>49.632000000000005</v>
      </c>
      <c r="AF85">
        <f ca="1">IFERROR(IF(0=LEN(ReferenceData!$AF$85),"",ReferenceData!$AF$85),"")</f>
        <v>47.424999999999997</v>
      </c>
      <c r="AG85">
        <f ca="1">IFERROR(IF(0=LEN(ReferenceData!$AG$85),"",ReferenceData!$AG$85),"")</f>
        <v>35.613500000000002</v>
      </c>
      <c r="AH85">
        <f ca="1">IFERROR(IF(0=LEN(ReferenceData!$AH$85),"",ReferenceData!$AH$85),"")</f>
        <v>44.298999999999999</v>
      </c>
      <c r="AI85">
        <f ca="1">IFERROR(IF(0=LEN(ReferenceData!$AI$85),"",ReferenceData!$AI$85),"")</f>
        <v>45.143500000000003</v>
      </c>
      <c r="AJ85">
        <f ca="1">IFERROR(IF(0=LEN(ReferenceData!$AJ$85),"",ReferenceData!$AJ$85),"")</f>
        <v>39.831999999999994</v>
      </c>
      <c r="AK85">
        <f ca="1">IFERROR(IF(0=LEN(ReferenceData!$AK$85),"",ReferenceData!$AK$85),"")</f>
        <v>39.22</v>
      </c>
      <c r="AL85">
        <f ca="1">IFERROR(IF(0=LEN(ReferenceData!$AL$85),"",ReferenceData!$AL$85),"")</f>
        <v>44.008499999999998</v>
      </c>
      <c r="AM85">
        <f ca="1">IFERROR(IF(0=LEN(ReferenceData!$AM$85),"",ReferenceData!$AM$85),"")</f>
        <v>37.381500000000003</v>
      </c>
      <c r="AN85">
        <f ca="1">IFERROR(IF(0=LEN(ReferenceData!$AN$85),"",ReferenceData!$AN$85),"")</f>
        <v>29.524000000000001</v>
      </c>
      <c r="AO85">
        <f ca="1">IFERROR(IF(0=LEN(ReferenceData!$AO$85),"",ReferenceData!$AO$85),"")</f>
        <v>41.956045500000002</v>
      </c>
      <c r="AP85">
        <f ca="1">IFERROR(IF(0=LEN(ReferenceData!$AP$85),"",ReferenceData!$AP$85),"")</f>
        <v>44.975999999999999</v>
      </c>
      <c r="AQ85">
        <f ca="1">IFERROR(IF(0=LEN(ReferenceData!$AQ$85),"",ReferenceData!$AQ$85),"")</f>
        <v>31.008499999999998</v>
      </c>
      <c r="AR85">
        <f ca="1">IFERROR(IF(0=LEN(ReferenceData!$AR$85),"",ReferenceData!$AR$85),"")</f>
        <v>32.4495</v>
      </c>
      <c r="AS85">
        <f ca="1">IFERROR(IF(0=LEN(ReferenceData!$AS$85),"",ReferenceData!$AS$85),"")</f>
        <v>40.825000000000003</v>
      </c>
      <c r="AT85">
        <f ca="1">IFERROR(IF(0=LEN(ReferenceData!$AT$85),"",ReferenceData!$AT$85),"")</f>
        <v>44.612000000000002</v>
      </c>
      <c r="AU85">
        <f ca="1">IFERROR(IF(0=LEN(ReferenceData!$AU$85),"",ReferenceData!$AU$85),"")</f>
        <v>35.8065</v>
      </c>
      <c r="AV85">
        <f ca="1">IFERROR(IF(0=LEN(ReferenceData!$AV$85),"",ReferenceData!$AV$85),"")</f>
        <v>41.252499999999998</v>
      </c>
      <c r="AW85">
        <f ca="1">IFERROR(IF(0=LEN(ReferenceData!$AW$85),"",ReferenceData!$AW$85),"")</f>
        <v>41.598500000000001</v>
      </c>
      <c r="AX85">
        <f ca="1">IFERROR(IF(0=LEN(ReferenceData!$AX$85),"",ReferenceData!$AX$85),"")</f>
        <v>45.519999999999996</v>
      </c>
      <c r="AY85">
        <f ca="1">IFERROR(IF(0=LEN(ReferenceData!$AY$85),"",ReferenceData!$AY$85),"")</f>
        <v>37.956499999999998</v>
      </c>
      <c r="AZ85">
        <f ca="1">IFERROR(IF(0=LEN(ReferenceData!$AZ$85),"",ReferenceData!$AZ$85),"")</f>
        <v>41.517499999999998</v>
      </c>
      <c r="BA85">
        <f ca="1">IFERROR(IF(0=LEN(ReferenceData!$BA$85),"",ReferenceData!$BA$85),"")</f>
        <v>40.143500000000003</v>
      </c>
      <c r="BB85">
        <f ca="1">IFERROR(IF(0=LEN(ReferenceData!$BB$85),"",ReferenceData!$BB$85),"")</f>
        <v>35.718000000000004</v>
      </c>
      <c r="BC85">
        <f ca="1">IFERROR(IF(0=LEN(ReferenceData!$BC$85),"",ReferenceData!$BC$85),"")</f>
        <v>35.439</v>
      </c>
      <c r="BD85">
        <f ca="1">IFERROR(IF(0=LEN(ReferenceData!$BD$85),"",ReferenceData!$BD$85),"")</f>
        <v>37.018500000000003</v>
      </c>
      <c r="BE85">
        <f ca="1">IFERROR(IF(0=LEN(ReferenceData!$BE$85),"",ReferenceData!$BE$85),"")</f>
        <v>47.103000000000002</v>
      </c>
      <c r="BF85">
        <f ca="1">IFERROR(IF(0=LEN(ReferenceData!$BF$85),"",ReferenceData!$BF$85),"")</f>
        <v>44.548500000000004</v>
      </c>
      <c r="BG85">
        <f ca="1">IFERROR(IF(0=LEN(ReferenceData!$BG$85),"",ReferenceData!$BG$85),"")</f>
        <v>38.185000000000002</v>
      </c>
      <c r="BH85">
        <f ca="1">IFERROR(IF(0=LEN(ReferenceData!$BH$85),"",ReferenceData!$BH$85),"")</f>
        <v>34.47</v>
      </c>
      <c r="BI85">
        <f ca="1">IFERROR(IF(0=LEN(ReferenceData!$BI$85),"",ReferenceData!$BI$85),"")</f>
        <v>24.603999999999999</v>
      </c>
      <c r="BJ85">
        <f ca="1">IFERROR(IF(0=LEN(ReferenceData!$BJ$85),"",ReferenceData!$BJ$85),"")</f>
        <v>36.785998999999997</v>
      </c>
      <c r="BK85">
        <f ca="1">IFERROR(IF(0=LEN(ReferenceData!$BK$85),"",ReferenceData!$BK$85),"")</f>
        <v>36.337001800000003</v>
      </c>
      <c r="BL85">
        <f ca="1">IFERROR(IF(0=LEN(ReferenceData!$BL$85),"",ReferenceData!$BL$85),"")</f>
        <v>42.553999500000003</v>
      </c>
      <c r="BM85">
        <f ca="1">IFERROR(IF(0=LEN(ReferenceData!$BM$85),"",ReferenceData!$BM$85),"")</f>
        <v>42.409499499999995</v>
      </c>
    </row>
    <row r="86" spans="1:65">
      <c r="A86" t="str">
        <f>IFERROR(IF(0=LEN(ReferenceData!$A$86),"",ReferenceData!$A$86),"")</f>
        <v xml:space="preserve">    American Campus Communities In</v>
      </c>
      <c r="B86" t="str">
        <f>IFERROR(IF(0=LEN(ReferenceData!$B$86),"",ReferenceData!$B$86),"")</f>
        <v>ACC US Equity</v>
      </c>
      <c r="C86" t="str">
        <f>IFERROR(IF(0=LEN(ReferenceData!$C$86),"",ReferenceData!$C$86),"")</f>
        <v>F0578</v>
      </c>
      <c r="D86" t="str">
        <f>IFERROR(IF(0=LEN(ReferenceData!$D$86),"",ReferenceData!$D$86),"")</f>
        <v>FUNDS_AVAILABLE_FOR_DISTRIBUTION</v>
      </c>
      <c r="E86" t="str">
        <f>IFERROR(IF(0=LEN(ReferenceData!$E$86),"",ReferenceData!$E$86),"")</f>
        <v>动态</v>
      </c>
      <c r="F86" t="str">
        <f ca="1">IFERROR(IF(0=LEN(ReferenceData!$F$86),"",ReferenceData!$F$86),"")</f>
        <v/>
      </c>
      <c r="G86">
        <f ca="1">IFERROR(IF(0=LEN(ReferenceData!$G$86),"",ReferenceData!$G$86),"")</f>
        <v>99.575999999999993</v>
      </c>
      <c r="H86">
        <f ca="1">IFERROR(IF(0=LEN(ReferenceData!$H$86),"",ReferenceData!$H$86),"")</f>
        <v>61.174999999999997</v>
      </c>
      <c r="I86">
        <f ca="1">IFERROR(IF(0=LEN(ReferenceData!$I$86),"",ReferenceData!$I$86),"")</f>
        <v>87.82</v>
      </c>
      <c r="J86">
        <f ca="1">IFERROR(IF(0=LEN(ReferenceData!$J$86),"",ReferenceData!$J$86),"")</f>
        <v>83.18</v>
      </c>
      <c r="K86">
        <f ca="1">IFERROR(IF(0=LEN(ReferenceData!$K$86),"",ReferenceData!$K$86),"")</f>
        <v>86.936000000000007</v>
      </c>
      <c r="L86">
        <f ca="1">IFERROR(IF(0=LEN(ReferenceData!$L$86),"",ReferenceData!$L$86),"")</f>
        <v>60.441000000000003</v>
      </c>
      <c r="M86">
        <f ca="1">IFERROR(IF(0=LEN(ReferenceData!$M$86),"",ReferenceData!$M$86),"")</f>
        <v>72.194999999999993</v>
      </c>
      <c r="N86">
        <f ca="1">IFERROR(IF(0=LEN(ReferenceData!$N$86),"",ReferenceData!$N$86),"")</f>
        <v>78.168000000000006</v>
      </c>
      <c r="O86">
        <f ca="1">IFERROR(IF(0=LEN(ReferenceData!$O$86),"",ReferenceData!$O$86),"")</f>
        <v>79.113</v>
      </c>
      <c r="P86">
        <f ca="1">IFERROR(IF(0=LEN(ReferenceData!$P$86),"",ReferenceData!$P$86),"")</f>
        <v>48.695999999999998</v>
      </c>
      <c r="Q86">
        <f ca="1">IFERROR(IF(0=LEN(ReferenceData!$Q$86),"",ReferenceData!$Q$86),"")</f>
        <v>65.185000000000002</v>
      </c>
      <c r="R86">
        <f ca="1">IFERROR(IF(0=LEN(ReferenceData!$R$86),"",ReferenceData!$R$86),"")</f>
        <v>76.081999999999994</v>
      </c>
      <c r="S86">
        <f ca="1">IFERROR(IF(0=LEN(ReferenceData!$S$86),"",ReferenceData!$S$86),"")</f>
        <v>79.55</v>
      </c>
      <c r="T86">
        <f ca="1">IFERROR(IF(0=LEN(ReferenceData!$T$86),"",ReferenceData!$T$86),"")</f>
        <v>44.145000000000003</v>
      </c>
      <c r="U86">
        <f ca="1">IFERROR(IF(0=LEN(ReferenceData!$U$86),"",ReferenceData!$U$86),"")</f>
        <v>60.154000000000003</v>
      </c>
      <c r="V86">
        <f ca="1">IFERROR(IF(0=LEN(ReferenceData!$V$86),"",ReferenceData!$V$86),"")</f>
        <v>72.293000000000006</v>
      </c>
      <c r="W86">
        <f ca="1">IFERROR(IF(0=LEN(ReferenceData!$W$86),"",ReferenceData!$W$86),"")</f>
        <v>52.646000000000001</v>
      </c>
      <c r="X86">
        <f ca="1">IFERROR(IF(0=LEN(ReferenceData!$X$86),"",ReferenceData!$X$86),"")</f>
        <v>38.493000000000002</v>
      </c>
      <c r="Y86">
        <f ca="1">IFERROR(IF(0=LEN(ReferenceData!$Y$86),"",ReferenceData!$Y$86),"")</f>
        <v>54.137</v>
      </c>
      <c r="Z86">
        <f ca="1">IFERROR(IF(0=LEN(ReferenceData!$Z$86),"",ReferenceData!$Z$86),"")</f>
        <v>64.391000000000005</v>
      </c>
      <c r="AA86">
        <f ca="1">IFERROR(IF(0=LEN(ReferenceData!$AA$86),"",ReferenceData!$AA$86),"")</f>
        <v>57.037999999999997</v>
      </c>
      <c r="AB86">
        <f ca="1">IFERROR(IF(0=LEN(ReferenceData!$AB$86),"",ReferenceData!$AB$86),"")</f>
        <v>27.818000000000001</v>
      </c>
      <c r="AC86">
        <f ca="1">IFERROR(IF(0=LEN(ReferenceData!$AC$86),"",ReferenceData!$AC$86),"")</f>
        <v>35.625999999999998</v>
      </c>
      <c r="AD86">
        <f ca="1">IFERROR(IF(0=LEN(ReferenceData!$AD$86),"",ReferenceData!$AD$86),"")</f>
        <v>43.289000000000001</v>
      </c>
      <c r="AE86">
        <f ca="1">IFERROR(IF(0=LEN(ReferenceData!$AE$86),"",ReferenceData!$AE$86),"")</f>
        <v>25.853000000000002</v>
      </c>
      <c r="AF86">
        <f ca="1">IFERROR(IF(0=LEN(ReferenceData!$AF$86),"",ReferenceData!$AF$86),"")</f>
        <v>22.501999999999999</v>
      </c>
      <c r="AG86">
        <f ca="1">IFERROR(IF(0=LEN(ReferenceData!$AG$86),"",ReferenceData!$AG$86),"")</f>
        <v>28.039000000000001</v>
      </c>
      <c r="AH86">
        <f ca="1">IFERROR(IF(0=LEN(ReferenceData!$AH$86),"",ReferenceData!$AH$86),"")</f>
        <v>38.573</v>
      </c>
      <c r="AI86">
        <f ca="1">IFERROR(IF(0=LEN(ReferenceData!$AI$86),"",ReferenceData!$AI$86),"")</f>
        <v>25.834</v>
      </c>
      <c r="AJ86">
        <f ca="1">IFERROR(IF(0=LEN(ReferenceData!$AJ$86),"",ReferenceData!$AJ$86),"")</f>
        <v>26.277999999999999</v>
      </c>
      <c r="AK86">
        <f ca="1">IFERROR(IF(0=LEN(ReferenceData!$AK$86),"",ReferenceData!$AK$86),"")</f>
        <v>17.050999999999998</v>
      </c>
      <c r="AL86">
        <f ca="1">IFERROR(IF(0=LEN(ReferenceData!$AL$86),"",ReferenceData!$AL$86),"")</f>
        <v>13.79</v>
      </c>
      <c r="AM86">
        <f ca="1">IFERROR(IF(0=LEN(ReferenceData!$AM$86),"",ReferenceData!$AM$86),"")</f>
        <v>15.564</v>
      </c>
      <c r="AN86">
        <f ca="1">IFERROR(IF(0=LEN(ReferenceData!$AN$86),"",ReferenceData!$AN$86),"")</f>
        <v>11.803000000000001</v>
      </c>
      <c r="AO86">
        <f ca="1">IFERROR(IF(0=LEN(ReferenceData!$AO$86),"",ReferenceData!$AO$86),"")</f>
        <v>14.609</v>
      </c>
      <c r="AP86">
        <f ca="1">IFERROR(IF(0=LEN(ReferenceData!$AP$86),"",ReferenceData!$AP$86),"")</f>
        <v>19.966000000000001</v>
      </c>
      <c r="AQ86">
        <f ca="1">IFERROR(IF(0=LEN(ReferenceData!$AQ$86),"",ReferenceData!$AQ$86),"")</f>
        <v>16.821000000000002</v>
      </c>
      <c r="AR86">
        <f ca="1">IFERROR(IF(0=LEN(ReferenceData!$AR$86),"",ReferenceData!$AR$86),"")</f>
        <v>5.1120000000000001</v>
      </c>
      <c r="AS86">
        <f ca="1">IFERROR(IF(0=LEN(ReferenceData!$AS$86),"",ReferenceData!$AS$86),"")</f>
        <v>9.6739999999999995</v>
      </c>
      <c r="AT86">
        <f ca="1">IFERROR(IF(0=LEN(ReferenceData!$AT$86),"",ReferenceData!$AT$86),"")</f>
        <v>13.164999999999999</v>
      </c>
      <c r="AU86">
        <f ca="1">IFERROR(IF(0=LEN(ReferenceData!$AU$86),"",ReferenceData!$AU$86),"")</f>
        <v>14.39</v>
      </c>
      <c r="AV86">
        <f ca="1">IFERROR(IF(0=LEN(ReferenceData!$AV$86),"",ReferenceData!$AV$86),"")</f>
        <v>5.2290000000000001</v>
      </c>
      <c r="AW86">
        <f ca="1">IFERROR(IF(0=LEN(ReferenceData!$AW$86),"",ReferenceData!$AW$86),"")</f>
        <v>6.8339999999999996</v>
      </c>
      <c r="AX86">
        <f ca="1">IFERROR(IF(0=LEN(ReferenceData!$AX$86),"",ReferenceData!$AX$86),"")</f>
        <v>1.94</v>
      </c>
      <c r="AY86">
        <f ca="1">IFERROR(IF(0=LEN(ReferenceData!$AY$86),"",ReferenceData!$AY$86),"")</f>
        <v>12.25</v>
      </c>
      <c r="AZ86">
        <f ca="1">IFERROR(IF(0=LEN(ReferenceData!$AZ$86),"",ReferenceData!$AZ$86),"")</f>
        <v>4.9509999999999996</v>
      </c>
      <c r="BA86">
        <f ca="1">IFERROR(IF(0=LEN(ReferenceData!$BA$86),"",ReferenceData!$BA$86),"")</f>
        <v>4.7949999999999999</v>
      </c>
      <c r="BB86">
        <f ca="1">IFERROR(IF(0=LEN(ReferenceData!$BB$86),"",ReferenceData!$BB$86),"")</f>
        <v>8.9469999999999992</v>
      </c>
      <c r="BC86">
        <f ca="1">IFERROR(IF(0=LEN(ReferenceData!$BC$86),"",ReferenceData!$BC$86),"")</f>
        <v>6.5119999999999996</v>
      </c>
      <c r="BD86">
        <f ca="1">IFERROR(IF(0=LEN(ReferenceData!$BD$86),"",ReferenceData!$BD$86),"")</f>
        <v>3.5670000000000002</v>
      </c>
      <c r="BE86">
        <f ca="1">IFERROR(IF(0=LEN(ReferenceData!$BE$86),"",ReferenceData!$BE$86),"")</f>
        <v>2.54</v>
      </c>
      <c r="BF86">
        <f ca="1">IFERROR(IF(0=LEN(ReferenceData!$BF$86),"",ReferenceData!$BF$86),"")</f>
        <v>5.7220000000000004</v>
      </c>
      <c r="BG86">
        <f ca="1">IFERROR(IF(0=LEN(ReferenceData!$BG$86),"",ReferenceData!$BG$86),"")</f>
        <v>6.1609999999999996</v>
      </c>
      <c r="BH86">
        <f ca="1">IFERROR(IF(0=LEN(ReferenceData!$BH$86),"",ReferenceData!$BH$86),"")</f>
        <v>-2.641</v>
      </c>
      <c r="BI86">
        <f ca="1">IFERROR(IF(0=LEN(ReferenceData!$BI$86),"",ReferenceData!$BI$86),"")</f>
        <v>1.2649999860000001</v>
      </c>
      <c r="BJ86">
        <f ca="1">IFERROR(IF(0=LEN(ReferenceData!$BJ$86),"",ReferenceData!$BJ$86),"")</f>
        <v>3.7850000860000002</v>
      </c>
      <c r="BK86" t="str">
        <f ca="1">IFERROR(IF(0=LEN(ReferenceData!$BK$86),"",ReferenceData!$BK$86),"")</f>
        <v/>
      </c>
      <c r="BL86" t="str">
        <f ca="1">IFERROR(IF(0=LEN(ReferenceData!$BL$86),"",ReferenceData!$BL$86),"")</f>
        <v/>
      </c>
      <c r="BM86" t="str">
        <f ca="1">IFERROR(IF(0=LEN(ReferenceData!$BM$86),"",ReferenceData!$BM$86),"")</f>
        <v/>
      </c>
    </row>
    <row r="87" spans="1:65">
      <c r="A87" t="str">
        <f>IFERROR(IF(0=LEN(ReferenceData!$A$87),"",ReferenceData!$A$87),"")</f>
        <v xml:space="preserve">    AvalonBay Communities Inc</v>
      </c>
      <c r="B87" t="str">
        <f>IFERROR(IF(0=LEN(ReferenceData!$B$87),"",ReferenceData!$B$87),"")</f>
        <v>AVB US Equity</v>
      </c>
      <c r="C87" t="str">
        <f>IFERROR(IF(0=LEN(ReferenceData!$C$87),"",ReferenceData!$C$87),"")</f>
        <v>F0578</v>
      </c>
      <c r="D87" t="str">
        <f>IFERROR(IF(0=LEN(ReferenceData!$D$87),"",ReferenceData!$D$87),"")</f>
        <v>FUNDS_AVAILABLE_FOR_DISTRIBUTION</v>
      </c>
      <c r="E87" t="str">
        <f>IFERROR(IF(0=LEN(ReferenceData!$E$87),"",ReferenceData!$E$87),"")</f>
        <v>动态</v>
      </c>
      <c r="F87" t="str">
        <f ca="1">IFERROR(IF(0=LEN(ReferenceData!$F$87),"",ReferenceData!$F$87),"")</f>
        <v/>
      </c>
      <c r="G87">
        <f ca="1">IFERROR(IF(0=LEN(ReferenceData!$G$87),"",ReferenceData!$G$87),"")</f>
        <v>299.34800000000001</v>
      </c>
      <c r="H87">
        <f ca="1">IFERROR(IF(0=LEN(ReferenceData!$H$87),"",ReferenceData!$H$87),"")</f>
        <v>291.25799999999998</v>
      </c>
      <c r="I87">
        <f ca="1">IFERROR(IF(0=LEN(ReferenceData!$I$87),"",ReferenceData!$I$87),"")</f>
        <v>275.827</v>
      </c>
      <c r="J87">
        <f ca="1">IFERROR(IF(0=LEN(ReferenceData!$J$87),"",ReferenceData!$J$87),"")</f>
        <v>276.48</v>
      </c>
      <c r="K87">
        <f ca="1">IFERROR(IF(0=LEN(ReferenceData!$K$87),"",ReferenceData!$K$87),"")</f>
        <v>280.92399999999998</v>
      </c>
      <c r="L87">
        <f ca="1">IFERROR(IF(0=LEN(ReferenceData!$L$87),"",ReferenceData!$L$87),"")</f>
        <v>273.822</v>
      </c>
      <c r="M87">
        <f ca="1">IFERROR(IF(0=LEN(ReferenceData!$M$87),"",ReferenceData!$M$87),"")</f>
        <v>266.24200000000002</v>
      </c>
      <c r="N87">
        <f ca="1">IFERROR(IF(0=LEN(ReferenceData!$N$87),"",ReferenceData!$N$87),"")</f>
        <v>259.15300000000002</v>
      </c>
      <c r="O87">
        <f ca="1">IFERROR(IF(0=LEN(ReferenceData!$O$87),"",ReferenceData!$O$87),"")</f>
        <v>261.68099999999998</v>
      </c>
      <c r="P87">
        <f ca="1">IFERROR(IF(0=LEN(ReferenceData!$P$87),"",ReferenceData!$P$87),"")</f>
        <v>249.226</v>
      </c>
      <c r="Q87">
        <f ca="1">IFERROR(IF(0=LEN(ReferenceData!$Q$87),"",ReferenceData!$Q$87),"")</f>
        <v>237.28700000000001</v>
      </c>
      <c r="R87">
        <f ca="1">IFERROR(IF(0=LEN(ReferenceData!$R$87),"",ReferenceData!$R$87),"")</f>
        <v>222.88800000000001</v>
      </c>
      <c r="S87">
        <f ca="1">IFERROR(IF(0=LEN(ReferenceData!$S$87),"",ReferenceData!$S$87),"")</f>
        <v>218.22800000000001</v>
      </c>
      <c r="T87">
        <f ca="1">IFERROR(IF(0=LEN(ReferenceData!$T$87),"",ReferenceData!$T$87),"")</f>
        <v>219.041</v>
      </c>
      <c r="U87">
        <f ca="1">IFERROR(IF(0=LEN(ReferenceData!$U$87),"",ReferenceData!$U$87),"")</f>
        <v>212.99600000000001</v>
      </c>
      <c r="V87">
        <f ca="1">IFERROR(IF(0=LEN(ReferenceData!$V$87),"",ReferenceData!$V$87),"")</f>
        <v>202.38399999999999</v>
      </c>
      <c r="W87">
        <f ca="1">IFERROR(IF(0=LEN(ReferenceData!$W$87),"",ReferenceData!$W$87),"")</f>
        <v>195.33500000000001</v>
      </c>
      <c r="X87">
        <f ca="1">IFERROR(IF(0=LEN(ReferenceData!$X$87),"",ReferenceData!$X$87),"")</f>
        <v>202.21700000000001</v>
      </c>
      <c r="Y87">
        <f ca="1">IFERROR(IF(0=LEN(ReferenceData!$Y$87),"",ReferenceData!$Y$87),"")</f>
        <v>200.863</v>
      </c>
      <c r="Z87">
        <f ca="1">IFERROR(IF(0=LEN(ReferenceData!$Z$87),"",ReferenceData!$Z$87),"")</f>
        <v>155.44</v>
      </c>
      <c r="AA87">
        <f ca="1">IFERROR(IF(0=LEN(ReferenceData!$AA$87),"",ReferenceData!$AA$87),"")</f>
        <v>124.101</v>
      </c>
      <c r="AB87">
        <f ca="1">IFERROR(IF(0=LEN(ReferenceData!$AB$87),"",ReferenceData!$AB$87),"")</f>
        <v>133.578</v>
      </c>
      <c r="AC87">
        <f ca="1">IFERROR(IF(0=LEN(ReferenceData!$AC$87),"",ReferenceData!$AC$87),"")</f>
        <v>122.221</v>
      </c>
      <c r="AD87">
        <f ca="1">IFERROR(IF(0=LEN(ReferenceData!$AD$87),"",ReferenceData!$AD$87),"")</f>
        <v>115.34399999999999</v>
      </c>
      <c r="AE87">
        <f ca="1">IFERROR(IF(0=LEN(ReferenceData!$AE$87),"",ReferenceData!$AE$87),"")</f>
        <v>114.65300000000001</v>
      </c>
      <c r="AF87">
        <f ca="1">IFERROR(IF(0=LEN(ReferenceData!$AF$87),"",ReferenceData!$AF$87),"")</f>
        <v>102.169</v>
      </c>
      <c r="AG87">
        <f ca="1">IFERROR(IF(0=LEN(ReferenceData!$AG$87),"",ReferenceData!$AG$87),"")</f>
        <v>94.728999999999999</v>
      </c>
      <c r="AH87">
        <f ca="1">IFERROR(IF(0=LEN(ReferenceData!$AH$87),"",ReferenceData!$AH$87),"")</f>
        <v>87.674000000000007</v>
      </c>
      <c r="AI87">
        <f ca="1">IFERROR(IF(0=LEN(ReferenceData!$AI$87),"",ReferenceData!$AI$87),"")</f>
        <v>81.430000000000007</v>
      </c>
      <c r="AJ87">
        <f ca="1">IFERROR(IF(0=LEN(ReferenceData!$AJ$87),"",ReferenceData!$AJ$87),"")</f>
        <v>79.283000000000001</v>
      </c>
      <c r="AK87">
        <f ca="1">IFERROR(IF(0=LEN(ReferenceData!$AK$87),"",ReferenceData!$AK$87),"")</f>
        <v>82.397000000000006</v>
      </c>
      <c r="AL87">
        <f ca="1">IFERROR(IF(0=LEN(ReferenceData!$AL$87),"",ReferenceData!$AL$87),"")</f>
        <v>73.766000000000005</v>
      </c>
      <c r="AM87">
        <f ca="1">IFERROR(IF(0=LEN(ReferenceData!$AM$87),"",ReferenceData!$AM$87),"")</f>
        <v>46.58</v>
      </c>
      <c r="AN87">
        <f ca="1">IFERROR(IF(0=LEN(ReferenceData!$AN$87),"",ReferenceData!$AN$87),"")</f>
        <v>82.057000000000002</v>
      </c>
      <c r="AO87">
        <f ca="1">IFERROR(IF(0=LEN(ReferenceData!$AO$87),"",ReferenceData!$AO$87),"")</f>
        <v>65.203999999999994</v>
      </c>
      <c r="AP87">
        <f ca="1">IFERROR(IF(0=LEN(ReferenceData!$AP$87),"",ReferenceData!$AP$87),"")</f>
        <v>94.468000000000004</v>
      </c>
      <c r="AQ87">
        <f ca="1">IFERROR(IF(0=LEN(ReferenceData!$AQ$87),"",ReferenceData!$AQ$87),"")</f>
        <v>15.127000000000001</v>
      </c>
      <c r="AR87">
        <f ca="1">IFERROR(IF(0=LEN(ReferenceData!$AR$87),"",ReferenceData!$AR$87),"")</f>
        <v>91.262</v>
      </c>
      <c r="AS87">
        <f ca="1">IFERROR(IF(0=LEN(ReferenceData!$AS$87),"",ReferenceData!$AS$87),"")</f>
        <v>90.692999999999998</v>
      </c>
      <c r="AT87">
        <f ca="1">IFERROR(IF(0=LEN(ReferenceData!$AT$87),"",ReferenceData!$AT$87),"")</f>
        <v>88.957999999999998</v>
      </c>
      <c r="AU87">
        <f ca="1">IFERROR(IF(0=LEN(ReferenceData!$AU$87),"",ReferenceData!$AU$87),"")</f>
        <v>82.417000000000002</v>
      </c>
      <c r="AV87">
        <f ca="1">IFERROR(IF(0=LEN(ReferenceData!$AV$87),"",ReferenceData!$AV$87),"")</f>
        <v>88.293999999999997</v>
      </c>
      <c r="AW87">
        <f ca="1">IFERROR(IF(0=LEN(ReferenceData!$AW$87),"",ReferenceData!$AW$87),"")</f>
        <v>87.356999999999999</v>
      </c>
      <c r="AX87">
        <f ca="1">IFERROR(IF(0=LEN(ReferenceData!$AX$87),"",ReferenceData!$AX$87),"")</f>
        <v>82.512</v>
      </c>
      <c r="AY87">
        <f ca="1">IFERROR(IF(0=LEN(ReferenceData!$AY$87),"",ReferenceData!$AY$87),"")</f>
        <v>73.046999999999997</v>
      </c>
      <c r="AZ87">
        <f ca="1">IFERROR(IF(0=LEN(ReferenceData!$AZ$87),"",ReferenceData!$AZ$87),"")</f>
        <v>74.900000000000006</v>
      </c>
      <c r="BA87">
        <f ca="1">IFERROR(IF(0=LEN(ReferenceData!$BA$87),"",ReferenceData!$BA$87),"")</f>
        <v>69.477999999999994</v>
      </c>
      <c r="BB87">
        <f ca="1">IFERROR(IF(0=LEN(ReferenceData!$BB$87),"",ReferenceData!$BB$87),"")</f>
        <v>78.63</v>
      </c>
      <c r="BC87">
        <f ca="1">IFERROR(IF(0=LEN(ReferenceData!$BC$87),"",ReferenceData!$BC$87),"")</f>
        <v>70.108000000000004</v>
      </c>
      <c r="BD87">
        <f ca="1">IFERROR(IF(0=LEN(ReferenceData!$BD$87),"",ReferenceData!$BD$87),"")</f>
        <v>68.086157999999998</v>
      </c>
      <c r="BE87">
        <f ca="1">IFERROR(IF(0=LEN(ReferenceData!$BE$87),"",ReferenceData!$BE$87),"")</f>
        <v>68.004000000000005</v>
      </c>
      <c r="BF87">
        <f ca="1">IFERROR(IF(0=LEN(ReferenceData!$BF$87),"",ReferenceData!$BF$87),"")</f>
        <v>71.243019000000004</v>
      </c>
      <c r="BG87">
        <f ca="1">IFERROR(IF(0=LEN(ReferenceData!$BG$87),"",ReferenceData!$BG$87),"")</f>
        <v>64.817999999999998</v>
      </c>
      <c r="BH87">
        <f ca="1">IFERROR(IF(0=LEN(ReferenceData!$BH$87),"",ReferenceData!$BH$87),"")</f>
        <v>63.600999999999999</v>
      </c>
      <c r="BI87">
        <f ca="1">IFERROR(IF(0=LEN(ReferenceData!$BI$87),"",ReferenceData!$BI$87),"")</f>
        <v>60.45</v>
      </c>
      <c r="BJ87">
        <f ca="1">IFERROR(IF(0=LEN(ReferenceData!$BJ$87),"",ReferenceData!$BJ$87),"")</f>
        <v>57.378</v>
      </c>
      <c r="BK87">
        <f ca="1">IFERROR(IF(0=LEN(ReferenceData!$BK$87),"",ReferenceData!$BK$87),"")</f>
        <v>58.4640007</v>
      </c>
      <c r="BL87">
        <f ca="1">IFERROR(IF(0=LEN(ReferenceData!$BL$87),"",ReferenceData!$BL$87),"")</f>
        <v>56.158000000000001</v>
      </c>
      <c r="BM87">
        <f ca="1">IFERROR(IF(0=LEN(ReferenceData!$BM$87),"",ReferenceData!$BM$87),"")</f>
        <v>57.152999999999999</v>
      </c>
    </row>
    <row r="88" spans="1:65">
      <c r="A88" t="str">
        <f>IFERROR(IF(0=LEN(ReferenceData!$A$88),"",ReferenceData!$A$88),"")</f>
        <v xml:space="preserve">    Camden Property Trust</v>
      </c>
      <c r="B88" t="str">
        <f>IFERROR(IF(0=LEN(ReferenceData!$B$88),"",ReferenceData!$B$88),"")</f>
        <v>CPT US Equity</v>
      </c>
      <c r="C88" t="str">
        <f>IFERROR(IF(0=LEN(ReferenceData!$C$88),"",ReferenceData!$C$88),"")</f>
        <v>F0578</v>
      </c>
      <c r="D88" t="str">
        <f>IFERROR(IF(0=LEN(ReferenceData!$D$88),"",ReferenceData!$D$88),"")</f>
        <v>FUNDS_AVAILABLE_FOR_DISTRIBUTION</v>
      </c>
      <c r="E88" t="str">
        <f>IFERROR(IF(0=LEN(ReferenceData!$E$88),"",ReferenceData!$E$88),"")</f>
        <v>动态</v>
      </c>
      <c r="F88" t="str">
        <f ca="1">IFERROR(IF(0=LEN(ReferenceData!$F$88),"",ReferenceData!$F$88),"")</f>
        <v/>
      </c>
      <c r="G88">
        <f ca="1">IFERROR(IF(0=LEN(ReferenceData!$G$88),"",ReferenceData!$G$88),"")</f>
        <v>93.769000000000005</v>
      </c>
      <c r="H88">
        <f ca="1">IFERROR(IF(0=LEN(ReferenceData!$H$88),"",ReferenceData!$H$88),"")</f>
        <v>85.680999999999997</v>
      </c>
      <c r="I88">
        <f ca="1">IFERROR(IF(0=LEN(ReferenceData!$I$88),"",ReferenceData!$I$88),"")</f>
        <v>89.203000000000003</v>
      </c>
      <c r="J88">
        <f ca="1">IFERROR(IF(0=LEN(ReferenceData!$J$88),"",ReferenceData!$J$88),"")</f>
        <v>90.661000000000001</v>
      </c>
      <c r="K88">
        <f ca="1">IFERROR(IF(0=LEN(ReferenceData!$K$88),"",ReferenceData!$K$88),"")</f>
        <v>90.069000000000003</v>
      </c>
      <c r="L88">
        <f ca="1">IFERROR(IF(0=LEN(ReferenceData!$L$88),"",ReferenceData!$L$88),"")</f>
        <v>84.986000000000004</v>
      </c>
      <c r="M88">
        <f ca="1">IFERROR(IF(0=LEN(ReferenceData!$M$88),"",ReferenceData!$M$88),"")</f>
        <v>90.509</v>
      </c>
      <c r="N88">
        <f ca="1">IFERROR(IF(0=LEN(ReferenceData!$N$88),"",ReferenceData!$N$88),"")</f>
        <v>100.816</v>
      </c>
      <c r="O88">
        <f ca="1">IFERROR(IF(0=LEN(ReferenceData!$O$88),"",ReferenceData!$O$88),"")</f>
        <v>92.153000000000006</v>
      </c>
      <c r="P88">
        <f ca="1">IFERROR(IF(0=LEN(ReferenceData!$P$88),"",ReferenceData!$P$88),"")</f>
        <v>86.144000000000005</v>
      </c>
      <c r="Q88">
        <f ca="1">IFERROR(IF(0=LEN(ReferenceData!$Q$88),"",ReferenceData!$Q$88),"")</f>
        <v>84.147000000000006</v>
      </c>
      <c r="R88">
        <f ca="1">IFERROR(IF(0=LEN(ReferenceData!$R$88),"",ReferenceData!$R$88),"")</f>
        <v>91.186000000000007</v>
      </c>
      <c r="S88">
        <f ca="1">IFERROR(IF(0=LEN(ReferenceData!$S$88),"",ReferenceData!$S$88),"")</f>
        <v>93.748999999999995</v>
      </c>
      <c r="T88">
        <f ca="1">IFERROR(IF(0=LEN(ReferenceData!$T$88),"",ReferenceData!$T$88),"")</f>
        <v>89.381</v>
      </c>
      <c r="U88">
        <f ca="1">IFERROR(IF(0=LEN(ReferenceData!$U$88),"",ReferenceData!$U$88),"")</f>
        <v>87.515000000000001</v>
      </c>
      <c r="V88">
        <f ca="1">IFERROR(IF(0=LEN(ReferenceData!$V$88),"",ReferenceData!$V$88),"")</f>
        <v>88.311999999999998</v>
      </c>
      <c r="W88">
        <f ca="1">IFERROR(IF(0=LEN(ReferenceData!$W$88),"",ReferenceData!$W$88),"")</f>
        <v>90.263000000000005</v>
      </c>
      <c r="X88">
        <f ca="1">IFERROR(IF(0=LEN(ReferenceData!$X$88),"",ReferenceData!$X$88),"")</f>
        <v>86.197000000000003</v>
      </c>
      <c r="Y88">
        <f ca="1">IFERROR(IF(0=LEN(ReferenceData!$Y$88),"",ReferenceData!$Y$88),"")</f>
        <v>84.704999999999998</v>
      </c>
      <c r="Z88">
        <f ca="1">IFERROR(IF(0=LEN(ReferenceData!$Z$88),"",ReferenceData!$Z$88),"")</f>
        <v>79.582999999999998</v>
      </c>
      <c r="AA88">
        <f ca="1">IFERROR(IF(0=LEN(ReferenceData!$AA$88),"",ReferenceData!$AA$88),"")</f>
        <v>79.090999999999994</v>
      </c>
      <c r="AB88">
        <f ca="1">IFERROR(IF(0=LEN(ReferenceData!$AB$88),"",ReferenceData!$AB$88),"")</f>
        <v>73.665000000000006</v>
      </c>
      <c r="AC88">
        <f ca="1">IFERROR(IF(0=LEN(ReferenceData!$AC$88),"",ReferenceData!$AC$88),"")</f>
        <v>69.462000000000003</v>
      </c>
      <c r="AD88">
        <f ca="1">IFERROR(IF(0=LEN(ReferenceData!$AD$88),"",ReferenceData!$AD$88),"")</f>
        <v>61.823999999999998</v>
      </c>
      <c r="AE88">
        <f ca="1">IFERROR(IF(0=LEN(ReferenceData!$AE$88),"",ReferenceData!$AE$88),"")</f>
        <v>57.444000000000003</v>
      </c>
      <c r="AF88">
        <f ca="1">IFERROR(IF(0=LEN(ReferenceData!$AF$88),"",ReferenceData!$AF$88),"")</f>
        <v>50.884</v>
      </c>
      <c r="AG88">
        <f ca="1">IFERROR(IF(0=LEN(ReferenceData!$AG$88),"",ReferenceData!$AG$88),"")</f>
        <v>23.545999999999999</v>
      </c>
      <c r="AH88">
        <f ca="1">IFERROR(IF(0=LEN(ReferenceData!$AH$88),"",ReferenceData!$AH$88),"")</f>
        <v>47.253999999999998</v>
      </c>
      <c r="AI88">
        <f ca="1">IFERROR(IF(0=LEN(ReferenceData!$AI$88),"",ReferenceData!$AI$88),"")</f>
        <v>48.292999999999999</v>
      </c>
      <c r="AJ88">
        <f ca="1">IFERROR(IF(0=LEN(ReferenceData!$AJ$88),"",ReferenceData!$AJ$88),"")</f>
        <v>39.433999999999997</v>
      </c>
      <c r="AK88">
        <f ca="1">IFERROR(IF(0=LEN(ReferenceData!$AK$88),"",ReferenceData!$AK$88),"")</f>
        <v>39.792999999999999</v>
      </c>
      <c r="AL88">
        <f ca="1">IFERROR(IF(0=LEN(ReferenceData!$AL$88),"",ReferenceData!$AL$88),"")</f>
        <v>41.234000000000002</v>
      </c>
      <c r="AM88">
        <f ca="1">IFERROR(IF(0=LEN(ReferenceData!$AM$88),"",ReferenceData!$AM$88),"")</f>
        <v>42.22</v>
      </c>
      <c r="AN88">
        <f ca="1">IFERROR(IF(0=LEN(ReferenceData!$AN$88),"",ReferenceData!$AN$88),"")</f>
        <v>40.116999999999997</v>
      </c>
      <c r="AO88">
        <f ca="1">IFERROR(IF(0=LEN(ReferenceData!$AO$88),"",ReferenceData!$AO$88),"")</f>
        <v>41.910091000000001</v>
      </c>
      <c r="AP88">
        <f ca="1">IFERROR(IF(0=LEN(ReferenceData!$AP$88),"",ReferenceData!$AP$88),"")</f>
        <v>45.814</v>
      </c>
      <c r="AQ88">
        <f ca="1">IFERROR(IF(0=LEN(ReferenceData!$AQ$88),"",ReferenceData!$AQ$88),"")</f>
        <v>43.186999999999998</v>
      </c>
      <c r="AR88">
        <f ca="1">IFERROR(IF(0=LEN(ReferenceData!$AR$88),"",ReferenceData!$AR$88),"")</f>
        <v>41.473999999999997</v>
      </c>
      <c r="AS88">
        <f ca="1">IFERROR(IF(0=LEN(ReferenceData!$AS$88),"",ReferenceData!$AS$88),"")</f>
        <v>42.414999999999999</v>
      </c>
      <c r="AT88">
        <f ca="1">IFERROR(IF(0=LEN(ReferenceData!$AT$88),"",ReferenceData!$AT$88),"")</f>
        <v>44.398000000000003</v>
      </c>
      <c r="AU88">
        <f ca="1">IFERROR(IF(0=LEN(ReferenceData!$AU$88),"",ReferenceData!$AU$88),"")</f>
        <v>47.4</v>
      </c>
      <c r="AV88">
        <f ca="1">IFERROR(IF(0=LEN(ReferenceData!$AV$88),"",ReferenceData!$AV$88),"")</f>
        <v>45.183</v>
      </c>
      <c r="AW88">
        <f ca="1">IFERROR(IF(0=LEN(ReferenceData!$AW$88),"",ReferenceData!$AW$88),"")</f>
        <v>46.7</v>
      </c>
      <c r="AX88">
        <f ca="1">IFERROR(IF(0=LEN(ReferenceData!$AX$88),"",ReferenceData!$AX$88),"")</f>
        <v>45.652999999999999</v>
      </c>
      <c r="AY88">
        <f ca="1">IFERROR(IF(0=LEN(ReferenceData!$AY$88),"",ReferenceData!$AY$88),"")</f>
        <v>44.317999999999998</v>
      </c>
      <c r="AZ88">
        <f ca="1">IFERROR(IF(0=LEN(ReferenceData!$AZ$88),"",ReferenceData!$AZ$88),"")</f>
        <v>66.254000000000005</v>
      </c>
      <c r="BA88">
        <f ca="1">IFERROR(IF(0=LEN(ReferenceData!$BA$88),"",ReferenceData!$BA$88),"")</f>
        <v>43.134999999999998</v>
      </c>
      <c r="BB88">
        <f ca="1">IFERROR(IF(0=LEN(ReferenceData!$BB$88),"",ReferenceData!$BB$88),"")</f>
        <v>42.518999999999998</v>
      </c>
      <c r="BC88">
        <f ca="1">IFERROR(IF(0=LEN(ReferenceData!$BC$88),"",ReferenceData!$BC$88),"")</f>
        <v>49.378</v>
      </c>
      <c r="BD88">
        <f ca="1">IFERROR(IF(0=LEN(ReferenceData!$BD$88),"",ReferenceData!$BD$88),"")</f>
        <v>44.371000000000002</v>
      </c>
      <c r="BE88">
        <f ca="1">IFERROR(IF(0=LEN(ReferenceData!$BE$88),"",ReferenceData!$BE$88),"")</f>
        <v>47.103000000000002</v>
      </c>
      <c r="BF88">
        <f ca="1">IFERROR(IF(0=LEN(ReferenceData!$BF$88),"",ReferenceData!$BF$88),"")</f>
        <v>54.438000000000002</v>
      </c>
      <c r="BG88">
        <f ca="1">IFERROR(IF(0=LEN(ReferenceData!$BG$88),"",ReferenceData!$BG$88),"")</f>
        <v>38.185000000000002</v>
      </c>
      <c r="BH88">
        <f ca="1">IFERROR(IF(0=LEN(ReferenceData!$BH$88),"",ReferenceData!$BH$88),"")</f>
        <v>33.624000000000002</v>
      </c>
      <c r="BI88">
        <f ca="1">IFERROR(IF(0=LEN(ReferenceData!$BI$88),"",ReferenceData!$BI$88),"")</f>
        <v>35.074001000000003</v>
      </c>
      <c r="BJ88">
        <f ca="1">IFERROR(IF(0=LEN(ReferenceData!$BJ$88),"",ReferenceData!$BJ$88),"")</f>
        <v>36.785998999999997</v>
      </c>
      <c r="BK88">
        <f ca="1">IFERROR(IF(0=LEN(ReferenceData!$BK$88),"",ReferenceData!$BK$88),"")</f>
        <v>36.337001800000003</v>
      </c>
      <c r="BL88">
        <f ca="1">IFERROR(IF(0=LEN(ReferenceData!$BL$88),"",ReferenceData!$BL$88),"")</f>
        <v>32.814999</v>
      </c>
      <c r="BM88">
        <f ca="1">IFERROR(IF(0=LEN(ReferenceData!$BM$88),"",ReferenceData!$BM$88),"")</f>
        <v>32.396999000000001</v>
      </c>
    </row>
    <row r="89" spans="1:65">
      <c r="A89" t="str">
        <f>IFERROR(IF(0=LEN(ReferenceData!$A$89),"",ReferenceData!$A$89),"")</f>
        <v xml:space="preserve">    Education Realty Trust Inc</v>
      </c>
      <c r="B89" t="str">
        <f>IFERROR(IF(0=LEN(ReferenceData!$B$89),"",ReferenceData!$B$89),"")</f>
        <v>EDR US Equity</v>
      </c>
      <c r="C89" t="str">
        <f>IFERROR(IF(0=LEN(ReferenceData!$C$89),"",ReferenceData!$C$89),"")</f>
        <v>F0578</v>
      </c>
      <c r="D89" t="str">
        <f>IFERROR(IF(0=LEN(ReferenceData!$D$89),"",ReferenceData!$D$89),"")</f>
        <v>FUNDS_AVAILABLE_FOR_DISTRIBUTION</v>
      </c>
      <c r="E89" t="str">
        <f>IFERROR(IF(0=LEN(ReferenceData!$E$89),"",ReferenceData!$E$89),"")</f>
        <v>动态</v>
      </c>
      <c r="F89" t="str">
        <f ca="1">IFERROR(IF(0=LEN(ReferenceData!$F$89),"",ReferenceData!$F$89),"")</f>
        <v/>
      </c>
      <c r="G89">
        <f ca="1">IFERROR(IF(0=LEN(ReferenceData!$G$89),"",ReferenceData!$G$89),"")</f>
        <v>44.74</v>
      </c>
      <c r="H89">
        <f ca="1">IFERROR(IF(0=LEN(ReferenceData!$H$89),"",ReferenceData!$H$89),"")</f>
        <v>21.664999999999999</v>
      </c>
      <c r="I89">
        <f ca="1">IFERROR(IF(0=LEN(ReferenceData!$I$89),"",ReferenceData!$I$89),"")</f>
        <v>31.042000000000002</v>
      </c>
      <c r="J89">
        <f ca="1">IFERROR(IF(0=LEN(ReferenceData!$J$89),"",ReferenceData!$J$89),"")</f>
        <v>44.018000000000001</v>
      </c>
      <c r="K89">
        <f ca="1">IFERROR(IF(0=LEN(ReferenceData!$K$89),"",ReferenceData!$K$89),"")</f>
        <v>43.219000000000001</v>
      </c>
      <c r="L89">
        <f ca="1">IFERROR(IF(0=LEN(ReferenceData!$L$89),"",ReferenceData!$L$89),"")</f>
        <v>19.396000000000001</v>
      </c>
      <c r="M89">
        <f ca="1">IFERROR(IF(0=LEN(ReferenceData!$M$89),"",ReferenceData!$M$89),"")</f>
        <v>26.417000000000002</v>
      </c>
      <c r="N89">
        <f ca="1">IFERROR(IF(0=LEN(ReferenceData!$N$89),"",ReferenceData!$N$89),"")</f>
        <v>33.948</v>
      </c>
      <c r="O89">
        <f ca="1">IFERROR(IF(0=LEN(ReferenceData!$O$89),"",ReferenceData!$O$89),"")</f>
        <v>32.664000000000001</v>
      </c>
      <c r="P89">
        <f ca="1">IFERROR(IF(0=LEN(ReferenceData!$P$89),"",ReferenceData!$P$89),"")</f>
        <v>14.54</v>
      </c>
      <c r="Q89">
        <f ca="1">IFERROR(IF(0=LEN(ReferenceData!$Q$89),"",ReferenceData!$Q$89),"")</f>
        <v>20.056999999999999</v>
      </c>
      <c r="R89">
        <f ca="1">IFERROR(IF(0=LEN(ReferenceData!$R$89),"",ReferenceData!$R$89),"")</f>
        <v>24.297000000000001</v>
      </c>
      <c r="S89">
        <f ca="1">IFERROR(IF(0=LEN(ReferenceData!$S$89),"",ReferenceData!$S$89),"")</f>
        <v>26.227</v>
      </c>
      <c r="T89">
        <f ca="1">IFERROR(IF(0=LEN(ReferenceData!$T$89),"",ReferenceData!$T$89),"")</f>
        <v>14.843</v>
      </c>
      <c r="U89">
        <f ca="1">IFERROR(IF(0=LEN(ReferenceData!$U$89),"",ReferenceData!$U$89),"")</f>
        <v>17.257999999999999</v>
      </c>
      <c r="V89">
        <f ca="1">IFERROR(IF(0=LEN(ReferenceData!$V$89),"",ReferenceData!$V$89),"")</f>
        <v>19.361000000000001</v>
      </c>
      <c r="W89">
        <f ca="1">IFERROR(IF(0=LEN(ReferenceData!$W$89),"",ReferenceData!$W$89),"")</f>
        <v>23.469000000000001</v>
      </c>
      <c r="X89">
        <f ca="1">IFERROR(IF(0=LEN(ReferenceData!$X$89),"",ReferenceData!$X$89),"")</f>
        <v>8.7189999999999994</v>
      </c>
      <c r="Y89">
        <f ca="1">IFERROR(IF(0=LEN(ReferenceData!$Y$89),"",ReferenceData!$Y$89),"")</f>
        <v>14.532</v>
      </c>
      <c r="Z89">
        <f ca="1">IFERROR(IF(0=LEN(ReferenceData!$Z$89),"",ReferenceData!$Z$89),"")</f>
        <v>16.379000000000001</v>
      </c>
      <c r="AA89">
        <f ca="1">IFERROR(IF(0=LEN(ReferenceData!$AA$89),"",ReferenceData!$AA$89),"")</f>
        <v>18.088999999999999</v>
      </c>
      <c r="AB89">
        <f ca="1">IFERROR(IF(0=LEN(ReferenceData!$AB$89),"",ReferenceData!$AB$89),"")</f>
        <v>5.8559999999999999</v>
      </c>
      <c r="AC89">
        <f ca="1">IFERROR(IF(0=LEN(ReferenceData!$AC$89),"",ReferenceData!$AC$89),"")</f>
        <v>11.638999999999999</v>
      </c>
      <c r="AD89">
        <f ca="1">IFERROR(IF(0=LEN(ReferenceData!$AD$89),"",ReferenceData!$AD$89),"")</f>
        <v>12.590999999999999</v>
      </c>
      <c r="AE89">
        <f ca="1">IFERROR(IF(0=LEN(ReferenceData!$AE$89),"",ReferenceData!$AE$89),"")</f>
        <v>12.547000000000001</v>
      </c>
      <c r="AF89">
        <f ca="1">IFERROR(IF(0=LEN(ReferenceData!$AF$89),"",ReferenceData!$AF$89),"")</f>
        <v>2.1190000000000002</v>
      </c>
      <c r="AG89">
        <f ca="1">IFERROR(IF(0=LEN(ReferenceData!$AG$89),"",ReferenceData!$AG$89),"")</f>
        <v>8.3650000000000002</v>
      </c>
      <c r="AH89">
        <f ca="1">IFERROR(IF(0=LEN(ReferenceData!$AH$89),"",ReferenceData!$AH$89),"")</f>
        <v>9.3870000000000005</v>
      </c>
      <c r="AI89">
        <f ca="1">IFERROR(IF(0=LEN(ReferenceData!$AI$89),"",ReferenceData!$AI$89),"")</f>
        <v>8.0280000000000005</v>
      </c>
      <c r="AJ89">
        <f ca="1">IFERROR(IF(0=LEN(ReferenceData!$AJ$89),"",ReferenceData!$AJ$89),"")</f>
        <v>-32.176000000000002</v>
      </c>
      <c r="AK89">
        <f ca="1">IFERROR(IF(0=LEN(ReferenceData!$AK$89),"",ReferenceData!$AK$89),"")</f>
        <v>7.0289999999999999</v>
      </c>
      <c r="AL89">
        <f ca="1">IFERROR(IF(0=LEN(ReferenceData!$AL$89),"",ReferenceData!$AL$89),"")</f>
        <v>7.9880000000000004</v>
      </c>
      <c r="AM89">
        <f ca="1">IFERROR(IF(0=LEN(ReferenceData!$AM$89),"",ReferenceData!$AM$89),"")</f>
        <v>10.465999999999999</v>
      </c>
      <c r="AN89">
        <f ca="1">IFERROR(IF(0=LEN(ReferenceData!$AN$89),"",ReferenceData!$AN$89),"")</f>
        <v>-0.39900000000000002</v>
      </c>
      <c r="AO89">
        <f ca="1">IFERROR(IF(0=LEN(ReferenceData!$AO$89),"",ReferenceData!$AO$89),"")</f>
        <v>6.4240000000000004</v>
      </c>
      <c r="AP89">
        <f ca="1">IFERROR(IF(0=LEN(ReferenceData!$AP$89),"",ReferenceData!$AP$89),"")</f>
        <v>7.7949999999999999</v>
      </c>
      <c r="AQ89">
        <f ca="1">IFERROR(IF(0=LEN(ReferenceData!$AQ$89),"",ReferenceData!$AQ$89),"")</f>
        <v>2.5819999999999999</v>
      </c>
      <c r="AR89">
        <f ca="1">IFERROR(IF(0=LEN(ReferenceData!$AR$89),"",ReferenceData!$AR$89),"")</f>
        <v>-0.51300000000000001</v>
      </c>
      <c r="AS89">
        <f ca="1">IFERROR(IF(0=LEN(ReferenceData!$AS$89),"",ReferenceData!$AS$89),"")</f>
        <v>10.609</v>
      </c>
      <c r="AT89">
        <f ca="1">IFERROR(IF(0=LEN(ReferenceData!$AT$89),"",ReferenceData!$AT$89),"")</f>
        <v>9.0739999999999998</v>
      </c>
      <c r="AU89">
        <f ca="1">IFERROR(IF(0=LEN(ReferenceData!$AU$89),"",ReferenceData!$AU$89),"")</f>
        <v>9.2149999999999999</v>
      </c>
      <c r="AV89">
        <f ca="1">IFERROR(IF(0=LEN(ReferenceData!$AV$89),"",ReferenceData!$AV$89),"")</f>
        <v>1.8340000000000001</v>
      </c>
      <c r="AW89">
        <f ca="1">IFERROR(IF(0=LEN(ReferenceData!$AW$89),"",ReferenceData!$AW$89),"")</f>
        <v>6.6550000000000002</v>
      </c>
      <c r="AX89">
        <f ca="1">IFERROR(IF(0=LEN(ReferenceData!$AX$89),"",ReferenceData!$AX$89),"")</f>
        <v>8.2100000000000009</v>
      </c>
      <c r="AY89">
        <f ca="1">IFERROR(IF(0=LEN(ReferenceData!$AY$89),"",ReferenceData!$AY$89),"")</f>
        <v>8.0310000000000006</v>
      </c>
      <c r="AZ89">
        <f ca="1">IFERROR(IF(0=LEN(ReferenceData!$AZ$89),"",ReferenceData!$AZ$89),"")</f>
        <v>0.442</v>
      </c>
      <c r="BA89">
        <f ca="1">IFERROR(IF(0=LEN(ReferenceData!$BA$89),"",ReferenceData!$BA$89),"")</f>
        <v>6.2789999999999999</v>
      </c>
      <c r="BB89">
        <f ca="1">IFERROR(IF(0=LEN(ReferenceData!$BB$89),"",ReferenceData!$BB$89),"")</f>
        <v>8.43</v>
      </c>
      <c r="BC89">
        <f ca="1">IFERROR(IF(0=LEN(ReferenceData!$BC$89),"",ReferenceData!$BC$89),"")</f>
        <v>7.4660000000000002</v>
      </c>
      <c r="BD89">
        <f ca="1">IFERROR(IF(0=LEN(ReferenceData!$BD$89),"",ReferenceData!$BD$89),"")</f>
        <v>0.97499999999999998</v>
      </c>
      <c r="BE89" t="str">
        <f ca="1">IFERROR(IF(0=LEN(ReferenceData!$BE$89),"",ReferenceData!$BE$89),"")</f>
        <v/>
      </c>
      <c r="BF89">
        <f ca="1">IFERROR(IF(0=LEN(ReferenceData!$BF$89),"",ReferenceData!$BF$89),"")</f>
        <v>-0.33600000000000002</v>
      </c>
      <c r="BG89" t="str">
        <f ca="1">IFERROR(IF(0=LEN(ReferenceData!$BG$89),"",ReferenceData!$BG$89),"")</f>
        <v/>
      </c>
      <c r="BH89" t="str">
        <f ca="1">IFERROR(IF(0=LEN(ReferenceData!$BH$89),"",ReferenceData!$BH$89),"")</f>
        <v/>
      </c>
      <c r="BI89" t="str">
        <f ca="1">IFERROR(IF(0=LEN(ReferenceData!$BI$89),"",ReferenceData!$BI$89),"")</f>
        <v/>
      </c>
      <c r="BJ89" t="str">
        <f ca="1">IFERROR(IF(0=LEN(ReferenceData!$BJ$89),"",ReferenceData!$BJ$89),"")</f>
        <v/>
      </c>
      <c r="BK89" t="str">
        <f ca="1">IFERROR(IF(0=LEN(ReferenceData!$BK$89),"",ReferenceData!$BK$89),"")</f>
        <v/>
      </c>
      <c r="BL89" t="str">
        <f ca="1">IFERROR(IF(0=LEN(ReferenceData!$BL$89),"",ReferenceData!$BL$89),"")</f>
        <v/>
      </c>
      <c r="BM89" t="str">
        <f ca="1">IFERROR(IF(0=LEN(ReferenceData!$BM$89),"",ReferenceData!$BM$89),"")</f>
        <v/>
      </c>
    </row>
    <row r="90" spans="1:65">
      <c r="A90" t="str">
        <f>IFERROR(IF(0=LEN(ReferenceData!$A$90),"",ReferenceData!$A$90),"")</f>
        <v xml:space="preserve">    Equity Residential</v>
      </c>
      <c r="B90" t="str">
        <f>IFERROR(IF(0=LEN(ReferenceData!$B$90),"",ReferenceData!$B$90),"")</f>
        <v>EQR US Equity</v>
      </c>
      <c r="C90" t="str">
        <f>IFERROR(IF(0=LEN(ReferenceData!$C$90),"",ReferenceData!$C$90),"")</f>
        <v>F0578</v>
      </c>
      <c r="D90" t="str">
        <f>IFERROR(IF(0=LEN(ReferenceData!$D$90),"",ReferenceData!$D$90),"")</f>
        <v>FUNDS_AVAILABLE_FOR_DISTRIBUTION</v>
      </c>
      <c r="E90" t="str">
        <f>IFERROR(IF(0=LEN(ReferenceData!$E$90),"",ReferenceData!$E$90),"")</f>
        <v>动态</v>
      </c>
      <c r="F90" t="str">
        <f ca="1">IFERROR(IF(0=LEN(ReferenceData!$F$90),"",ReferenceData!$F$90),"")</f>
        <v/>
      </c>
      <c r="G90">
        <f ca="1">IFERROR(IF(0=LEN(ReferenceData!$G$90),"",ReferenceData!$G$90),"")</f>
        <v>297.81799999999998</v>
      </c>
      <c r="H90">
        <f ca="1">IFERROR(IF(0=LEN(ReferenceData!$H$90),"",ReferenceData!$H$90),"")</f>
        <v>284.10300000000001</v>
      </c>
      <c r="I90">
        <f ca="1">IFERROR(IF(0=LEN(ReferenceData!$I$90),"",ReferenceData!$I$90),"")</f>
        <v>270.86500000000001</v>
      </c>
      <c r="J90">
        <f ca="1">IFERROR(IF(0=LEN(ReferenceData!$J$90),"",ReferenceData!$J$90),"")</f>
        <v>261.97199999999998</v>
      </c>
      <c r="K90">
        <f ca="1">IFERROR(IF(0=LEN(ReferenceData!$K$90),"",ReferenceData!$K$90),"")</f>
        <v>281.38900000000001</v>
      </c>
      <c r="L90">
        <f ca="1">IFERROR(IF(0=LEN(ReferenceData!$L$90),"",ReferenceData!$L$90),"")</f>
        <v>272.75799999999998</v>
      </c>
      <c r="M90">
        <f ca="1">IFERROR(IF(0=LEN(ReferenceData!$M$90),"",ReferenceData!$M$90),"")</f>
        <v>313.11700000000002</v>
      </c>
      <c r="N90">
        <f ca="1">IFERROR(IF(0=LEN(ReferenceData!$N$90),"",ReferenceData!$N$90),"")</f>
        <v>266.72300000000001</v>
      </c>
      <c r="O90">
        <f ca="1">IFERROR(IF(0=LEN(ReferenceData!$O$90),"",ReferenceData!$O$90),"")</f>
        <v>328.245</v>
      </c>
      <c r="P90">
        <f ca="1">IFERROR(IF(0=LEN(ReferenceData!$P$90),"",ReferenceData!$P$90),"")</f>
        <v>310.88200000000001</v>
      </c>
      <c r="Q90">
        <f ca="1">IFERROR(IF(0=LEN(ReferenceData!$Q$90),"",ReferenceData!$Q$90),"")</f>
        <v>297.18200000000002</v>
      </c>
      <c r="R90">
        <f ca="1">IFERROR(IF(0=LEN(ReferenceData!$R$90),"",ReferenceData!$R$90),"")</f>
        <v>271.73200000000003</v>
      </c>
      <c r="S90">
        <f ca="1">IFERROR(IF(0=LEN(ReferenceData!$S$90),"",ReferenceData!$S$90),"")</f>
        <v>300.44600000000003</v>
      </c>
      <c r="T90">
        <f ca="1">IFERROR(IF(0=LEN(ReferenceData!$T$90),"",ReferenceData!$T$90),"")</f>
        <v>283.33199999999999</v>
      </c>
      <c r="U90">
        <f ca="1">IFERROR(IF(0=LEN(ReferenceData!$U$90),"",ReferenceData!$U$90),"")</f>
        <v>267.80500000000001</v>
      </c>
      <c r="V90">
        <f ca="1">IFERROR(IF(0=LEN(ReferenceData!$V$90),"",ReferenceData!$V$90),"")</f>
        <v>239.185</v>
      </c>
      <c r="W90">
        <f ca="1">IFERROR(IF(0=LEN(ReferenceData!$W$90),"",ReferenceData!$W$90),"")</f>
        <v>262.95999999999998</v>
      </c>
      <c r="X90">
        <f ca="1">IFERROR(IF(0=LEN(ReferenceData!$X$90),"",ReferenceData!$X$90),"")</f>
        <v>245.63900000000001</v>
      </c>
      <c r="Y90">
        <f ca="1">IFERROR(IF(0=LEN(ReferenceData!$Y$90),"",ReferenceData!$Y$90),"")</f>
        <v>238.19900000000001</v>
      </c>
      <c r="Z90">
        <f ca="1">IFERROR(IF(0=LEN(ReferenceData!$Z$90),"",ReferenceData!$Z$90),"")</f>
        <v>199.93199999999999</v>
      </c>
      <c r="AA90">
        <f ca="1">IFERROR(IF(0=LEN(ReferenceData!$AA$90),"",ReferenceData!$AA$90),"")</f>
        <v>218.93899999999999</v>
      </c>
      <c r="AB90">
        <f ca="1">IFERROR(IF(0=LEN(ReferenceData!$AB$90),"",ReferenceData!$AB$90),"")</f>
        <v>203.833</v>
      </c>
      <c r="AC90">
        <f ca="1">IFERROR(IF(0=LEN(ReferenceData!$AC$90),"",ReferenceData!$AC$90),"")</f>
        <v>240.94399999999999</v>
      </c>
      <c r="AD90">
        <f ca="1">IFERROR(IF(0=LEN(ReferenceData!$AD$90),"",ReferenceData!$AD$90),"")</f>
        <v>165.91300000000001</v>
      </c>
      <c r="AE90">
        <f ca="1">IFERROR(IF(0=LEN(ReferenceData!$AE$90),"",ReferenceData!$AE$90),"")</f>
        <v>179.136</v>
      </c>
      <c r="AF90">
        <f ca="1">IFERROR(IF(0=LEN(ReferenceData!$AF$90),"",ReferenceData!$AF$90),"")</f>
        <v>165.815</v>
      </c>
      <c r="AG90">
        <f ca="1">IFERROR(IF(0=LEN(ReferenceData!$AG$90),"",ReferenceData!$AG$90),"")</f>
        <v>212.91</v>
      </c>
      <c r="AH90">
        <f ca="1">IFERROR(IF(0=LEN(ReferenceData!$AH$90),"",ReferenceData!$AH$90),"")</f>
        <v>149.267</v>
      </c>
      <c r="AI90">
        <f ca="1">IFERROR(IF(0=LEN(ReferenceData!$AI$90),"",ReferenceData!$AI$90),"")</f>
        <v>158.57599999999999</v>
      </c>
      <c r="AJ90">
        <f ca="1">IFERROR(IF(0=LEN(ReferenceData!$AJ$90),"",ReferenceData!$AJ$90),"")</f>
        <v>143.06700000000001</v>
      </c>
      <c r="AK90">
        <f ca="1">IFERROR(IF(0=LEN(ReferenceData!$AK$90),"",ReferenceData!$AK$90),"")</f>
        <v>148.524</v>
      </c>
      <c r="AL90">
        <f ca="1">IFERROR(IF(0=LEN(ReferenceData!$AL$90),"",ReferenceData!$AL$90),"")</f>
        <v>123.142</v>
      </c>
      <c r="AM90">
        <f ca="1">IFERROR(IF(0=LEN(ReferenceData!$AM$90),"",ReferenceData!$AM$90),"")</f>
        <v>72.239000000000004</v>
      </c>
      <c r="AN90">
        <f ca="1">IFERROR(IF(0=LEN(ReferenceData!$AN$90),"",ReferenceData!$AN$90),"")</f>
        <v>122.438</v>
      </c>
      <c r="AO90">
        <f ca="1">IFERROR(IF(0=LEN(ReferenceData!$AO$90),"",ReferenceData!$AO$90),"")</f>
        <v>130.82499999999999</v>
      </c>
      <c r="AP90">
        <f ca="1">IFERROR(IF(0=LEN(ReferenceData!$AP$90),"",ReferenceData!$AP$90),"")</f>
        <v>136.27699999999999</v>
      </c>
      <c r="AQ90">
        <f ca="1">IFERROR(IF(0=LEN(ReferenceData!$AQ$90),"",ReferenceData!$AQ$90),"")</f>
        <v>52.600999999999999</v>
      </c>
      <c r="AR90">
        <f ca="1">IFERROR(IF(0=LEN(ReferenceData!$AR$90),"",ReferenceData!$AR$90),"")</f>
        <v>156.726</v>
      </c>
      <c r="AS90">
        <f ca="1">IFERROR(IF(0=LEN(ReferenceData!$AS$90),"",ReferenceData!$AS$90),"")</f>
        <v>157.65799999999999</v>
      </c>
      <c r="AT90">
        <f ca="1">IFERROR(IF(0=LEN(ReferenceData!$AT$90),"",ReferenceData!$AT$90),"")</f>
        <v>141.31</v>
      </c>
      <c r="AU90">
        <f ca="1">IFERROR(IF(0=LEN(ReferenceData!$AU$90),"",ReferenceData!$AU$90),"")</f>
        <v>166.97200000000001</v>
      </c>
      <c r="AV90">
        <f ca="1">IFERROR(IF(0=LEN(ReferenceData!$AV$90),"",ReferenceData!$AV$90),"")</f>
        <v>143.10400000000001</v>
      </c>
      <c r="AW90">
        <f ca="1">IFERROR(IF(0=LEN(ReferenceData!$AW$90),"",ReferenceData!$AW$90),"")</f>
        <v>155.55000000000001</v>
      </c>
      <c r="AX90">
        <f ca="1">IFERROR(IF(0=LEN(ReferenceData!$AX$90),"",ReferenceData!$AX$90),"")</f>
        <v>143.07400000000001</v>
      </c>
      <c r="AY90">
        <f ca="1">IFERROR(IF(0=LEN(ReferenceData!$AY$90),"",ReferenceData!$AY$90),"")</f>
        <v>123.32599999999999</v>
      </c>
      <c r="AZ90">
        <f ca="1">IFERROR(IF(0=LEN(ReferenceData!$AZ$90),"",ReferenceData!$AZ$90),"")</f>
        <v>166.98</v>
      </c>
      <c r="BA90">
        <f ca="1">IFERROR(IF(0=LEN(ReferenceData!$BA$90),"",ReferenceData!$BA$90),"")</f>
        <v>161.13499999999999</v>
      </c>
      <c r="BB90">
        <f ca="1">IFERROR(IF(0=LEN(ReferenceData!$BB$90),"",ReferenceData!$BB$90),"")</f>
        <v>146.404</v>
      </c>
      <c r="BC90">
        <f ca="1">IFERROR(IF(0=LEN(ReferenceData!$BC$90),"",ReferenceData!$BC$90),"")</f>
        <v>206.12899999999999</v>
      </c>
      <c r="BD90">
        <f ca="1">IFERROR(IF(0=LEN(ReferenceData!$BD$90),"",ReferenceData!$BD$90),"")</f>
        <v>175.19200000000001</v>
      </c>
      <c r="BE90">
        <f ca="1">IFERROR(IF(0=LEN(ReferenceData!$BE$90),"",ReferenceData!$BE$90),"")</f>
        <v>173.488</v>
      </c>
      <c r="BF90">
        <f ca="1">IFERROR(IF(0=LEN(ReferenceData!$BF$90),"",ReferenceData!$BF$90),"")</f>
        <v>229.81700000000001</v>
      </c>
      <c r="BG90">
        <f ca="1">IFERROR(IF(0=LEN(ReferenceData!$BG$90),"",ReferenceData!$BG$90),"")</f>
        <v>174.291</v>
      </c>
      <c r="BH90">
        <f ca="1">IFERROR(IF(0=LEN(ReferenceData!$BH$90),"",ReferenceData!$BH$90),"")</f>
        <v>153.22499999999999</v>
      </c>
      <c r="BI90">
        <f ca="1">IFERROR(IF(0=LEN(ReferenceData!$BI$90),"",ReferenceData!$BI$90),"")</f>
        <v>14.465011000000001</v>
      </c>
      <c r="BJ90">
        <f ca="1">IFERROR(IF(0=LEN(ReferenceData!$BJ$90),"",ReferenceData!$BJ$90),"")</f>
        <v>156.10699500000001</v>
      </c>
      <c r="BK90" t="str">
        <f ca="1">IFERROR(IF(0=LEN(ReferenceData!$BK$90),"",ReferenceData!$BK$90),"")</f>
        <v/>
      </c>
      <c r="BL90">
        <f ca="1">IFERROR(IF(0=LEN(ReferenceData!$BL$90),"",ReferenceData!$BL$90),"")</f>
        <v>168.475998</v>
      </c>
      <c r="BM90">
        <f ca="1">IFERROR(IF(0=LEN(ReferenceData!$BM$90),"",ReferenceData!$BM$90),"")</f>
        <v>170.229004</v>
      </c>
    </row>
    <row r="91" spans="1:65">
      <c r="A91" t="str">
        <f>IFERROR(IF(0=LEN(ReferenceData!$A$91),"",ReferenceData!$A$91),"")</f>
        <v xml:space="preserve">    Essex Property Trust Inc</v>
      </c>
      <c r="B91" t="str">
        <f>IFERROR(IF(0=LEN(ReferenceData!$B$91),"",ReferenceData!$B$91),"")</f>
        <v>ESS US Equity</v>
      </c>
      <c r="C91" t="str">
        <f>IFERROR(IF(0=LEN(ReferenceData!$C$91),"",ReferenceData!$C$91),"")</f>
        <v>F0578</v>
      </c>
      <c r="D91" t="str">
        <f>IFERROR(IF(0=LEN(ReferenceData!$D$91),"",ReferenceData!$D$91),"")</f>
        <v>FUNDS_AVAILABLE_FOR_DISTRIBUTION</v>
      </c>
      <c r="E91" t="str">
        <f>IFERROR(IF(0=LEN(ReferenceData!$E$91),"",ReferenceData!$E$91),"")</f>
        <v>动态</v>
      </c>
      <c r="F91" t="str">
        <f ca="1">IFERROR(IF(0=LEN(ReferenceData!$F$91),"",ReferenceData!$F$91),"")</f>
        <v/>
      </c>
      <c r="G91">
        <f ca="1">IFERROR(IF(0=LEN(ReferenceData!$G$91),"",ReferenceData!$G$91),"")</f>
        <v>205.71700000000001</v>
      </c>
      <c r="H91">
        <f ca="1">IFERROR(IF(0=LEN(ReferenceData!$H$91),"",ReferenceData!$H$91),"")</f>
        <v>183.16399999999999</v>
      </c>
      <c r="I91">
        <f ca="1">IFERROR(IF(0=LEN(ReferenceData!$I$91),"",ReferenceData!$I$91),"")</f>
        <v>202.56100000000001</v>
      </c>
      <c r="J91">
        <f ca="1">IFERROR(IF(0=LEN(ReferenceData!$J$91),"",ReferenceData!$J$91),"")</f>
        <v>190.32499999999999</v>
      </c>
      <c r="K91">
        <f ca="1">IFERROR(IF(0=LEN(ReferenceData!$K$91),"",ReferenceData!$K$91),"")</f>
        <v>190.81200000000001</v>
      </c>
      <c r="L91">
        <f ca="1">IFERROR(IF(0=LEN(ReferenceData!$L$91),"",ReferenceData!$L$91),"")</f>
        <v>190.53399999999999</v>
      </c>
      <c r="M91">
        <f ca="1">IFERROR(IF(0=LEN(ReferenceData!$M$91),"",ReferenceData!$M$91),"")</f>
        <v>186.13200000000001</v>
      </c>
      <c r="N91">
        <f ca="1">IFERROR(IF(0=LEN(ReferenceData!$N$91),"",ReferenceData!$N$91),"")</f>
        <v>181.71600000000001</v>
      </c>
      <c r="O91">
        <f ca="1">IFERROR(IF(0=LEN(ReferenceData!$O$91),"",ReferenceData!$O$91),"")</f>
        <v>178.29300000000001</v>
      </c>
      <c r="P91">
        <f ca="1">IFERROR(IF(0=LEN(ReferenceData!$P$91),"",ReferenceData!$P$91),"")</f>
        <v>168.435</v>
      </c>
      <c r="Q91">
        <f ca="1">IFERROR(IF(0=LEN(ReferenceData!$Q$91),"",ReferenceData!$Q$91),"")</f>
        <v>161.32599999999999</v>
      </c>
      <c r="R91">
        <f ca="1">IFERROR(IF(0=LEN(ReferenceData!$R$91),"",ReferenceData!$R$91),"")</f>
        <v>152.61799999999999</v>
      </c>
      <c r="S91">
        <f ca="1">IFERROR(IF(0=LEN(ReferenceData!$S$91),"",ReferenceData!$S$91),"")</f>
        <v>135.93299999999999</v>
      </c>
      <c r="T91">
        <f ca="1">IFERROR(IF(0=LEN(ReferenceData!$T$91),"",ReferenceData!$T$91),"")</f>
        <v>127.08394</v>
      </c>
      <c r="U91">
        <f ca="1">IFERROR(IF(0=LEN(ReferenceData!$U$91),"",ReferenceData!$U$91),"")</f>
        <v>129.47800000000001</v>
      </c>
      <c r="V91">
        <f ca="1">IFERROR(IF(0=LEN(ReferenceData!$V$91),"",ReferenceData!$V$91),"")</f>
        <v>81.12</v>
      </c>
      <c r="W91">
        <f ca="1">IFERROR(IF(0=LEN(ReferenceData!$W$91),"",ReferenceData!$W$91),"")</f>
        <v>71.882999999999996</v>
      </c>
      <c r="X91">
        <f ca="1">IFERROR(IF(0=LEN(ReferenceData!$X$91),"",ReferenceData!$X$91),"")</f>
        <v>66.08</v>
      </c>
      <c r="Y91">
        <f ca="1">IFERROR(IF(0=LEN(ReferenceData!$Y$91),"",ReferenceData!$Y$91),"")</f>
        <v>65.899000000000001</v>
      </c>
      <c r="Z91">
        <f ca="1">IFERROR(IF(0=LEN(ReferenceData!$Z$91),"",ReferenceData!$Z$91),"")</f>
        <v>69.194000000000003</v>
      </c>
      <c r="AA91">
        <f ca="1">IFERROR(IF(0=LEN(ReferenceData!$AA$91),"",ReferenceData!$AA$91),"")</f>
        <v>54.34</v>
      </c>
      <c r="AB91">
        <f ca="1">IFERROR(IF(0=LEN(ReferenceData!$AB$91),"",ReferenceData!$AB$91),"")</f>
        <v>73.600999999999999</v>
      </c>
      <c r="AC91">
        <f ca="1">IFERROR(IF(0=LEN(ReferenceData!$AC$91),"",ReferenceData!$AC$91),"")</f>
        <v>57.661000000000001</v>
      </c>
      <c r="AD91">
        <f ca="1">IFERROR(IF(0=LEN(ReferenceData!$AD$91),"",ReferenceData!$AD$91),"")</f>
        <v>58.246000000000002</v>
      </c>
      <c r="AE91">
        <f ca="1">IFERROR(IF(0=LEN(ReferenceData!$AE$91),"",ReferenceData!$AE$91),"")</f>
        <v>41.82</v>
      </c>
      <c r="AF91">
        <f ca="1">IFERROR(IF(0=LEN(ReferenceData!$AF$91),"",ReferenceData!$AF$91),"")</f>
        <v>43.966000000000001</v>
      </c>
      <c r="AG91">
        <f ca="1">IFERROR(IF(0=LEN(ReferenceData!$AG$91),"",ReferenceData!$AG$91),"")</f>
        <v>43.188000000000002</v>
      </c>
      <c r="AH91">
        <f ca="1">IFERROR(IF(0=LEN(ReferenceData!$AH$91),"",ReferenceData!$AH$91),"")</f>
        <v>41.344000000000001</v>
      </c>
      <c r="AI91">
        <f ca="1">IFERROR(IF(0=LEN(ReferenceData!$AI$91),"",ReferenceData!$AI$91),"")</f>
        <v>41.994</v>
      </c>
      <c r="AJ91">
        <f ca="1">IFERROR(IF(0=LEN(ReferenceData!$AJ$91),"",ReferenceData!$AJ$91),"")</f>
        <v>40.229999999999997</v>
      </c>
      <c r="AK91">
        <f ca="1">IFERROR(IF(0=LEN(ReferenceData!$AK$91),"",ReferenceData!$AK$91),"")</f>
        <v>38.646999999999998</v>
      </c>
      <c r="AL91">
        <f ca="1">IFERROR(IF(0=LEN(ReferenceData!$AL$91),"",ReferenceData!$AL$91),"")</f>
        <v>47.42</v>
      </c>
      <c r="AM91">
        <f ca="1">IFERROR(IF(0=LEN(ReferenceData!$AM$91),"",ReferenceData!$AM$91),"")</f>
        <v>37.335999999999999</v>
      </c>
      <c r="AN91">
        <f ca="1">IFERROR(IF(0=LEN(ReferenceData!$AN$91),"",ReferenceData!$AN$91),"")</f>
        <v>38.012</v>
      </c>
      <c r="AO91">
        <f ca="1">IFERROR(IF(0=LEN(ReferenceData!$AO$91),"",ReferenceData!$AO$91),"")</f>
        <v>42.002000000000002</v>
      </c>
      <c r="AP91">
        <f ca="1">IFERROR(IF(0=LEN(ReferenceData!$AP$91),"",ReferenceData!$AP$91),"")</f>
        <v>44.137999999999998</v>
      </c>
      <c r="AQ91">
        <f ca="1">IFERROR(IF(0=LEN(ReferenceData!$AQ$91),"",ReferenceData!$AQ$91),"")</f>
        <v>37.408999999999999</v>
      </c>
      <c r="AR91">
        <f ca="1">IFERROR(IF(0=LEN(ReferenceData!$AR$91),"",ReferenceData!$AR$91),"")</f>
        <v>36.146000000000001</v>
      </c>
      <c r="AS91">
        <f ca="1">IFERROR(IF(0=LEN(ReferenceData!$AS$91),"",ReferenceData!$AS$91),"")</f>
        <v>39.234999999999999</v>
      </c>
      <c r="AT91">
        <f ca="1">IFERROR(IF(0=LEN(ReferenceData!$AT$91),"",ReferenceData!$AT$91),"")</f>
        <v>44.826000000000001</v>
      </c>
      <c r="AU91">
        <f ca="1">IFERROR(IF(0=LEN(ReferenceData!$AU$91),"",ReferenceData!$AU$91),"")</f>
        <v>34.698999999999998</v>
      </c>
      <c r="AV91">
        <f ca="1">IFERROR(IF(0=LEN(ReferenceData!$AV$91),"",ReferenceData!$AV$91),"")</f>
        <v>37.322000000000003</v>
      </c>
      <c r="AW91">
        <f ca="1">IFERROR(IF(0=LEN(ReferenceData!$AW$91),"",ReferenceData!$AW$91),"")</f>
        <v>36.497</v>
      </c>
      <c r="AX91">
        <f ca="1">IFERROR(IF(0=LEN(ReferenceData!$AX$91),"",ReferenceData!$AX$91),"")</f>
        <v>45.387</v>
      </c>
      <c r="AY91">
        <f ca="1">IFERROR(IF(0=LEN(ReferenceData!$AY$91),"",ReferenceData!$AY$91),"")</f>
        <v>31.594999999999999</v>
      </c>
      <c r="AZ91">
        <f ca="1">IFERROR(IF(0=LEN(ReferenceData!$AZ$91),"",ReferenceData!$AZ$91),"")</f>
        <v>32.854999999999997</v>
      </c>
      <c r="BA91">
        <f ca="1">IFERROR(IF(0=LEN(ReferenceData!$BA$91),"",ReferenceData!$BA$91),"")</f>
        <v>37.152000000000001</v>
      </c>
      <c r="BB91">
        <f ca="1">IFERROR(IF(0=LEN(ReferenceData!$BB$91),"",ReferenceData!$BB$91),"")</f>
        <v>28.917000000000002</v>
      </c>
      <c r="BC91">
        <f ca="1">IFERROR(IF(0=LEN(ReferenceData!$BC$91),"",ReferenceData!$BC$91),"")</f>
        <v>21.5</v>
      </c>
      <c r="BD91">
        <f ca="1">IFERROR(IF(0=LEN(ReferenceData!$BD$91),"",ReferenceData!$BD$91),"")</f>
        <v>29.666</v>
      </c>
      <c r="BE91">
        <f ca="1">IFERROR(IF(0=LEN(ReferenceData!$BE$91),"",ReferenceData!$BE$91),"")</f>
        <v>27.54</v>
      </c>
      <c r="BF91">
        <f ca="1">IFERROR(IF(0=LEN(ReferenceData!$BF$91),"",ReferenceData!$BF$91),"")</f>
        <v>32.832000000000001</v>
      </c>
      <c r="BG91">
        <f ca="1">IFERROR(IF(0=LEN(ReferenceData!$BG$91),"",ReferenceData!$BG$91),"")</f>
        <v>29.379999000000002</v>
      </c>
      <c r="BH91">
        <f ca="1">IFERROR(IF(0=LEN(ReferenceData!$BH$91),"",ReferenceData!$BH$91),"")</f>
        <v>34.47</v>
      </c>
      <c r="BI91">
        <f ca="1">IFERROR(IF(0=LEN(ReferenceData!$BI$91),"",ReferenceData!$BI$91),"")</f>
        <v>24.603999999999999</v>
      </c>
      <c r="BJ91">
        <f ca="1">IFERROR(IF(0=LEN(ReferenceData!$BJ$91),"",ReferenceData!$BJ$91),"")</f>
        <v>26.292000000000002</v>
      </c>
      <c r="BK91">
        <f ca="1">IFERROR(IF(0=LEN(ReferenceData!$BK$91),"",ReferenceData!$BK$91),"")</f>
        <v>23.608999000000001</v>
      </c>
      <c r="BL91">
        <f ca="1">IFERROR(IF(0=LEN(ReferenceData!$BL$91),"",ReferenceData!$BL$91),"")</f>
        <v>24.795999999999999</v>
      </c>
      <c r="BM91">
        <f ca="1">IFERROR(IF(0=LEN(ReferenceData!$BM$91),"",ReferenceData!$BM$91),"")</f>
        <v>24.768999000000001</v>
      </c>
    </row>
    <row r="92" spans="1:65">
      <c r="A92" t="str">
        <f>IFERROR(IF(0=LEN(ReferenceData!$A$92),"",ReferenceData!$A$92),"")</f>
        <v xml:space="preserve">    Mid-America Apartment Communit</v>
      </c>
      <c r="B92" t="str">
        <f>IFERROR(IF(0=LEN(ReferenceData!$B$92),"",ReferenceData!$B$92),"")</f>
        <v>MAA US Equity</v>
      </c>
      <c r="C92" t="str">
        <f>IFERROR(IF(0=LEN(ReferenceData!$C$92),"",ReferenceData!$C$92),"")</f>
        <v>F0578</v>
      </c>
      <c r="D92" t="str">
        <f>IFERROR(IF(0=LEN(ReferenceData!$D$92),"",ReferenceData!$D$92),"")</f>
        <v>FUNDS_AVAILABLE_FOR_DISTRIBUTION</v>
      </c>
      <c r="E92" t="str">
        <f>IFERROR(IF(0=LEN(ReferenceData!$E$92),"",ReferenceData!$E$92),"")</f>
        <v>动态</v>
      </c>
      <c r="F92" t="str">
        <f ca="1">IFERROR(IF(0=LEN(ReferenceData!$F$92),"",ReferenceData!$F$92),"")</f>
        <v/>
      </c>
      <c r="G92">
        <f ca="1">IFERROR(IF(0=LEN(ReferenceData!$G$92),"",ReferenceData!$G$92),"")</f>
        <v>126.82299999999999</v>
      </c>
      <c r="H92">
        <f ca="1">IFERROR(IF(0=LEN(ReferenceData!$H$92),"",ReferenceData!$H$92),"")</f>
        <v>126.925</v>
      </c>
      <c r="I92">
        <f ca="1">IFERROR(IF(0=LEN(ReferenceData!$I$92),"",ReferenceData!$I$92),"")</f>
        <v>124.366</v>
      </c>
      <c r="J92">
        <f ca="1">IFERROR(IF(0=LEN(ReferenceData!$J$92),"",ReferenceData!$J$92),"")</f>
        <v>145.17699999999999</v>
      </c>
      <c r="K92">
        <f ca="1">IFERROR(IF(0=LEN(ReferenceData!$K$92),"",ReferenceData!$K$92),"")</f>
        <v>79.602999999999994</v>
      </c>
      <c r="L92">
        <f ca="1">IFERROR(IF(0=LEN(ReferenceData!$L$92),"",ReferenceData!$L$92),"")</f>
        <v>83.504000000000005</v>
      </c>
      <c r="M92">
        <f ca="1">IFERROR(IF(0=LEN(ReferenceData!$M$92),"",ReferenceData!$M$92),"")</f>
        <v>82.009</v>
      </c>
      <c r="N92">
        <f ca="1">IFERROR(IF(0=LEN(ReferenceData!$N$92),"",ReferenceData!$N$92),"")</f>
        <v>89.617999999999995</v>
      </c>
      <c r="O92">
        <f ca="1">IFERROR(IF(0=LEN(ReferenceData!$O$92),"",ReferenceData!$O$92),"")</f>
        <v>88.92</v>
      </c>
      <c r="P92">
        <f ca="1">IFERROR(IF(0=LEN(ReferenceData!$P$92),"",ReferenceData!$P$92),"")</f>
        <v>72.218000000000004</v>
      </c>
      <c r="Q92">
        <f ca="1">IFERROR(IF(0=LEN(ReferenceData!$Q$92),"",ReferenceData!$Q$92),"")</f>
        <v>86.114000000000004</v>
      </c>
      <c r="R92">
        <f ca="1">IFERROR(IF(0=LEN(ReferenceData!$R$92),"",ReferenceData!$R$92),"")</f>
        <v>80.415000000000006</v>
      </c>
      <c r="S92">
        <f ca="1">IFERROR(IF(0=LEN(ReferenceData!$S$92),"",ReferenceData!$S$92),"")</f>
        <v>93.44</v>
      </c>
      <c r="T92">
        <f ca="1">IFERROR(IF(0=LEN(ReferenceData!$T$92),"",ReferenceData!$T$92),"")</f>
        <v>82.367999999999995</v>
      </c>
      <c r="U92">
        <f ca="1">IFERROR(IF(0=LEN(ReferenceData!$U$92),"",ReferenceData!$U$92),"")</f>
        <v>74.268000000000001</v>
      </c>
      <c r="V92">
        <f ca="1">IFERROR(IF(0=LEN(ReferenceData!$V$92),"",ReferenceData!$V$92),"")</f>
        <v>89.537999999999997</v>
      </c>
      <c r="W92">
        <f ca="1">IFERROR(IF(0=LEN(ReferenceData!$W$92),"",ReferenceData!$W$92),"")</f>
        <v>76.891999999999996</v>
      </c>
      <c r="X92">
        <f ca="1">IFERROR(IF(0=LEN(ReferenceData!$X$92),"",ReferenceData!$X$92),"")</f>
        <v>47.844999999999999</v>
      </c>
      <c r="Y92">
        <f ca="1">IFERROR(IF(0=LEN(ReferenceData!$Y$92),"",ReferenceData!$Y$92),"")</f>
        <v>46.634</v>
      </c>
      <c r="Z92">
        <f ca="1">IFERROR(IF(0=LEN(ReferenceData!$Z$92),"",ReferenceData!$Z$92),"")</f>
        <v>49.567</v>
      </c>
      <c r="AA92">
        <f ca="1">IFERROR(IF(0=LEN(ReferenceData!$AA$92),"",ReferenceData!$AA$92),"")</f>
        <v>4.0129999999999999</v>
      </c>
      <c r="AB92">
        <f ca="1">IFERROR(IF(0=LEN(ReferenceData!$AB$92),"",ReferenceData!$AB$92),"")</f>
        <v>43.281999999999996</v>
      </c>
      <c r="AC92">
        <f ca="1">IFERROR(IF(0=LEN(ReferenceData!$AC$92),"",ReferenceData!$AC$92),"")</f>
        <v>38.908000000000001</v>
      </c>
      <c r="AD92">
        <f ca="1">IFERROR(IF(0=LEN(ReferenceData!$AD$92),"",ReferenceData!$AD$92),"")</f>
        <v>38.895000000000003</v>
      </c>
      <c r="AE92">
        <f ca="1">IFERROR(IF(0=LEN(ReferenceData!$AE$92),"",ReferenceData!$AE$92),"")</f>
        <v>39.116</v>
      </c>
      <c r="AF92">
        <f ca="1">IFERROR(IF(0=LEN(ReferenceData!$AF$92),"",ReferenceData!$AF$92),"")</f>
        <v>32.067</v>
      </c>
      <c r="AG92">
        <f ca="1">IFERROR(IF(0=LEN(ReferenceData!$AG$92),"",ReferenceData!$AG$92),"")</f>
        <v>26.670999999999999</v>
      </c>
      <c r="AH92">
        <f ca="1">IFERROR(IF(0=LEN(ReferenceData!$AH$92),"",ReferenceData!$AH$92),"")</f>
        <v>31.298999999999999</v>
      </c>
      <c r="AI92">
        <f ca="1">IFERROR(IF(0=LEN(ReferenceData!$AI$92),"",ReferenceData!$AI$92),"")</f>
        <v>31.640999999999998</v>
      </c>
      <c r="AJ92">
        <f ca="1">IFERROR(IF(0=LEN(ReferenceData!$AJ$92),"",ReferenceData!$AJ$92),"")</f>
        <v>27.245000000000001</v>
      </c>
      <c r="AK92">
        <f ca="1">IFERROR(IF(0=LEN(ReferenceData!$AK$92),"",ReferenceData!$AK$92),"")</f>
        <v>20.669</v>
      </c>
      <c r="AL92">
        <f ca="1">IFERROR(IF(0=LEN(ReferenceData!$AL$92),"",ReferenceData!$AL$92),"")</f>
        <v>26.102</v>
      </c>
      <c r="AM92">
        <f ca="1">IFERROR(IF(0=LEN(ReferenceData!$AM$92),"",ReferenceData!$AM$92),"")</f>
        <v>25.673999999999999</v>
      </c>
      <c r="AN92">
        <f ca="1">IFERROR(IF(0=LEN(ReferenceData!$AN$92),"",ReferenceData!$AN$92),"")</f>
        <v>19.988</v>
      </c>
      <c r="AO92">
        <f ca="1">IFERROR(IF(0=LEN(ReferenceData!$AO$92),"",ReferenceData!$AO$92),"")</f>
        <v>22.187000000000001</v>
      </c>
      <c r="AP92">
        <f ca="1">IFERROR(IF(0=LEN(ReferenceData!$AP$92),"",ReferenceData!$AP$92),"")</f>
        <v>26.943000000000001</v>
      </c>
      <c r="AQ92">
        <f ca="1">IFERROR(IF(0=LEN(ReferenceData!$AQ$92),"",ReferenceData!$AQ$92),"")</f>
        <v>24.608000000000001</v>
      </c>
      <c r="AR92">
        <f ca="1">IFERROR(IF(0=LEN(ReferenceData!$AR$92),"",ReferenceData!$AR$92),"")</f>
        <v>19.837</v>
      </c>
      <c r="AS92">
        <f ca="1">IFERROR(IF(0=LEN(ReferenceData!$AS$92),"",ReferenceData!$AS$92),"")</f>
        <v>20.657</v>
      </c>
      <c r="AT92">
        <f ca="1">IFERROR(IF(0=LEN(ReferenceData!$AT$92),"",ReferenceData!$AT$92),"")</f>
        <v>23.114999999999998</v>
      </c>
      <c r="AU92">
        <f ca="1">IFERROR(IF(0=LEN(ReferenceData!$AU$92),"",ReferenceData!$AU$92),"")</f>
        <v>18.231000000000002</v>
      </c>
      <c r="AV92">
        <f ca="1">IFERROR(IF(0=LEN(ReferenceData!$AV$92),"",ReferenceData!$AV$92),"")</f>
        <v>19.992999999999999</v>
      </c>
      <c r="AW92">
        <f ca="1">IFERROR(IF(0=LEN(ReferenceData!$AW$92),"",ReferenceData!$AW$92),"")</f>
        <v>17.29</v>
      </c>
      <c r="AX92">
        <f ca="1">IFERROR(IF(0=LEN(ReferenceData!$AX$92),"",ReferenceData!$AX$92),"")</f>
        <v>21.134</v>
      </c>
      <c r="AY92">
        <f ca="1">IFERROR(IF(0=LEN(ReferenceData!$AY$92),"",ReferenceData!$AY$92),"")</f>
        <v>18.670000000000002</v>
      </c>
      <c r="AZ92">
        <f ca="1">IFERROR(IF(0=LEN(ReferenceData!$AZ$92),"",ReferenceData!$AZ$92),"")</f>
        <v>15.252000000000001</v>
      </c>
      <c r="BA92">
        <f ca="1">IFERROR(IF(0=LEN(ReferenceData!$BA$92),"",ReferenceData!$BA$92),"")</f>
        <v>14.977</v>
      </c>
      <c r="BB92">
        <f ca="1">IFERROR(IF(0=LEN(ReferenceData!$BB$92),"",ReferenceData!$BB$92),"")</f>
        <v>17.798999999999999</v>
      </c>
      <c r="BC92">
        <f ca="1">IFERROR(IF(0=LEN(ReferenceData!$BC$92),"",ReferenceData!$BC$92),"")</f>
        <v>19.872</v>
      </c>
      <c r="BD92">
        <f ca="1">IFERROR(IF(0=LEN(ReferenceData!$BD$92),"",ReferenceData!$BD$92),"")</f>
        <v>13.263999999999999</v>
      </c>
      <c r="BE92">
        <f ca="1">IFERROR(IF(0=LEN(ReferenceData!$BE$92),"",ReferenceData!$BE$92),"")</f>
        <v>16.097999999999999</v>
      </c>
      <c r="BF92">
        <f ca="1">IFERROR(IF(0=LEN(ReferenceData!$BF$92),"",ReferenceData!$BF$92),"")</f>
        <v>34.658999999999999</v>
      </c>
      <c r="BG92">
        <f ca="1">IFERROR(IF(0=LEN(ReferenceData!$BG$92),"",ReferenceData!$BG$92),"")</f>
        <v>18.124001</v>
      </c>
      <c r="BH92">
        <f ca="1">IFERROR(IF(0=LEN(ReferenceData!$BH$92),"",ReferenceData!$BH$92),"")</f>
        <v>17.135000000000002</v>
      </c>
      <c r="BI92">
        <f ca="1">IFERROR(IF(0=LEN(ReferenceData!$BI$92),"",ReferenceData!$BI$92),"")</f>
        <v>17.274999999999999</v>
      </c>
      <c r="BJ92">
        <f ca="1">IFERROR(IF(0=LEN(ReferenceData!$BJ$92),"",ReferenceData!$BJ$92),"")</f>
        <v>17.490998999999999</v>
      </c>
      <c r="BK92">
        <f ca="1">IFERROR(IF(0=LEN(ReferenceData!$BK$92),"",ReferenceData!$BK$92),"")</f>
        <v>17.118999479999999</v>
      </c>
      <c r="BL92">
        <f ca="1">IFERROR(IF(0=LEN(ReferenceData!$BL$92),"",ReferenceData!$BL$92),"")</f>
        <v>8.6549999999999994</v>
      </c>
      <c r="BM92">
        <f ca="1">IFERROR(IF(0=LEN(ReferenceData!$BM$92),"",ReferenceData!$BM$92),"")</f>
        <v>15.069000000000001</v>
      </c>
    </row>
    <row r="93" spans="1:65">
      <c r="A93" t="str">
        <f>IFERROR(IF(0=LEN(ReferenceData!$A$93),"",ReferenceData!$A$93),"")</f>
        <v xml:space="preserve">    UDR Inc</v>
      </c>
      <c r="B93" t="str">
        <f>IFERROR(IF(0=LEN(ReferenceData!$B$93),"",ReferenceData!$B$93),"")</f>
        <v>UDR US Equity</v>
      </c>
      <c r="C93" t="str">
        <f>IFERROR(IF(0=LEN(ReferenceData!$C$93),"",ReferenceData!$C$93),"")</f>
        <v>F0578</v>
      </c>
      <c r="D93" t="str">
        <f>IFERROR(IF(0=LEN(ReferenceData!$D$93),"",ReferenceData!$D$93),"")</f>
        <v>FUNDS_AVAILABLE_FOR_DISTRIBUTION</v>
      </c>
      <c r="E93" t="str">
        <f>IFERROR(IF(0=LEN(ReferenceData!$E$93),"",ReferenceData!$E$93),"")</f>
        <v>动态</v>
      </c>
      <c r="F93" t="str">
        <f ca="1">IFERROR(IF(0=LEN(ReferenceData!$F$93),"",ReferenceData!$F$93),"")</f>
        <v/>
      </c>
      <c r="G93">
        <f ca="1">IFERROR(IF(0=LEN(ReferenceData!$G$93),"",ReferenceData!$G$93),"")</f>
        <v>125.798</v>
      </c>
      <c r="H93">
        <f ca="1">IFERROR(IF(0=LEN(ReferenceData!$H$93),"",ReferenceData!$H$93),"")</f>
        <v>126.955</v>
      </c>
      <c r="I93">
        <f ca="1">IFERROR(IF(0=LEN(ReferenceData!$I$93),"",ReferenceData!$I$93),"")</f>
        <v>128.83600000000001</v>
      </c>
      <c r="J93">
        <f ca="1">IFERROR(IF(0=LEN(ReferenceData!$J$93),"",ReferenceData!$J$93),"")</f>
        <v>127.251</v>
      </c>
      <c r="K93">
        <f ca="1">IFERROR(IF(0=LEN(ReferenceData!$K$93),"",ReferenceData!$K$93),"")</f>
        <v>120.021</v>
      </c>
      <c r="L93">
        <f ca="1">IFERROR(IF(0=LEN(ReferenceData!$L$93),"",ReferenceData!$L$93),"")</f>
        <v>120.84099999999999</v>
      </c>
      <c r="M93">
        <f ca="1">IFERROR(IF(0=LEN(ReferenceData!$M$93),"",ReferenceData!$M$93),"")</f>
        <v>121.09</v>
      </c>
      <c r="N93">
        <f ca="1">IFERROR(IF(0=LEN(ReferenceData!$N$93),"",ReferenceData!$N$93),"")</f>
        <v>118.711</v>
      </c>
      <c r="O93">
        <f ca="1">IFERROR(IF(0=LEN(ReferenceData!$O$93),"",ReferenceData!$O$93),"")</f>
        <v>108.858</v>
      </c>
      <c r="P93">
        <f ca="1">IFERROR(IF(0=LEN(ReferenceData!$P$93),"",ReferenceData!$P$93),"")</f>
        <v>101.96299999999999</v>
      </c>
      <c r="Q93">
        <f ca="1">IFERROR(IF(0=LEN(ReferenceData!$Q$93),"",ReferenceData!$Q$93),"")</f>
        <v>104.48699999999999</v>
      </c>
      <c r="R93">
        <f ca="1">IFERROR(IF(0=LEN(ReferenceData!$R$93),"",ReferenceData!$R$93),"")</f>
        <v>101.14400000000001</v>
      </c>
      <c r="S93">
        <f ca="1">IFERROR(IF(0=LEN(ReferenceData!$S$93),"",ReferenceData!$S$93),"")</f>
        <v>90.688999999999993</v>
      </c>
      <c r="T93" t="str">
        <f ca="1">IFERROR(IF(0=LEN(ReferenceData!$T$93),"",ReferenceData!$T$93),"")</f>
        <v/>
      </c>
      <c r="U93" t="str">
        <f ca="1">IFERROR(IF(0=LEN(ReferenceData!$U$93),"",ReferenceData!$U$93),"")</f>
        <v/>
      </c>
      <c r="V93">
        <f ca="1">IFERROR(IF(0=LEN(ReferenceData!$V$93),"",ReferenceData!$V$93),"")</f>
        <v>87.918999999999997</v>
      </c>
      <c r="W93">
        <f ca="1">IFERROR(IF(0=LEN(ReferenceData!$W$93),"",ReferenceData!$W$93),"")</f>
        <v>79.537999999999997</v>
      </c>
      <c r="X93">
        <f ca="1">IFERROR(IF(0=LEN(ReferenceData!$X$93),"",ReferenceData!$X$93),"")</f>
        <v>81.930999999999997</v>
      </c>
      <c r="Y93">
        <f ca="1">IFERROR(IF(0=LEN(ReferenceData!$Y$93),"",ReferenceData!$Y$93),"")</f>
        <v>81.391999999999996</v>
      </c>
      <c r="Z93">
        <f ca="1">IFERROR(IF(0=LEN(ReferenceData!$Z$93),"",ReferenceData!$Z$93),"")</f>
        <v>82.542000000000002</v>
      </c>
      <c r="AA93">
        <f ca="1">IFERROR(IF(0=LEN(ReferenceData!$AA$93),"",ReferenceData!$AA$93),"")</f>
        <v>83.840999999999994</v>
      </c>
      <c r="AB93">
        <f ca="1">IFERROR(IF(0=LEN(ReferenceData!$AB$93),"",ReferenceData!$AB$93),"")</f>
        <v>75.135000000000005</v>
      </c>
      <c r="AC93">
        <f ca="1">IFERROR(IF(0=LEN(ReferenceData!$AC$93),"",ReferenceData!$AC$93),"")</f>
        <v>68.557000000000002</v>
      </c>
      <c r="AD93">
        <f ca="1">IFERROR(IF(0=LEN(ReferenceData!$AD$93),"",ReferenceData!$AD$93),"")</f>
        <v>71.963999999999999</v>
      </c>
      <c r="AE93">
        <f ca="1">IFERROR(IF(0=LEN(ReferenceData!$AE$93),"",ReferenceData!$AE$93),"")</f>
        <v>64.492999999999995</v>
      </c>
      <c r="AF93">
        <f ca="1">IFERROR(IF(0=LEN(ReferenceData!$AF$93),"",ReferenceData!$AF$93),"")</f>
        <v>72.983000000000004</v>
      </c>
      <c r="AG93">
        <f ca="1">IFERROR(IF(0=LEN(ReferenceData!$AG$93),"",ReferenceData!$AG$93),"")</f>
        <v>63.576000000000001</v>
      </c>
      <c r="AH93">
        <f ca="1">IFERROR(IF(0=LEN(ReferenceData!$AH$93),"",ReferenceData!$AH$93),"")</f>
        <v>56.829000000000001</v>
      </c>
      <c r="AI93">
        <f ca="1">IFERROR(IF(0=LEN(ReferenceData!$AI$93),"",ReferenceData!$AI$93),"")</f>
        <v>53.442</v>
      </c>
      <c r="AJ93">
        <f ca="1">IFERROR(IF(0=LEN(ReferenceData!$AJ$93),"",ReferenceData!$AJ$93),"")</f>
        <v>46.887</v>
      </c>
      <c r="AK93">
        <f ca="1">IFERROR(IF(0=LEN(ReferenceData!$AK$93),"",ReferenceData!$AK$93),"")</f>
        <v>45.658999999999999</v>
      </c>
      <c r="AL93">
        <f ca="1">IFERROR(IF(0=LEN(ReferenceData!$AL$93),"",ReferenceData!$AL$93),"")</f>
        <v>46.783000000000001</v>
      </c>
      <c r="AM93">
        <f ca="1">IFERROR(IF(0=LEN(ReferenceData!$AM$93),"",ReferenceData!$AM$93),"")</f>
        <v>37.427</v>
      </c>
      <c r="AN93">
        <f ca="1">IFERROR(IF(0=LEN(ReferenceData!$AN$93),"",ReferenceData!$AN$93),"")</f>
        <v>21.036000000000001</v>
      </c>
      <c r="AO93">
        <f ca="1">IFERROR(IF(0=LEN(ReferenceData!$AO$93),"",ReferenceData!$AO$93),"")</f>
        <v>44.896999999999998</v>
      </c>
      <c r="AP93">
        <f ca="1">IFERROR(IF(0=LEN(ReferenceData!$AP$93),"",ReferenceData!$AP$93),"")</f>
        <v>55.003999999999998</v>
      </c>
      <c r="AQ93">
        <f ca="1">IFERROR(IF(0=LEN(ReferenceData!$AQ$93),"",ReferenceData!$AQ$93),"")</f>
        <v>38.869</v>
      </c>
      <c r="AR93">
        <f ca="1">IFERROR(IF(0=LEN(ReferenceData!$AR$93),"",ReferenceData!$AR$93),"")</f>
        <v>28.753</v>
      </c>
      <c r="AS93">
        <f ca="1">IFERROR(IF(0=LEN(ReferenceData!$AS$93),"",ReferenceData!$AS$93),"")</f>
        <v>96.869</v>
      </c>
      <c r="AT93">
        <f ca="1">IFERROR(IF(0=LEN(ReferenceData!$AT$93),"",ReferenceData!$AT$93),"")</f>
        <v>51.17</v>
      </c>
      <c r="AU93">
        <f ca="1">IFERROR(IF(0=LEN(ReferenceData!$AU$93),"",ReferenceData!$AU$93),"")</f>
        <v>36.914000000000001</v>
      </c>
      <c r="AV93">
        <f ca="1">IFERROR(IF(0=LEN(ReferenceData!$AV$93),"",ReferenceData!$AV$93),"")</f>
        <v>54.84</v>
      </c>
      <c r="AW93">
        <f ca="1">IFERROR(IF(0=LEN(ReferenceData!$AW$93),"",ReferenceData!$AW$93),"")</f>
        <v>55.271000000000001</v>
      </c>
      <c r="AX93">
        <f ca="1">IFERROR(IF(0=LEN(ReferenceData!$AX$93),"",ReferenceData!$AX$93),"")</f>
        <v>50.232999999999997</v>
      </c>
      <c r="AY93">
        <f ca="1">IFERROR(IF(0=LEN(ReferenceData!$AY$93),"",ReferenceData!$AY$93),"")</f>
        <v>60.432000000000002</v>
      </c>
      <c r="AZ93">
        <f ca="1">IFERROR(IF(0=LEN(ReferenceData!$AZ$93),"",ReferenceData!$AZ$93),"")</f>
        <v>50.18</v>
      </c>
      <c r="BA93">
        <f ca="1">IFERROR(IF(0=LEN(ReferenceData!$BA$93),"",ReferenceData!$BA$93),"")</f>
        <v>54.920999999999999</v>
      </c>
      <c r="BB93">
        <f ca="1">IFERROR(IF(0=LEN(ReferenceData!$BB$93),"",ReferenceData!$BB$93),"")</f>
        <v>57.46</v>
      </c>
      <c r="BC93">
        <f ca="1">IFERROR(IF(0=LEN(ReferenceData!$BC$93),"",ReferenceData!$BC$93),"")</f>
        <v>68.453999999999994</v>
      </c>
      <c r="BD93">
        <f ca="1">IFERROR(IF(0=LEN(ReferenceData!$BD$93),"",ReferenceData!$BD$93),"")</f>
        <v>59.170999999999999</v>
      </c>
      <c r="BE93">
        <f ca="1">IFERROR(IF(0=LEN(ReferenceData!$BE$93),"",ReferenceData!$BE$93),"")</f>
        <v>58.216000000000001</v>
      </c>
      <c r="BF93">
        <f ca="1">IFERROR(IF(0=LEN(ReferenceData!$BF$93),"",ReferenceData!$BF$93),"")</f>
        <v>58.131</v>
      </c>
      <c r="BG93">
        <f ca="1">IFERROR(IF(0=LEN(ReferenceData!$BG$93),"",ReferenceData!$BG$93),"")</f>
        <v>56.335999999999999</v>
      </c>
      <c r="BH93">
        <f ca="1">IFERROR(IF(0=LEN(ReferenceData!$BH$93),"",ReferenceData!$BH$93),"")</f>
        <v>50.67</v>
      </c>
      <c r="BI93">
        <f ca="1">IFERROR(IF(0=LEN(ReferenceData!$BI$93),"",ReferenceData!$BI$93),"")</f>
        <v>56.576999999999998</v>
      </c>
      <c r="BJ93">
        <f ca="1">IFERROR(IF(0=LEN(ReferenceData!$BJ$93),"",ReferenceData!$BJ$93),"")</f>
        <v>54.77</v>
      </c>
      <c r="BK93">
        <f ca="1">IFERROR(IF(0=LEN(ReferenceData!$BK$93),"",ReferenceData!$BK$93),"")</f>
        <v>53.816000000000003</v>
      </c>
      <c r="BL93">
        <f ca="1">IFERROR(IF(0=LEN(ReferenceData!$BL$93),"",ReferenceData!$BL$93),"")</f>
        <v>52.292999999999999</v>
      </c>
      <c r="BM93">
        <f ca="1">IFERROR(IF(0=LEN(ReferenceData!$BM$93),"",ReferenceData!$BM$93),"")</f>
        <v>52.421999999999997</v>
      </c>
    </row>
    <row r="94" spans="1:65">
      <c r="A94" t="str">
        <f>IFERROR(IF(0=LEN(ReferenceData!$A$94),"",ReferenceData!$A$94),"")</f>
        <v>收入增长同比(%)</v>
      </c>
      <c r="B94" t="str">
        <f>IFERROR(IF(0=LEN(ReferenceData!$B$94),"",ReferenceData!$B$94),"")</f>
        <v/>
      </c>
      <c r="C94" t="str">
        <f>IFERROR(IF(0=LEN(ReferenceData!$C$94),"",ReferenceData!$C$94),"")</f>
        <v/>
      </c>
      <c r="D94" t="str">
        <f>IFERROR(IF(0=LEN(ReferenceData!$D$94),"",ReferenceData!$D$94),"")</f>
        <v/>
      </c>
      <c r="E94" t="str">
        <f>IFERROR(IF(0=LEN(ReferenceData!$E$94),"",ReferenceData!$E$94),"")</f>
        <v>Median</v>
      </c>
      <c r="F94" t="str">
        <f ca="1">IFERROR(IF(0=LEN(ReferenceData!$F$94),"",ReferenceData!$F$94),"")</f>
        <v/>
      </c>
      <c r="G94">
        <f ca="1">IFERROR(IF(0=LEN(ReferenceData!$G$94),"",ReferenceData!$G$94),"")</f>
        <v>6.6411139355</v>
      </c>
      <c r="H94">
        <f ca="1">IFERROR(IF(0=LEN(ReferenceData!$H$94),"",ReferenceData!$H$94),"")</f>
        <v>4.1994513939999996</v>
      </c>
      <c r="I94">
        <f ca="1">IFERROR(IF(0=LEN(ReferenceData!$I$94),"",ReferenceData!$I$94),"")</f>
        <v>4.6414477275000001</v>
      </c>
      <c r="J94">
        <f ca="1">IFERROR(IF(0=LEN(ReferenceData!$J$94),"",ReferenceData!$J$94),"")</f>
        <v>3.2816292444999999</v>
      </c>
      <c r="K94">
        <f ca="1">IFERROR(IF(0=LEN(ReferenceData!$K$94),"",ReferenceData!$K$94),"")</f>
        <v>4.0802108400000003</v>
      </c>
      <c r="L94">
        <f ca="1">IFERROR(IF(0=LEN(ReferenceData!$L$94),"",ReferenceData!$L$94),"")</f>
        <v>8.3255593194999999</v>
      </c>
      <c r="M94">
        <f ca="1">IFERROR(IF(0=LEN(ReferenceData!$M$94),"",ReferenceData!$M$94),"")</f>
        <v>7.950455013</v>
      </c>
      <c r="N94">
        <f ca="1">IFERROR(IF(0=LEN(ReferenceData!$N$94),"",ReferenceData!$N$94),"")</f>
        <v>5.4506068995000003</v>
      </c>
      <c r="O94">
        <f ca="1">IFERROR(IF(0=LEN(ReferenceData!$O$94),"",ReferenceData!$O$94),"")</f>
        <v>7.4582658259999999</v>
      </c>
      <c r="P94">
        <f ca="1">IFERROR(IF(0=LEN(ReferenceData!$P$94),"",ReferenceData!$P$94),"")</f>
        <v>5.6743659830000004</v>
      </c>
      <c r="Q94">
        <f ca="1">IFERROR(IF(0=LEN(ReferenceData!$Q$94),"",ReferenceData!$Q$94),"")</f>
        <v>5.7529175024999999</v>
      </c>
      <c r="R94">
        <f ca="1">IFERROR(IF(0=LEN(ReferenceData!$R$94),"",ReferenceData!$R$94),"")</f>
        <v>8.3791032839999993</v>
      </c>
      <c r="S94">
        <f ca="1">IFERROR(IF(0=LEN(ReferenceData!$S$94),"",ReferenceData!$S$94),"")</f>
        <v>8.0362979835000008</v>
      </c>
      <c r="T94">
        <f ca="1">IFERROR(IF(0=LEN(ReferenceData!$T$94),"",ReferenceData!$T$94),"")</f>
        <v>12.511956495</v>
      </c>
      <c r="U94">
        <f ca="1">IFERROR(IF(0=LEN(ReferenceData!$U$94),"",ReferenceData!$U$94),"")</f>
        <v>10.830152762499999</v>
      </c>
      <c r="V94">
        <f ca="1">IFERROR(IF(0=LEN(ReferenceData!$V$94),"",ReferenceData!$V$94),"")</f>
        <v>17.187226244999998</v>
      </c>
      <c r="W94">
        <f ca="1">IFERROR(IF(0=LEN(ReferenceData!$W$94),"",ReferenceData!$W$94),"")</f>
        <v>28.179980579999999</v>
      </c>
      <c r="X94">
        <f ca="1">IFERROR(IF(0=LEN(ReferenceData!$X$94),"",ReferenceData!$X$94),"")</f>
        <v>21.847552569999998</v>
      </c>
      <c r="Y94">
        <f ca="1">IFERROR(IF(0=LEN(ReferenceData!$Y$94),"",ReferenceData!$Y$94),"")</f>
        <v>20.387855575</v>
      </c>
      <c r="Z94">
        <f ca="1">IFERROR(IF(0=LEN(ReferenceData!$Z$94),"",ReferenceData!$Z$94),"")</f>
        <v>14.37791822</v>
      </c>
      <c r="AA94">
        <f ca="1">IFERROR(IF(0=LEN(ReferenceData!$AA$94),"",ReferenceData!$AA$94),"")</f>
        <v>13.328290339999999</v>
      </c>
      <c r="AB94">
        <f ca="1">IFERROR(IF(0=LEN(ReferenceData!$AB$94),"",ReferenceData!$AB$94),"")</f>
        <v>11.206169240000001</v>
      </c>
      <c r="AC94">
        <f ca="1">IFERROR(IF(0=LEN(ReferenceData!$AC$94),"",ReferenceData!$AC$94),"")</f>
        <v>10.588013775</v>
      </c>
      <c r="AD94">
        <f ca="1">IFERROR(IF(0=LEN(ReferenceData!$AD$94),"",ReferenceData!$AD$94),"")</f>
        <v>9.5371499469999996</v>
      </c>
      <c r="AE94">
        <f ca="1">IFERROR(IF(0=LEN(ReferenceData!$AE$94),"",ReferenceData!$AE$94),"")</f>
        <v>7.7461917680000001</v>
      </c>
      <c r="AF94">
        <f ca="1">IFERROR(IF(0=LEN(ReferenceData!$AF$94),"",ReferenceData!$AF$94),"")</f>
        <v>9.0747619734999994</v>
      </c>
      <c r="AG94">
        <f ca="1">IFERROR(IF(0=LEN(ReferenceData!$AG$94),"",ReferenceData!$AG$94),"")</f>
        <v>8.1616278105000006</v>
      </c>
      <c r="AH94">
        <f ca="1">IFERROR(IF(0=LEN(ReferenceData!$AH$94),"",ReferenceData!$AH$94),"")</f>
        <v>6.3142993525</v>
      </c>
      <c r="AI94">
        <f ca="1">IFERROR(IF(0=LEN(ReferenceData!$AI$94),"",ReferenceData!$AI$94),"")</f>
        <v>3.9172912439999998</v>
      </c>
      <c r="AJ94">
        <f ca="1">IFERROR(IF(0=LEN(ReferenceData!$AJ$94),"",ReferenceData!$AJ$94),"")</f>
        <v>1.6076830819999999</v>
      </c>
      <c r="AK94">
        <f ca="1">IFERROR(IF(0=LEN(ReferenceData!$AK$94),"",ReferenceData!$AK$94),"")</f>
        <v>-3.3079825615000003</v>
      </c>
      <c r="AL94">
        <f ca="1">IFERROR(IF(0=LEN(ReferenceData!$AL$94),"",ReferenceData!$AL$94),"")</f>
        <v>-3.7392551355000001</v>
      </c>
      <c r="AM94">
        <f ca="1">IFERROR(IF(0=LEN(ReferenceData!$AM$94),"",ReferenceData!$AM$94),"")</f>
        <v>-3.7401253094999998</v>
      </c>
      <c r="AN94">
        <f ca="1">IFERROR(IF(0=LEN(ReferenceData!$AN$94),"",ReferenceData!$AN$94),"")</f>
        <v>-0.83549330249999998</v>
      </c>
      <c r="AO94">
        <f ca="1">IFERROR(IF(0=LEN(ReferenceData!$AO$94),"",ReferenceData!$AO$94),"")</f>
        <v>1.3101433144999999</v>
      </c>
      <c r="AP94">
        <f ca="1">IFERROR(IF(0=LEN(ReferenceData!$AP$94),"",ReferenceData!$AP$94),"")</f>
        <v>2.9676687199999998</v>
      </c>
      <c r="AQ94">
        <f ca="1">IFERROR(IF(0=LEN(ReferenceData!$AQ$94),"",ReferenceData!$AQ$94),"")</f>
        <v>12.886131065000001</v>
      </c>
      <c r="AR94">
        <f ca="1">IFERROR(IF(0=LEN(ReferenceData!$AR$94),"",ReferenceData!$AR$94),"")</f>
        <v>8.4189009529999996</v>
      </c>
      <c r="AS94">
        <f ca="1">IFERROR(IF(0=LEN(ReferenceData!$AS$94),"",ReferenceData!$AS$94),"")</f>
        <v>7.9908621704999998</v>
      </c>
      <c r="AT94">
        <f ca="1">IFERROR(IF(0=LEN(ReferenceData!$AT$94),"",ReferenceData!$AT$94),"")</f>
        <v>7.5116918070000001</v>
      </c>
      <c r="AU94">
        <f ca="1">IFERROR(IF(0=LEN(ReferenceData!$AU$94),"",ReferenceData!$AU$94),"")</f>
        <v>6.4946681960000001</v>
      </c>
      <c r="AV94">
        <f ca="1">IFERROR(IF(0=LEN(ReferenceData!$AV$94),"",ReferenceData!$AV$94),"")</f>
        <v>6.7558804744999996</v>
      </c>
      <c r="AW94">
        <f ca="1">IFERROR(IF(0=LEN(ReferenceData!$AW$94),"",ReferenceData!$AW$94),"")</f>
        <v>6.0838873929999995</v>
      </c>
      <c r="AX94">
        <f ca="1">IFERROR(IF(0=LEN(ReferenceData!$AX$94),"",ReferenceData!$AX$94),"")</f>
        <v>5.2888886834999997</v>
      </c>
      <c r="AY94">
        <f ca="1">IFERROR(IF(0=LEN(ReferenceData!$AY$94),"",ReferenceData!$AY$94),"")</f>
        <v>9.5726569350000013</v>
      </c>
      <c r="AZ94">
        <f ca="1">IFERROR(IF(0=LEN(ReferenceData!$AZ$94),"",ReferenceData!$AZ$94),"")</f>
        <v>8.9197467324999984</v>
      </c>
      <c r="BA94">
        <f ca="1">IFERROR(IF(0=LEN(ReferenceData!$BA$94),"",ReferenceData!$BA$94),"")</f>
        <v>10.025146915000001</v>
      </c>
      <c r="BB94">
        <f ca="1">IFERROR(IF(0=LEN(ReferenceData!$BB$94),"",ReferenceData!$BB$94),"")</f>
        <v>8.7182613629999999</v>
      </c>
      <c r="BC94">
        <f ca="1">IFERROR(IF(0=LEN(ReferenceData!$BC$94),"",ReferenceData!$BC$94),"")</f>
        <v>24.766105899999999</v>
      </c>
      <c r="BD94">
        <f ca="1">IFERROR(IF(0=LEN(ReferenceData!$BD$94),"",ReferenceData!$BD$94),"")</f>
        <v>10.697085059999999</v>
      </c>
      <c r="BE94">
        <f ca="1">IFERROR(IF(0=LEN(ReferenceData!$BE$94),"",ReferenceData!$BE$94),"")</f>
        <v>9.5389817739999998</v>
      </c>
      <c r="BF94">
        <f ca="1">IFERROR(IF(0=LEN(ReferenceData!$BF$94),"",ReferenceData!$BF$94),"")</f>
        <v>8.2224520240000007</v>
      </c>
      <c r="BG94">
        <f ca="1">IFERROR(IF(0=LEN(ReferenceData!$BG$94),"",ReferenceData!$BG$94),"")</f>
        <v>-2.5473023600000002</v>
      </c>
      <c r="BH94">
        <f ca="1">IFERROR(IF(0=LEN(ReferenceData!$BH$94),"",ReferenceData!$BH$94),"")</f>
        <v>2.531257965</v>
      </c>
      <c r="BI94">
        <f ca="1">IFERROR(IF(0=LEN(ReferenceData!$BI$94),"",ReferenceData!$BI$94),"")</f>
        <v>10.1071963395</v>
      </c>
      <c r="BJ94">
        <f ca="1">IFERROR(IF(0=LEN(ReferenceData!$BJ$94),"",ReferenceData!$BJ$94),"")</f>
        <v>8.5653297859999995</v>
      </c>
      <c r="BK94">
        <f ca="1">IFERROR(IF(0=LEN(ReferenceData!$BK$94),"",ReferenceData!$BK$94),"")</f>
        <v>3.1222805319999996</v>
      </c>
      <c r="BL94">
        <f ca="1">IFERROR(IF(0=LEN(ReferenceData!$BL$94),"",ReferenceData!$BL$94),"")</f>
        <v>0.37816586750000003</v>
      </c>
      <c r="BM94">
        <f ca="1">IFERROR(IF(0=LEN(ReferenceData!$BM$94),"",ReferenceData!$BM$94),"")</f>
        <v>-0.22666993099999999</v>
      </c>
    </row>
    <row r="95" spans="1:65">
      <c r="A95" t="str">
        <f>IFERROR(IF(0=LEN(ReferenceData!$A$95),"",ReferenceData!$A$95),"")</f>
        <v xml:space="preserve">    American Campus Communities In</v>
      </c>
      <c r="B95" t="str">
        <f>IFERROR(IF(0=LEN(ReferenceData!$B$95),"",ReferenceData!$B$95),"")</f>
        <v>ACC US Equity</v>
      </c>
      <c r="C95" t="str">
        <f>IFERROR(IF(0=LEN(ReferenceData!$C$95),"",ReferenceData!$C$95),"")</f>
        <v>RR033</v>
      </c>
      <c r="D95" t="str">
        <f>IFERROR(IF(0=LEN(ReferenceData!$D$95),"",ReferenceData!$D$95),"")</f>
        <v>SALES_GROWTH</v>
      </c>
      <c r="E95" t="str">
        <f>IFERROR(IF(0=LEN(ReferenceData!$E$95),"",ReferenceData!$E$95),"")</f>
        <v>动态</v>
      </c>
      <c r="F95" t="str">
        <f ca="1">IFERROR(IF(0=LEN(ReferenceData!$F$95),"",ReferenceData!$F$95),"")</f>
        <v/>
      </c>
      <c r="G95">
        <f ca="1">IFERROR(IF(0=LEN(ReferenceData!$G$95),"",ReferenceData!$G$95),"")</f>
        <v>11.565803150000001</v>
      </c>
      <c r="H95">
        <f ca="1">IFERROR(IF(0=LEN(ReferenceData!$H$95),"",ReferenceData!$H$95),"")</f>
        <v>0.26831491099999999</v>
      </c>
      <c r="I95">
        <f ca="1">IFERROR(IF(0=LEN(ReferenceData!$I$95),"",ReferenceData!$I$95),"")</f>
        <v>-3.7503427729999999</v>
      </c>
      <c r="J95">
        <f ca="1">IFERROR(IF(0=LEN(ReferenceData!$J$95),"",ReferenceData!$J$95),"")</f>
        <v>-3.5285882150000001</v>
      </c>
      <c r="K95">
        <f ca="1">IFERROR(IF(0=LEN(ReferenceData!$K$95),"",ReferenceData!$K$95),"")</f>
        <v>0.87735783700000003</v>
      </c>
      <c r="L95">
        <f ca="1">IFERROR(IF(0=LEN(ReferenceData!$L$95),"",ReferenceData!$L$95),"")</f>
        <v>8.6247898420000002</v>
      </c>
      <c r="M95">
        <f ca="1">IFERROR(IF(0=LEN(ReferenceData!$M$95),"",ReferenceData!$M$95),"")</f>
        <v>4.5588450250000001</v>
      </c>
      <c r="N95">
        <f ca="1">IFERROR(IF(0=LEN(ReferenceData!$N$95),"",ReferenceData!$N$95),"")</f>
        <v>3.8972845770000002</v>
      </c>
      <c r="O95">
        <f ca="1">IFERROR(IF(0=LEN(ReferenceData!$O$95),"",ReferenceData!$O$95),"")</f>
        <v>2.732967854</v>
      </c>
      <c r="P95">
        <f ca="1">IFERROR(IF(0=LEN(ReferenceData!$P$95),"",ReferenceData!$P$95),"")</f>
        <v>-0.61560109100000004</v>
      </c>
      <c r="Q95">
        <f ca="1">IFERROR(IF(0=LEN(ReferenceData!$Q$95),"",ReferenceData!$Q$95),"")</f>
        <v>3.4289468940000001</v>
      </c>
      <c r="R95">
        <f ca="1">IFERROR(IF(0=LEN(ReferenceData!$R$95),"",ReferenceData!$R$95),"")</f>
        <v>5.0823493449999999</v>
      </c>
      <c r="S95">
        <f ca="1">IFERROR(IF(0=LEN(ReferenceData!$S$95),"",ReferenceData!$S$95),"")</f>
        <v>7.7315073290000003</v>
      </c>
      <c r="T95">
        <f ca="1">IFERROR(IF(0=LEN(ReferenceData!$T$95),"",ReferenceData!$T$95),"")</f>
        <v>14.40285227</v>
      </c>
      <c r="U95">
        <f ca="1">IFERROR(IF(0=LEN(ReferenceData!$U$95),"",ReferenceData!$U$95),"")</f>
        <v>12.24773516</v>
      </c>
      <c r="V95">
        <f ca="1">IFERROR(IF(0=LEN(ReferenceData!$V$95),"",ReferenceData!$V$95),"")</f>
        <v>12.270626740000001</v>
      </c>
      <c r="W95">
        <f ca="1">IFERROR(IF(0=LEN(ReferenceData!$W$95),"",ReferenceData!$W$95),"")</f>
        <v>22.380981089999999</v>
      </c>
      <c r="X95">
        <f ca="1">IFERROR(IF(0=LEN(ReferenceData!$X$95),"",ReferenceData!$X$95),"")</f>
        <v>41.03869383</v>
      </c>
      <c r="Y95">
        <f ca="1">IFERROR(IF(0=LEN(ReferenceData!$Y$95),"",ReferenceData!$Y$95),"")</f>
        <v>51.828839270000003</v>
      </c>
      <c r="Z95">
        <f ca="1">IFERROR(IF(0=LEN(ReferenceData!$Z$95),"",ReferenceData!$Z$95),"")</f>
        <v>52.514932559999998</v>
      </c>
      <c r="AA95">
        <f ca="1">IFERROR(IF(0=LEN(ReferenceData!$AA$95),"",ReferenceData!$AA$95),"")</f>
        <v>42.263708620000003</v>
      </c>
      <c r="AB95">
        <f ca="1">IFERROR(IF(0=LEN(ReferenceData!$AB$95),"",ReferenceData!$AB$95),"")</f>
        <v>18.442226890000001</v>
      </c>
      <c r="AC95">
        <f ca="1">IFERROR(IF(0=LEN(ReferenceData!$AC$95),"",ReferenceData!$AC$95),"")</f>
        <v>13.264790720000001</v>
      </c>
      <c r="AD95">
        <f ca="1">IFERROR(IF(0=LEN(ReferenceData!$AD$95),"",ReferenceData!$AD$95),"")</f>
        <v>7.7709611450000002</v>
      </c>
      <c r="AE95">
        <f ca="1">IFERROR(IF(0=LEN(ReferenceData!$AE$95),"",ReferenceData!$AE$95),"")</f>
        <v>11.48484977</v>
      </c>
      <c r="AF95">
        <f ca="1">IFERROR(IF(0=LEN(ReferenceData!$AF$95),"",ReferenceData!$AF$95),"")</f>
        <v>11.03983204</v>
      </c>
      <c r="AG95">
        <f ca="1">IFERROR(IF(0=LEN(ReferenceData!$AG$95),"",ReferenceData!$AG$95),"")</f>
        <v>20.545813710000001</v>
      </c>
      <c r="AH95">
        <f ca="1">IFERROR(IF(0=LEN(ReferenceData!$AH$95),"",ReferenceData!$AH$95),"")</f>
        <v>24.13029886</v>
      </c>
      <c r="AI95">
        <f ca="1">IFERROR(IF(0=LEN(ReferenceData!$AI$95),"",ReferenceData!$AI$95),"")</f>
        <v>15.476818509999999</v>
      </c>
      <c r="AJ95">
        <f ca="1">IFERROR(IF(0=LEN(ReferenceData!$AJ$95),"",ReferenceData!$AJ$95),"")</f>
        <v>12.18481347</v>
      </c>
      <c r="AK95">
        <f ca="1">IFERROR(IF(0=LEN(ReferenceData!$AK$95),"",ReferenceData!$AK$95),"")</f>
        <v>3.699962116</v>
      </c>
      <c r="AL95">
        <f ca="1">IFERROR(IF(0=LEN(ReferenceData!$AL$95),"",ReferenceData!$AL$95),"")</f>
        <v>5.5807137290000002</v>
      </c>
      <c r="AM95">
        <f ca="1">IFERROR(IF(0=LEN(ReferenceData!$AM$95),"",ReferenceData!$AM$95),"")</f>
        <v>4.1116362239999997</v>
      </c>
      <c r="AN95">
        <f ca="1">IFERROR(IF(0=LEN(ReferenceData!$AN$95),"",ReferenceData!$AN$95),"")</f>
        <v>5.9458785040000004</v>
      </c>
      <c r="AO95">
        <f ca="1">IFERROR(IF(0=LEN(ReferenceData!$AO$95),"",ReferenceData!$AO$95),"")</f>
        <v>63.660788099999998</v>
      </c>
      <c r="AP95">
        <f ca="1">IFERROR(IF(0=LEN(ReferenceData!$AP$95),"",ReferenceData!$AP$95),"")</f>
        <v>82.061389800000001</v>
      </c>
      <c r="AQ95">
        <f ca="1">IFERROR(IF(0=LEN(ReferenceData!$AQ$95),"",ReferenceData!$AQ$95),"")</f>
        <v>84.055858569999998</v>
      </c>
      <c r="AR95">
        <f ca="1">IFERROR(IF(0=LEN(ReferenceData!$AR$95),"",ReferenceData!$AR$95),"")</f>
        <v>96.341762160000002</v>
      </c>
      <c r="AS95">
        <f ca="1">IFERROR(IF(0=LEN(ReferenceData!$AS$95),"",ReferenceData!$AS$95),"")</f>
        <v>29.299287410000002</v>
      </c>
      <c r="AT95">
        <f ca="1">IFERROR(IF(0=LEN(ReferenceData!$AT$95),"",ReferenceData!$AT$95),"")</f>
        <v>16.67554758</v>
      </c>
      <c r="AU95">
        <f ca="1">IFERROR(IF(0=LEN(ReferenceData!$AU$95),"",ReferenceData!$AU$95),"")</f>
        <v>24.654924829999999</v>
      </c>
      <c r="AV95">
        <f ca="1">IFERROR(IF(0=LEN(ReferenceData!$AV$95),"",ReferenceData!$AV$95),"")</f>
        <v>17.930857379999999</v>
      </c>
      <c r="AW95">
        <f ca="1">IFERROR(IF(0=LEN(ReferenceData!$AW$95),"",ReferenceData!$AW$95),"")</f>
        <v>20.311495319999999</v>
      </c>
      <c r="AX95">
        <f ca="1">IFERROR(IF(0=LEN(ReferenceData!$AX$95),"",ReferenceData!$AX$95),"")</f>
        <v>32.494797859999998</v>
      </c>
      <c r="AY95">
        <f ca="1">IFERROR(IF(0=LEN(ReferenceData!$AY$95),"",ReferenceData!$AY$95),"")</f>
        <v>38.03802589</v>
      </c>
      <c r="AZ95">
        <f ca="1">IFERROR(IF(0=LEN(ReferenceData!$AZ$95),"",ReferenceData!$AZ$95),"")</f>
        <v>46.643758239999997</v>
      </c>
      <c r="BA95">
        <f ca="1">IFERROR(IF(0=LEN(ReferenceData!$BA$95),"",ReferenceData!$BA$95),"")</f>
        <v>39.613984340000002</v>
      </c>
      <c r="BB95">
        <f ca="1">IFERROR(IF(0=LEN(ReferenceData!$BB$95),"",ReferenceData!$BB$95),"")</f>
        <v>37.313128220000003</v>
      </c>
      <c r="BC95">
        <f ca="1">IFERROR(IF(0=LEN(ReferenceData!$BC$95),"",ReferenceData!$BC$95),"")</f>
        <v>35.771955839999997</v>
      </c>
      <c r="BD95">
        <f ca="1">IFERROR(IF(0=LEN(ReferenceData!$BD$95),"",ReferenceData!$BD$95),"")</f>
        <v>154.69368180000001</v>
      </c>
      <c r="BE95">
        <f ca="1">IFERROR(IF(0=LEN(ReferenceData!$BE$95),"",ReferenceData!$BE$95),"")</f>
        <v>44.84576611</v>
      </c>
      <c r="BF95">
        <f ca="1">IFERROR(IF(0=LEN(ReferenceData!$BF$95),"",ReferenceData!$BF$95),"")</f>
        <v>21.093609189999999</v>
      </c>
      <c r="BG95">
        <f ca="1">IFERROR(IF(0=LEN(ReferenceData!$BG$95),"",ReferenceData!$BG$95),"")</f>
        <v>19.288479039999999</v>
      </c>
      <c r="BH95" t="str">
        <f ca="1">IFERROR(IF(0=LEN(ReferenceData!$BH$95),"",ReferenceData!$BH$95),"")</f>
        <v/>
      </c>
      <c r="BI95" t="str">
        <f ca="1">IFERROR(IF(0=LEN(ReferenceData!$BI$95),"",ReferenceData!$BI$95),"")</f>
        <v/>
      </c>
      <c r="BJ95" t="str">
        <f ca="1">IFERROR(IF(0=LEN(ReferenceData!$BJ$95),"",ReferenceData!$BJ$95),"")</f>
        <v/>
      </c>
      <c r="BK95" t="str">
        <f ca="1">IFERROR(IF(0=LEN(ReferenceData!$BK$95),"",ReferenceData!$BK$95),"")</f>
        <v/>
      </c>
      <c r="BL95" t="str">
        <f ca="1">IFERROR(IF(0=LEN(ReferenceData!$BL$95),"",ReferenceData!$BL$95),"")</f>
        <v/>
      </c>
      <c r="BM95" t="str">
        <f ca="1">IFERROR(IF(0=LEN(ReferenceData!$BM$95),"",ReferenceData!$BM$95),"")</f>
        <v/>
      </c>
    </row>
    <row r="96" spans="1:65">
      <c r="A96" t="str">
        <f>IFERROR(IF(0=LEN(ReferenceData!$A$96),"",ReferenceData!$A$96),"")</f>
        <v xml:space="preserve">    AvalonBay Communities Inc</v>
      </c>
      <c r="B96" t="str">
        <f>IFERROR(IF(0=LEN(ReferenceData!$B$96),"",ReferenceData!$B$96),"")</f>
        <v>AVB US Equity</v>
      </c>
      <c r="C96" t="str">
        <f>IFERROR(IF(0=LEN(ReferenceData!$C$96),"",ReferenceData!$C$96),"")</f>
        <v>RR033</v>
      </c>
      <c r="D96" t="str">
        <f>IFERROR(IF(0=LEN(ReferenceData!$D$96),"",ReferenceData!$D$96),"")</f>
        <v>SALES_GROWTH</v>
      </c>
      <c r="E96" t="str">
        <f>IFERROR(IF(0=LEN(ReferenceData!$E$96),"",ReferenceData!$E$96),"")</f>
        <v>动态</v>
      </c>
      <c r="F96" t="str">
        <f ca="1">IFERROR(IF(0=LEN(ReferenceData!$F$96),"",ReferenceData!$F$96),"")</f>
        <v/>
      </c>
      <c r="G96">
        <f ca="1">IFERROR(IF(0=LEN(ReferenceData!$G$96),"",ReferenceData!$G$96),"")</f>
        <v>7.1495832049999999</v>
      </c>
      <c r="H96">
        <f ca="1">IFERROR(IF(0=LEN(ReferenceData!$H$96),"",ReferenceData!$H$96),"")</f>
        <v>6.6424388480000003</v>
      </c>
      <c r="I96">
        <f ca="1">IFERROR(IF(0=LEN(ReferenceData!$I$96),"",ReferenceData!$I$96),"")</f>
        <v>5.6150919659999996</v>
      </c>
      <c r="J96">
        <f ca="1">IFERROR(IF(0=LEN(ReferenceData!$J$96),"",ReferenceData!$J$96),"")</f>
        <v>2.719381394</v>
      </c>
      <c r="K96">
        <f ca="1">IFERROR(IF(0=LEN(ReferenceData!$K$96),"",ReferenceData!$K$96),"")</f>
        <v>7.7780550699999997</v>
      </c>
      <c r="L96">
        <f ca="1">IFERROR(IF(0=LEN(ReferenceData!$L$96),"",ReferenceData!$L$96),"")</f>
        <v>8.5936974080000006</v>
      </c>
      <c r="M96">
        <f ca="1">IFERROR(IF(0=LEN(ReferenceData!$M$96),"",ReferenceData!$M$96),"")</f>
        <v>9.8037201150000008</v>
      </c>
      <c r="N96">
        <f ca="1">IFERROR(IF(0=LEN(ReferenceData!$N$96),"",ReferenceData!$N$96),"")</f>
        <v>14.94935201</v>
      </c>
      <c r="O96">
        <f ca="1">IFERROR(IF(0=LEN(ReferenceData!$O$96),"",ReferenceData!$O$96),"")</f>
        <v>9.1191314769999998</v>
      </c>
      <c r="P96">
        <f ca="1">IFERROR(IF(0=LEN(ReferenceData!$P$96),"",ReferenceData!$P$96),"")</f>
        <v>10.414029380000001</v>
      </c>
      <c r="Q96">
        <f ca="1">IFERROR(IF(0=LEN(ReferenceData!$Q$96),"",ReferenceData!$Q$96),"")</f>
        <v>10.549146220000001</v>
      </c>
      <c r="R96">
        <f ca="1">IFERROR(IF(0=LEN(ReferenceData!$R$96),"",ReferenceData!$R$96),"")</f>
        <v>10.57101793</v>
      </c>
      <c r="S96">
        <f ca="1">IFERROR(IF(0=LEN(ReferenceData!$S$96),"",ReferenceData!$S$96),"")</f>
        <v>11.793672259999999</v>
      </c>
      <c r="T96">
        <f ca="1">IFERROR(IF(0=LEN(ReferenceData!$T$96),"",ReferenceData!$T$96),"")</f>
        <v>10.621060719999999</v>
      </c>
      <c r="U96">
        <f ca="1">IFERROR(IF(0=LEN(ReferenceData!$U$96),"",ReferenceData!$U$96),"")</f>
        <v>9.4125703650000005</v>
      </c>
      <c r="V96">
        <f ca="1">IFERROR(IF(0=LEN(ReferenceData!$V$96),"",ReferenceData!$V$96),"")</f>
        <v>32.757825439999998</v>
      </c>
      <c r="W96">
        <f ca="1">IFERROR(IF(0=LEN(ReferenceData!$W$96),"",ReferenceData!$W$96),"")</f>
        <v>50.691200199999997</v>
      </c>
      <c r="X96">
        <f ca="1">IFERROR(IF(0=LEN(ReferenceData!$X$96),"",ReferenceData!$X$96),"")</f>
        <v>48.931390890000003</v>
      </c>
      <c r="Y96">
        <f ca="1">IFERROR(IF(0=LEN(ReferenceData!$Y$96),"",ReferenceData!$Y$96),"")</f>
        <v>49.817584029999999</v>
      </c>
      <c r="Z96">
        <f ca="1">IFERROR(IF(0=LEN(ReferenceData!$Z$96),"",ReferenceData!$Z$96),"")</f>
        <v>22.486912270000001</v>
      </c>
      <c r="AA96">
        <f ca="1">IFERROR(IF(0=LEN(ReferenceData!$AA$96),"",ReferenceData!$AA$96),"")</f>
        <v>7.604210803</v>
      </c>
      <c r="AB96">
        <f ca="1">IFERROR(IF(0=LEN(ReferenceData!$AB$96),"",ReferenceData!$AB$96),"")</f>
        <v>7.2222518559999997</v>
      </c>
      <c r="AC96">
        <f ca="1">IFERROR(IF(0=LEN(ReferenceData!$AC$96),"",ReferenceData!$AC$96),"")</f>
        <v>7.1584720329999998</v>
      </c>
      <c r="AD96">
        <f ca="1">IFERROR(IF(0=LEN(ReferenceData!$AD$96),"",ReferenceData!$AD$96),"")</f>
        <v>7.658513106</v>
      </c>
      <c r="AE96">
        <f ca="1">IFERROR(IF(0=LEN(ReferenceData!$AE$96),"",ReferenceData!$AE$96),"")</f>
        <v>7.2994279459999998</v>
      </c>
      <c r="AF96">
        <f ca="1">IFERROR(IF(0=LEN(ReferenceData!$AF$96),"",ReferenceData!$AF$96),"")</f>
        <v>8.0515876179999992</v>
      </c>
      <c r="AG96">
        <f ca="1">IFERROR(IF(0=LEN(ReferenceData!$AG$96),"",ReferenceData!$AG$96),"")</f>
        <v>6.9160668420000002</v>
      </c>
      <c r="AH96">
        <f ca="1">IFERROR(IF(0=LEN(ReferenceData!$AH$96),"",ReferenceData!$AH$96),"")</f>
        <v>6.0715064820000002</v>
      </c>
      <c r="AI96">
        <f ca="1">IFERROR(IF(0=LEN(ReferenceData!$AI$96),"",ReferenceData!$AI$96),"")</f>
        <v>5.7211655119999998</v>
      </c>
      <c r="AJ96">
        <f ca="1">IFERROR(IF(0=LEN(ReferenceData!$AJ$96),"",ReferenceData!$AJ$96),"")</f>
        <v>4.8897197300000004</v>
      </c>
      <c r="AK96">
        <f ca="1">IFERROR(IF(0=LEN(ReferenceData!$AK$96),"",ReferenceData!$AK$96),"")</f>
        <v>3.8080835209999999</v>
      </c>
      <c r="AL96">
        <f ca="1">IFERROR(IF(0=LEN(ReferenceData!$AL$96),"",ReferenceData!$AL$96),"")</f>
        <v>2.7253698750000002</v>
      </c>
      <c r="AM96">
        <f ca="1">IFERROR(IF(0=LEN(ReferenceData!$AM$96),"",ReferenceData!$AM$96),"")</f>
        <v>-2.7505865589999998</v>
      </c>
      <c r="AN96">
        <f ca="1">IFERROR(IF(0=LEN(ReferenceData!$AN$96),"",ReferenceData!$AN$96),"")</f>
        <v>-0.16110311499999999</v>
      </c>
      <c r="AO96">
        <f ca="1">IFERROR(IF(0=LEN(ReferenceData!$AO$96),"",ReferenceData!$AO$96),"")</f>
        <v>0.50570336800000004</v>
      </c>
      <c r="AP96">
        <f ca="1">IFERROR(IF(0=LEN(ReferenceData!$AP$96),"",ReferenceData!$AP$96),"")</f>
        <v>2.7231808320000002</v>
      </c>
      <c r="AQ96">
        <f ca="1">IFERROR(IF(0=LEN(ReferenceData!$AQ$96),"",ReferenceData!$AQ$96),"")</f>
        <v>9.8732498300000007</v>
      </c>
      <c r="AR96">
        <f ca="1">IFERROR(IF(0=LEN(ReferenceData!$AR$96),"",ReferenceData!$AR$96),"")</f>
        <v>9.5953839579999993</v>
      </c>
      <c r="AS96">
        <f ca="1">IFERROR(IF(0=LEN(ReferenceData!$AS$96),"",ReferenceData!$AS$96),"")</f>
        <v>10.61521862</v>
      </c>
      <c r="AT96">
        <f ca="1">IFERROR(IF(0=LEN(ReferenceData!$AT$96),"",ReferenceData!$AT$96),"")</f>
        <v>8.2485486310000002</v>
      </c>
      <c r="AU96">
        <f ca="1">IFERROR(IF(0=LEN(ReferenceData!$AU$96),"",ReferenceData!$AU$96),"")</f>
        <v>5.6715914600000001</v>
      </c>
      <c r="AV96">
        <f ca="1">IFERROR(IF(0=LEN(ReferenceData!$AV$96),"",ReferenceData!$AV$96),"")</f>
        <v>7.0167605069999999</v>
      </c>
      <c r="AW96">
        <f ca="1">IFERROR(IF(0=LEN(ReferenceData!$AW$96),"",ReferenceData!$AW$96),"")</f>
        <v>6.6120178909999998</v>
      </c>
      <c r="AX96">
        <f ca="1">IFERROR(IF(0=LEN(ReferenceData!$AX$96),"",ReferenceData!$AX$96),"")</f>
        <v>7.682163063</v>
      </c>
      <c r="AY96">
        <f ca="1">IFERROR(IF(0=LEN(ReferenceData!$AY$96),"",ReferenceData!$AY$96),"")</f>
        <v>9.6419369370000005</v>
      </c>
      <c r="AZ96">
        <f ca="1">IFERROR(IF(0=LEN(ReferenceData!$AZ$96),"",ReferenceData!$AZ$96),"")</f>
        <v>7.510376602</v>
      </c>
      <c r="BA96">
        <f ca="1">IFERROR(IF(0=LEN(ReferenceData!$BA$96),"",ReferenceData!$BA$96),"")</f>
        <v>8.1079612680000004</v>
      </c>
      <c r="BB96">
        <f ca="1">IFERROR(IF(0=LEN(ReferenceData!$BB$96),"",ReferenceData!$BB$96),"")</f>
        <v>9.4887453980000007</v>
      </c>
      <c r="BC96">
        <f ca="1">IFERROR(IF(0=LEN(ReferenceData!$BC$96),"",ReferenceData!$BC$96),"")</f>
        <v>24.766105899999999</v>
      </c>
      <c r="BD96">
        <f ca="1">IFERROR(IF(0=LEN(ReferenceData!$BD$96),"",ReferenceData!$BD$96),"")</f>
        <v>9.5591772329999998</v>
      </c>
      <c r="BE96">
        <f ca="1">IFERROR(IF(0=LEN(ReferenceData!$BE$96),"",ReferenceData!$BE$96),"")</f>
        <v>2.0690845009999999</v>
      </c>
      <c r="BF96">
        <f ca="1">IFERROR(IF(0=LEN(ReferenceData!$BF$96),"",ReferenceData!$BF$96),"")</f>
        <v>1.9630462909999999</v>
      </c>
      <c r="BG96">
        <f ca="1">IFERROR(IF(0=LEN(ReferenceData!$BG$96),"",ReferenceData!$BG$96),"")</f>
        <v>-9.1654278639999998</v>
      </c>
      <c r="BH96">
        <f ca="1">IFERROR(IF(0=LEN(ReferenceData!$BH$96),"",ReferenceData!$BH$96),"")</f>
        <v>2.5514029759999999</v>
      </c>
      <c r="BI96">
        <f ca="1">IFERROR(IF(0=LEN(ReferenceData!$BI$96),"",ReferenceData!$BI$96),"")</f>
        <v>8.0317916769999993</v>
      </c>
      <c r="BJ96">
        <f ca="1">IFERROR(IF(0=LEN(ReferenceData!$BJ$96),"",ReferenceData!$BJ$96),"")</f>
        <v>5.3692311830000001</v>
      </c>
      <c r="BK96">
        <f ca="1">IFERROR(IF(0=LEN(ReferenceData!$BK$96),"",ReferenceData!$BK$96),"")</f>
        <v>1.626157077</v>
      </c>
      <c r="BL96">
        <f ca="1">IFERROR(IF(0=LEN(ReferenceData!$BL$96),"",ReferenceData!$BL$96),"")</f>
        <v>2.1596559599999998</v>
      </c>
      <c r="BM96">
        <f ca="1">IFERROR(IF(0=LEN(ReferenceData!$BM$96),"",ReferenceData!$BM$96),"")</f>
        <v>-7.1279318490000003</v>
      </c>
    </row>
    <row r="97" spans="1:65">
      <c r="A97" t="str">
        <f>IFERROR(IF(0=LEN(ReferenceData!$A$97),"",ReferenceData!$A$97),"")</f>
        <v xml:space="preserve">    Camden Property Trust</v>
      </c>
      <c r="B97" t="str">
        <f>IFERROR(IF(0=LEN(ReferenceData!$B$97),"",ReferenceData!$B$97),"")</f>
        <v>CPT US Equity</v>
      </c>
      <c r="C97" t="str">
        <f>IFERROR(IF(0=LEN(ReferenceData!$C$97),"",ReferenceData!$C$97),"")</f>
        <v>RR033</v>
      </c>
      <c r="D97" t="str">
        <f>IFERROR(IF(0=LEN(ReferenceData!$D$97),"",ReferenceData!$D$97),"")</f>
        <v>SALES_GROWTH</v>
      </c>
      <c r="E97" t="str">
        <f>IFERROR(IF(0=LEN(ReferenceData!$E$97),"",ReferenceData!$E$97),"")</f>
        <v>动态</v>
      </c>
      <c r="F97" t="str">
        <f ca="1">IFERROR(IF(0=LEN(ReferenceData!$F$97),"",ReferenceData!$F$97),"")</f>
        <v/>
      </c>
      <c r="G97">
        <f ca="1">IFERROR(IF(0=LEN(ReferenceData!$G$97),"",ReferenceData!$G$97),"")</f>
        <v>6.132644666</v>
      </c>
      <c r="H97">
        <f ca="1">IFERROR(IF(0=LEN(ReferenceData!$H$97),"",ReferenceData!$H$97),"")</f>
        <v>3.7818496449999999</v>
      </c>
      <c r="I97">
        <f ca="1">IFERROR(IF(0=LEN(ReferenceData!$I$97),"",ReferenceData!$I$97),"")</f>
        <v>0.91503970599999995</v>
      </c>
      <c r="J97">
        <f ca="1">IFERROR(IF(0=LEN(ReferenceData!$J$97),"",ReferenceData!$J$97),"")</f>
        <v>0.87025893499999996</v>
      </c>
      <c r="K97">
        <f ca="1">IFERROR(IF(0=LEN(ReferenceData!$K$97),"",ReferenceData!$K$97),"")</f>
        <v>0.86629383900000001</v>
      </c>
      <c r="L97">
        <f ca="1">IFERROR(IF(0=LEN(ReferenceData!$L$97),"",ReferenceData!$L$97),"")</f>
        <v>3.453227348</v>
      </c>
      <c r="M97">
        <f ca="1">IFERROR(IF(0=LEN(ReferenceData!$M$97),"",ReferenceData!$M$97),"")</f>
        <v>7.3150684930000001</v>
      </c>
      <c r="N97">
        <f ca="1">IFERROR(IF(0=LEN(ReferenceData!$N$97),"",ReferenceData!$N$97),"")</f>
        <v>1.0889551470000001</v>
      </c>
      <c r="O97">
        <f ca="1">IFERROR(IF(0=LEN(ReferenceData!$O$97),"",ReferenceData!$O$97),"")</f>
        <v>-0.95392483699999997</v>
      </c>
      <c r="P97">
        <f ca="1">IFERROR(IF(0=LEN(ReferenceData!$P$97),"",ReferenceData!$P$97),"")</f>
        <v>-0.34103211</v>
      </c>
      <c r="Q97">
        <f ca="1">IFERROR(IF(0=LEN(ReferenceData!$Q$97),"",ReferenceData!$Q$97),"")</f>
        <v>-1.229117115</v>
      </c>
      <c r="R97">
        <f ca="1">IFERROR(IF(0=LEN(ReferenceData!$R$97),"",ReferenceData!$R$97),"")</f>
        <v>3.850166545</v>
      </c>
      <c r="S97">
        <f ca="1">IFERROR(IF(0=LEN(ReferenceData!$S$97),"",ReferenceData!$S$97),"")</f>
        <v>5.6952555629999999</v>
      </c>
      <c r="T97">
        <f ca="1">IFERROR(IF(0=LEN(ReferenceData!$T$97),"",ReferenceData!$T$97),"")</f>
        <v>6.1098621550000001</v>
      </c>
      <c r="U97">
        <f ca="1">IFERROR(IF(0=LEN(ReferenceData!$U$97),"",ReferenceData!$U$97),"")</f>
        <v>6.4855164050000003</v>
      </c>
      <c r="V97">
        <f ca="1">IFERROR(IF(0=LEN(ReferenceData!$V$97),"",ReferenceData!$V$97),"")</f>
        <v>8.4310215100000008</v>
      </c>
      <c r="W97">
        <f ca="1">IFERROR(IF(0=LEN(ReferenceData!$W$97),"",ReferenceData!$W$97),"")</f>
        <v>11.05155678</v>
      </c>
      <c r="X97">
        <f ca="1">IFERROR(IF(0=LEN(ReferenceData!$X$97),"",ReferenceData!$X$97),"")</f>
        <v>9.7573645590000009</v>
      </c>
      <c r="Y97">
        <f ca="1">IFERROR(IF(0=LEN(ReferenceData!$Y$97),"",ReferenceData!$Y$97),"")</f>
        <v>9.5742441530000004</v>
      </c>
      <c r="Z97">
        <f ca="1">IFERROR(IF(0=LEN(ReferenceData!$Z$97),"",ReferenceData!$Z$97),"")</f>
        <v>11.634090670000001</v>
      </c>
      <c r="AA97">
        <f ca="1">IFERROR(IF(0=LEN(ReferenceData!$AA$97),"",ReferenceData!$AA$97),"")</f>
        <v>15.234148210000001</v>
      </c>
      <c r="AB97">
        <f ca="1">IFERROR(IF(0=LEN(ReferenceData!$AB$97),"",ReferenceData!$AB$97),"")</f>
        <v>10.74728831</v>
      </c>
      <c r="AC97">
        <f ca="1">IFERROR(IF(0=LEN(ReferenceData!$AC$97),"",ReferenceData!$AC$97),"")</f>
        <v>10.162137749999999</v>
      </c>
      <c r="AD97">
        <f ca="1">IFERROR(IF(0=LEN(ReferenceData!$AD$97),"",ReferenceData!$AD$97),"")</f>
        <v>8.2676869039999996</v>
      </c>
      <c r="AE97">
        <f ca="1">IFERROR(IF(0=LEN(ReferenceData!$AE$97),"",ReferenceData!$AE$97),"")</f>
        <v>4.2604159959999999</v>
      </c>
      <c r="AF97">
        <f ca="1">IFERROR(IF(0=LEN(ReferenceData!$AF$97),"",ReferenceData!$AF$97),"")</f>
        <v>6.6814133829999998</v>
      </c>
      <c r="AG97">
        <f ca="1">IFERROR(IF(0=LEN(ReferenceData!$AG$97),"",ReferenceData!$AG$97),"")</f>
        <v>6.8718370120000003</v>
      </c>
      <c r="AH97">
        <f ca="1">IFERROR(IF(0=LEN(ReferenceData!$AH$97),"",ReferenceData!$AH$97),"")</f>
        <v>5.3870050899999997</v>
      </c>
      <c r="AI97">
        <f ca="1">IFERROR(IF(0=LEN(ReferenceData!$AI$97),"",ReferenceData!$AI$97),"")</f>
        <v>2.1134169759999999</v>
      </c>
      <c r="AJ97">
        <f ca="1">IFERROR(IF(0=LEN(ReferenceData!$AJ$97),"",ReferenceData!$AJ$97),"")</f>
        <v>-0.39734340299999998</v>
      </c>
      <c r="AK97">
        <f ca="1">IFERROR(IF(0=LEN(ReferenceData!$AK$97),"",ReferenceData!$AK$97),"")</f>
        <v>-3.2897724410000002</v>
      </c>
      <c r="AL97">
        <f ca="1">IFERROR(IF(0=LEN(ReferenceData!$AL$97),"",ReferenceData!$AL$97),"")</f>
        <v>-4.886742989</v>
      </c>
      <c r="AM97">
        <f ca="1">IFERROR(IF(0=LEN(ReferenceData!$AM$97),"",ReferenceData!$AM$97),"")</f>
        <v>-5.5387501319999997</v>
      </c>
      <c r="AN97">
        <f ca="1">IFERROR(IF(0=LEN(ReferenceData!$AN$97),"",ReferenceData!$AN$97),"")</f>
        <v>-2.8998410959999998</v>
      </c>
      <c r="AO97">
        <f ca="1">IFERROR(IF(0=LEN(ReferenceData!$AO$97),"",ReferenceData!$AO$97),"")</f>
        <v>0.56705019700000003</v>
      </c>
      <c r="AP97">
        <f ca="1">IFERROR(IF(0=LEN(ReferenceData!$AP$97),"",ReferenceData!$AP$97),"")</f>
        <v>3.3708960459999999</v>
      </c>
      <c r="AQ97">
        <f ca="1">IFERROR(IF(0=LEN(ReferenceData!$AQ$97),"",ReferenceData!$AQ$97),"")</f>
        <v>15.899012300000001</v>
      </c>
      <c r="AR97">
        <f ca="1">IFERROR(IF(0=LEN(ReferenceData!$AR$97),"",ReferenceData!$AR$97),"")</f>
        <v>5.9252321759999997</v>
      </c>
      <c r="AS97">
        <f ca="1">IFERROR(IF(0=LEN(ReferenceData!$AS$97),"",ReferenceData!$AS$97),"")</f>
        <v>2.3640247510000001</v>
      </c>
      <c r="AT97">
        <f ca="1">IFERROR(IF(0=LEN(ReferenceData!$AT$97),"",ReferenceData!$AT$97),"")</f>
        <v>1.4852529940000001</v>
      </c>
      <c r="AU97">
        <f ca="1">IFERROR(IF(0=LEN(ReferenceData!$AU$97),"",ReferenceData!$AU$97),"")</f>
        <v>-8.4076777509999996</v>
      </c>
      <c r="AV97">
        <f ca="1">IFERROR(IF(0=LEN(ReferenceData!$AV$97),"",ReferenceData!$AV$97),"")</f>
        <v>-1.6445609670000001</v>
      </c>
      <c r="AW97">
        <f ca="1">IFERROR(IF(0=LEN(ReferenceData!$AW$97),"",ReferenceData!$AW$97),"")</f>
        <v>1.7446622979999999</v>
      </c>
      <c r="AX97">
        <f ca="1">IFERROR(IF(0=LEN(ReferenceData!$AX$97),"",ReferenceData!$AX$97),"")</f>
        <v>1.731032447</v>
      </c>
      <c r="AY97">
        <f ca="1">IFERROR(IF(0=LEN(ReferenceData!$AY$97),"",ReferenceData!$AY$97),"")</f>
        <v>7.6756503460000003</v>
      </c>
      <c r="AZ97">
        <f ca="1">IFERROR(IF(0=LEN(ReferenceData!$AZ$97),"",ReferenceData!$AZ$97),"")</f>
        <v>8.1480810629999993</v>
      </c>
      <c r="BA97">
        <f ca="1">IFERROR(IF(0=LEN(ReferenceData!$BA$97),"",ReferenceData!$BA$97),"")</f>
        <v>10.014026469999999</v>
      </c>
      <c r="BB97">
        <f ca="1">IFERROR(IF(0=LEN(ReferenceData!$BB$97),"",ReferenceData!$BB$97),"")</f>
        <v>23.813321370000001</v>
      </c>
      <c r="BC97">
        <f ca="1">IFERROR(IF(0=LEN(ReferenceData!$BC$97),"",ReferenceData!$BC$97),"")</f>
        <v>33.73084446</v>
      </c>
      <c r="BD97">
        <f ca="1">IFERROR(IF(0=LEN(ReferenceData!$BD$97),"",ReferenceData!$BD$97),"")</f>
        <v>36.984196660000002</v>
      </c>
      <c r="BE97">
        <f ca="1">IFERROR(IF(0=LEN(ReferenceData!$BE$97),"",ReferenceData!$BE$97),"")</f>
        <v>29.768094739999999</v>
      </c>
      <c r="BF97">
        <f ca="1">IFERROR(IF(0=LEN(ReferenceData!$BF$97),"",ReferenceData!$BF$97),"")</f>
        <v>8.2224520240000007</v>
      </c>
      <c r="BG97">
        <f ca="1">IFERROR(IF(0=LEN(ReferenceData!$BG$97),"",ReferenceData!$BG$97),"")</f>
        <v>-2.5473023600000002</v>
      </c>
      <c r="BH97">
        <f ca="1">IFERROR(IF(0=LEN(ReferenceData!$BH$97),"",ReferenceData!$BH$97),"")</f>
        <v>-0.31962348899999998</v>
      </c>
      <c r="BI97">
        <f ca="1">IFERROR(IF(0=LEN(ReferenceData!$BI$97),"",ReferenceData!$BI$97),"")</f>
        <v>2.7680538729999999</v>
      </c>
      <c r="BJ97">
        <f ca="1">IFERROR(IF(0=LEN(ReferenceData!$BJ$97),"",ReferenceData!$BJ$97),"")</f>
        <v>10.05006758</v>
      </c>
      <c r="BK97">
        <f ca="1">IFERROR(IF(0=LEN(ReferenceData!$BK$97),"",ReferenceData!$BK$97),"")</f>
        <v>4.6184039869999998</v>
      </c>
      <c r="BL97">
        <f ca="1">IFERROR(IF(0=LEN(ReferenceData!$BL$97),"",ReferenceData!$BL$97),"")</f>
        <v>0.85869099199999999</v>
      </c>
      <c r="BM97">
        <f ca="1">IFERROR(IF(0=LEN(ReferenceData!$BM$97),"",ReferenceData!$BM$97),"")</f>
        <v>1.399471296</v>
      </c>
    </row>
    <row r="98" spans="1:65">
      <c r="A98" t="str">
        <f>IFERROR(IF(0=LEN(ReferenceData!$A$98),"",ReferenceData!$A$98),"")</f>
        <v xml:space="preserve">    Education Realty Trust Inc</v>
      </c>
      <c r="B98" t="str">
        <f>IFERROR(IF(0=LEN(ReferenceData!$B$98),"",ReferenceData!$B$98),"")</f>
        <v>EDR US Equity</v>
      </c>
      <c r="C98" t="str">
        <f>IFERROR(IF(0=LEN(ReferenceData!$C$98),"",ReferenceData!$C$98),"")</f>
        <v>RR033</v>
      </c>
      <c r="D98" t="str">
        <f>IFERROR(IF(0=LEN(ReferenceData!$D$98),"",ReferenceData!$D$98),"")</f>
        <v>SALES_GROWTH</v>
      </c>
      <c r="E98" t="str">
        <f>IFERROR(IF(0=LEN(ReferenceData!$E$98),"",ReferenceData!$E$98),"")</f>
        <v>动态</v>
      </c>
      <c r="F98" t="str">
        <f ca="1">IFERROR(IF(0=LEN(ReferenceData!$F$98),"",ReferenceData!$F$98),"")</f>
        <v/>
      </c>
      <c r="G98">
        <f ca="1">IFERROR(IF(0=LEN(ReferenceData!$G$98),"",ReferenceData!$G$98),"")</f>
        <v>13.822663370000001</v>
      </c>
      <c r="H98">
        <f ca="1">IFERROR(IF(0=LEN(ReferenceData!$H$98),"",ReferenceData!$H$98),"")</f>
        <v>13.793884479999999</v>
      </c>
      <c r="I98">
        <f ca="1">IFERROR(IF(0=LEN(ReferenceData!$I$98),"",ReferenceData!$I$98),"")</f>
        <v>13.665950260000001</v>
      </c>
      <c r="J98">
        <f ca="1">IFERROR(IF(0=LEN(ReferenceData!$J$98),"",ReferenceData!$J$98),"")</f>
        <v>16.924460679999999</v>
      </c>
      <c r="K98">
        <f ca="1">IFERROR(IF(0=LEN(ReferenceData!$K$98),"",ReferenceData!$K$98),"")</f>
        <v>11.52542373</v>
      </c>
      <c r="L98">
        <f ca="1">IFERROR(IF(0=LEN(ReferenceData!$L$98),"",ReferenceData!$L$98),"")</f>
        <v>13.81017031</v>
      </c>
      <c r="M98">
        <f ca="1">IFERROR(IF(0=LEN(ReferenceData!$M$98),"",ReferenceData!$M$98),"")</f>
        <v>13.63477775</v>
      </c>
      <c r="N98">
        <f ca="1">IFERROR(IF(0=LEN(ReferenceData!$N$98),"",ReferenceData!$N$98),"")</f>
        <v>14.424051520000001</v>
      </c>
      <c r="O98">
        <f ca="1">IFERROR(IF(0=LEN(ReferenceData!$O$98),"",ReferenceData!$O$98),"")</f>
        <v>13.557079269999999</v>
      </c>
      <c r="P98">
        <f ca="1">IFERROR(IF(0=LEN(ReferenceData!$P$98),"",ReferenceData!$P$98),"")</f>
        <v>6.3706493130000004</v>
      </c>
      <c r="Q98">
        <f ca="1">IFERROR(IF(0=LEN(ReferenceData!$Q$98),"",ReferenceData!$Q$98),"")</f>
        <v>14.55635492</v>
      </c>
      <c r="R98">
        <f ca="1">IFERROR(IF(0=LEN(ReferenceData!$R$98),"",ReferenceData!$R$98),"")</f>
        <v>17.570813090000001</v>
      </c>
      <c r="S98">
        <f ca="1">IFERROR(IF(0=LEN(ReferenceData!$S$98),"",ReferenceData!$S$98),"")</f>
        <v>20.48262618</v>
      </c>
      <c r="T98">
        <f ca="1">IFERROR(IF(0=LEN(ReferenceData!$T$98),"",ReferenceData!$T$98),"")</f>
        <v>25.8460052</v>
      </c>
      <c r="U98">
        <f ca="1">IFERROR(IF(0=LEN(ReferenceData!$U$98),"",ReferenceData!$U$98),"")</f>
        <v>21.93576685</v>
      </c>
      <c r="V98">
        <f ca="1">IFERROR(IF(0=LEN(ReferenceData!$V$98),"",ReferenceData!$V$98),"")</f>
        <v>22.103825749999999</v>
      </c>
      <c r="W98">
        <f ca="1">IFERROR(IF(0=LEN(ReferenceData!$W$98),"",ReferenceData!$W$98),"")</f>
        <v>33.978980069999999</v>
      </c>
      <c r="X98">
        <f ca="1">IFERROR(IF(0=LEN(ReferenceData!$X$98),"",ReferenceData!$X$98),"")</f>
        <v>32.253255449999997</v>
      </c>
      <c r="Y98">
        <f ca="1">IFERROR(IF(0=LEN(ReferenceData!$Y$98),"",ReferenceData!$Y$98),"")</f>
        <v>27.005446890000002</v>
      </c>
      <c r="Z98">
        <f ca="1">IFERROR(IF(0=LEN(ReferenceData!$Z$98),"",ReferenceData!$Z$98),"")</f>
        <v>27.887202980000001</v>
      </c>
      <c r="AA98">
        <f ca="1">IFERROR(IF(0=LEN(ReferenceData!$AA$98),"",ReferenceData!$AA$98),"")</f>
        <v>26.013947510000001</v>
      </c>
      <c r="AB98">
        <f ca="1">IFERROR(IF(0=LEN(ReferenceData!$AB$98),"",ReferenceData!$AB$98),"")</f>
        <v>17.755803960000001</v>
      </c>
      <c r="AC98">
        <f ca="1">IFERROR(IF(0=LEN(ReferenceData!$AC$98),"",ReferenceData!$AC$98),"")</f>
        <v>9.7218920850000003</v>
      </c>
      <c r="AD98">
        <f ca="1">IFERROR(IF(0=LEN(ReferenceData!$AD$98),"",ReferenceData!$AD$98),"")</f>
        <v>13.90836459</v>
      </c>
      <c r="AE98">
        <f ca="1">IFERROR(IF(0=LEN(ReferenceData!$AE$98),"",ReferenceData!$AE$98),"")</f>
        <v>2.335044447</v>
      </c>
      <c r="AF98">
        <f ca="1">IFERROR(IF(0=LEN(ReferenceData!$AF$98),"",ReferenceData!$AF$98),"")</f>
        <v>-7.38295119</v>
      </c>
      <c r="AG98">
        <f ca="1">IFERROR(IF(0=LEN(ReferenceData!$AG$98),"",ReferenceData!$AG$98),"")</f>
        <v>10.515255</v>
      </c>
      <c r="AH98">
        <f ca="1">IFERROR(IF(0=LEN(ReferenceData!$AH$98),"",ReferenceData!$AH$98),"")</f>
        <v>6.5570922229999997</v>
      </c>
      <c r="AI98">
        <f ca="1">IFERROR(IF(0=LEN(ReferenceData!$AI$98),"",ReferenceData!$AI$98),"")</f>
        <v>1.4737644519999999</v>
      </c>
      <c r="AJ98">
        <f ca="1">IFERROR(IF(0=LEN(ReferenceData!$AJ$98),"",ReferenceData!$AJ$98),"")</f>
        <v>-7.2764752939999999</v>
      </c>
      <c r="AK98">
        <f ca="1">IFERROR(IF(0=LEN(ReferenceData!$AK$98),"",ReferenceData!$AK$98),"")</f>
        <v>-16.689073</v>
      </c>
      <c r="AL98">
        <f ca="1">IFERROR(IF(0=LEN(ReferenceData!$AL$98),"",ReferenceData!$AL$98),"")</f>
        <v>-15.03144468</v>
      </c>
      <c r="AM98">
        <f ca="1">IFERROR(IF(0=LEN(ReferenceData!$AM$98),"",ReferenceData!$AM$98),"")</f>
        <v>-12.7141669</v>
      </c>
      <c r="AN98">
        <f ca="1">IFERROR(IF(0=LEN(ReferenceData!$AN$98),"",ReferenceData!$AN$98),"")</f>
        <v>0.52268580099999995</v>
      </c>
      <c r="AO98">
        <f ca="1">IFERROR(IF(0=LEN(ReferenceData!$AO$98),"",ReferenceData!$AO$98),"")</f>
        <v>-13.150320410000001</v>
      </c>
      <c r="AP98">
        <f ca="1">IFERROR(IF(0=LEN(ReferenceData!$AP$98),"",ReferenceData!$AP$98),"")</f>
        <v>-1.0025721970000001</v>
      </c>
      <c r="AQ98">
        <f ca="1">IFERROR(IF(0=LEN(ReferenceData!$AQ$98),"",ReferenceData!$AQ$98),"")</f>
        <v>17.41918682</v>
      </c>
      <c r="AR98">
        <f ca="1">IFERROR(IF(0=LEN(ReferenceData!$AR$98),"",ReferenceData!$AR$98),"")</f>
        <v>13.712456919999999</v>
      </c>
      <c r="AS98">
        <f ca="1">IFERROR(IF(0=LEN(ReferenceData!$AS$98),"",ReferenceData!$AS$98),"")</f>
        <v>26.443727249999998</v>
      </c>
      <c r="AT98">
        <f ca="1">IFERROR(IF(0=LEN(ReferenceData!$AT$98),"",ReferenceData!$AT$98),"")</f>
        <v>13.789662740000001</v>
      </c>
      <c r="AU98">
        <f ca="1">IFERROR(IF(0=LEN(ReferenceData!$AU$98),"",ReferenceData!$AU$98),"")</f>
        <v>6.8784357390000004</v>
      </c>
      <c r="AV98">
        <f ca="1">IFERROR(IF(0=LEN(ReferenceData!$AV$98),"",ReferenceData!$AV$98),"")</f>
        <v>7.1929427730000004</v>
      </c>
      <c r="AW98">
        <f ca="1">IFERROR(IF(0=LEN(ReferenceData!$AW$98),"",ReferenceData!$AW$98),"")</f>
        <v>5.555756895</v>
      </c>
      <c r="AX98">
        <f ca="1">IFERROR(IF(0=LEN(ReferenceData!$AX$98),"",ReferenceData!$AX$98),"")</f>
        <v>-0.42392528299999999</v>
      </c>
      <c r="AY98">
        <f ca="1">IFERROR(IF(0=LEN(ReferenceData!$AY$98),"",ReferenceData!$AY$98),"")</f>
        <v>10.372105530000001</v>
      </c>
      <c r="AZ98">
        <f ca="1">IFERROR(IF(0=LEN(ReferenceData!$AZ$98),"",ReferenceData!$AZ$98),"")</f>
        <v>10.70951586</v>
      </c>
      <c r="BA98">
        <f ca="1">IFERROR(IF(0=LEN(ReferenceData!$BA$98),"",ReferenceData!$BA$98),"")</f>
        <v>25.081595650000001</v>
      </c>
      <c r="BB98">
        <f ca="1">IFERROR(IF(0=LEN(ReferenceData!$BB$98),"",ReferenceData!$BB$98),"")</f>
        <v>83.160448889999998</v>
      </c>
      <c r="BC98" t="str">
        <f ca="1">IFERROR(IF(0=LEN(ReferenceData!$BC$98),"",ReferenceData!$BC$98),"")</f>
        <v/>
      </c>
      <c r="BD98" t="str">
        <f ca="1">IFERROR(IF(0=LEN(ReferenceData!$BD$98),"",ReferenceData!$BD$98),"")</f>
        <v/>
      </c>
      <c r="BE98" t="str">
        <f ca="1">IFERROR(IF(0=LEN(ReferenceData!$BE$98),"",ReferenceData!$BE$98),"")</f>
        <v/>
      </c>
      <c r="BF98" t="str">
        <f ca="1">IFERROR(IF(0=LEN(ReferenceData!$BF$98),"",ReferenceData!$BF$98),"")</f>
        <v/>
      </c>
      <c r="BG98" t="str">
        <f ca="1">IFERROR(IF(0=LEN(ReferenceData!$BG$98),"",ReferenceData!$BG$98),"")</f>
        <v/>
      </c>
      <c r="BH98" t="str">
        <f ca="1">IFERROR(IF(0=LEN(ReferenceData!$BH$98),"",ReferenceData!$BH$98),"")</f>
        <v/>
      </c>
      <c r="BI98" t="str">
        <f ca="1">IFERROR(IF(0=LEN(ReferenceData!$BI$98),"",ReferenceData!$BI$98),"")</f>
        <v/>
      </c>
      <c r="BJ98" t="str">
        <f ca="1">IFERROR(IF(0=LEN(ReferenceData!$BJ$98),"",ReferenceData!$BJ$98),"")</f>
        <v/>
      </c>
      <c r="BK98" t="str">
        <f ca="1">IFERROR(IF(0=LEN(ReferenceData!$BK$98),"",ReferenceData!$BK$98),"")</f>
        <v/>
      </c>
      <c r="BL98" t="str">
        <f ca="1">IFERROR(IF(0=LEN(ReferenceData!$BL$98),"",ReferenceData!$BL$98),"")</f>
        <v/>
      </c>
      <c r="BM98" t="str">
        <f ca="1">IFERROR(IF(0=LEN(ReferenceData!$BM$98),"",ReferenceData!$BM$98),"")</f>
        <v/>
      </c>
    </row>
    <row r="99" spans="1:65">
      <c r="A99" t="str">
        <f>IFERROR(IF(0=LEN(ReferenceData!$A$99),"",ReferenceData!$A$99),"")</f>
        <v xml:space="preserve">    Equity Residential</v>
      </c>
      <c r="B99" t="str">
        <f>IFERROR(IF(0=LEN(ReferenceData!$B$99),"",ReferenceData!$B$99),"")</f>
        <v>EQR US Equity</v>
      </c>
      <c r="C99" t="str">
        <f>IFERROR(IF(0=LEN(ReferenceData!$C$99),"",ReferenceData!$C$99),"")</f>
        <v>RR033</v>
      </c>
      <c r="D99" t="str">
        <f>IFERROR(IF(0=LEN(ReferenceData!$D$99),"",ReferenceData!$D$99),"")</f>
        <v>SALES_GROWTH</v>
      </c>
      <c r="E99" t="str">
        <f>IFERROR(IF(0=LEN(ReferenceData!$E$99),"",ReferenceData!$E$99),"")</f>
        <v>动态</v>
      </c>
      <c r="F99" t="str">
        <f ca="1">IFERROR(IF(0=LEN(ReferenceData!$F$99),"",ReferenceData!$F$99),"")</f>
        <v/>
      </c>
      <c r="G99">
        <f ca="1">IFERROR(IF(0=LEN(ReferenceData!$G$99),"",ReferenceData!$G$99),"")</f>
        <v>4.164402656</v>
      </c>
      <c r="H99">
        <f ca="1">IFERROR(IF(0=LEN(ReferenceData!$H$99),"",ReferenceData!$H$99),"")</f>
        <v>2.9778541889999999</v>
      </c>
      <c r="I99">
        <f ca="1">IFERROR(IF(0=LEN(ReferenceData!$I$99),"",ReferenceData!$I$99),"")</f>
        <v>2.9111792909999998</v>
      </c>
      <c r="J99">
        <f ca="1">IFERROR(IF(0=LEN(ReferenceData!$J$99),"",ReferenceData!$J$99),"")</f>
        <v>-2.4201924460000002</v>
      </c>
      <c r="K99">
        <f ca="1">IFERROR(IF(0=LEN(ReferenceData!$K$99),"",ReferenceData!$K$99),"")</f>
        <v>-13.894336259999999</v>
      </c>
      <c r="L99">
        <f ca="1">IFERROR(IF(0=LEN(ReferenceData!$L$99),"",ReferenceData!$L$99),"")</f>
        <v>-12.95654534</v>
      </c>
      <c r="M99">
        <f ca="1">IFERROR(IF(0=LEN(ReferenceData!$M$99),"",ReferenceData!$M$99),"")</f>
        <v>-12.36290921</v>
      </c>
      <c r="N99">
        <f ca="1">IFERROR(IF(0=LEN(ReferenceData!$N$99),"",ReferenceData!$N$99),"")</f>
        <v>-7.0963472300000001</v>
      </c>
      <c r="O99">
        <f ca="1">IFERROR(IF(0=LEN(ReferenceData!$O$99),"",ReferenceData!$O$99),"")</f>
        <v>5.7974001749999999</v>
      </c>
      <c r="P99">
        <f ca="1">IFERROR(IF(0=LEN(ReferenceData!$P$99),"",ReferenceData!$P$99),"")</f>
        <v>4.8504844309999999</v>
      </c>
      <c r="Q99">
        <f ca="1">IFERROR(IF(0=LEN(ReferenceData!$Q$99),"",ReferenceData!$Q$99),"")</f>
        <v>4.0676220719999998</v>
      </c>
      <c r="R99">
        <f ca="1">IFERROR(IF(0=LEN(ReferenceData!$R$99),"",ReferenceData!$R$99),"")</f>
        <v>5.1984238490000001</v>
      </c>
      <c r="S99">
        <f ca="1">IFERROR(IF(0=LEN(ReferenceData!$S$99),"",ReferenceData!$S$99),"")</f>
        <v>3.9938416669999999</v>
      </c>
      <c r="T99">
        <f ca="1">IFERROR(IF(0=LEN(ReferenceData!$T$99),"",ReferenceData!$T$99),"")</f>
        <v>5.9762634669999999</v>
      </c>
      <c r="U99">
        <f ca="1">IFERROR(IF(0=LEN(ReferenceData!$U$99),"",ReferenceData!$U$99),"")</f>
        <v>5.7274832030000002</v>
      </c>
      <c r="V99">
        <f ca="1">IFERROR(IF(0=LEN(ReferenceData!$V$99),"",ReferenceData!$V$99),"")</f>
        <v>25.503148270000001</v>
      </c>
      <c r="W99">
        <f ca="1">IFERROR(IF(0=LEN(ReferenceData!$W$99),"",ReferenceData!$W$99),"")</f>
        <v>41.250389519999999</v>
      </c>
      <c r="X99">
        <f ca="1">IFERROR(IF(0=LEN(ReferenceData!$X$99),"",ReferenceData!$X$99),"")</f>
        <v>38.727116950000003</v>
      </c>
      <c r="Y99">
        <f ca="1">IFERROR(IF(0=LEN(ReferenceData!$Y$99),"",ReferenceData!$Y$99),"")</f>
        <v>37.663794660000001</v>
      </c>
      <c r="Z99">
        <f ca="1">IFERROR(IF(0=LEN(ReferenceData!$Z$99),"",ReferenceData!$Z$99),"")</f>
        <v>13.052807939999999</v>
      </c>
      <c r="AA99">
        <f ca="1">IFERROR(IF(0=LEN(ReferenceData!$AA$99),"",ReferenceData!$AA$99),"")</f>
        <v>-8.0972885140000006</v>
      </c>
      <c r="AB99">
        <f ca="1">IFERROR(IF(0=LEN(ReferenceData!$AB$99),"",ReferenceData!$AB$99),"")</f>
        <v>-8.5392571349999997</v>
      </c>
      <c r="AC99">
        <f ca="1">IFERROR(IF(0=LEN(ReferenceData!$AC$99),"",ReferenceData!$AC$99),"")</f>
        <v>-6.6649041249999996</v>
      </c>
      <c r="AD99">
        <f ca="1">IFERROR(IF(0=LEN(ReferenceData!$AD$99),"",ReferenceData!$AD$99),"")</f>
        <v>-4.2688418290000003</v>
      </c>
      <c r="AE99">
        <f ca="1">IFERROR(IF(0=LEN(ReferenceData!$AE$99),"",ReferenceData!$AE$99),"")</f>
        <v>6.8588469180000002</v>
      </c>
      <c r="AF99">
        <f ca="1">IFERROR(IF(0=LEN(ReferenceData!$AF$99),"",ReferenceData!$AF$99),"")</f>
        <v>8.7919640500000007</v>
      </c>
      <c r="AG99">
        <f ca="1">IFERROR(IF(0=LEN(ReferenceData!$AG$99),"",ReferenceData!$AG$99),"")</f>
        <v>7.3736138709999999</v>
      </c>
      <c r="AH99">
        <f ca="1">IFERROR(IF(0=LEN(ReferenceData!$AH$99),"",ReferenceData!$AH$99),"")</f>
        <v>0.29182858499999997</v>
      </c>
      <c r="AI99">
        <f ca="1">IFERROR(IF(0=LEN(ReferenceData!$AI$99),"",ReferenceData!$AI$99),"")</f>
        <v>-0.114032007</v>
      </c>
      <c r="AJ99">
        <f ca="1">IFERROR(IF(0=LEN(ReferenceData!$AJ$99),"",ReferenceData!$AJ$99),"")</f>
        <v>-5.4724607020000002</v>
      </c>
      <c r="AK99">
        <f ca="1">IFERROR(IF(0=LEN(ReferenceData!$AK$99),"",ReferenceData!$AK$99),"")</f>
        <v>-6.8606570859999998</v>
      </c>
      <c r="AL99">
        <f ca="1">IFERROR(IF(0=LEN(ReferenceData!$AL$99),"",ReferenceData!$AL$99),"")</f>
        <v>-3.7424598100000002</v>
      </c>
      <c r="AM99">
        <f ca="1">IFERROR(IF(0=LEN(ReferenceData!$AM$99),"",ReferenceData!$AM$99),"")</f>
        <v>-7.9512052029999998</v>
      </c>
      <c r="AN99">
        <f ca="1">IFERROR(IF(0=LEN(ReferenceData!$AN$99),"",ReferenceData!$AN$99),"")</f>
        <v>-6.0204772550000003</v>
      </c>
      <c r="AO99">
        <f ca="1">IFERROR(IF(0=LEN(ReferenceData!$AO$99),"",ReferenceData!$AO$99),"")</f>
        <v>-6.4194606089999997</v>
      </c>
      <c r="AP99">
        <f ca="1">IFERROR(IF(0=LEN(ReferenceData!$AP$99),"",ReferenceData!$AP$99),"")</f>
        <v>-3.8920422330000002</v>
      </c>
      <c r="AQ99">
        <f ca="1">IFERROR(IF(0=LEN(ReferenceData!$AQ$99),"",ReferenceData!$AQ$99),"")</f>
        <v>-0.77185520500000004</v>
      </c>
      <c r="AR99">
        <f ca="1">IFERROR(IF(0=LEN(ReferenceData!$AR$99),"",ReferenceData!$AR$99),"")</f>
        <v>1.976443918</v>
      </c>
      <c r="AS99">
        <f ca="1">IFERROR(IF(0=LEN(ReferenceData!$AS$99),"",ReferenceData!$AS$99),"")</f>
        <v>4.4191960290000001</v>
      </c>
      <c r="AT99">
        <f ca="1">IFERROR(IF(0=LEN(ReferenceData!$AT$99),"",ReferenceData!$AT$99),"")</f>
        <v>5.6303575290000003</v>
      </c>
      <c r="AU99">
        <f ca="1">IFERROR(IF(0=LEN(ReferenceData!$AU$99),"",ReferenceData!$AU$99),"")</f>
        <v>56.998476699999998</v>
      </c>
      <c r="AV99">
        <f ca="1">IFERROR(IF(0=LEN(ReferenceData!$AV$99),"",ReferenceData!$AV$99),"")</f>
        <v>-2.4837262710000001</v>
      </c>
      <c r="AW99">
        <f ca="1">IFERROR(IF(0=LEN(ReferenceData!$AW$99),"",ReferenceData!$AW$99),"")</f>
        <v>-7.7042072000000003E-2</v>
      </c>
      <c r="AX99">
        <f ca="1">IFERROR(IF(0=LEN(ReferenceData!$AX$99),"",ReferenceData!$AX$99),"")</f>
        <v>2.895614304</v>
      </c>
      <c r="AY99">
        <f ca="1">IFERROR(IF(0=LEN(ReferenceData!$AY$99),"",ReferenceData!$AY$99),"")</f>
        <v>-18.833126839999998</v>
      </c>
      <c r="AZ99">
        <f ca="1">IFERROR(IF(0=LEN(ReferenceData!$AZ$99),"",ReferenceData!$AZ$99),"")</f>
        <v>19.293199430000001</v>
      </c>
      <c r="BA99">
        <f ca="1">IFERROR(IF(0=LEN(ReferenceData!$BA$99),"",ReferenceData!$BA$99),"")</f>
        <v>18.473857859999999</v>
      </c>
      <c r="BB99">
        <f ca="1">IFERROR(IF(0=LEN(ReferenceData!$BB$99),"",ReferenceData!$BB$99),"")</f>
        <v>4.1656530710000004</v>
      </c>
      <c r="BC99">
        <f ca="1">IFERROR(IF(0=LEN(ReferenceData!$BC$99),"",ReferenceData!$BC$99),"")</f>
        <v>-0.90764295399999995</v>
      </c>
      <c r="BD99">
        <f ca="1">IFERROR(IF(0=LEN(ReferenceData!$BD$99),"",ReferenceData!$BD$99),"")</f>
        <v>-5.6522196229999997</v>
      </c>
      <c r="BE99">
        <f ca="1">IFERROR(IF(0=LEN(ReferenceData!$BE$99),"",ReferenceData!$BE$99),"")</f>
        <v>-15.518146420000001</v>
      </c>
      <c r="BF99">
        <f ca="1">IFERROR(IF(0=LEN(ReferenceData!$BF$99),"",ReferenceData!$BF$99),"")</f>
        <v>-4.4764173170000001</v>
      </c>
      <c r="BG99">
        <f ca="1">IFERROR(IF(0=LEN(ReferenceData!$BG$99),"",ReferenceData!$BG$99),"")</f>
        <v>-5.888096333</v>
      </c>
      <c r="BH99">
        <f ca="1">IFERROR(IF(0=LEN(ReferenceData!$BH$99),"",ReferenceData!$BH$99),"")</f>
        <v>2.5111129540000001</v>
      </c>
      <c r="BI99">
        <f ca="1">IFERROR(IF(0=LEN(ReferenceData!$BI$99),"",ReferenceData!$BI$99),"")</f>
        <v>10.72183714</v>
      </c>
      <c r="BJ99">
        <f ca="1">IFERROR(IF(0=LEN(ReferenceData!$BJ$99),"",ReferenceData!$BJ$99),"")</f>
        <v>5.2399325839999999</v>
      </c>
      <c r="BK99">
        <f ca="1">IFERROR(IF(0=LEN(ReferenceData!$BK$99),"",ReferenceData!$BK$99),"")</f>
        <v>-5.8005879030000003</v>
      </c>
      <c r="BL99">
        <f ca="1">IFERROR(IF(0=LEN(ReferenceData!$BL$99),"",ReferenceData!$BL$99),"")</f>
        <v>-5.4910557520000003</v>
      </c>
      <c r="BM99">
        <f ca="1">IFERROR(IF(0=LEN(ReferenceData!$BM$99),"",ReferenceData!$BM$99),"")</f>
        <v>-8.3245879939999998</v>
      </c>
    </row>
    <row r="100" spans="1:65">
      <c r="A100" t="str">
        <f>IFERROR(IF(0=LEN(ReferenceData!$A$100),"",ReferenceData!$A$100),"")</f>
        <v xml:space="preserve">    Essex Property Trust Inc</v>
      </c>
      <c r="B100" t="str">
        <f>IFERROR(IF(0=LEN(ReferenceData!$B$100),"",ReferenceData!$B$100),"")</f>
        <v>ESS US Equity</v>
      </c>
      <c r="C100" t="str">
        <f>IFERROR(IF(0=LEN(ReferenceData!$C$100),"",ReferenceData!$C$100),"")</f>
        <v>RR033</v>
      </c>
      <c r="D100" t="str">
        <f>IFERROR(IF(0=LEN(ReferenceData!$D$100),"",ReferenceData!$D$100),"")</f>
        <v>SALES_GROWTH</v>
      </c>
      <c r="E100" t="str">
        <f>IFERROR(IF(0=LEN(ReferenceData!$E$100),"",ReferenceData!$E$100),"")</f>
        <v>动态</v>
      </c>
      <c r="F100" t="str">
        <f ca="1">IFERROR(IF(0=LEN(ReferenceData!$F$100),"",ReferenceData!$F$100),"")</f>
        <v/>
      </c>
      <c r="G100">
        <f ca="1">IFERROR(IF(0=LEN(ReferenceData!$G$100),"",ReferenceData!$G$100),"")</f>
        <v>4.8705620630000004</v>
      </c>
      <c r="H100">
        <f ca="1">IFERROR(IF(0=LEN(ReferenceData!$H$100),"",ReferenceData!$H$100),"")</f>
        <v>4.6170531429999997</v>
      </c>
      <c r="I100">
        <f ca="1">IFERROR(IF(0=LEN(ReferenceData!$I$100),"",ReferenceData!$I$100),"")</f>
        <v>5.433004758</v>
      </c>
      <c r="J100">
        <f ca="1">IFERROR(IF(0=LEN(ReferenceData!$J$100),"",ReferenceData!$J$100),"")</f>
        <v>6.7478883009999997</v>
      </c>
      <c r="K100">
        <f ca="1">IFERROR(IF(0=LEN(ReferenceData!$K$100),"",ReferenceData!$K$100),"")</f>
        <v>5.8864796330000004</v>
      </c>
      <c r="L100">
        <f ca="1">IFERROR(IF(0=LEN(ReferenceData!$L$100),"",ReferenceData!$L$100),"")</f>
        <v>8.0574212309999993</v>
      </c>
      <c r="M100">
        <f ca="1">IFERROR(IF(0=LEN(ReferenceData!$M$100),"",ReferenceData!$M$100),"")</f>
        <v>8.585841533</v>
      </c>
      <c r="N100">
        <f ca="1">IFERROR(IF(0=LEN(ReferenceData!$N$100),"",ReferenceData!$N$100),"")</f>
        <v>11.075288199999999</v>
      </c>
      <c r="O100">
        <f ca="1">IFERROR(IF(0=LEN(ReferenceData!$O$100),"",ReferenceData!$O$100),"")</f>
        <v>11.271610069999999</v>
      </c>
      <c r="P100">
        <f ca="1">IFERROR(IF(0=LEN(ReferenceData!$P$100),"",ReferenceData!$P$100),"")</f>
        <v>12.46082112</v>
      </c>
      <c r="Q100">
        <f ca="1">IFERROR(IF(0=LEN(ReferenceData!$Q$100),"",ReferenceData!$Q$100),"")</f>
        <v>14.001416539999999</v>
      </c>
      <c r="R100">
        <f ca="1">IFERROR(IF(0=LEN(ReferenceData!$R$100),"",ReferenceData!$R$100),"")</f>
        <v>75.687694480000005</v>
      </c>
      <c r="S100">
        <f ca="1">IFERROR(IF(0=LEN(ReferenceData!$S$100),"",ReferenceData!$S$100),"")</f>
        <v>77.383969460000003</v>
      </c>
      <c r="T100">
        <f ca="1">IFERROR(IF(0=LEN(ReferenceData!$T$100),"",ReferenceData!$T$100),"")</f>
        <v>75.695039879999996</v>
      </c>
      <c r="U100">
        <f ca="1">IFERROR(IF(0=LEN(ReferenceData!$U$100),"",ReferenceData!$U$100),"")</f>
        <v>72.031959689999994</v>
      </c>
      <c r="V100">
        <f ca="1">IFERROR(IF(0=LEN(ReferenceData!$V$100),"",ReferenceData!$V$100),"")</f>
        <v>8.7861896559999995</v>
      </c>
      <c r="W100">
        <f ca="1">IFERROR(IF(0=LEN(ReferenceData!$W$100),"",ReferenceData!$W$100),"")</f>
        <v>9.7343714059999993</v>
      </c>
      <c r="X100">
        <f ca="1">IFERROR(IF(0=LEN(ReferenceData!$X$100),"",ReferenceData!$X$100),"")</f>
        <v>11.44184969</v>
      </c>
      <c r="Y100">
        <f ca="1">IFERROR(IF(0=LEN(ReferenceData!$Y$100),"",ReferenceData!$Y$100),"")</f>
        <v>13.770264259999999</v>
      </c>
      <c r="Z100">
        <f ca="1">IFERROR(IF(0=LEN(ReferenceData!$Z$100),"",ReferenceData!$Z$100),"")</f>
        <v>15.7030285</v>
      </c>
      <c r="AA100">
        <f ca="1">IFERROR(IF(0=LEN(ReferenceData!$AA$100),"",ReferenceData!$AA$100),"")</f>
        <v>15.173919679999999</v>
      </c>
      <c r="AB100">
        <f ca="1">IFERROR(IF(0=LEN(ReferenceData!$AB$100),"",ReferenceData!$AB$100),"")</f>
        <v>15.924005169999999</v>
      </c>
      <c r="AC100">
        <f ca="1">IFERROR(IF(0=LEN(ReferenceData!$AC$100),"",ReferenceData!$AC$100),"")</f>
        <v>13.95646717</v>
      </c>
      <c r="AD100">
        <f ca="1">IFERROR(IF(0=LEN(ReferenceData!$AD$100),"",ReferenceData!$AD$100),"")</f>
        <v>13.77365874</v>
      </c>
      <c r="AE100">
        <f ca="1">IFERROR(IF(0=LEN(ReferenceData!$AE$100),"",ReferenceData!$AE$100),"")</f>
        <v>14.74985491</v>
      </c>
      <c r="AF100">
        <f ca="1">IFERROR(IF(0=LEN(ReferenceData!$AF$100),"",ReferenceData!$AF$100),"")</f>
        <v>14.223547119999999</v>
      </c>
      <c r="AG100">
        <f ca="1">IFERROR(IF(0=LEN(ReferenceData!$AG$100),"",ReferenceData!$AG$100),"")</f>
        <v>16.11119429</v>
      </c>
      <c r="AH100">
        <f ca="1">IFERROR(IF(0=LEN(ReferenceData!$AH$100),"",ReferenceData!$AH$100),"")</f>
        <v>11.11638204</v>
      </c>
      <c r="AI100">
        <f ca="1">IFERROR(IF(0=LEN(ReferenceData!$AI$100),"",ReferenceData!$AI$100),"")</f>
        <v>7.5332831440000003</v>
      </c>
      <c r="AJ100">
        <f ca="1">IFERROR(IF(0=LEN(ReferenceData!$AJ$100),"",ReferenceData!$AJ$100),"")</f>
        <v>2.5891399690000001</v>
      </c>
      <c r="AK100">
        <f ca="1">IFERROR(IF(0=LEN(ReferenceData!$AK$100),"",ReferenceData!$AK$100),"")</f>
        <v>-3.3261926819999998</v>
      </c>
      <c r="AL100">
        <f ca="1">IFERROR(IF(0=LEN(ReferenceData!$AL$100),"",ReferenceData!$AL$100),"")</f>
        <v>-3.736050461</v>
      </c>
      <c r="AM100">
        <f ca="1">IFERROR(IF(0=LEN(ReferenceData!$AM$100),"",ReferenceData!$AM$100),"")</f>
        <v>-3.7745920389999998</v>
      </c>
      <c r="AN100">
        <f ca="1">IFERROR(IF(0=LEN(ReferenceData!$AN$100),"",ReferenceData!$AN$100),"")</f>
        <v>-1.50988349</v>
      </c>
      <c r="AO100">
        <f ca="1">IFERROR(IF(0=LEN(ReferenceData!$AO$100),"",ReferenceData!$AO$100),"")</f>
        <v>2.0532364319999998</v>
      </c>
      <c r="AP100">
        <f ca="1">IFERROR(IF(0=LEN(ReferenceData!$AP$100),"",ReferenceData!$AP$100),"")</f>
        <v>2.3227062549999999</v>
      </c>
      <c r="AQ100">
        <f ca="1">IFERROR(IF(0=LEN(ReferenceData!$AQ$100),"",ReferenceData!$AQ$100),"")</f>
        <v>2.3571651579999999</v>
      </c>
      <c r="AR100">
        <f ca="1">IFERROR(IF(0=LEN(ReferenceData!$AR$100),"",ReferenceData!$AR$100),"")</f>
        <v>7.2424179479999999</v>
      </c>
      <c r="AS100">
        <f ca="1">IFERROR(IF(0=LEN(ReferenceData!$AS$100),"",ReferenceData!$AS$100),"")</f>
        <v>3.1845386279999999</v>
      </c>
      <c r="AT100">
        <f ca="1">IFERROR(IF(0=LEN(ReferenceData!$AT$100),"",ReferenceData!$AT$100),"")</f>
        <v>10.59017311</v>
      </c>
      <c r="AU100">
        <f ca="1">IFERROR(IF(0=LEN(ReferenceData!$AU$100),"",ReferenceData!$AU$100),"")</f>
        <v>12.546392880000001</v>
      </c>
      <c r="AV100">
        <f ca="1">IFERROR(IF(0=LEN(ReferenceData!$AV$100),"",ReferenceData!$AV$100),"")</f>
        <v>6.4950004420000003</v>
      </c>
      <c r="AW100">
        <f ca="1">IFERROR(IF(0=LEN(ReferenceData!$AW$100),"",ReferenceData!$AW$100),"")</f>
        <v>15.51499501</v>
      </c>
      <c r="AX100">
        <f ca="1">IFERROR(IF(0=LEN(ReferenceData!$AX$100),"",ReferenceData!$AX$100),"")</f>
        <v>8.7032334319999993</v>
      </c>
      <c r="AY100">
        <f ca="1">IFERROR(IF(0=LEN(ReferenceData!$AY$100),"",ReferenceData!$AY$100),"")</f>
        <v>23.761636200000002</v>
      </c>
      <c r="AZ100">
        <f ca="1">IFERROR(IF(0=LEN(ReferenceData!$AZ$100),"",ReferenceData!$AZ$100),"")</f>
        <v>2.2021252539999998</v>
      </c>
      <c r="BA100">
        <f ca="1">IFERROR(IF(0=LEN(ReferenceData!$BA$100),"",ReferenceData!$BA$100),"")</f>
        <v>2.6149065330000001</v>
      </c>
      <c r="BB100">
        <f ca="1">IFERROR(IF(0=LEN(ReferenceData!$BB$100),"",ReferenceData!$BB$100),"")</f>
        <v>8.7846701999999999E-2</v>
      </c>
      <c r="BC100">
        <f ca="1">IFERROR(IF(0=LEN(ReferenceData!$BC$100),"",ReferenceData!$BC$100),"")</f>
        <v>-3.8368602690000002</v>
      </c>
      <c r="BD100">
        <f ca="1">IFERROR(IF(0=LEN(ReferenceData!$BD$100),"",ReferenceData!$BD$100),"")</f>
        <v>0.215248669</v>
      </c>
      <c r="BE100">
        <f ca="1">IFERROR(IF(0=LEN(ReferenceData!$BE$100),"",ReferenceData!$BE$100),"")</f>
        <v>14.205539630000001</v>
      </c>
      <c r="BF100">
        <f ca="1">IFERROR(IF(0=LEN(ReferenceData!$BF$100),"",ReferenceData!$BF$100),"")</f>
        <v>25.254535140000002</v>
      </c>
      <c r="BG100">
        <f ca="1">IFERROR(IF(0=LEN(ReferenceData!$BG$100),"",ReferenceData!$BG$100),"")</f>
        <v>15.416290399999999</v>
      </c>
      <c r="BH100">
        <f ca="1">IFERROR(IF(0=LEN(ReferenceData!$BH$100),"",ReferenceData!$BH$100),"")</f>
        <v>36.818775760000001</v>
      </c>
      <c r="BI100">
        <f ca="1">IFERROR(IF(0=LEN(ReferenceData!$BI$100),"",ReferenceData!$BI$100),"")</f>
        <v>11.30214617</v>
      </c>
      <c r="BJ100">
        <f ca="1">IFERROR(IF(0=LEN(ReferenceData!$BJ$100),"",ReferenceData!$BJ$100),"")</f>
        <v>15.538610050000001</v>
      </c>
      <c r="BK100">
        <f ca="1">IFERROR(IF(0=LEN(ReferenceData!$BK$100),"",ReferenceData!$BK$100),"")</f>
        <v>30.168464289999999</v>
      </c>
      <c r="BL100">
        <f ca="1">IFERROR(IF(0=LEN(ReferenceData!$BL$100),"",ReferenceData!$BL$100),"")</f>
        <v>32.218468379999997</v>
      </c>
      <c r="BM100">
        <f ca="1">IFERROR(IF(0=LEN(ReferenceData!$BM$100),"",ReferenceData!$BM$100),"")</f>
        <v>28.111330129999999</v>
      </c>
    </row>
    <row r="101" spans="1:65">
      <c r="A101" t="str">
        <f>IFERROR(IF(0=LEN(ReferenceData!$A$101),"",ReferenceData!$A$101),"")</f>
        <v xml:space="preserve">    Mid-America Apartment Communit</v>
      </c>
      <c r="B101" t="str">
        <f>IFERROR(IF(0=LEN(ReferenceData!$B$101),"",ReferenceData!$B$101),"")</f>
        <v>MAA US Equity</v>
      </c>
      <c r="C101" t="str">
        <f>IFERROR(IF(0=LEN(ReferenceData!$C$101),"",ReferenceData!$C$101),"")</f>
        <v>RR033</v>
      </c>
      <c r="D101" t="str">
        <f>IFERROR(IF(0=LEN(ReferenceData!$D$101),"",ReferenceData!$D$101),"")</f>
        <v>SALES_GROWTH</v>
      </c>
      <c r="E101" t="str">
        <f>IFERROR(IF(0=LEN(ReferenceData!$E$101),"",ReferenceData!$E$101),"")</f>
        <v>动态</v>
      </c>
      <c r="F101" t="str">
        <f ca="1">IFERROR(IF(0=LEN(ReferenceData!$F$101),"",ReferenceData!$F$101),"")</f>
        <v/>
      </c>
      <c r="G101">
        <f ca="1">IFERROR(IF(0=LEN(ReferenceData!$G$101),"",ReferenceData!$G$101),"")</f>
        <v>24.590003840000001</v>
      </c>
      <c r="H101">
        <f ca="1">IFERROR(IF(0=LEN(ReferenceData!$H$101),"",ReferenceData!$H$101),"")</f>
        <v>38.877853940000001</v>
      </c>
      <c r="I101">
        <f ca="1">IFERROR(IF(0=LEN(ReferenceData!$I$101),"",ReferenceData!$I$101),"")</f>
        <v>40.609985450000003</v>
      </c>
      <c r="J101">
        <f ca="1">IFERROR(IF(0=LEN(ReferenceData!$J$101),"",ReferenceData!$J$101),"")</f>
        <v>40.849614889999998</v>
      </c>
      <c r="K101">
        <f ca="1">IFERROR(IF(0=LEN(ReferenceData!$K$101),"",ReferenceData!$K$101),"")</f>
        <v>16.655844030000001</v>
      </c>
      <c r="L101">
        <f ca="1">IFERROR(IF(0=LEN(ReferenceData!$L$101),"",ReferenceData!$L$101),"")</f>
        <v>5.6870663129999999</v>
      </c>
      <c r="M101">
        <f ca="1">IFERROR(IF(0=LEN(ReferenceData!$M$101),"",ReferenceData!$M$101),"")</f>
        <v>5.1546789960000003</v>
      </c>
      <c r="N101">
        <f ca="1">IFERROR(IF(0=LEN(ReferenceData!$N$101),"",ReferenceData!$N$101),"")</f>
        <v>4.047154924</v>
      </c>
      <c r="O101">
        <f ca="1">IFERROR(IF(0=LEN(ReferenceData!$O$101),"",ReferenceData!$O$101),"")</f>
        <v>3.9957507140000001</v>
      </c>
      <c r="P101">
        <f ca="1">IFERROR(IF(0=LEN(ReferenceData!$P$101),"",ReferenceData!$P$101),"")</f>
        <v>4.9780826530000004</v>
      </c>
      <c r="Q101">
        <f ca="1">IFERROR(IF(0=LEN(ReferenceData!$Q$101),"",ReferenceData!$Q$101),"")</f>
        <v>5.538411365</v>
      </c>
      <c r="R101">
        <f ca="1">IFERROR(IF(0=LEN(ReferenceData!$R$101),"",ReferenceData!$R$101),"")</f>
        <v>6.1871886380000003</v>
      </c>
      <c r="S101">
        <f ca="1">IFERROR(IF(0=LEN(ReferenceData!$S$101),"",ReferenceData!$S$101),"")</f>
        <v>5.6809692539999999</v>
      </c>
      <c r="T101">
        <f ca="1">IFERROR(IF(0=LEN(ReferenceData!$T$101),"",ReferenceData!$T$101),"")</f>
        <v>84.315318379999994</v>
      </c>
      <c r="U101">
        <f ca="1">IFERROR(IF(0=LEN(ReferenceData!$U$101),"",ReferenceData!$U$101),"")</f>
        <v>86.117707760000002</v>
      </c>
      <c r="V101">
        <f ca="1">IFERROR(IF(0=LEN(ReferenceData!$V$101),"",ReferenceData!$V$101),"")</f>
        <v>90.343183240000002</v>
      </c>
      <c r="W101">
        <f ca="1">IFERROR(IF(0=LEN(ReferenceData!$W$101),"",ReferenceData!$W$101),"")</f>
        <v>90.134105700000006</v>
      </c>
      <c r="X101">
        <f ca="1">IFERROR(IF(0=LEN(ReferenceData!$X$101),"",ReferenceData!$X$101),"")</f>
        <v>9.9163893170000001</v>
      </c>
      <c r="Y101">
        <f ca="1">IFERROR(IF(0=LEN(ReferenceData!$Y$101),"",ReferenceData!$Y$101),"")</f>
        <v>10.7496975</v>
      </c>
      <c r="Z101">
        <f ca="1">IFERROR(IF(0=LEN(ReferenceData!$Z$101),"",ReferenceData!$Z$101),"")</f>
        <v>10.004643720000001</v>
      </c>
      <c r="AA101">
        <f ca="1">IFERROR(IF(0=LEN(ReferenceData!$AA$101),"",ReferenceData!$AA$101),"")</f>
        <v>11.482661</v>
      </c>
      <c r="AB101">
        <f ca="1">IFERROR(IF(0=LEN(ReferenceData!$AB$101),"",ReferenceData!$AB$101),"")</f>
        <v>11.665050170000001</v>
      </c>
      <c r="AC101">
        <f ca="1">IFERROR(IF(0=LEN(ReferenceData!$AC$101),"",ReferenceData!$AC$101),"")</f>
        <v>11.013889799999999</v>
      </c>
      <c r="AD101">
        <f ca="1">IFERROR(IF(0=LEN(ReferenceData!$AD$101),"",ReferenceData!$AD$101),"")</f>
        <v>10.80661299</v>
      </c>
      <c r="AE101">
        <f ca="1">IFERROR(IF(0=LEN(ReferenceData!$AE$101),"",ReferenceData!$AE$101),"")</f>
        <v>8.1929555900000004</v>
      </c>
      <c r="AF101">
        <f ca="1">IFERROR(IF(0=LEN(ReferenceData!$AF$101),"",ReferenceData!$AF$101),"")</f>
        <v>9.3575598969999998</v>
      </c>
      <c r="AG101">
        <f ca="1">IFERROR(IF(0=LEN(ReferenceData!$AG$101),"",ReferenceData!$AG$101),"")</f>
        <v>8.9496417499999996</v>
      </c>
      <c r="AH101">
        <f ca="1">IFERROR(IF(0=LEN(ReferenceData!$AH$101),"",ReferenceData!$AH$101),"")</f>
        <v>7.6756546009999997</v>
      </c>
      <c r="AI101">
        <f ca="1">IFERROR(IF(0=LEN(ReferenceData!$AI$101),"",ReferenceData!$AI$101),"")</f>
        <v>9.6108855529999992</v>
      </c>
      <c r="AJ101">
        <f ca="1">IFERROR(IF(0=LEN(ReferenceData!$AJ$101),"",ReferenceData!$AJ$101),"")</f>
        <v>6.1916441229999997</v>
      </c>
      <c r="AK101">
        <f ca="1">IFERROR(IF(0=LEN(ReferenceData!$AK$101),"",ReferenceData!$AK$101),"")</f>
        <v>4.0534252659999996</v>
      </c>
      <c r="AL101">
        <f ca="1">IFERROR(IF(0=LEN(ReferenceData!$AL$101),"",ReferenceData!$AL$101),"")</f>
        <v>4.0570550049999996</v>
      </c>
      <c r="AM101">
        <f ca="1">IFERROR(IF(0=LEN(ReferenceData!$AM$101),"",ReferenceData!$AM$101),"")</f>
        <v>1.4549982969999999</v>
      </c>
      <c r="AN101">
        <f ca="1">IFERROR(IF(0=LEN(ReferenceData!$AN$101),"",ReferenceData!$AN$101),"")</f>
        <v>1.2868901399999999</v>
      </c>
      <c r="AO101">
        <f ca="1">IFERROR(IF(0=LEN(ReferenceData!$AO$101),"",ReferenceData!$AO$101),"")</f>
        <v>3.418784724</v>
      </c>
      <c r="AP101">
        <f ca="1">IFERROR(IF(0=LEN(ReferenceData!$AP$101),"",ReferenceData!$AP$101),"")</f>
        <v>3.2121566079999999</v>
      </c>
      <c r="AQ101">
        <f ca="1">IFERROR(IF(0=LEN(ReferenceData!$AQ$101),"",ReferenceData!$AQ$101),"")</f>
        <v>4.8173684090000002</v>
      </c>
      <c r="AR101">
        <f ca="1">IFERROR(IF(0=LEN(ReferenceData!$AR$101),"",ReferenceData!$AR$101),"")</f>
        <v>6.0719496060000004</v>
      </c>
      <c r="AS101">
        <f ca="1">IFERROR(IF(0=LEN(ReferenceData!$AS$101),"",ReferenceData!$AS$101),"")</f>
        <v>5.3665057210000002</v>
      </c>
      <c r="AT101">
        <f ca="1">IFERROR(IF(0=LEN(ReferenceData!$AT$101),"",ReferenceData!$AT$101),"")</f>
        <v>6.7748349829999999</v>
      </c>
      <c r="AU101">
        <f ca="1">IFERROR(IF(0=LEN(ReferenceData!$AU$101),"",ReferenceData!$AU$101),"")</f>
        <v>6.1109006529999998</v>
      </c>
      <c r="AV101">
        <f ca="1">IFERROR(IF(0=LEN(ReferenceData!$AV$101),"",ReferenceData!$AV$101),"")</f>
        <v>7.5928111649999996</v>
      </c>
      <c r="AW101">
        <f ca="1">IFERROR(IF(0=LEN(ReferenceData!$AW$101),"",ReferenceData!$AW$101),"")</f>
        <v>8.7524280969999992</v>
      </c>
      <c r="AX101">
        <f ca="1">IFERROR(IF(0=LEN(ReferenceData!$AX$101),"",ReferenceData!$AX$101),"")</f>
        <v>9.8202633380000002</v>
      </c>
      <c r="AY101">
        <f ca="1">IFERROR(IF(0=LEN(ReferenceData!$AY$101),"",ReferenceData!$AY$101),"")</f>
        <v>9.5033769330000002</v>
      </c>
      <c r="AZ101">
        <f ca="1">IFERROR(IF(0=LEN(ReferenceData!$AZ$101),"",ReferenceData!$AZ$101),"")</f>
        <v>9.6914124019999992</v>
      </c>
      <c r="BA101">
        <f ca="1">IFERROR(IF(0=LEN(ReferenceData!$BA$101),"",ReferenceData!$BA$101),"")</f>
        <v>10.03626736</v>
      </c>
      <c r="BB101">
        <f ca="1">IFERROR(IF(0=LEN(ReferenceData!$BB$101),"",ReferenceData!$BB$101),"")</f>
        <v>7.9477773279999999</v>
      </c>
      <c r="BC101">
        <f ca="1">IFERROR(IF(0=LEN(ReferenceData!$BC$101),"",ReferenceData!$BC$101),"")</f>
        <v>12.04374954</v>
      </c>
      <c r="BD101">
        <f ca="1">IFERROR(IF(0=LEN(ReferenceData!$BD$101),"",ReferenceData!$BD$101),"")</f>
        <v>10.697085059999999</v>
      </c>
      <c r="BE101">
        <f ca="1">IFERROR(IF(0=LEN(ReferenceData!$BE$101),"",ReferenceData!$BE$101),"")</f>
        <v>9.5389817739999998</v>
      </c>
      <c r="BF101">
        <f ca="1">IFERROR(IF(0=LEN(ReferenceData!$BF$101),"",ReferenceData!$BF$101),"")</f>
        <v>9.2148608809999999</v>
      </c>
      <c r="BG101">
        <f ca="1">IFERROR(IF(0=LEN(ReferenceData!$BG$101),"",ReferenceData!$BG$101),"")</f>
        <v>8.1834041810000002</v>
      </c>
      <c r="BH101">
        <f ca="1">IFERROR(IF(0=LEN(ReferenceData!$BH$101),"",ReferenceData!$BH$101),"")</f>
        <v>13.686295230000001</v>
      </c>
      <c r="BI101">
        <f ca="1">IFERROR(IF(0=LEN(ReferenceData!$BI$101),"",ReferenceData!$BI$101),"")</f>
        <v>13.52093191</v>
      </c>
      <c r="BJ101">
        <f ca="1">IFERROR(IF(0=LEN(ReferenceData!$BJ$101),"",ReferenceData!$BJ$101),"")</f>
        <v>13.620068760000001</v>
      </c>
      <c r="BK101">
        <f ca="1">IFERROR(IF(0=LEN(ReferenceData!$BK$101),"",ReferenceData!$BK$101),"")</f>
        <v>9.2980880819999996</v>
      </c>
      <c r="BL101">
        <f ca="1">IFERROR(IF(0=LEN(ReferenceData!$BL$101),"",ReferenceData!$BL$101),"")</f>
        <v>-0.102359257</v>
      </c>
      <c r="BM101">
        <f ca="1">IFERROR(IF(0=LEN(ReferenceData!$BM$101),"",ReferenceData!$BM$101),"")</f>
        <v>-2.5714872999999999E-2</v>
      </c>
    </row>
    <row r="102" spans="1:65">
      <c r="A102" t="str">
        <f>IFERROR(IF(0=LEN(ReferenceData!$A$102),"",ReferenceData!$A$102),"")</f>
        <v xml:space="preserve">    UDR Inc</v>
      </c>
      <c r="B102" t="str">
        <f>IFERROR(IF(0=LEN(ReferenceData!$B$102),"",ReferenceData!$B$102),"")</f>
        <v>UDR US Equity</v>
      </c>
      <c r="C102" t="str">
        <f>IFERROR(IF(0=LEN(ReferenceData!$C$102),"",ReferenceData!$C$102),"")</f>
        <v>RR033</v>
      </c>
      <c r="D102" t="str">
        <f>IFERROR(IF(0=LEN(ReferenceData!$D$102),"",ReferenceData!$D$102),"")</f>
        <v>SALES_GROWTH</v>
      </c>
      <c r="E102" t="str">
        <f>IFERROR(IF(0=LEN(ReferenceData!$E$102),"",ReferenceData!$E$102),"")</f>
        <v>动态</v>
      </c>
      <c r="F102" t="str">
        <f ca="1">IFERROR(IF(0=LEN(ReferenceData!$F$102),"",ReferenceData!$F$102),"")</f>
        <v/>
      </c>
      <c r="G102">
        <f ca="1">IFERROR(IF(0=LEN(ReferenceData!$G$102),"",ReferenceData!$G$102),"")</f>
        <v>4.062417698</v>
      </c>
      <c r="H102">
        <f ca="1">IFERROR(IF(0=LEN(ReferenceData!$H$102),"",ReferenceData!$H$102),"")</f>
        <v>3.2225839870000001</v>
      </c>
      <c r="I102">
        <f ca="1">IFERROR(IF(0=LEN(ReferenceData!$I$102),"",ReferenceData!$I$102),"")</f>
        <v>3.8498906970000002</v>
      </c>
      <c r="J102">
        <f ca="1">IFERROR(IF(0=LEN(ReferenceData!$J$102),"",ReferenceData!$J$102),"")</f>
        <v>3.8438770949999999</v>
      </c>
      <c r="K102">
        <f ca="1">IFERROR(IF(0=LEN(ReferenceData!$K$102),"",ReferenceData!$K$102),"")</f>
        <v>2.2739420469999998</v>
      </c>
      <c r="L102">
        <f ca="1">IFERROR(IF(0=LEN(ReferenceData!$L$102),"",ReferenceData!$L$102),"")</f>
        <v>9.8609869119999995</v>
      </c>
      <c r="M102">
        <f ca="1">IFERROR(IF(0=LEN(ReferenceData!$M$102),"",ReferenceData!$M$102),"")</f>
        <v>10.619747800000001</v>
      </c>
      <c r="N102">
        <f ca="1">IFERROR(IF(0=LEN(ReferenceData!$N$102),"",ReferenceData!$N$102),"")</f>
        <v>6.8540588749999998</v>
      </c>
      <c r="O102">
        <f ca="1">IFERROR(IF(0=LEN(ReferenceData!$O$102),"",ReferenceData!$O$102),"")</f>
        <v>13.388753940000001</v>
      </c>
      <c r="P102">
        <f ca="1">IFERROR(IF(0=LEN(ReferenceData!$P$102),"",ReferenceData!$P$102),"")</f>
        <v>7.093522675</v>
      </c>
      <c r="Q102">
        <f ca="1">IFERROR(IF(0=LEN(ReferenceData!$Q$102),"",ReferenceData!$Q$102),"")</f>
        <v>5.9674236399999998</v>
      </c>
      <c r="R102">
        <f ca="1">IFERROR(IF(0=LEN(ReferenceData!$R$102),"",ReferenceData!$R$102),"")</f>
        <v>10.96450699</v>
      </c>
      <c r="S102">
        <f ca="1">IFERROR(IF(0=LEN(ReferenceData!$S$102),"",ReferenceData!$S$102),"")</f>
        <v>8.3410886380000004</v>
      </c>
      <c r="T102">
        <f ca="1">IFERROR(IF(0=LEN(ReferenceData!$T$102),"",ReferenceData!$T$102),"")</f>
        <v>8.1768903959999992</v>
      </c>
      <c r="U102">
        <f ca="1">IFERROR(IF(0=LEN(ReferenceData!$U$102),"",ReferenceData!$U$102),"")</f>
        <v>7.4954354040000002</v>
      </c>
      <c r="V102">
        <f ca="1">IFERROR(IF(0=LEN(ReferenceData!$V$102),"",ReferenceData!$V$102),"")</f>
        <v>7.115272279</v>
      </c>
      <c r="W102">
        <f ca="1">IFERROR(IF(0=LEN(ReferenceData!$W$102),"",ReferenceData!$W$102),"")</f>
        <v>5.6721701979999999</v>
      </c>
      <c r="X102">
        <f ca="1">IFERROR(IF(0=LEN(ReferenceData!$X$102),"",ReferenceData!$X$102),"")</f>
        <v>3.2622672700000002</v>
      </c>
      <c r="Y102">
        <f ca="1">IFERROR(IF(0=LEN(ReferenceData!$Y$102),"",ReferenceData!$Y$102),"")</f>
        <v>5.1667110640000002</v>
      </c>
      <c r="Z102">
        <f ca="1">IFERROR(IF(0=LEN(ReferenceData!$Z$102),"",ReferenceData!$Z$102),"")</f>
        <v>5.5087284780000001</v>
      </c>
      <c r="AA102">
        <f ca="1">IFERROR(IF(0=LEN(ReferenceData!$AA$102),"",ReferenceData!$AA$102),"")</f>
        <v>7.2337084840000001</v>
      </c>
      <c r="AB102">
        <f ca="1">IFERROR(IF(0=LEN(ReferenceData!$AB$102),"",ReferenceData!$AB$102),"")</f>
        <v>9.4613455720000008</v>
      </c>
      <c r="AC102">
        <f ca="1">IFERROR(IF(0=LEN(ReferenceData!$AC$102),"",ReferenceData!$AC$102),"")</f>
        <v>17.396573069999999</v>
      </c>
      <c r="AD102">
        <f ca="1">IFERROR(IF(0=LEN(ReferenceData!$AD$102),"",ReferenceData!$AD$102),"")</f>
        <v>23.100429930000001</v>
      </c>
      <c r="AE102">
        <f ca="1">IFERROR(IF(0=LEN(ReferenceData!$AE$102),"",ReferenceData!$AE$102),"")</f>
        <v>12.002283520000001</v>
      </c>
      <c r="AF102">
        <f ca="1">IFERROR(IF(0=LEN(ReferenceData!$AF$102),"",ReferenceData!$AF$102),"")</f>
        <v>11.000387310000001</v>
      </c>
      <c r="AG102">
        <f ca="1">IFERROR(IF(0=LEN(ReferenceData!$AG$102),"",ReferenceData!$AG$102),"")</f>
        <v>3.21916841</v>
      </c>
      <c r="AH102">
        <f ca="1">IFERROR(IF(0=LEN(ReferenceData!$AH$102),"",ReferenceData!$AH$102),"")</f>
        <v>-2.916302924</v>
      </c>
      <c r="AI102">
        <f ca="1">IFERROR(IF(0=LEN(ReferenceData!$AI$102),"",ReferenceData!$AI$102),"")</f>
        <v>1.868983957</v>
      </c>
      <c r="AJ102">
        <f ca="1">IFERROR(IF(0=LEN(ReferenceData!$AJ$102),"",ReferenceData!$AJ$102),"")</f>
        <v>0.62622619499999999</v>
      </c>
      <c r="AK102">
        <f ca="1">IFERROR(IF(0=LEN(ReferenceData!$AK$102),"",ReferenceData!$AK$102),"")</f>
        <v>-4.5564241790000004</v>
      </c>
      <c r="AL102">
        <f ca="1">IFERROR(IF(0=LEN(ReferenceData!$AL$102),"",ReferenceData!$AL$102),"")</f>
        <v>-5.7922500140000004</v>
      </c>
      <c r="AM102">
        <f ca="1">IFERROR(IF(0=LEN(ReferenceData!$AM$102),"",ReferenceData!$AM$102),"")</f>
        <v>-3.7056585800000001</v>
      </c>
      <c r="AN102">
        <f ca="1">IFERROR(IF(0=LEN(ReferenceData!$AN$102),"",ReferenceData!$AN$102),"")</f>
        <v>-3.8123558449999999</v>
      </c>
      <c r="AO102">
        <f ca="1">IFERROR(IF(0=LEN(ReferenceData!$AO$102),"",ReferenceData!$AO$102),"")</f>
        <v>6.244331549</v>
      </c>
      <c r="AP102">
        <f ca="1">IFERROR(IF(0=LEN(ReferenceData!$AP$102),"",ReferenceData!$AP$102),"")</f>
        <v>18.733169060000002</v>
      </c>
      <c r="AQ102">
        <f ca="1">IFERROR(IF(0=LEN(ReferenceData!$AQ$102),"",ReferenceData!$AQ$102),"")</f>
        <v>21.664460859999998</v>
      </c>
      <c r="AR102">
        <f ca="1">IFERROR(IF(0=LEN(ReferenceData!$AR$102),"",ReferenceData!$AR$102),"")</f>
        <v>17.024693840000001</v>
      </c>
      <c r="AS102">
        <f ca="1">IFERROR(IF(0=LEN(ReferenceData!$AS$102),"",ReferenceData!$AS$102),"")</f>
        <v>15.25523637</v>
      </c>
      <c r="AT102">
        <f ca="1">IFERROR(IF(0=LEN(ReferenceData!$AT$102),"",ReferenceData!$AT$102),"")</f>
        <v>3.6901390620000001</v>
      </c>
      <c r="AU102">
        <f ca="1">IFERROR(IF(0=LEN(ReferenceData!$AU$102),"",ReferenceData!$AU$102),"")</f>
        <v>5.6326726450000004</v>
      </c>
      <c r="AV102">
        <f ca="1">IFERROR(IF(0=LEN(ReferenceData!$AV$102),"",ReferenceData!$AV$102),"")</f>
        <v>-21.645886740000002</v>
      </c>
      <c r="AW102">
        <f ca="1">IFERROR(IF(0=LEN(ReferenceData!$AW$102),"",ReferenceData!$AW$102),"")</f>
        <v>-23.315915409999999</v>
      </c>
      <c r="AX102">
        <f ca="1">IFERROR(IF(0=LEN(ReferenceData!$AX$102),"",ReferenceData!$AX$102),"")</f>
        <v>-24.576099280000001</v>
      </c>
      <c r="AY102">
        <f ca="1">IFERROR(IF(0=LEN(ReferenceData!$AY$102),"",ReferenceData!$AY$102),"")</f>
        <v>-25.392681469999999</v>
      </c>
      <c r="AZ102">
        <f ca="1">IFERROR(IF(0=LEN(ReferenceData!$AZ$102),"",ReferenceData!$AZ$102),"")</f>
        <v>7.2522089059999999</v>
      </c>
      <c r="BA102">
        <f ca="1">IFERROR(IF(0=LEN(ReferenceData!$BA$102),"",ReferenceData!$BA$102),"")</f>
        <v>5.3935082259999998</v>
      </c>
      <c r="BB102">
        <f ca="1">IFERROR(IF(0=LEN(ReferenceData!$BB$102),"",ReferenceData!$BB$102),"")</f>
        <v>5.2469639700000004</v>
      </c>
      <c r="BC102">
        <f ca="1">IFERROR(IF(0=LEN(ReferenceData!$BC$102),"",ReferenceData!$BC$102),"")</f>
        <v>36.692425800000002</v>
      </c>
      <c r="BD102">
        <f ca="1">IFERROR(IF(0=LEN(ReferenceData!$BD$102),"",ReferenceData!$BD$102),"")</f>
        <v>11.602055829999999</v>
      </c>
      <c r="BE102">
        <f ca="1">IFERROR(IF(0=LEN(ReferenceData!$BE$102),"",ReferenceData!$BE$102),"")</f>
        <v>-0.244588635</v>
      </c>
      <c r="BF102">
        <f ca="1">IFERROR(IF(0=LEN(ReferenceData!$BF$102),"",ReferenceData!$BF$102),"")</f>
        <v>2.5665135989999999</v>
      </c>
      <c r="BG102">
        <f ca="1">IFERROR(IF(0=LEN(ReferenceData!$BG$102),"",ReferenceData!$BG$102),"")</f>
        <v>-21.52093168</v>
      </c>
      <c r="BH102">
        <f ca="1">IFERROR(IF(0=LEN(ReferenceData!$BH$102),"",ReferenceData!$BH$102),"")</f>
        <v>0.86305127699999995</v>
      </c>
      <c r="BI102">
        <f ca="1">IFERROR(IF(0=LEN(ReferenceData!$BI$102),"",ReferenceData!$BI$102),"")</f>
        <v>9.4925555389999996</v>
      </c>
      <c r="BJ102">
        <f ca="1">IFERROR(IF(0=LEN(ReferenceData!$BJ$102),"",ReferenceData!$BJ$102),"")</f>
        <v>7.0805919919999996</v>
      </c>
      <c r="BK102">
        <f ca="1">IFERROR(IF(0=LEN(ReferenceData!$BK$102),"",ReferenceData!$BK$102),"")</f>
        <v>0.72624409599999995</v>
      </c>
      <c r="BL102">
        <f ca="1">IFERROR(IF(0=LEN(ReferenceData!$BL$102),"",ReferenceData!$BL$102),"")</f>
        <v>-3.282424572</v>
      </c>
      <c r="BM102">
        <f ca="1">IFERROR(IF(0=LEN(ReferenceData!$BM$102),"",ReferenceData!$BM$102),"")</f>
        <v>-0.42762498900000001</v>
      </c>
    </row>
    <row r="103" spans="1:65">
      <c r="A103" t="str">
        <f>IFERROR(IF(0=LEN(ReferenceData!$A$103),"",ReferenceData!$A$103),"")</f>
        <v>NOI增长(%)</v>
      </c>
      <c r="B103" t="str">
        <f>IFERROR(IF(0=LEN(ReferenceData!$B$103),"",ReferenceData!$B$103),"")</f>
        <v/>
      </c>
      <c r="C103" t="str">
        <f>IFERROR(IF(0=LEN(ReferenceData!$C$103),"",ReferenceData!$C$103),"")</f>
        <v/>
      </c>
      <c r="D103" t="str">
        <f>IFERROR(IF(0=LEN(ReferenceData!$D$103),"",ReferenceData!$D$103),"")</f>
        <v/>
      </c>
      <c r="E103" t="str">
        <f>IFERROR(IF(0=LEN(ReferenceData!$E$103),"",ReferenceData!$E$103),"")</f>
        <v>Median</v>
      </c>
      <c r="F103" t="str">
        <f ca="1">IFERROR(IF(0=LEN(ReferenceData!$F$103),"",ReferenceData!$F$103),"")</f>
        <v/>
      </c>
      <c r="G103">
        <f ca="1">IFERROR(IF(0=LEN(ReferenceData!$G$103),"",ReferenceData!$G$103),"")</f>
        <v>6.1106978730000003</v>
      </c>
      <c r="H103">
        <f ca="1">IFERROR(IF(0=LEN(ReferenceData!$H$103),"",ReferenceData!$H$103),"")</f>
        <v>3.9452145124999998</v>
      </c>
      <c r="I103">
        <f ca="1">IFERROR(IF(0=LEN(ReferenceData!$I$103),"",ReferenceData!$I$103),"")</f>
        <v>5.0446432555000005</v>
      </c>
      <c r="J103">
        <f ca="1">IFERROR(IF(0=LEN(ReferenceData!$J$103),"",ReferenceData!$J$103),"")</f>
        <v>3.3240853504999999</v>
      </c>
      <c r="K103">
        <f ca="1">IFERROR(IF(0=LEN(ReferenceData!$K$103),"",ReferenceData!$K$103),"")</f>
        <v>4.1248851950000001</v>
      </c>
      <c r="L103">
        <f ca="1">IFERROR(IF(0=LEN(ReferenceData!$L$103),"",ReferenceData!$L$103),"")</f>
        <v>9.3874644154999984</v>
      </c>
      <c r="M103">
        <f ca="1">IFERROR(IF(0=LEN(ReferenceData!$M$103),"",ReferenceData!$M$103),"")</f>
        <v>8.5074353079999998</v>
      </c>
      <c r="N103">
        <f ca="1">IFERROR(IF(0=LEN(ReferenceData!$N$103),"",ReferenceData!$N$103),"")</f>
        <v>10.1009403525</v>
      </c>
      <c r="O103">
        <f ca="1">IFERROR(IF(0=LEN(ReferenceData!$O$103),"",ReferenceData!$O$103),"")</f>
        <v>10.360288690000001</v>
      </c>
      <c r="P103">
        <f ca="1">IFERROR(IF(0=LEN(ReferenceData!$P$103),"",ReferenceData!$P$103),"")</f>
        <v>7.9508823524999999</v>
      </c>
      <c r="Q103">
        <f ca="1">IFERROR(IF(0=LEN(ReferenceData!$Q$103),"",ReferenceData!$Q$103),"")</f>
        <v>8.9356247584999995</v>
      </c>
      <c r="R103">
        <f ca="1">IFERROR(IF(0=LEN(ReferenceData!$R$103),"",ReferenceData!$R$103),"")</f>
        <v>8.2392844055000012</v>
      </c>
      <c r="S103">
        <f ca="1">IFERROR(IF(0=LEN(ReferenceData!$S$103),"",ReferenceData!$S$103),"")</f>
        <v>9.9568879925000005</v>
      </c>
      <c r="T103">
        <f ca="1">IFERROR(IF(0=LEN(ReferenceData!$T$103),"",ReferenceData!$T$103),"")</f>
        <v>14.533469534999998</v>
      </c>
      <c r="U103">
        <f ca="1">IFERROR(IF(0=LEN(ReferenceData!$U$103),"",ReferenceData!$U$103),"")</f>
        <v>11.667905619999999</v>
      </c>
      <c r="V103">
        <f ca="1">IFERROR(IF(0=LEN(ReferenceData!$V$103),"",ReferenceData!$V$103),"")</f>
        <v>19.048584715000001</v>
      </c>
      <c r="W103">
        <f ca="1">IFERROR(IF(0=LEN(ReferenceData!$W$103),"",ReferenceData!$W$103),"")</f>
        <v>30.390460839999999</v>
      </c>
      <c r="X103">
        <f ca="1">IFERROR(IF(0=LEN(ReferenceData!$X$103),"",ReferenceData!$X$103),"")</f>
        <v>25.077940679999998</v>
      </c>
      <c r="Y103">
        <f ca="1">IFERROR(IF(0=LEN(ReferenceData!$Y$103),"",ReferenceData!$Y$103),"")</f>
        <v>21.292026140000001</v>
      </c>
      <c r="Z103">
        <f ca="1">IFERROR(IF(0=LEN(ReferenceData!$Z$103),"",ReferenceData!$Z$103),"")</f>
        <v>15.498022979999998</v>
      </c>
      <c r="AA103">
        <f ca="1">IFERROR(IF(0=LEN(ReferenceData!$AA$103),"",ReferenceData!$AA$103),"")</f>
        <v>16.04572636</v>
      </c>
      <c r="AB103">
        <f ca="1">IFERROR(IF(0=LEN(ReferenceData!$AB$103),"",ReferenceData!$AB$103),"")</f>
        <v>17.10197853</v>
      </c>
      <c r="AC103">
        <f ca="1">IFERROR(IF(0=LEN(ReferenceData!$AC$103),"",ReferenceData!$AC$103),"")</f>
        <v>11.964401196000001</v>
      </c>
      <c r="AD103">
        <f ca="1">IFERROR(IF(0=LEN(ReferenceData!$AD$103),"",ReferenceData!$AD$103),"")</f>
        <v>13.819791330000001</v>
      </c>
      <c r="AE103">
        <f ca="1">IFERROR(IF(0=LEN(ReferenceData!$AE$103),"",ReferenceData!$AE$103),"")</f>
        <v>12.087200790000001</v>
      </c>
      <c r="AF103">
        <f ca="1">IFERROR(IF(0=LEN(ReferenceData!$AF$103),"",ReferenceData!$AF$103),"")</f>
        <v>13.523741155</v>
      </c>
      <c r="AG103">
        <f ca="1">IFERROR(IF(0=LEN(ReferenceData!$AG$103),"",ReferenceData!$AG$103),"")</f>
        <v>11.092059344999999</v>
      </c>
      <c r="AH103">
        <f ca="1">IFERROR(IF(0=LEN(ReferenceData!$AH$103),"",ReferenceData!$AH$103),"")</f>
        <v>8.1259919045000011</v>
      </c>
      <c r="AI103">
        <f ca="1">IFERROR(IF(0=LEN(ReferenceData!$AI$103),"",ReferenceData!$AI$103),"")</f>
        <v>5.7156210660000006</v>
      </c>
      <c r="AJ103">
        <f ca="1">IFERROR(IF(0=LEN(ReferenceData!$AJ$103),"",ReferenceData!$AJ$103),"")</f>
        <v>-0.46656745649999998</v>
      </c>
      <c r="AK103">
        <f ca="1">IFERROR(IF(0=LEN(ReferenceData!$AK$103),"",ReferenceData!$AK$103),"")</f>
        <v>-6.2984111970000001</v>
      </c>
      <c r="AL103">
        <f ca="1">IFERROR(IF(0=LEN(ReferenceData!$AL$103),"",ReferenceData!$AL$103),"")</f>
        <v>-5.9522348380000007</v>
      </c>
      <c r="AM103">
        <f ca="1">IFERROR(IF(0=LEN(ReferenceData!$AM$103),"",ReferenceData!$AM$103),"")</f>
        <v>-2.5873565150000002</v>
      </c>
      <c r="AN103">
        <f ca="1">IFERROR(IF(0=LEN(ReferenceData!$AN$103),"",ReferenceData!$AN$103),"")</f>
        <v>-3.5847618524999998</v>
      </c>
      <c r="AO103">
        <f ca="1">IFERROR(IF(0=LEN(ReferenceData!$AO$103),"",ReferenceData!$AO$103),"")</f>
        <v>-0.91494249650000015</v>
      </c>
      <c r="AP103">
        <f ca="1">IFERROR(IF(0=LEN(ReferenceData!$AP$103),"",ReferenceData!$AP$103),"")</f>
        <v>4.1584906889999997</v>
      </c>
      <c r="AQ103">
        <f ca="1">IFERROR(IF(0=LEN(ReferenceData!$AQ$103),"",ReferenceData!$AQ$103),"")</f>
        <v>7.443391578</v>
      </c>
      <c r="AR103">
        <f ca="1">IFERROR(IF(0=LEN(ReferenceData!$AR$103),"",ReferenceData!$AR$103),"")</f>
        <v>6.292020999</v>
      </c>
      <c r="AS103">
        <f ca="1">IFERROR(IF(0=LEN(ReferenceData!$AS$103),"",ReferenceData!$AS$103),"")</f>
        <v>9.5650812340000009</v>
      </c>
      <c r="AT103">
        <f ca="1">IFERROR(IF(0=LEN(ReferenceData!$AT$103),"",ReferenceData!$AT$103),"")</f>
        <v>7.9228248429999999</v>
      </c>
      <c r="AU103">
        <f ca="1">IFERROR(IF(0=LEN(ReferenceData!$AU$103),"",ReferenceData!$AU$103),"")</f>
        <v>6.4044578560000005</v>
      </c>
      <c r="AV103">
        <f ca="1">IFERROR(IF(0=LEN(ReferenceData!$AV$103),"",ReferenceData!$AV$103),"")</f>
        <v>7.2156470129999999</v>
      </c>
      <c r="AW103">
        <f ca="1">IFERROR(IF(0=LEN(ReferenceData!$AW$103),"",ReferenceData!$AW$103),"")</f>
        <v>4.5465104959999998</v>
      </c>
      <c r="AX103">
        <f ca="1">IFERROR(IF(0=LEN(ReferenceData!$AX$103),"",ReferenceData!$AX$103),"")</f>
        <v>3.1164327815000004</v>
      </c>
      <c r="AY103">
        <f ca="1">IFERROR(IF(0=LEN(ReferenceData!$AY$103),"",ReferenceData!$AY$103),"")</f>
        <v>15.977250381499999</v>
      </c>
      <c r="AZ103">
        <f ca="1">IFERROR(IF(0=LEN(ReferenceData!$AZ$103),"",ReferenceData!$AZ$103),"")</f>
        <v>8.9437927580000007</v>
      </c>
      <c r="BA103">
        <f ca="1">IFERROR(IF(0=LEN(ReferenceData!$BA$103),"",ReferenceData!$BA$103),"")</f>
        <v>6.2558317389999996</v>
      </c>
      <c r="BB103">
        <f ca="1">IFERROR(IF(0=LEN(ReferenceData!$BB$103),"",ReferenceData!$BB$103),"")</f>
        <v>6.9439745530000003</v>
      </c>
      <c r="BC103">
        <f ca="1">IFERROR(IF(0=LEN(ReferenceData!$BC$103),"",ReferenceData!$BC$103),"")</f>
        <v>22.835915329999999</v>
      </c>
      <c r="BD103">
        <f ca="1">IFERROR(IF(0=LEN(ReferenceData!$BD$103),"",ReferenceData!$BD$103),"")</f>
        <v>19.936127259999999</v>
      </c>
      <c r="BE103">
        <f ca="1">IFERROR(IF(0=LEN(ReferenceData!$BE$103),"",ReferenceData!$BE$103),"")</f>
        <v>18.37384694</v>
      </c>
      <c r="BF103">
        <f ca="1">IFERROR(IF(0=LEN(ReferenceData!$BF$103),"",ReferenceData!$BF$103),"")</f>
        <v>4.3273516729999999</v>
      </c>
      <c r="BG103">
        <f ca="1">IFERROR(IF(0=LEN(ReferenceData!$BG$103),"",ReferenceData!$BG$103),"")</f>
        <v>-9.5719811799999999</v>
      </c>
      <c r="BH103">
        <f ca="1">IFERROR(IF(0=LEN(ReferenceData!$BH$103),"",ReferenceData!$BH$103),"")</f>
        <v>0.16843193550000013</v>
      </c>
      <c r="BI103">
        <f ca="1">IFERROR(IF(0=LEN(ReferenceData!$BI$103),"",ReferenceData!$BI$103),"")</f>
        <v>7.4207702680000001</v>
      </c>
      <c r="BJ103">
        <f ca="1">IFERROR(IF(0=LEN(ReferenceData!$BJ$103),"",ReferenceData!$BJ$103),"")</f>
        <v>4.9258949185000001</v>
      </c>
      <c r="BK103">
        <f ca="1">IFERROR(IF(0=LEN(ReferenceData!$BK$103),"",ReferenceData!$BK$103),"")</f>
        <v>7.6631990889999999</v>
      </c>
      <c r="BL103">
        <f ca="1">IFERROR(IF(0=LEN(ReferenceData!$BL$103),"",ReferenceData!$BL$103),"")</f>
        <v>-4.6119376024999994</v>
      </c>
      <c r="BM103">
        <f ca="1">IFERROR(IF(0=LEN(ReferenceData!$BM$103),"",ReferenceData!$BM$103),"")</f>
        <v>-3.7881172264999998</v>
      </c>
    </row>
    <row r="104" spans="1:65">
      <c r="A104" t="str">
        <f>IFERROR(IF(0=LEN(ReferenceData!$A$104),"",ReferenceData!$A$104),"")</f>
        <v xml:space="preserve">    American Campus Communities In</v>
      </c>
      <c r="B104" t="str">
        <f>IFERROR(IF(0=LEN(ReferenceData!$B$104),"",ReferenceData!$B$104),"")</f>
        <v>ACC US Equity</v>
      </c>
      <c r="C104" t="str">
        <f>IFERROR(IF(0=LEN(ReferenceData!$C$104),"",ReferenceData!$C$104),"")</f>
        <v>RR551</v>
      </c>
      <c r="D104" t="str">
        <f>IFERROR(IF(0=LEN(ReferenceData!$D$104),"",ReferenceData!$D$104),"")</f>
        <v>NOI_GROWTH</v>
      </c>
      <c r="E104" t="str">
        <f>IFERROR(IF(0=LEN(ReferenceData!$E$104),"",ReferenceData!$E$104),"")</f>
        <v>动态</v>
      </c>
      <c r="F104" t="str">
        <f ca="1">IFERROR(IF(0=LEN(ReferenceData!$F$104),"",ReferenceData!$F$104),"")</f>
        <v/>
      </c>
      <c r="G104">
        <f ca="1">IFERROR(IF(0=LEN(ReferenceData!$G$104),"",ReferenceData!$G$104),"")</f>
        <v>16.61059079</v>
      </c>
      <c r="H104">
        <f ca="1">IFERROR(IF(0=LEN(ReferenceData!$H$104),"",ReferenceData!$H$104),"")</f>
        <v>-2.3867413700000002</v>
      </c>
      <c r="I104">
        <f ca="1">IFERROR(IF(0=LEN(ReferenceData!$I$104),"",ReferenceData!$I$104),"")</f>
        <v>-3.9978772330000001</v>
      </c>
      <c r="J104">
        <f ca="1">IFERROR(IF(0=LEN(ReferenceData!$J$104),"",ReferenceData!$J$104),"")</f>
        <v>-2.9775999560000002</v>
      </c>
      <c r="K104">
        <f ca="1">IFERROR(IF(0=LEN(ReferenceData!$K$104),"",ReferenceData!$K$104),"")</f>
        <v>1.486553448</v>
      </c>
      <c r="L104">
        <f ca="1">IFERROR(IF(0=LEN(ReferenceData!$L$104),"",ReferenceData!$L$104),"")</f>
        <v>15.36804163</v>
      </c>
      <c r="M104">
        <f ca="1">IFERROR(IF(0=LEN(ReferenceData!$M$104),"",ReferenceData!$M$104),"")</f>
        <v>7.5075511800000001</v>
      </c>
      <c r="N104">
        <f ca="1">IFERROR(IF(0=LEN(ReferenceData!$N$104),"",ReferenceData!$N$104),"")</f>
        <v>5.7031339909999996</v>
      </c>
      <c r="O104">
        <f ca="1">IFERROR(IF(0=LEN(ReferenceData!$O$104),"",ReferenceData!$O$104),"")</f>
        <v>3.2281165139999999</v>
      </c>
      <c r="P104">
        <f ca="1">IFERROR(IF(0=LEN(ReferenceData!$P$104),"",ReferenceData!$P$104),"")</f>
        <v>1.0226012680000001</v>
      </c>
      <c r="Q104">
        <f ca="1">IFERROR(IF(0=LEN(ReferenceData!$Q$104),"",ReferenceData!$Q$104),"")</f>
        <v>3.1359608639999998</v>
      </c>
      <c r="R104">
        <f ca="1">IFERROR(IF(0=LEN(ReferenceData!$R$104),"",ReferenceData!$R$104),"")</f>
        <v>4.8168549719999998</v>
      </c>
      <c r="S104">
        <f ca="1">IFERROR(IF(0=LEN(ReferenceData!$S$104),"",ReferenceData!$S$104),"")</f>
        <v>8.7023332930000006</v>
      </c>
      <c r="T104">
        <f ca="1">IFERROR(IF(0=LEN(ReferenceData!$T$104),"",ReferenceData!$T$104),"")</f>
        <v>16.186855829999999</v>
      </c>
      <c r="U104">
        <f ca="1">IFERROR(IF(0=LEN(ReferenceData!$U$104),"",ReferenceData!$U$104),"")</f>
        <v>12.86592353</v>
      </c>
      <c r="V104">
        <f ca="1">IFERROR(IF(0=LEN(ReferenceData!$V$104),"",ReferenceData!$V$104),"")</f>
        <v>10.51813011</v>
      </c>
      <c r="W104">
        <f ca="1">IFERROR(IF(0=LEN(ReferenceData!$W$104),"",ReferenceData!$W$104),"")</f>
        <v>21.751760130000001</v>
      </c>
      <c r="X104">
        <f ca="1">IFERROR(IF(0=LEN(ReferenceData!$X$104),"",ReferenceData!$X$104),"")</f>
        <v>36.11604243</v>
      </c>
      <c r="Y104">
        <f ca="1">IFERROR(IF(0=LEN(ReferenceData!$Y$104),"",ReferenceData!$Y$104),"")</f>
        <v>60.901814520000002</v>
      </c>
      <c r="Z104">
        <f ca="1">IFERROR(IF(0=LEN(ReferenceData!$Z$104),"",ReferenceData!$Z$104),"")</f>
        <v>60.05120728</v>
      </c>
      <c r="AA104">
        <f ca="1">IFERROR(IF(0=LEN(ReferenceData!$AA$104),"",ReferenceData!$AA$104),"")</f>
        <v>47.794291540000003</v>
      </c>
      <c r="AB104">
        <f ca="1">IFERROR(IF(0=LEN(ReferenceData!$AB$104),"",ReferenceData!$AB$104),"")</f>
        <v>20.14566263</v>
      </c>
      <c r="AC104">
        <f ca="1">IFERROR(IF(0=LEN(ReferenceData!$AC$104),"",ReferenceData!$AC$104),"")</f>
        <v>7.1459039579999999</v>
      </c>
      <c r="AD104">
        <f ca="1">IFERROR(IF(0=LEN(ReferenceData!$AD$104),"",ReferenceData!$AD$104),"")</f>
        <v>8.3118283710000007</v>
      </c>
      <c r="AE104">
        <f ca="1">IFERROR(IF(0=LEN(ReferenceData!$AE$104),"",ReferenceData!$AE$104),"")</f>
        <v>11.140090170000001</v>
      </c>
      <c r="AF104">
        <f ca="1">IFERROR(IF(0=LEN(ReferenceData!$AF$104),"",ReferenceData!$AF$104),"")</f>
        <v>17.031963470000001</v>
      </c>
      <c r="AG104">
        <f ca="1">IFERROR(IF(0=LEN(ReferenceData!$AG$104),"",ReferenceData!$AG$104),"")</f>
        <v>27.382177989999999</v>
      </c>
      <c r="AH104">
        <f ca="1">IFERROR(IF(0=LEN(ReferenceData!$AH$104),"",ReferenceData!$AH$104),"")</f>
        <v>22.547909000000001</v>
      </c>
      <c r="AI104">
        <f ca="1">IFERROR(IF(0=LEN(ReferenceData!$AI$104),"",ReferenceData!$AI$104),"")</f>
        <v>15.74968992</v>
      </c>
      <c r="AJ104">
        <f ca="1">IFERROR(IF(0=LEN(ReferenceData!$AJ$104),"",ReferenceData!$AJ$104),"")</f>
        <v>8.5340469819999996</v>
      </c>
      <c r="AK104">
        <f ca="1">IFERROR(IF(0=LEN(ReferenceData!$AK$104),"",ReferenceData!$AK$104),"")</f>
        <v>12.357817620000001</v>
      </c>
      <c r="AL104">
        <f ca="1">IFERROR(IF(0=LEN(ReferenceData!$AL$104),"",ReferenceData!$AL$104),"")</f>
        <v>10.33800323</v>
      </c>
      <c r="AM104">
        <f ca="1">IFERROR(IF(0=LEN(ReferenceData!$AM$104),"",ReferenceData!$AM$104),"")</f>
        <v>18.87222856</v>
      </c>
      <c r="AN104">
        <f ca="1">IFERROR(IF(0=LEN(ReferenceData!$AN$104),"",ReferenceData!$AN$104),"")</f>
        <v>43.214725090000002</v>
      </c>
      <c r="AO104">
        <f ca="1">IFERROR(IF(0=LEN(ReferenceData!$AO$104),"",ReferenceData!$AO$104),"")</f>
        <v>51.585407429999997</v>
      </c>
      <c r="AP104">
        <f ca="1">IFERROR(IF(0=LEN(ReferenceData!$AP$104),"",ReferenceData!$AP$104),"")</f>
        <v>85.516908209999997</v>
      </c>
      <c r="AQ104">
        <f ca="1">IFERROR(IF(0=LEN(ReferenceData!$AQ$104),"",ReferenceData!$AQ$104),"")</f>
        <v>78.317376850000002</v>
      </c>
      <c r="AR104">
        <f ca="1">IFERROR(IF(0=LEN(ReferenceData!$AR$104),"",ReferenceData!$AR$104),"")</f>
        <v>49.74845887</v>
      </c>
      <c r="AS104">
        <f ca="1">IFERROR(IF(0=LEN(ReferenceData!$AS$104),"",ReferenceData!$AS$104),"")</f>
        <v>34.983563449999998</v>
      </c>
      <c r="AT104">
        <f ca="1">IFERROR(IF(0=LEN(ReferenceData!$AT$104),"",ReferenceData!$AT$104),"")</f>
        <v>10.535590320000001</v>
      </c>
      <c r="AU104">
        <f ca="1">IFERROR(IF(0=LEN(ReferenceData!$AU$104),"",ReferenceData!$AU$104),"")</f>
        <v>17.121775509999999</v>
      </c>
      <c r="AV104">
        <f ca="1">IFERROR(IF(0=LEN(ReferenceData!$AV$104),"",ReferenceData!$AV$104),"")</f>
        <v>13.448553049999999</v>
      </c>
      <c r="AW104">
        <f ca="1">IFERROR(IF(0=LEN(ReferenceData!$AW$104),"",ReferenceData!$AW$104),"")</f>
        <v>29.811385170000001</v>
      </c>
      <c r="AX104">
        <f ca="1">IFERROR(IF(0=LEN(ReferenceData!$AX$104),"",ReferenceData!$AX$104),"")</f>
        <v>41.624442260000002</v>
      </c>
      <c r="AY104">
        <f ca="1">IFERROR(IF(0=LEN(ReferenceData!$AY$104),"",ReferenceData!$AY$104),"")</f>
        <v>103.8611868</v>
      </c>
      <c r="AZ104">
        <f ca="1">IFERROR(IF(0=LEN(ReferenceData!$AZ$104),"",ReferenceData!$AZ$104),"")</f>
        <v>62.02135973</v>
      </c>
      <c r="BA104">
        <f ca="1">IFERROR(IF(0=LEN(ReferenceData!$BA$104),"",ReferenceData!$BA$104),"")</f>
        <v>50.468729930000002</v>
      </c>
      <c r="BB104">
        <f ca="1">IFERROR(IF(0=LEN(ReferenceData!$BB$104),"",ReferenceData!$BB$104),"")</f>
        <v>42.25927918</v>
      </c>
      <c r="BC104">
        <f ca="1">IFERROR(IF(0=LEN(ReferenceData!$BC$104),"",ReferenceData!$BC$104),"")</f>
        <v>-3.541642865</v>
      </c>
      <c r="BD104">
        <f ca="1">IFERROR(IF(0=LEN(ReferenceData!$BD$104),"",ReferenceData!$BD$104),"")</f>
        <v>81.598864710000001</v>
      </c>
      <c r="BE104">
        <f ca="1">IFERROR(IF(0=LEN(ReferenceData!$BE$104),"",ReferenceData!$BE$104),"")</f>
        <v>105.1910158</v>
      </c>
      <c r="BF104">
        <f ca="1">IFERROR(IF(0=LEN(ReferenceData!$BF$104),"",ReferenceData!$BF$104),"")</f>
        <v>0.73696761600000005</v>
      </c>
      <c r="BG104">
        <f ca="1">IFERROR(IF(0=LEN(ReferenceData!$BG$104),"",ReferenceData!$BG$104),"")</f>
        <v>37.345042450000001</v>
      </c>
      <c r="BH104" t="str">
        <f ca="1">IFERROR(IF(0=LEN(ReferenceData!$BH$104),"",ReferenceData!$BH$104),"")</f>
        <v/>
      </c>
      <c r="BI104" t="str">
        <f ca="1">IFERROR(IF(0=LEN(ReferenceData!$BI$104),"",ReferenceData!$BI$104),"")</f>
        <v/>
      </c>
      <c r="BJ104" t="str">
        <f ca="1">IFERROR(IF(0=LEN(ReferenceData!$BJ$104),"",ReferenceData!$BJ$104),"")</f>
        <v/>
      </c>
      <c r="BK104" t="str">
        <f ca="1">IFERROR(IF(0=LEN(ReferenceData!$BK$104),"",ReferenceData!$BK$104),"")</f>
        <v/>
      </c>
      <c r="BL104" t="str">
        <f ca="1">IFERROR(IF(0=LEN(ReferenceData!$BL$104),"",ReferenceData!$BL$104),"")</f>
        <v/>
      </c>
      <c r="BM104" t="str">
        <f ca="1">IFERROR(IF(0=LEN(ReferenceData!$BM$104),"",ReferenceData!$BM$104),"")</f>
        <v/>
      </c>
    </row>
    <row r="105" spans="1:65">
      <c r="A105" t="str">
        <f>IFERROR(IF(0=LEN(ReferenceData!$A$105),"",ReferenceData!$A$105),"")</f>
        <v xml:space="preserve">    AvalonBay Communities Inc</v>
      </c>
      <c r="B105" t="str">
        <f>IFERROR(IF(0=LEN(ReferenceData!$B$105),"",ReferenceData!$B$105),"")</f>
        <v>AVB US Equity</v>
      </c>
      <c r="C105" t="str">
        <f>IFERROR(IF(0=LEN(ReferenceData!$C$105),"",ReferenceData!$C$105),"")</f>
        <v>RR551</v>
      </c>
      <c r="D105" t="str">
        <f>IFERROR(IF(0=LEN(ReferenceData!$D$105),"",ReferenceData!$D$105),"")</f>
        <v>NOI_GROWTH</v>
      </c>
      <c r="E105" t="str">
        <f>IFERROR(IF(0=LEN(ReferenceData!$E$105),"",ReferenceData!$E$105),"")</f>
        <v>动态</v>
      </c>
      <c r="F105" t="str">
        <f ca="1">IFERROR(IF(0=LEN(ReferenceData!$F$105),"",ReferenceData!$F$105),"")</f>
        <v/>
      </c>
      <c r="G105">
        <f ca="1">IFERROR(IF(0=LEN(ReferenceData!$G$105),"",ReferenceData!$G$105),"")</f>
        <v>7.2674962240000003</v>
      </c>
      <c r="H105">
        <f ca="1">IFERROR(IF(0=LEN(ReferenceData!$H$105),"",ReferenceData!$H$105),"")</f>
        <v>8.0956215700000005</v>
      </c>
      <c r="I105">
        <f ca="1">IFERROR(IF(0=LEN(ReferenceData!$I$105),"",ReferenceData!$I$105),"")</f>
        <v>5.6906072339999998</v>
      </c>
      <c r="J105">
        <f ca="1">IFERROR(IF(0=LEN(ReferenceData!$J$105),"",ReferenceData!$J$105),"")</f>
        <v>2.15195822</v>
      </c>
      <c r="K105">
        <f ca="1">IFERROR(IF(0=LEN(ReferenceData!$K$105),"",ReferenceData!$K$105),"")</f>
        <v>8.3415935710000007</v>
      </c>
      <c r="L105">
        <f ca="1">IFERROR(IF(0=LEN(ReferenceData!$L$105),"",ReferenceData!$L$105),"")</f>
        <v>9.6051625049999991</v>
      </c>
      <c r="M105">
        <f ca="1">IFERROR(IF(0=LEN(ReferenceData!$M$105),"",ReferenceData!$M$105),"")</f>
        <v>10.72843737</v>
      </c>
      <c r="N105">
        <f ca="1">IFERROR(IF(0=LEN(ReferenceData!$N$105),"",ReferenceData!$N$105),"")</f>
        <v>20.309999789999999</v>
      </c>
      <c r="O105">
        <f ca="1">IFERROR(IF(0=LEN(ReferenceData!$O$105),"",ReferenceData!$O$105),"")</f>
        <v>12.327865409999999</v>
      </c>
      <c r="P105">
        <f ca="1">IFERROR(IF(0=LEN(ReferenceData!$P$105),"",ReferenceData!$P$105),"")</f>
        <v>9.2840224209999995</v>
      </c>
      <c r="Q105">
        <f ca="1">IFERROR(IF(0=LEN(ReferenceData!$Q$105),"",ReferenceData!$Q$105),"")</f>
        <v>11.37309861</v>
      </c>
      <c r="R105">
        <f ca="1">IFERROR(IF(0=LEN(ReferenceData!$R$105),"",ReferenceData!$R$105),"")</f>
        <v>9.7111959829999996</v>
      </c>
      <c r="S105">
        <f ca="1">IFERROR(IF(0=LEN(ReferenceData!$S$105),"",ReferenceData!$S$105),"")</f>
        <v>11.65735553</v>
      </c>
      <c r="T105">
        <f ca="1">IFERROR(IF(0=LEN(ReferenceData!$T$105),"",ReferenceData!$T$105),"")</f>
        <v>12.880083239999999</v>
      </c>
      <c r="U105">
        <f ca="1">IFERROR(IF(0=LEN(ReferenceData!$U$105),"",ReferenceData!$U$105),"")</f>
        <v>9.2723755220000008</v>
      </c>
      <c r="V105">
        <f ca="1">IFERROR(IF(0=LEN(ReferenceData!$V$105),"",ReferenceData!$V$105),"")</f>
        <v>62.680874289999998</v>
      </c>
      <c r="W105">
        <f ca="1">IFERROR(IF(0=LEN(ReferenceData!$W$105),"",ReferenceData!$W$105),"")</f>
        <v>58.874899839999998</v>
      </c>
      <c r="X105">
        <f ca="1">IFERROR(IF(0=LEN(ReferenceData!$X$105),"",ReferenceData!$X$105),"")</f>
        <v>47.807375710000002</v>
      </c>
      <c r="Y105">
        <f ca="1">IFERROR(IF(0=LEN(ReferenceData!$Y$105),"",ReferenceData!$Y$105),"")</f>
        <v>53.199388509999999</v>
      </c>
      <c r="Z105">
        <f ca="1">IFERROR(IF(0=LEN(ReferenceData!$Z$105),"",ReferenceData!$Z$105),"")</f>
        <v>-1.0787829000000001E-2</v>
      </c>
      <c r="AA105">
        <f ca="1">IFERROR(IF(0=LEN(ReferenceData!$AA$105),"",ReferenceData!$AA$105),"")</f>
        <v>2.9668713229999999</v>
      </c>
      <c r="AB105">
        <f ca="1">IFERROR(IF(0=LEN(ReferenceData!$AB$105),"",ReferenceData!$AB$105),"")</f>
        <v>10.58400896</v>
      </c>
      <c r="AC105">
        <f ca="1">IFERROR(IF(0=LEN(ReferenceData!$AC$105),"",ReferenceData!$AC$105),"")</f>
        <v>8.0214876919999991</v>
      </c>
      <c r="AD105">
        <f ca="1">IFERROR(IF(0=LEN(ReferenceData!$AD$105),"",ReferenceData!$AD$105),"")</f>
        <v>12.06203822</v>
      </c>
      <c r="AE105">
        <f ca="1">IFERROR(IF(0=LEN(ReferenceData!$AE$105),"",ReferenceData!$AE$105),"")</f>
        <v>13.437513600000001</v>
      </c>
      <c r="AF105">
        <f ca="1">IFERROR(IF(0=LEN(ReferenceData!$AF$105),"",ReferenceData!$AF$105),"")</f>
        <v>11.74538169</v>
      </c>
      <c r="AG105">
        <f ca="1">IFERROR(IF(0=LEN(ReferenceData!$AG$105),"",ReferenceData!$AG$105),"")</f>
        <v>12.862956909999999</v>
      </c>
      <c r="AH105">
        <f ca="1">IFERROR(IF(0=LEN(ReferenceData!$AH$105),"",ReferenceData!$AH$105),"")</f>
        <v>10.395584899999999</v>
      </c>
      <c r="AI105">
        <f ca="1">IFERROR(IF(0=LEN(ReferenceData!$AI$105),"",ReferenceData!$AI$105),"")</f>
        <v>9.0904773960000007</v>
      </c>
      <c r="AJ105">
        <f ca="1">IFERROR(IF(0=LEN(ReferenceData!$AJ$105),"",ReferenceData!$AJ$105),"")</f>
        <v>6.6848974910000001</v>
      </c>
      <c r="AK105">
        <f ca="1">IFERROR(IF(0=LEN(ReferenceData!$AK$105),"",ReferenceData!$AK$105),"")</f>
        <v>4.070839898</v>
      </c>
      <c r="AL105">
        <f ca="1">IFERROR(IF(0=LEN(ReferenceData!$AL$105),"",ReferenceData!$AL$105),"")</f>
        <v>1.0423029020000001</v>
      </c>
      <c r="AM105">
        <f ca="1">IFERROR(IF(0=LEN(ReferenceData!$AM$105),"",ReferenceData!$AM$105),"")</f>
        <v>-1.4891394179999999</v>
      </c>
      <c r="AN105">
        <f ca="1">IFERROR(IF(0=LEN(ReferenceData!$AN$105),"",ReferenceData!$AN$105),"")</f>
        <v>-3.5076545119999998</v>
      </c>
      <c r="AO105">
        <f ca="1">IFERROR(IF(0=LEN(ReferenceData!$AO$105),"",ReferenceData!$AO$105),"")</f>
        <v>-3.5984675030000002</v>
      </c>
      <c r="AP105">
        <f ca="1">IFERROR(IF(0=LEN(ReferenceData!$AP$105),"",ReferenceData!$AP$105),"")</f>
        <v>0.51346244299999999</v>
      </c>
      <c r="AQ105">
        <f ca="1">IFERROR(IF(0=LEN(ReferenceData!$AQ$105),"",ReferenceData!$AQ$105),"")</f>
        <v>8.5889414730000002</v>
      </c>
      <c r="AR105">
        <f ca="1">IFERROR(IF(0=LEN(ReferenceData!$AR$105),"",ReferenceData!$AR$105),"")</f>
        <v>9.9574787390000008</v>
      </c>
      <c r="AS105">
        <f ca="1">IFERROR(IF(0=LEN(ReferenceData!$AS$105),"",ReferenceData!$AS$105),"")</f>
        <v>11.908442580000001</v>
      </c>
      <c r="AT105">
        <f ca="1">IFERROR(IF(0=LEN(ReferenceData!$AT$105),"",ReferenceData!$AT$105),"")</f>
        <v>7.9604045619999999</v>
      </c>
      <c r="AU105">
        <f ca="1">IFERROR(IF(0=LEN(ReferenceData!$AU$105),"",ReferenceData!$AU$105),"")</f>
        <v>3.1076232789999998</v>
      </c>
      <c r="AV105">
        <f ca="1">IFERROR(IF(0=LEN(ReferenceData!$AV$105),"",ReferenceData!$AV$105),"")</f>
        <v>7.2156470129999999</v>
      </c>
      <c r="AW105">
        <f ca="1">IFERROR(IF(0=LEN(ReferenceData!$AW$105),"",ReferenceData!$AW$105),"")</f>
        <v>7.7704039839999997</v>
      </c>
      <c r="AX105">
        <f ca="1">IFERROR(IF(0=LEN(ReferenceData!$AX$105),"",ReferenceData!$AX$105),"")</f>
        <v>9.0527639840000003</v>
      </c>
      <c r="AY105">
        <f ca="1">IFERROR(IF(0=LEN(ReferenceData!$AY$105),"",ReferenceData!$AY$105),"")</f>
        <v>7.514781793</v>
      </c>
      <c r="AZ105">
        <f ca="1">IFERROR(IF(0=LEN(ReferenceData!$AZ$105),"",ReferenceData!$AZ$105),"")</f>
        <v>8.0933791979999992</v>
      </c>
      <c r="BA105">
        <f ca="1">IFERROR(IF(0=LEN(ReferenceData!$BA$105),"",ReferenceData!$BA$105),"")</f>
        <v>5.1366913439999999</v>
      </c>
      <c r="BB105">
        <f ca="1">IFERROR(IF(0=LEN(ReferenceData!$BB$105),"",ReferenceData!$BB$105),"")</f>
        <v>7.0953927200000004</v>
      </c>
      <c r="BC105">
        <f ca="1">IFERROR(IF(0=LEN(ReferenceData!$BC$105),"",ReferenceData!$BC$105),"")</f>
        <v>26.453833370000002</v>
      </c>
      <c r="BD105">
        <f ca="1">IFERROR(IF(0=LEN(ReferenceData!$BD$105),"",ReferenceData!$BD$105),"")</f>
        <v>9.8746164709999995</v>
      </c>
      <c r="BE105">
        <f ca="1">IFERROR(IF(0=LEN(ReferenceData!$BE$105),"",ReferenceData!$BE$105),"")</f>
        <v>4.1295081470000001</v>
      </c>
      <c r="BF105">
        <f ca="1">IFERROR(IF(0=LEN(ReferenceData!$BF$105),"",ReferenceData!$BF$105),"")</f>
        <v>4.3273516729999999</v>
      </c>
      <c r="BG105">
        <f ca="1">IFERROR(IF(0=LEN(ReferenceData!$BG$105),"",ReferenceData!$BG$105),"")</f>
        <v>-9.7617174670000004</v>
      </c>
      <c r="BH105">
        <f ca="1">IFERROR(IF(0=LEN(ReferenceData!$BH$105),"",ReferenceData!$BH$105),"")</f>
        <v>3.6010867050000002</v>
      </c>
      <c r="BI105">
        <f ca="1">IFERROR(IF(0=LEN(ReferenceData!$BI$105),"",ReferenceData!$BI$105),"")</f>
        <v>6.8949545429999999</v>
      </c>
      <c r="BJ105">
        <f ca="1">IFERROR(IF(0=LEN(ReferenceData!$BJ$105),"",ReferenceData!$BJ$105),"")</f>
        <v>3.9011845219999999</v>
      </c>
      <c r="BK105">
        <f ca="1">IFERROR(IF(0=LEN(ReferenceData!$BK$105),"",ReferenceData!$BK$105),"")</f>
        <v>0.28246442799999999</v>
      </c>
      <c r="BL105">
        <f ca="1">IFERROR(IF(0=LEN(ReferenceData!$BL$105),"",ReferenceData!$BL$105),"")</f>
        <v>-1.3776345910000001</v>
      </c>
      <c r="BM105">
        <f ca="1">IFERROR(IF(0=LEN(ReferenceData!$BM$105),"",ReferenceData!$BM$105),"")</f>
        <v>-8.5755928459999993</v>
      </c>
    </row>
    <row r="106" spans="1:65">
      <c r="A106" t="str">
        <f>IFERROR(IF(0=LEN(ReferenceData!$A$106),"",ReferenceData!$A$106),"")</f>
        <v xml:space="preserve">    Camden Property Trust</v>
      </c>
      <c r="B106" t="str">
        <f>IFERROR(IF(0=LEN(ReferenceData!$B$106),"",ReferenceData!$B$106),"")</f>
        <v>CPT US Equity</v>
      </c>
      <c r="C106" t="str">
        <f>IFERROR(IF(0=LEN(ReferenceData!$C$106),"",ReferenceData!$C$106),"")</f>
        <v>RR551</v>
      </c>
      <c r="D106" t="str">
        <f>IFERROR(IF(0=LEN(ReferenceData!$D$106),"",ReferenceData!$D$106),"")</f>
        <v>NOI_GROWTH</v>
      </c>
      <c r="E106" t="str">
        <f>IFERROR(IF(0=LEN(ReferenceData!$E$106),"",ReferenceData!$E$106),"")</f>
        <v>动态</v>
      </c>
      <c r="F106" t="str">
        <f ca="1">IFERROR(IF(0=LEN(ReferenceData!$F$106),"",ReferenceData!$F$106),"")</f>
        <v/>
      </c>
      <c r="G106">
        <f ca="1">IFERROR(IF(0=LEN(ReferenceData!$G$106),"",ReferenceData!$G$106),"")</f>
        <v>4.1624403269999997</v>
      </c>
      <c r="H106">
        <f ca="1">IFERROR(IF(0=LEN(ReferenceData!$H$106),"",ReferenceData!$H$106),"")</f>
        <v>-1.1836627239999999</v>
      </c>
      <c r="I106">
        <f ca="1">IFERROR(IF(0=LEN(ReferenceData!$I$106),"",ReferenceData!$I$106),"")</f>
        <v>1.041888156</v>
      </c>
      <c r="J106">
        <f ca="1">IFERROR(IF(0=LEN(ReferenceData!$J$106),"",ReferenceData!$J$106),"")</f>
        <v>-1.130804782</v>
      </c>
      <c r="K106">
        <f ca="1">IFERROR(IF(0=LEN(ReferenceData!$K$106),"",ReferenceData!$K$106),"")</f>
        <v>1.8191982259999999</v>
      </c>
      <c r="L106">
        <f ca="1">IFERROR(IF(0=LEN(ReferenceData!$L$106),"",ReferenceData!$L$106),"")</f>
        <v>3.6398177060000001</v>
      </c>
      <c r="M106">
        <f ca="1">IFERROR(IF(0=LEN(ReferenceData!$M$106),"",ReferenceData!$M$106),"")</f>
        <v>4.375107184</v>
      </c>
      <c r="N106">
        <f ca="1">IFERROR(IF(0=LEN(ReferenceData!$N$106),"",ReferenceData!$N$106),"")</f>
        <v>0.65261092899999995</v>
      </c>
      <c r="O106">
        <f ca="1">IFERROR(IF(0=LEN(ReferenceData!$O$106),"",ReferenceData!$O$106),"")</f>
        <v>-1.5025524729999999</v>
      </c>
      <c r="P106">
        <f ca="1">IFERROR(IF(0=LEN(ReferenceData!$P$106),"",ReferenceData!$P$106),"")</f>
        <v>-2.0643858800000001</v>
      </c>
      <c r="Q106">
        <f ca="1">IFERROR(IF(0=LEN(ReferenceData!$Q$106),"",ReferenceData!$Q$106),"")</f>
        <v>-0.47788765599999999</v>
      </c>
      <c r="R106">
        <f ca="1">IFERROR(IF(0=LEN(ReferenceData!$R$106),"",ReferenceData!$R$106),"")</f>
        <v>2.3924824739999999</v>
      </c>
      <c r="S106">
        <f ca="1">IFERROR(IF(0=LEN(ReferenceData!$S$106),"",ReferenceData!$S$106),"")</f>
        <v>4.7368163819999998</v>
      </c>
      <c r="T106">
        <f ca="1">IFERROR(IF(0=LEN(ReferenceData!$T$106),"",ReferenceData!$T$106),"")</f>
        <v>5.2474247209999998</v>
      </c>
      <c r="U106">
        <f ca="1">IFERROR(IF(0=LEN(ReferenceData!$U$106),"",ReferenceData!$U$106),"")</f>
        <v>6.9457567429999996</v>
      </c>
      <c r="V106">
        <f ca="1">IFERROR(IF(0=LEN(ReferenceData!$V$106),"",ReferenceData!$V$106),"")</f>
        <v>11.26785497</v>
      </c>
      <c r="W106">
        <f ca="1">IFERROR(IF(0=LEN(ReferenceData!$W$106),"",ReferenceData!$W$106),"")</f>
        <v>15.32781711</v>
      </c>
      <c r="X106">
        <f ca="1">IFERROR(IF(0=LEN(ReferenceData!$X$106),"",ReferenceData!$X$106),"")</f>
        <v>14.03983893</v>
      </c>
      <c r="Y106">
        <f ca="1">IFERROR(IF(0=LEN(ReferenceData!$Y$106),"",ReferenceData!$Y$106),"")</f>
        <v>12.496678340000001</v>
      </c>
      <c r="Z106">
        <f ca="1">IFERROR(IF(0=LEN(ReferenceData!$Z$106),"",ReferenceData!$Z$106),"")</f>
        <v>14.89645704</v>
      </c>
      <c r="AA106">
        <f ca="1">IFERROR(IF(0=LEN(ReferenceData!$AA$106),"",ReferenceData!$AA$106),"")</f>
        <v>18.788917609999999</v>
      </c>
      <c r="AB106">
        <f ca="1">IFERROR(IF(0=LEN(ReferenceData!$AB$106),"",ReferenceData!$AB$106),"")</f>
        <v>18.617823179999998</v>
      </c>
      <c r="AC106">
        <f ca="1">IFERROR(IF(0=LEN(ReferenceData!$AC$106),"",ReferenceData!$AC$106),"")</f>
        <v>18.154961539999999</v>
      </c>
      <c r="AD106">
        <f ca="1">IFERROR(IF(0=LEN(ReferenceData!$AD$106),"",ReferenceData!$AD$106),"")</f>
        <v>14.03078975</v>
      </c>
      <c r="AE106">
        <f ca="1">IFERROR(IF(0=LEN(ReferenceData!$AE$106),"",ReferenceData!$AE$106),"")</f>
        <v>8.0365151469999994</v>
      </c>
      <c r="AF106">
        <f ca="1">IFERROR(IF(0=LEN(ReferenceData!$AF$106),"",ReferenceData!$AF$106),"")</f>
        <v>10.105335009999999</v>
      </c>
      <c r="AG106">
        <f ca="1">IFERROR(IF(0=LEN(ReferenceData!$AG$106),"",ReferenceData!$AG$106),"")</f>
        <v>10.430095659999999</v>
      </c>
      <c r="AH106">
        <f ca="1">IFERROR(IF(0=LEN(ReferenceData!$AH$106),"",ReferenceData!$AH$106),"")</f>
        <v>10.4362443</v>
      </c>
      <c r="AI106">
        <f ca="1">IFERROR(IF(0=LEN(ReferenceData!$AI$106),"",ReferenceData!$AI$106),"")</f>
        <v>2.1245789259999999</v>
      </c>
      <c r="AJ106">
        <f ca="1">IFERROR(IF(0=LEN(ReferenceData!$AJ$106),"",ReferenceData!$AJ$106),"")</f>
        <v>-0.91459665499999998</v>
      </c>
      <c r="AK106">
        <f ca="1">IFERROR(IF(0=LEN(ReferenceData!$AK$106),"",ReferenceData!$AK$106),"")</f>
        <v>-7.5974252929999997</v>
      </c>
      <c r="AL106">
        <f ca="1">IFERROR(IF(0=LEN(ReferenceData!$AL$106),"",ReferenceData!$AL$106),"")</f>
        <v>-12.821693740000001</v>
      </c>
      <c r="AM106">
        <f ca="1">IFERROR(IF(0=LEN(ReferenceData!$AM$106),"",ReferenceData!$AM$106),"")</f>
        <v>-3.6855736120000002</v>
      </c>
      <c r="AN106">
        <f ca="1">IFERROR(IF(0=LEN(ReferenceData!$AN$106),"",ReferenceData!$AN$106),"")</f>
        <v>-6.6414097930000002</v>
      </c>
      <c r="AO106">
        <f ca="1">IFERROR(IF(0=LEN(ReferenceData!$AO$106),"",ReferenceData!$AO$106),"")</f>
        <v>-6.777083899</v>
      </c>
      <c r="AP106">
        <f ca="1">IFERROR(IF(0=LEN(ReferenceData!$AP$106),"",ReferenceData!$AP$106),"")</f>
        <v>-2.6335099880000001</v>
      </c>
      <c r="AQ106">
        <f ca="1">IFERROR(IF(0=LEN(ReferenceData!$AQ$106),"",ReferenceData!$AQ$106),"")</f>
        <v>-2.6217332259999999</v>
      </c>
      <c r="AR106">
        <f ca="1">IFERROR(IF(0=LEN(ReferenceData!$AR$106),"",ReferenceData!$AR$106),"")</f>
        <v>-2.4730234709999999</v>
      </c>
      <c r="AS106">
        <f ca="1">IFERROR(IF(0=LEN(ReferenceData!$AS$106),"",ReferenceData!$AS$106),"")</f>
        <v>-2.3361883799999998</v>
      </c>
      <c r="AT106">
        <f ca="1">IFERROR(IF(0=LEN(ReferenceData!$AT$106),"",ReferenceData!$AT$106),"")</f>
        <v>-1.1365468320000001</v>
      </c>
      <c r="AU106">
        <f ca="1">IFERROR(IF(0=LEN(ReferenceData!$AU$106),"",ReferenceData!$AU$106),"")</f>
        <v>-4.8857960010000001</v>
      </c>
      <c r="AV106">
        <f ca="1">IFERROR(IF(0=LEN(ReferenceData!$AV$106),"",ReferenceData!$AV$106),"")</f>
        <v>-11.648180440000001</v>
      </c>
      <c r="AW106">
        <f ca="1">IFERROR(IF(0=LEN(ReferenceData!$AW$106),"",ReferenceData!$AW$106),"")</f>
        <v>3.6600283130000002</v>
      </c>
      <c r="AX106">
        <f ca="1">IFERROR(IF(0=LEN(ReferenceData!$AX$106),"",ReferenceData!$AX$106),"")</f>
        <v>-1.34655145</v>
      </c>
      <c r="AY106">
        <f ca="1">IFERROR(IF(0=LEN(ReferenceData!$AY$106),"",ReferenceData!$AY$106),"")</f>
        <v>26.074674730000002</v>
      </c>
      <c r="AZ106">
        <f ca="1">IFERROR(IF(0=LEN(ReferenceData!$AZ$106),"",ReferenceData!$AZ$106),"")</f>
        <v>2.8395940890000002</v>
      </c>
      <c r="BA106">
        <f ca="1">IFERROR(IF(0=LEN(ReferenceData!$BA$106),"",ReferenceData!$BA$106),"")</f>
        <v>5.712874308</v>
      </c>
      <c r="BB106">
        <f ca="1">IFERROR(IF(0=LEN(ReferenceData!$BB$106),"",ReferenceData!$BB$106),"")</f>
        <v>27.700770080000002</v>
      </c>
      <c r="BC106">
        <f ca="1">IFERROR(IF(0=LEN(ReferenceData!$BC$106),"",ReferenceData!$BC$106),"")</f>
        <v>22.835915329999999</v>
      </c>
      <c r="BD106">
        <f ca="1">IFERROR(IF(0=LEN(ReferenceData!$BD$106),"",ReferenceData!$BD$106),"")</f>
        <v>64.102671119999997</v>
      </c>
      <c r="BE106">
        <f ca="1">IFERROR(IF(0=LEN(ReferenceData!$BE$106),"",ReferenceData!$BE$106),"")</f>
        <v>37.888415819999999</v>
      </c>
      <c r="BF106">
        <f ca="1">IFERROR(IF(0=LEN(ReferenceData!$BF$106),"",ReferenceData!$BF$106),"")</f>
        <v>12.06471649</v>
      </c>
      <c r="BG106">
        <f ca="1">IFERROR(IF(0=LEN(ReferenceData!$BG$106),"",ReferenceData!$BG$106),"")</f>
        <v>-9.5719811799999999</v>
      </c>
      <c r="BH106">
        <f ca="1">IFERROR(IF(0=LEN(ReferenceData!$BH$106),"",ReferenceData!$BH$106),"")</f>
        <v>-3.2642228339999999</v>
      </c>
      <c r="BI106">
        <f ca="1">IFERROR(IF(0=LEN(ReferenceData!$BI$106),"",ReferenceData!$BI$106),"")</f>
        <v>2.0401864380000001</v>
      </c>
      <c r="BJ106">
        <f ca="1">IFERROR(IF(0=LEN(ReferenceData!$BJ$106),"",ReferenceData!$BJ$106),"")</f>
        <v>9.2702743830000003</v>
      </c>
      <c r="BK106">
        <f ca="1">IFERROR(IF(0=LEN(ReferenceData!$BK$106),"",ReferenceData!$BK$106),"")</f>
        <v>2.681753821</v>
      </c>
      <c r="BL106">
        <f ca="1">IFERROR(IF(0=LEN(ReferenceData!$BL$106),"",ReferenceData!$BL$106),"")</f>
        <v>-4.9266852800000001</v>
      </c>
      <c r="BM106">
        <f ca="1">IFERROR(IF(0=LEN(ReferenceData!$BM$106),"",ReferenceData!$BM$106),"")</f>
        <v>-4.806661311</v>
      </c>
    </row>
    <row r="107" spans="1:65">
      <c r="A107" t="str">
        <f>IFERROR(IF(0=LEN(ReferenceData!$A$107),"",ReferenceData!$A$107),"")</f>
        <v xml:space="preserve">    Education Realty Trust Inc</v>
      </c>
      <c r="B107" t="str">
        <f>IFERROR(IF(0=LEN(ReferenceData!$B$107),"",ReferenceData!$B$107),"")</f>
        <v>EDR US Equity</v>
      </c>
      <c r="C107" t="str">
        <f>IFERROR(IF(0=LEN(ReferenceData!$C$107),"",ReferenceData!$C$107),"")</f>
        <v>RR551</v>
      </c>
      <c r="D107" t="str">
        <f>IFERROR(IF(0=LEN(ReferenceData!$D$107),"",ReferenceData!$D$107),"")</f>
        <v>NOI_GROWTH</v>
      </c>
      <c r="E107" t="str">
        <f>IFERROR(IF(0=LEN(ReferenceData!$E$107),"",ReferenceData!$E$107),"")</f>
        <v>动态</v>
      </c>
      <c r="F107" t="str">
        <f ca="1">IFERROR(IF(0=LEN(ReferenceData!$F$107),"",ReferenceData!$F$107),"")</f>
        <v/>
      </c>
      <c r="G107">
        <f ca="1">IFERROR(IF(0=LEN(ReferenceData!$G$107),"",ReferenceData!$G$107),"")</f>
        <v>14.326602319999999</v>
      </c>
      <c r="H107">
        <f ca="1">IFERROR(IF(0=LEN(ReferenceData!$H$107),"",ReferenceData!$H$107),"")</f>
        <v>17.099411849999999</v>
      </c>
      <c r="I107">
        <f ca="1">IFERROR(IF(0=LEN(ReferenceData!$I$107),"",ReferenceData!$I$107),"")</f>
        <v>14.14863922</v>
      </c>
      <c r="J107">
        <f ca="1">IFERROR(IF(0=LEN(ReferenceData!$J$107),"",ReferenceData!$J$107),"")</f>
        <v>17.86356718</v>
      </c>
      <c r="K107">
        <f ca="1">IFERROR(IF(0=LEN(ReferenceData!$K$107),"",ReferenceData!$K$107),"")</f>
        <v>14.32794728</v>
      </c>
      <c r="L107">
        <f ca="1">IFERROR(IF(0=LEN(ReferenceData!$L$107),"",ReferenceData!$L$107),"")</f>
        <v>12.899829950000001</v>
      </c>
      <c r="M107">
        <f ca="1">IFERROR(IF(0=LEN(ReferenceData!$M$107),"",ReferenceData!$M$107),"")</f>
        <v>14.94652406</v>
      </c>
      <c r="N107">
        <f ca="1">IFERROR(IF(0=LEN(ReferenceData!$N$107),"",ReferenceData!$N$107),"")</f>
        <v>23.732344130000001</v>
      </c>
      <c r="O107">
        <f ca="1">IFERROR(IF(0=LEN(ReferenceData!$O$107),"",ReferenceData!$O$107),"")</f>
        <v>13.97998817</v>
      </c>
      <c r="P107">
        <f ca="1">IFERROR(IF(0=LEN(ReferenceData!$P$107),"",ReferenceData!$P$107),"")</f>
        <v>6.6177422840000002</v>
      </c>
      <c r="Q107">
        <f ca="1">IFERROR(IF(0=LEN(ReferenceData!$Q$107),"",ReferenceData!$Q$107),"")</f>
        <v>19.95349397</v>
      </c>
      <c r="R107">
        <f ca="1">IFERROR(IF(0=LEN(ReferenceData!$R$107),"",ReferenceData!$R$107),"")</f>
        <v>23.120432829999999</v>
      </c>
      <c r="S107">
        <f ca="1">IFERROR(IF(0=LEN(ReferenceData!$S$107),"",ReferenceData!$S$107),"")</f>
        <v>27.21531414</v>
      </c>
      <c r="T107">
        <f ca="1">IFERROR(IF(0=LEN(ReferenceData!$T$107),"",ReferenceData!$T$107),"")</f>
        <v>48.23702566</v>
      </c>
      <c r="U107">
        <f ca="1">IFERROR(IF(0=LEN(ReferenceData!$U$107),"",ReferenceData!$U$107),"")</f>
        <v>32.008467850000002</v>
      </c>
      <c r="V107">
        <f ca="1">IFERROR(IF(0=LEN(ReferenceData!$V$107),"",ReferenceData!$V$107),"")</f>
        <v>32.353761740000003</v>
      </c>
      <c r="W107">
        <f ca="1">IFERROR(IF(0=LEN(ReferenceData!$W$107),"",ReferenceData!$W$107),"")</f>
        <v>39.029161549999998</v>
      </c>
      <c r="X107">
        <f ca="1">IFERROR(IF(0=LEN(ReferenceData!$X$107),"",ReferenceData!$X$107),"")</f>
        <v>63.736378879999997</v>
      </c>
      <c r="Y107">
        <f ca="1">IFERROR(IF(0=LEN(ReferenceData!$Y$107),"",ReferenceData!$Y$107),"")</f>
        <v>26.786553040000001</v>
      </c>
      <c r="Z107">
        <f ca="1">IFERROR(IF(0=LEN(ReferenceData!$Z$107),"",ReferenceData!$Z$107),"")</f>
        <v>22.50640843</v>
      </c>
      <c r="AA107">
        <f ca="1">IFERROR(IF(0=LEN(ReferenceData!$AA$107),"",ReferenceData!$AA$107),"")</f>
        <v>26.830534879999998</v>
      </c>
      <c r="AB107">
        <f ca="1">IFERROR(IF(0=LEN(ReferenceData!$AB$107),"",ReferenceData!$AB$107),"")</f>
        <v>17.479074350000001</v>
      </c>
      <c r="AC107">
        <f ca="1">IFERROR(IF(0=LEN(ReferenceData!$AC$107),"",ReferenceData!$AC$107),"")</f>
        <v>0.73678518299999995</v>
      </c>
      <c r="AD107">
        <f ca="1">IFERROR(IF(0=LEN(ReferenceData!$AD$107),"",ReferenceData!$AD$107),"")</f>
        <v>16.027759419999999</v>
      </c>
      <c r="AE107">
        <f ca="1">IFERROR(IF(0=LEN(ReferenceData!$AE$107),"",ReferenceData!$AE$107),"")</f>
        <v>6.0583807600000004</v>
      </c>
      <c r="AF107">
        <f ca="1">IFERROR(IF(0=LEN(ReferenceData!$AF$107),"",ReferenceData!$AF$107),"")</f>
        <v>-13.5652729</v>
      </c>
      <c r="AG107">
        <f ca="1">IFERROR(IF(0=LEN(ReferenceData!$AG$107),"",ReferenceData!$AG$107),"")</f>
        <v>3.9488476669999999</v>
      </c>
      <c r="AH107">
        <f ca="1">IFERROR(IF(0=LEN(ReferenceData!$AH$107),"",ReferenceData!$AH$107),"")</f>
        <v>-2.7822399280000001</v>
      </c>
      <c r="AI107">
        <f ca="1">IFERROR(IF(0=LEN(ReferenceData!$AI$107),"",ReferenceData!$AI$107),"")</f>
        <v>-12.516730020000001</v>
      </c>
      <c r="AJ107">
        <f ca="1">IFERROR(IF(0=LEN(ReferenceData!$AJ$107),"",ReferenceData!$AJ$107),"")</f>
        <v>-11.12897126</v>
      </c>
      <c r="AK107">
        <f ca="1">IFERROR(IF(0=LEN(ReferenceData!$AK$107),"",ReferenceData!$AK$107),"")</f>
        <v>-16.257722860000001</v>
      </c>
      <c r="AL107">
        <f ca="1">IFERROR(IF(0=LEN(ReferenceData!$AL$107),"",ReferenceData!$AL$107),"")</f>
        <v>-15.82107313</v>
      </c>
      <c r="AM107">
        <f ca="1">IFERROR(IF(0=LEN(ReferenceData!$AM$107),"",ReferenceData!$AM$107),"")</f>
        <v>-16.77137638</v>
      </c>
      <c r="AN107">
        <f ca="1">IFERROR(IF(0=LEN(ReferenceData!$AN$107),"",ReferenceData!$AN$107),"")</f>
        <v>-3.6618691929999998</v>
      </c>
      <c r="AO107">
        <f ca="1">IFERROR(IF(0=LEN(ReferenceData!$AO$107),"",ReferenceData!$AO$107),"")</f>
        <v>-18.01736614</v>
      </c>
      <c r="AP107">
        <f ca="1">IFERROR(IF(0=LEN(ReferenceData!$AP$107),"",ReferenceData!$AP$107),"")</f>
        <v>8.7657371459999993</v>
      </c>
      <c r="AQ107">
        <f ca="1">IFERROR(IF(0=LEN(ReferenceData!$AQ$107),"",ReferenceData!$AQ$107),"")</f>
        <v>67.335222189999996</v>
      </c>
      <c r="AR107">
        <f ca="1">IFERROR(IF(0=LEN(ReferenceData!$AR$107),"",ReferenceData!$AR$107),"")</f>
        <v>-10.12689316</v>
      </c>
      <c r="AS107">
        <f ca="1">IFERROR(IF(0=LEN(ReferenceData!$AS$107),"",ReferenceData!$AS$107),"")</f>
        <v>23.334126609999998</v>
      </c>
      <c r="AT107">
        <f ca="1">IFERROR(IF(0=LEN(ReferenceData!$AT$107),"",ReferenceData!$AT$107),"")</f>
        <v>-7.1553419270000003</v>
      </c>
      <c r="AU107">
        <f ca="1">IFERROR(IF(0=LEN(ReferenceData!$AU$107),"",ReferenceData!$AU$107),"")</f>
        <v>-22.71967733</v>
      </c>
      <c r="AV107">
        <f ca="1">IFERROR(IF(0=LEN(ReferenceData!$AV$107),"",ReferenceData!$AV$107),"")</f>
        <v>10.643115939999999</v>
      </c>
      <c r="AW107">
        <f ca="1">IFERROR(IF(0=LEN(ReferenceData!$AW$107),"",ReferenceData!$AW$107),"")</f>
        <v>5.3660982949999996</v>
      </c>
      <c r="AX107">
        <f ca="1">IFERROR(IF(0=LEN(ReferenceData!$AX$107),"",ReferenceData!$AX$107),"")</f>
        <v>2.0911169350000001</v>
      </c>
      <c r="AY107">
        <f ca="1">IFERROR(IF(0=LEN(ReferenceData!$AY$107),"",ReferenceData!$AY$107),"")</f>
        <v>38.862217950000002</v>
      </c>
      <c r="AZ107">
        <f ca="1">IFERROR(IF(0=LEN(ReferenceData!$AZ$107),"",ReferenceData!$AZ$107),"")</f>
        <v>32.025831140000001</v>
      </c>
      <c r="BA107">
        <f ca="1">IFERROR(IF(0=LEN(ReferenceData!$BA$107),"",ReferenceData!$BA$107),"")</f>
        <v>40.96854012</v>
      </c>
      <c r="BB107">
        <f ca="1">IFERROR(IF(0=LEN(ReferenceData!$BB$107),"",ReferenceData!$BB$107),"")</f>
        <v>117.8714615</v>
      </c>
      <c r="BC107" t="str">
        <f ca="1">IFERROR(IF(0=LEN(ReferenceData!$BC$107),"",ReferenceData!$BC$107),"")</f>
        <v/>
      </c>
      <c r="BD107" t="str">
        <f ca="1">IFERROR(IF(0=LEN(ReferenceData!$BD$107),"",ReferenceData!$BD$107),"")</f>
        <v/>
      </c>
      <c r="BE107" t="str">
        <f ca="1">IFERROR(IF(0=LEN(ReferenceData!$BE$107),"",ReferenceData!$BE$107),"")</f>
        <v/>
      </c>
      <c r="BF107" t="str">
        <f ca="1">IFERROR(IF(0=LEN(ReferenceData!$BF$107),"",ReferenceData!$BF$107),"")</f>
        <v/>
      </c>
      <c r="BG107" t="str">
        <f ca="1">IFERROR(IF(0=LEN(ReferenceData!$BG$107),"",ReferenceData!$BG$107),"")</f>
        <v/>
      </c>
      <c r="BH107" t="str">
        <f ca="1">IFERROR(IF(0=LEN(ReferenceData!$BH$107),"",ReferenceData!$BH$107),"")</f>
        <v/>
      </c>
      <c r="BI107" t="str">
        <f ca="1">IFERROR(IF(0=LEN(ReferenceData!$BI$107),"",ReferenceData!$BI$107),"")</f>
        <v/>
      </c>
      <c r="BJ107" t="str">
        <f ca="1">IFERROR(IF(0=LEN(ReferenceData!$BJ$107),"",ReferenceData!$BJ$107),"")</f>
        <v/>
      </c>
      <c r="BK107" t="str">
        <f ca="1">IFERROR(IF(0=LEN(ReferenceData!$BK$107),"",ReferenceData!$BK$107),"")</f>
        <v/>
      </c>
      <c r="BL107" t="str">
        <f ca="1">IFERROR(IF(0=LEN(ReferenceData!$BL$107),"",ReferenceData!$BL$107),"")</f>
        <v/>
      </c>
      <c r="BM107" t="str">
        <f ca="1">IFERROR(IF(0=LEN(ReferenceData!$BM$107),"",ReferenceData!$BM$107),"")</f>
        <v/>
      </c>
    </row>
    <row r="108" spans="1:65">
      <c r="A108" t="str">
        <f>IFERROR(IF(0=LEN(ReferenceData!$A$108),"",ReferenceData!$A$108),"")</f>
        <v xml:space="preserve">    Equity Residential</v>
      </c>
      <c r="B108" t="str">
        <f>IFERROR(IF(0=LEN(ReferenceData!$B$108),"",ReferenceData!$B$108),"")</f>
        <v>EQR US Equity</v>
      </c>
      <c r="C108" t="str">
        <f>IFERROR(IF(0=LEN(ReferenceData!$C$108),"",ReferenceData!$C$108),"")</f>
        <v>RR551</v>
      </c>
      <c r="D108" t="str">
        <f>IFERROR(IF(0=LEN(ReferenceData!$D$108),"",ReferenceData!$D$108),"")</f>
        <v>NOI_GROWTH</v>
      </c>
      <c r="E108" t="str">
        <f>IFERROR(IF(0=LEN(ReferenceData!$E$108),"",ReferenceData!$E$108),"")</f>
        <v>动态</v>
      </c>
      <c r="F108" t="str">
        <f ca="1">IFERROR(IF(0=LEN(ReferenceData!$F$108),"",ReferenceData!$F$108),"")</f>
        <v/>
      </c>
      <c r="G108">
        <f ca="1">IFERROR(IF(0=LEN(ReferenceData!$G$108),"",ReferenceData!$G$108),"")</f>
        <v>4.1734946309999996</v>
      </c>
      <c r="H108">
        <f ca="1">IFERROR(IF(0=LEN(ReferenceData!$H$108),"",ReferenceData!$H$108),"")</f>
        <v>3.3553783309999998</v>
      </c>
      <c r="I108">
        <f ca="1">IFERROR(IF(0=LEN(ReferenceData!$I$108),"",ReferenceData!$I$108),"")</f>
        <v>0.906750308</v>
      </c>
      <c r="J108">
        <f ca="1">IFERROR(IF(0=LEN(ReferenceData!$J$108),"",ReferenceData!$J$108),"")</f>
        <v>-2.1453522290000002</v>
      </c>
      <c r="K108">
        <f ca="1">IFERROR(IF(0=LEN(ReferenceData!$K$108),"",ReferenceData!$K$108),"")</f>
        <v>-14.56598436</v>
      </c>
      <c r="L108">
        <f ca="1">IFERROR(IF(0=LEN(ReferenceData!$L$108),"",ReferenceData!$L$108),"")</f>
        <v>-14.47200597</v>
      </c>
      <c r="M108">
        <f ca="1">IFERROR(IF(0=LEN(ReferenceData!$M$108),"",ReferenceData!$M$108),"")</f>
        <v>-12.221720489999999</v>
      </c>
      <c r="N108">
        <f ca="1">IFERROR(IF(0=LEN(ReferenceData!$N$108),"",ReferenceData!$N$108),"")</f>
        <v>-6.0994327510000002</v>
      </c>
      <c r="O108">
        <f ca="1">IFERROR(IF(0=LEN(ReferenceData!$O$108),"",ReferenceData!$O$108),"")</f>
        <v>6.3679063170000001</v>
      </c>
      <c r="P108">
        <f ca="1">IFERROR(IF(0=LEN(ReferenceData!$P$108),"",ReferenceData!$P$108),"")</f>
        <v>5.6656246970000002</v>
      </c>
      <c r="Q108">
        <f ca="1">IFERROR(IF(0=LEN(ReferenceData!$Q$108),"",ReferenceData!$Q$108),"")</f>
        <v>5.5525476749999996</v>
      </c>
      <c r="R108">
        <f ca="1">IFERROR(IF(0=LEN(ReferenceData!$R$108),"",ReferenceData!$R$108),"")</f>
        <v>7.6148874879999999</v>
      </c>
      <c r="S108">
        <f ca="1">IFERROR(IF(0=LEN(ReferenceData!$S$108),"",ReferenceData!$S$108),"")</f>
        <v>7.5179266519999999</v>
      </c>
      <c r="T108">
        <f ca="1">IFERROR(IF(0=LEN(ReferenceData!$T$108),"",ReferenceData!$T$108),"")</f>
        <v>7.8172231129999998</v>
      </c>
      <c r="U108">
        <f ca="1">IFERROR(IF(0=LEN(ReferenceData!$U$108),"",ReferenceData!$U$108),"")</f>
        <v>7.1478508349999998</v>
      </c>
      <c r="V108">
        <f ca="1">IFERROR(IF(0=LEN(ReferenceData!$V$108),"",ReferenceData!$V$108),"")</f>
        <v>26.829314459999999</v>
      </c>
      <c r="W108">
        <f ca="1">IFERROR(IF(0=LEN(ReferenceData!$W$108),"",ReferenceData!$W$108),"")</f>
        <v>41.118560889999998</v>
      </c>
      <c r="X108">
        <f ca="1">IFERROR(IF(0=LEN(ReferenceData!$X$108),"",ReferenceData!$X$108),"")</f>
        <v>40.768662429999999</v>
      </c>
      <c r="Y108">
        <f ca="1">IFERROR(IF(0=LEN(ReferenceData!$Y$108),"",ReferenceData!$Y$108),"")</f>
        <v>40.355406780000003</v>
      </c>
      <c r="Z108">
        <f ca="1">IFERROR(IF(0=LEN(ReferenceData!$Z$108),"",ReferenceData!$Z$108),"")</f>
        <v>14.67132159</v>
      </c>
      <c r="AA108">
        <f ca="1">IFERROR(IF(0=LEN(ReferenceData!$AA$108),"",ReferenceData!$AA$108),"")</f>
        <v>-7.454368595</v>
      </c>
      <c r="AB108">
        <f ca="1">IFERROR(IF(0=LEN(ReferenceData!$AB$108),"",ReferenceData!$AB$108),"")</f>
        <v>-7.0795166319999998</v>
      </c>
      <c r="AC108">
        <f ca="1">IFERROR(IF(0=LEN(ReferenceData!$AC$108),"",ReferenceData!$AC$108),"")</f>
        <v>-5.8410901099999997</v>
      </c>
      <c r="AD108">
        <f ca="1">IFERROR(IF(0=LEN(ReferenceData!$AD$108),"",ReferenceData!$AD$108),"")</f>
        <v>-3.2993867219999999</v>
      </c>
      <c r="AE108">
        <f ca="1">IFERROR(IF(0=LEN(ReferenceData!$AE$108),"",ReferenceData!$AE$108),"")</f>
        <v>12.070713380000001</v>
      </c>
      <c r="AF108">
        <f ca="1">IFERROR(IF(0=LEN(ReferenceData!$AF$108),"",ReferenceData!$AF$108),"")</f>
        <v>14.9096248</v>
      </c>
      <c r="AG108">
        <f ca="1">IFERROR(IF(0=LEN(ReferenceData!$AG$108),"",ReferenceData!$AG$108),"")</f>
        <v>11.754023030000001</v>
      </c>
      <c r="AH108">
        <f ca="1">IFERROR(IF(0=LEN(ReferenceData!$AH$108),"",ReferenceData!$AH$108),"")</f>
        <v>7.1484531679999996</v>
      </c>
      <c r="AI108">
        <f ca="1">IFERROR(IF(0=LEN(ReferenceData!$AI$108),"",ReferenceData!$AI$108),"")</f>
        <v>3.565739845</v>
      </c>
      <c r="AJ108">
        <f ca="1">IFERROR(IF(0=LEN(ReferenceData!$AJ$108),"",ReferenceData!$AJ$108),"")</f>
        <v>-3.147495057</v>
      </c>
      <c r="AK108">
        <f ca="1">IFERROR(IF(0=LEN(ReferenceData!$AK$108),"",ReferenceData!$AK$108),"")</f>
        <v>-6.3279200180000004</v>
      </c>
      <c r="AL108">
        <f ca="1">IFERROR(IF(0=LEN(ReferenceData!$AL$108),"",ReferenceData!$AL$108),"")</f>
        <v>-6.2612881690000002</v>
      </c>
      <c r="AM108">
        <f ca="1">IFERROR(IF(0=LEN(ReferenceData!$AM$108),"",ReferenceData!$AM$108),"")</f>
        <v>-8.9456952689999998</v>
      </c>
      <c r="AN108">
        <f ca="1">IFERROR(IF(0=LEN(ReferenceData!$AN$108),"",ReferenceData!$AN$108),"")</f>
        <v>-6.82418937</v>
      </c>
      <c r="AO108">
        <f ca="1">IFERROR(IF(0=LEN(ReferenceData!$AO$108),"",ReferenceData!$AO$108),"")</f>
        <v>-5.9291738450000002</v>
      </c>
      <c r="AP108">
        <f ca="1">IFERROR(IF(0=LEN(ReferenceData!$AP$108),"",ReferenceData!$AP$108),"")</f>
        <v>-2.910402189</v>
      </c>
      <c r="AQ108">
        <f ca="1">IFERROR(IF(0=LEN(ReferenceData!$AQ$108),"",ReferenceData!$AQ$108),"")</f>
        <v>-4.9893773540000002</v>
      </c>
      <c r="AR108">
        <f ca="1">IFERROR(IF(0=LEN(ReferenceData!$AR$108),"",ReferenceData!$AR$108),"")</f>
        <v>2.718221121</v>
      </c>
      <c r="AS108">
        <f ca="1">IFERROR(IF(0=LEN(ReferenceData!$AS$108),"",ReferenceData!$AS$108),"")</f>
        <v>6.566040331</v>
      </c>
      <c r="AT108">
        <f ca="1">IFERROR(IF(0=LEN(ReferenceData!$AT$108),"",ReferenceData!$AT$108),"")</f>
        <v>8.7788766630000001</v>
      </c>
      <c r="AU108">
        <f ca="1">IFERROR(IF(0=LEN(ReferenceData!$AU$108),"",ReferenceData!$AU$108),"")</f>
        <v>72.727956539999994</v>
      </c>
      <c r="AV108">
        <f ca="1">IFERROR(IF(0=LEN(ReferenceData!$AV$108),"",ReferenceData!$AV$108),"")</f>
        <v>-1.0419214240000001</v>
      </c>
      <c r="AW108">
        <f ca="1">IFERROR(IF(0=LEN(ReferenceData!$AW$108),"",ReferenceData!$AW$108),"")</f>
        <v>0.356784249</v>
      </c>
      <c r="AX108">
        <f ca="1">IFERROR(IF(0=LEN(ReferenceData!$AX$108),"",ReferenceData!$AX$108),"")</f>
        <v>0.35342400499999999</v>
      </c>
      <c r="AY108">
        <f ca="1">IFERROR(IF(0=LEN(ReferenceData!$AY$108),"",ReferenceData!$AY$108),"")</f>
        <v>-15.35991851</v>
      </c>
      <c r="AZ108">
        <f ca="1">IFERROR(IF(0=LEN(ReferenceData!$AZ$108),"",ReferenceData!$AZ$108),"")</f>
        <v>27.0757677</v>
      </c>
      <c r="BA108">
        <f ca="1">IFERROR(IF(0=LEN(ReferenceData!$BA$108),"",ReferenceData!$BA$108),"")</f>
        <v>21.844584680000001</v>
      </c>
      <c r="BB108">
        <f ca="1">IFERROR(IF(0=LEN(ReferenceData!$BB$108),"",ReferenceData!$BB$108),"")</f>
        <v>6.7925563860000002</v>
      </c>
      <c r="BC108">
        <f ca="1">IFERROR(IF(0=LEN(ReferenceData!$BC$108),"",ReferenceData!$BC$108),"")</f>
        <v>-3.5636755939999998</v>
      </c>
      <c r="BD108">
        <f ca="1">IFERROR(IF(0=LEN(ReferenceData!$BD$108),"",ReferenceData!$BD$108),"")</f>
        <v>-3.5216850200000001</v>
      </c>
      <c r="BE108">
        <f ca="1">IFERROR(IF(0=LEN(ReferenceData!$BE$108),"",ReferenceData!$BE$108),"")</f>
        <v>-14.38439249</v>
      </c>
      <c r="BF108">
        <f ca="1">IFERROR(IF(0=LEN(ReferenceData!$BF$108),"",ReferenceData!$BF$108),"")</f>
        <v>-5.0873113539999997</v>
      </c>
      <c r="BG108">
        <f ca="1">IFERROR(IF(0=LEN(ReferenceData!$BG$108),"",ReferenceData!$BG$108),"")</f>
        <v>-20.854204379999999</v>
      </c>
      <c r="BH108">
        <f ca="1">IFERROR(IF(0=LEN(ReferenceData!$BH$108),"",ReferenceData!$BH$108),"")</f>
        <v>-3.6293821550000001</v>
      </c>
      <c r="BI108">
        <f ca="1">IFERROR(IF(0=LEN(ReferenceData!$BI$108),"",ReferenceData!$BI$108),"")</f>
        <v>7.4470150640000004</v>
      </c>
      <c r="BJ108">
        <f ca="1">IFERROR(IF(0=LEN(ReferenceData!$BJ$108),"",ReferenceData!$BJ$108),"")</f>
        <v>4.1365395710000001</v>
      </c>
      <c r="BK108">
        <f ca="1">IFERROR(IF(0=LEN(ReferenceData!$BK$108),"",ReferenceData!$BK$108),"")</f>
        <v>8.1824444449999998</v>
      </c>
      <c r="BL108">
        <f ca="1">IFERROR(IF(0=LEN(ReferenceData!$BL$108),"",ReferenceData!$BL$108),"")</f>
        <v>-9.0679436849999995</v>
      </c>
      <c r="BM108">
        <f ca="1">IFERROR(IF(0=LEN(ReferenceData!$BM$108),"",ReferenceData!$BM$108),"")</f>
        <v>-10.974611100000001</v>
      </c>
    </row>
    <row r="109" spans="1:65">
      <c r="A109" t="str">
        <f>IFERROR(IF(0=LEN(ReferenceData!$A$109),"",ReferenceData!$A$109),"")</f>
        <v xml:space="preserve">    Essex Property Trust Inc</v>
      </c>
      <c r="B109" t="str">
        <f>IFERROR(IF(0=LEN(ReferenceData!$B$109),"",ReferenceData!$B$109),"")</f>
        <v>ESS US Equity</v>
      </c>
      <c r="C109" t="str">
        <f>IFERROR(IF(0=LEN(ReferenceData!$C$109),"",ReferenceData!$C$109),"")</f>
        <v>RR551</v>
      </c>
      <c r="D109" t="str">
        <f>IFERROR(IF(0=LEN(ReferenceData!$D$109),"",ReferenceData!$D$109),"")</f>
        <v>NOI_GROWTH</v>
      </c>
      <c r="E109" t="str">
        <f>IFERROR(IF(0=LEN(ReferenceData!$E$109),"",ReferenceData!$E$109),"")</f>
        <v>动态</v>
      </c>
      <c r="F109" t="str">
        <f ca="1">IFERROR(IF(0=LEN(ReferenceData!$F$109),"",ReferenceData!$F$109),"")</f>
        <v/>
      </c>
      <c r="G109">
        <f ca="1">IFERROR(IF(0=LEN(ReferenceData!$G$109),"",ReferenceData!$G$109),"")</f>
        <v>4.9538995220000004</v>
      </c>
      <c r="H109">
        <f ca="1">IFERROR(IF(0=LEN(ReferenceData!$H$109),"",ReferenceData!$H$109),"")</f>
        <v>4.5350506939999997</v>
      </c>
      <c r="I109">
        <f ca="1">IFERROR(IF(0=LEN(ReferenceData!$I$109),"",ReferenceData!$I$109),"")</f>
        <v>6.7783833160000002</v>
      </c>
      <c r="J109">
        <f ca="1">IFERROR(IF(0=LEN(ReferenceData!$J$109),"",ReferenceData!$J$109),"")</f>
        <v>7.3637307019999998</v>
      </c>
      <c r="K109">
        <f ca="1">IFERROR(IF(0=LEN(ReferenceData!$K$109),"",ReferenceData!$K$109),"")</f>
        <v>5.2313533540000003</v>
      </c>
      <c r="L109">
        <f ca="1">IFERROR(IF(0=LEN(ReferenceData!$L$109),"",ReferenceData!$L$109),"")</f>
        <v>9.1697663259999995</v>
      </c>
      <c r="M109">
        <f ca="1">IFERROR(IF(0=LEN(ReferenceData!$M$109),"",ReferenceData!$M$109),"")</f>
        <v>9.4262076330000006</v>
      </c>
      <c r="N109">
        <f ca="1">IFERROR(IF(0=LEN(ReferenceData!$N$109),"",ReferenceData!$N$109),"")</f>
        <v>12.26865336</v>
      </c>
      <c r="O109">
        <f ca="1">IFERROR(IF(0=LEN(ReferenceData!$O$109),"",ReferenceData!$O$109),"")</f>
        <v>14.66479934</v>
      </c>
      <c r="P109">
        <f ca="1">IFERROR(IF(0=LEN(ReferenceData!$P$109),"",ReferenceData!$P$109),"")</f>
        <v>15.15007303</v>
      </c>
      <c r="Q109">
        <f ca="1">IFERROR(IF(0=LEN(ReferenceData!$Q$109),"",ReferenceData!$Q$109),"")</f>
        <v>16.94092947</v>
      </c>
      <c r="R109">
        <f ca="1">IFERROR(IF(0=LEN(ReferenceData!$R$109),"",ReferenceData!$R$109),"")</f>
        <v>80.033669720000006</v>
      </c>
      <c r="S109">
        <f ca="1">IFERROR(IF(0=LEN(ReferenceData!$S$109),"",ReferenceData!$S$109),"")</f>
        <v>79.235101110000002</v>
      </c>
      <c r="T109">
        <f ca="1">IFERROR(IF(0=LEN(ReferenceData!$T$109),"",ReferenceData!$T$109),"")</f>
        <v>76.414220369999995</v>
      </c>
      <c r="U109">
        <f ca="1">IFERROR(IF(0=LEN(ReferenceData!$U$109),"",ReferenceData!$U$109),"")</f>
        <v>71.899842960000001</v>
      </c>
      <c r="V109">
        <f ca="1">IFERROR(IF(0=LEN(ReferenceData!$V$109),"",ReferenceData!$V$109),"")</f>
        <v>8.7269199220000004</v>
      </c>
      <c r="W109">
        <f ca="1">IFERROR(IF(0=LEN(ReferenceData!$W$109),"",ReferenceData!$W$109),"")</f>
        <v>10.62380398</v>
      </c>
      <c r="X109">
        <f ca="1">IFERROR(IF(0=LEN(ReferenceData!$X$109),"",ReferenceData!$X$109),"")</f>
        <v>13.6362141</v>
      </c>
      <c r="Y109">
        <f ca="1">IFERROR(IF(0=LEN(ReferenceData!$Y$109),"",ReferenceData!$Y$109),"")</f>
        <v>15.79749924</v>
      </c>
      <c r="Z109">
        <f ca="1">IFERROR(IF(0=LEN(ReferenceData!$Z$109),"",ReferenceData!$Z$109),"")</f>
        <v>16.099588919999999</v>
      </c>
      <c r="AA109">
        <f ca="1">IFERROR(IF(0=LEN(ReferenceData!$AA$109),"",ReferenceData!$AA$109),"")</f>
        <v>15.61038368</v>
      </c>
      <c r="AB109">
        <f ca="1">IFERROR(IF(0=LEN(ReferenceData!$AB$109),"",ReferenceData!$AB$109),"")</f>
        <v>18.196547079999998</v>
      </c>
      <c r="AC109">
        <f ca="1">IFERROR(IF(0=LEN(ReferenceData!$AC$109),"",ReferenceData!$AC$109),"")</f>
        <v>17.290214890000001</v>
      </c>
      <c r="AD109">
        <f ca="1">IFERROR(IF(0=LEN(ReferenceData!$AD$109),"",ReferenceData!$AD$109),"")</f>
        <v>17.830411999999999</v>
      </c>
      <c r="AE109">
        <f ca="1">IFERROR(IF(0=LEN(ReferenceData!$AE$109),"",ReferenceData!$AE$109),"")</f>
        <v>18.09752357</v>
      </c>
      <c r="AF109">
        <f ca="1">IFERROR(IF(0=LEN(ReferenceData!$AF$109),"",ReferenceData!$AF$109),"")</f>
        <v>15.80732802</v>
      </c>
      <c r="AG109">
        <f ca="1">IFERROR(IF(0=LEN(ReferenceData!$AG$109),"",ReferenceData!$AG$109),"")</f>
        <v>15.4724024</v>
      </c>
      <c r="AH109">
        <f ca="1">IFERROR(IF(0=LEN(ReferenceData!$AH$109),"",ReferenceData!$AH$109),"")</f>
        <v>9.1035306410000008</v>
      </c>
      <c r="AI109">
        <f ca="1">IFERROR(IF(0=LEN(ReferenceData!$AI$109),"",ReferenceData!$AI$109),"")</f>
        <v>9.5121837439999997</v>
      </c>
      <c r="AJ109">
        <f ca="1">IFERROR(IF(0=LEN(ReferenceData!$AJ$109),"",ReferenceData!$AJ$109),"")</f>
        <v>1.5796294879999999</v>
      </c>
      <c r="AK109">
        <f ca="1">IFERROR(IF(0=LEN(ReferenceData!$AK$109),"",ReferenceData!$AK$109),"")</f>
        <v>-6.3482284849999999</v>
      </c>
      <c r="AL109">
        <f ca="1">IFERROR(IF(0=LEN(ReferenceData!$AL$109),"",ReferenceData!$AL$109),"")</f>
        <v>-6.9497694059999997</v>
      </c>
      <c r="AM109">
        <f ca="1">IFERROR(IF(0=LEN(ReferenceData!$AM$109),"",ReferenceData!$AM$109),"")</f>
        <v>-9.1991189179999999</v>
      </c>
      <c r="AN109">
        <f ca="1">IFERROR(IF(0=LEN(ReferenceData!$AN$109),"",ReferenceData!$AN$109),"")</f>
        <v>-5.2855801859999998</v>
      </c>
      <c r="AO109">
        <f ca="1">IFERROR(IF(0=LEN(ReferenceData!$AO$109),"",ReferenceData!$AO$109),"")</f>
        <v>1.7685825100000001</v>
      </c>
      <c r="AP109">
        <f ca="1">IFERROR(IF(0=LEN(ReferenceData!$AP$109),"",ReferenceData!$AP$109),"")</f>
        <v>5.5434192969999998</v>
      </c>
      <c r="AQ109">
        <f ca="1">IFERROR(IF(0=LEN(ReferenceData!$AQ$109),"",ReferenceData!$AQ$109),"")</f>
        <v>6.2978416829999997</v>
      </c>
      <c r="AR109">
        <f ca="1">IFERROR(IF(0=LEN(ReferenceData!$AR$109),"",ReferenceData!$AR$109),"")</f>
        <v>6.292020999</v>
      </c>
      <c r="AS109">
        <f ca="1">IFERROR(IF(0=LEN(ReferenceData!$AS$109),"",ReferenceData!$AS$109),"")</f>
        <v>6.0438795860000001</v>
      </c>
      <c r="AT109">
        <f ca="1">IFERROR(IF(0=LEN(ReferenceData!$AT$109),"",ReferenceData!$AT$109),"")</f>
        <v>11.60983113</v>
      </c>
      <c r="AU109">
        <f ca="1">IFERROR(IF(0=LEN(ReferenceData!$AU$109),"",ReferenceData!$AU$109),"")</f>
        <v>11.620036860000001</v>
      </c>
      <c r="AV109">
        <f ca="1">IFERROR(IF(0=LEN(ReferenceData!$AV$109),"",ReferenceData!$AV$109),"")</f>
        <v>10.55748833</v>
      </c>
      <c r="AW109">
        <f ca="1">IFERROR(IF(0=LEN(ReferenceData!$AW$109),"",ReferenceData!$AW$109),"")</f>
        <v>15.206626290000001</v>
      </c>
      <c r="AX109">
        <f ca="1">IFERROR(IF(0=LEN(ReferenceData!$AX$109),"",ReferenceData!$AX$109),"")</f>
        <v>12.69662714</v>
      </c>
      <c r="AY109">
        <f ca="1">IFERROR(IF(0=LEN(ReferenceData!$AY$109),"",ReferenceData!$AY$109),"")</f>
        <v>24.439718970000001</v>
      </c>
      <c r="AZ109">
        <f ca="1">IFERROR(IF(0=LEN(ReferenceData!$AZ$109),"",ReferenceData!$AZ$109),"")</f>
        <v>6.8217251010000002</v>
      </c>
      <c r="BA109">
        <f ca="1">IFERROR(IF(0=LEN(ReferenceData!$BA$109),"",ReferenceData!$BA$109),"")</f>
        <v>5.3322826369999996</v>
      </c>
      <c r="BB109">
        <f ca="1">IFERROR(IF(0=LEN(ReferenceData!$BB$109),"",ReferenceData!$BB$109),"")</f>
        <v>-6.1556832339999996</v>
      </c>
      <c r="BC109">
        <f ca="1">IFERROR(IF(0=LEN(ReferenceData!$BC$109),"",ReferenceData!$BC$109),"")</f>
        <v>3.9484279529999999</v>
      </c>
      <c r="BD109">
        <f ca="1">IFERROR(IF(0=LEN(ReferenceData!$BD$109),"",ReferenceData!$BD$109),"")</f>
        <v>-11.752095730000001</v>
      </c>
      <c r="BE109">
        <f ca="1">IFERROR(IF(0=LEN(ReferenceData!$BE$109),"",ReferenceData!$BE$109),"")</f>
        <v>21.515708400000001</v>
      </c>
      <c r="BF109">
        <f ca="1">IFERROR(IF(0=LEN(ReferenceData!$BF$109),"",ReferenceData!$BF$109),"")</f>
        <v>36.350550980000001</v>
      </c>
      <c r="BG109">
        <f ca="1">IFERROR(IF(0=LEN(ReferenceData!$BG$109),"",ReferenceData!$BG$109),"")</f>
        <v>13.2614915</v>
      </c>
      <c r="BH109">
        <f ca="1">IFERROR(IF(0=LEN(ReferenceData!$BH$109),"",ReferenceData!$BH$109),"")</f>
        <v>55.102858740000002</v>
      </c>
      <c r="BI109">
        <f ca="1">IFERROR(IF(0=LEN(ReferenceData!$BI$109),"",ReferenceData!$BI$109),"")</f>
        <v>7.3945254719999998</v>
      </c>
      <c r="BJ109">
        <f ca="1">IFERROR(IF(0=LEN(ReferenceData!$BJ$109),"",ReferenceData!$BJ$109),"")</f>
        <v>-2.428972694</v>
      </c>
      <c r="BK109">
        <f ca="1">IFERROR(IF(0=LEN(ReferenceData!$BK$109),"",ReferenceData!$BK$109),"")</f>
        <v>32.952616079999999</v>
      </c>
      <c r="BL109">
        <f ca="1">IFERROR(IF(0=LEN(ReferenceData!$BL$109),"",ReferenceData!$BL$109),"")</f>
        <v>30.885633410000001</v>
      </c>
      <c r="BM109">
        <f ca="1">IFERROR(IF(0=LEN(ReferenceData!$BM$109),"",ReferenceData!$BM$109),"")</f>
        <v>37.170002779999997</v>
      </c>
    </row>
    <row r="110" spans="1:65">
      <c r="A110" t="str">
        <f>IFERROR(IF(0=LEN(ReferenceData!$A$110),"",ReferenceData!$A$110),"")</f>
        <v xml:space="preserve">    Mid-America Apartment Communit</v>
      </c>
      <c r="B110" t="str">
        <f>IFERROR(IF(0=LEN(ReferenceData!$B$110),"",ReferenceData!$B$110),"")</f>
        <v>MAA US Equity</v>
      </c>
      <c r="C110" t="str">
        <f>IFERROR(IF(0=LEN(ReferenceData!$C$110),"",ReferenceData!$C$110),"")</f>
        <v>RR551</v>
      </c>
      <c r="D110" t="str">
        <f>IFERROR(IF(0=LEN(ReferenceData!$D$110),"",ReferenceData!$D$110),"")</f>
        <v>NOI_GROWTH</v>
      </c>
      <c r="E110" t="str">
        <f>IFERROR(IF(0=LEN(ReferenceData!$E$110),"",ReferenceData!$E$110),"")</f>
        <v>动态</v>
      </c>
      <c r="F110" t="str">
        <f ca="1">IFERROR(IF(0=LEN(ReferenceData!$F$110),"",ReferenceData!$F$110),"")</f>
        <v/>
      </c>
      <c r="G110">
        <f ca="1">IFERROR(IF(0=LEN(ReferenceData!$G$110),"",ReferenceData!$G$110),"")</f>
        <v>24.478032049999999</v>
      </c>
      <c r="H110">
        <f ca="1">IFERROR(IF(0=LEN(ReferenceData!$H$110),"",ReferenceData!$H$110),"")</f>
        <v>41.940590370000002</v>
      </c>
      <c r="I110">
        <f ca="1">IFERROR(IF(0=LEN(ReferenceData!$I$110),"",ReferenceData!$I$110),"")</f>
        <v>44.224654319999999</v>
      </c>
      <c r="J110">
        <f ca="1">IFERROR(IF(0=LEN(ReferenceData!$J$110),"",ReferenceData!$J$110),"")</f>
        <v>46.503903370000003</v>
      </c>
      <c r="K110">
        <f ca="1">IFERROR(IF(0=LEN(ReferenceData!$K$110),"",ReferenceData!$K$110),"")</f>
        <v>19.643960119999999</v>
      </c>
      <c r="L110">
        <f ca="1">IFERROR(IF(0=LEN(ReferenceData!$L$110),"",ReferenceData!$L$110),"")</f>
        <v>7.02529074</v>
      </c>
      <c r="M110">
        <f ca="1">IFERROR(IF(0=LEN(ReferenceData!$M$110),"",ReferenceData!$M$110),"")</f>
        <v>7.5886629829999999</v>
      </c>
      <c r="N110">
        <f ca="1">IFERROR(IF(0=LEN(ReferenceData!$N$110),"",ReferenceData!$N$110),"")</f>
        <v>7.9332273449999997</v>
      </c>
      <c r="O110">
        <f ca="1">IFERROR(IF(0=LEN(ReferenceData!$O$110),"",ReferenceData!$O$110),"")</f>
        <v>8.3927119700000006</v>
      </c>
      <c r="P110">
        <f ca="1">IFERROR(IF(0=LEN(ReferenceData!$P$110),"",ReferenceData!$P$110),"")</f>
        <v>10.2794968</v>
      </c>
      <c r="Q110">
        <f ca="1">IFERROR(IF(0=LEN(ReferenceData!$Q$110),"",ReferenceData!$Q$110),"")</f>
        <v>10.67575143</v>
      </c>
      <c r="R110">
        <f ca="1">IFERROR(IF(0=LEN(ReferenceData!$R$110),"",ReferenceData!$R$110),"")</f>
        <v>7.7876121359999999</v>
      </c>
      <c r="S110">
        <f ca="1">IFERROR(IF(0=LEN(ReferenceData!$S$110),"",ReferenceData!$S$110),"")</f>
        <v>9.2119808849999991</v>
      </c>
      <c r="T110">
        <f ca="1">IFERROR(IF(0=LEN(ReferenceData!$T$110),"",ReferenceData!$T$110),"")</f>
        <v>84.54481629</v>
      </c>
      <c r="U110">
        <f ca="1">IFERROR(IF(0=LEN(ReferenceData!$U$110),"",ReferenceData!$U$110),"")</f>
        <v>83.381836590000006</v>
      </c>
      <c r="V110">
        <f ca="1">IFERROR(IF(0=LEN(ReferenceData!$V$110),"",ReferenceData!$V$110),"")</f>
        <v>87.478515090000002</v>
      </c>
      <c r="W110">
        <f ca="1">IFERROR(IF(0=LEN(ReferenceData!$W$110),"",ReferenceData!$W$110),"")</f>
        <v>61.515858729999998</v>
      </c>
      <c r="X110">
        <f ca="1">IFERROR(IF(0=LEN(ReferenceData!$X$110),"",ReferenceData!$X$110),"")</f>
        <v>13.492695879999999</v>
      </c>
      <c r="Y110">
        <f ca="1">IFERROR(IF(0=LEN(ReferenceData!$Y$110),"",ReferenceData!$Y$110),"")</f>
        <v>15.220322919999999</v>
      </c>
      <c r="Z110">
        <f ca="1">IFERROR(IF(0=LEN(ReferenceData!$Z$110),"",ReferenceData!$Z$110),"")</f>
        <v>17.86099699</v>
      </c>
      <c r="AA110">
        <f ca="1">IFERROR(IF(0=LEN(ReferenceData!$AA$110),"",ReferenceData!$AA$110),"")</f>
        <v>16.481069040000001</v>
      </c>
      <c r="AB110">
        <f ca="1">IFERROR(IF(0=LEN(ReferenceData!$AB$110),"",ReferenceData!$AB$110),"")</f>
        <v>16.724882709999999</v>
      </c>
      <c r="AC110">
        <f ca="1">IFERROR(IF(0=LEN(ReferenceData!$AC$110),"",ReferenceData!$AC$110),"")</f>
        <v>15.907314700000001</v>
      </c>
      <c r="AD110">
        <f ca="1">IFERROR(IF(0=LEN(ReferenceData!$AD$110),"",ReferenceData!$AD$110),"")</f>
        <v>13.60879291</v>
      </c>
      <c r="AE110">
        <f ca="1">IFERROR(IF(0=LEN(ReferenceData!$AE$110),"",ReferenceData!$AE$110),"")</f>
        <v>12.103688200000001</v>
      </c>
      <c r="AF110">
        <f ca="1">IFERROR(IF(0=LEN(ReferenceData!$AF$110),"",ReferenceData!$AF$110),"")</f>
        <v>12.13785751</v>
      </c>
      <c r="AG110">
        <f ca="1">IFERROR(IF(0=LEN(ReferenceData!$AG$110),"",ReferenceData!$AG$110),"")</f>
        <v>7.857565954</v>
      </c>
      <c r="AH110">
        <f ca="1">IFERROR(IF(0=LEN(ReferenceData!$AH$110),"",ReferenceData!$AH$110),"")</f>
        <v>4.2047695889999996</v>
      </c>
      <c r="AI110">
        <f ca="1">IFERROR(IF(0=LEN(ReferenceData!$AI$110),"",ReferenceData!$AI$110),"")</f>
        <v>7.865502287</v>
      </c>
      <c r="AJ110">
        <f ca="1">IFERROR(IF(0=LEN(ReferenceData!$AJ$110),"",ReferenceData!$AJ$110),"")</f>
        <v>-1.8538257999999998E-2</v>
      </c>
      <c r="AK110">
        <f ca="1">IFERROR(IF(0=LEN(ReferenceData!$AK$110),"",ReferenceData!$AK$110),"")</f>
        <v>-5.0550496420000002</v>
      </c>
      <c r="AL110">
        <f ca="1">IFERROR(IF(0=LEN(ReferenceData!$AL$110),"",ReferenceData!$AL$110),"")</f>
        <v>-4.5156871980000002</v>
      </c>
      <c r="AM110">
        <f ca="1">IFERROR(IF(0=LEN(ReferenceData!$AM$110),"",ReferenceData!$AM$110),"")</f>
        <v>-0.10681858599999999</v>
      </c>
      <c r="AN110">
        <f ca="1">IFERROR(IF(0=LEN(ReferenceData!$AN$110),"",ReferenceData!$AN$110),"")</f>
        <v>-2.390807718</v>
      </c>
      <c r="AO110">
        <f ca="1">IFERROR(IF(0=LEN(ReferenceData!$AO$110),"",ReferenceData!$AO$110),"")</f>
        <v>2.5964803270000001</v>
      </c>
      <c r="AP110">
        <f ca="1">IFERROR(IF(0=LEN(ReferenceData!$AP$110),"",ReferenceData!$AP$110),"")</f>
        <v>2.7735620810000001</v>
      </c>
      <c r="AQ110">
        <f ca="1">IFERROR(IF(0=LEN(ReferenceData!$AQ$110),"",ReferenceData!$AQ$110),"")</f>
        <v>2.8628983030000001</v>
      </c>
      <c r="AR110" t="str">
        <f ca="1">IFERROR(IF(0=LEN(ReferenceData!$AR$110),"",ReferenceData!$AR$110),"")</f>
        <v/>
      </c>
      <c r="AS110">
        <f ca="1">IFERROR(IF(0=LEN(ReferenceData!$AS$110),"",ReferenceData!$AS$110),"")</f>
        <v>7.221719888</v>
      </c>
      <c r="AT110">
        <f ca="1">IFERROR(IF(0=LEN(ReferenceData!$AT$110),"",ReferenceData!$AT$110),"")</f>
        <v>7.8852451239999999</v>
      </c>
      <c r="AU110">
        <f ca="1">IFERROR(IF(0=LEN(ReferenceData!$AU$110),"",ReferenceData!$AU$110),"")</f>
        <v>-9.5400246650000007</v>
      </c>
      <c r="AV110" t="str">
        <f ca="1">IFERROR(IF(0=LEN(ReferenceData!$AV$110),"",ReferenceData!$AV$110),"")</f>
        <v/>
      </c>
      <c r="AW110">
        <f ca="1">IFERROR(IF(0=LEN(ReferenceData!$AW$110),"",ReferenceData!$AW$110),"")</f>
        <v>3.726922697</v>
      </c>
      <c r="AX110">
        <f ca="1">IFERROR(IF(0=LEN(ReferenceData!$AX$110),"",ReferenceData!$AX$110),"")</f>
        <v>4.1417486280000002</v>
      </c>
      <c r="AY110">
        <f ca="1">IFERROR(IF(0=LEN(ReferenceData!$AY$110),"",ReferenceData!$AY$110),"")</f>
        <v>6.7367387030000003</v>
      </c>
      <c r="AZ110">
        <f ca="1">IFERROR(IF(0=LEN(ReferenceData!$AZ$110),"",ReferenceData!$AZ$110),"")</f>
        <v>0.74105707399999998</v>
      </c>
      <c r="BA110">
        <f ca="1">IFERROR(IF(0=LEN(ReferenceData!$BA$110),"",ReferenceData!$BA$110),"")</f>
        <v>2.8429282159999998</v>
      </c>
      <c r="BB110">
        <f ca="1">IFERROR(IF(0=LEN(ReferenceData!$BB$110),"",ReferenceData!$BB$110),"")</f>
        <v>3.074454265</v>
      </c>
      <c r="BC110">
        <f ca="1">IFERROR(IF(0=LEN(ReferenceData!$BC$110),"",ReferenceData!$BC$110),"")</f>
        <v>36.791174140000003</v>
      </c>
      <c r="BD110">
        <f ca="1">IFERROR(IF(0=LEN(ReferenceData!$BD$110),"",ReferenceData!$BD$110),"")</f>
        <v>19.936127259999999</v>
      </c>
      <c r="BE110">
        <f ca="1">IFERROR(IF(0=LEN(ReferenceData!$BE$110),"",ReferenceData!$BE$110),"")</f>
        <v>18.37384694</v>
      </c>
      <c r="BF110">
        <f ca="1">IFERROR(IF(0=LEN(ReferenceData!$BF$110),"",ReferenceData!$BF$110),"")</f>
        <v>17.264557400000001</v>
      </c>
      <c r="BG110">
        <f ca="1">IFERROR(IF(0=LEN(ReferenceData!$BG$110),"",ReferenceData!$BG$110),"")</f>
        <v>6.8485358869999997</v>
      </c>
      <c r="BH110">
        <f ca="1">IFERROR(IF(0=LEN(ReferenceData!$BH$110),"",ReferenceData!$BH$110),"")</f>
        <v>13.465742049999999</v>
      </c>
      <c r="BI110">
        <f ca="1">IFERROR(IF(0=LEN(ReferenceData!$BI$110),"",ReferenceData!$BI$110),"")</f>
        <v>9.9762077849999997</v>
      </c>
      <c r="BJ110">
        <f ca="1">IFERROR(IF(0=LEN(ReferenceData!$BJ$110),"",ReferenceData!$BJ$110),"")</f>
        <v>10.938424980000001</v>
      </c>
      <c r="BK110">
        <f ca="1">IFERROR(IF(0=LEN(ReferenceData!$BK$110),"",ReferenceData!$BK$110),"")</f>
        <v>7.143953733</v>
      </c>
      <c r="BL110">
        <f ca="1">IFERROR(IF(0=LEN(ReferenceData!$BL$110),"",ReferenceData!$BL$110),"")</f>
        <v>-5.8725100279999998</v>
      </c>
      <c r="BM110">
        <f ca="1">IFERROR(IF(0=LEN(ReferenceData!$BM$110),"",ReferenceData!$BM$110),"")</f>
        <v>-2.769573142</v>
      </c>
    </row>
    <row r="111" spans="1:65">
      <c r="A111" t="str">
        <f>IFERROR(IF(0=LEN(ReferenceData!$A$111),"",ReferenceData!$A$111),"")</f>
        <v xml:space="preserve">    UDR Inc</v>
      </c>
      <c r="B111" t="str">
        <f>IFERROR(IF(0=LEN(ReferenceData!$B$111),"",ReferenceData!$B$111),"")</f>
        <v>UDR US Equity</v>
      </c>
      <c r="C111" t="str">
        <f>IFERROR(IF(0=LEN(ReferenceData!$C$111),"",ReferenceData!$C$111),"")</f>
        <v>RR551</v>
      </c>
      <c r="D111" t="str">
        <f>IFERROR(IF(0=LEN(ReferenceData!$D$111),"",ReferenceData!$D$111),"")</f>
        <v>NOI_GROWTH</v>
      </c>
      <c r="E111" t="str">
        <f>IFERROR(IF(0=LEN(ReferenceData!$E$111),"",ReferenceData!$E$111),"")</f>
        <v>动态</v>
      </c>
      <c r="F111" t="str">
        <f ca="1">IFERROR(IF(0=LEN(ReferenceData!$F$111),"",ReferenceData!$F$111),"")</f>
        <v/>
      </c>
      <c r="G111">
        <f ca="1">IFERROR(IF(0=LEN(ReferenceData!$G$111),"",ReferenceData!$G$111),"")</f>
        <v>3.7169732259999999</v>
      </c>
      <c r="H111">
        <f ca="1">IFERROR(IF(0=LEN(ReferenceData!$H$111),"",ReferenceData!$H$111),"")</f>
        <v>2.5313131680000001</v>
      </c>
      <c r="I111">
        <f ca="1">IFERROR(IF(0=LEN(ReferenceData!$I$111),"",ReferenceData!$I$111),"")</f>
        <v>4.3986792770000003</v>
      </c>
      <c r="J111">
        <f ca="1">IFERROR(IF(0=LEN(ReferenceData!$J$111),"",ReferenceData!$J$111),"")</f>
        <v>4.4962124809999997</v>
      </c>
      <c r="K111">
        <f ca="1">IFERROR(IF(0=LEN(ReferenceData!$K$111),"",ReferenceData!$K$111),"")</f>
        <v>3.0184170360000002</v>
      </c>
      <c r="L111">
        <f ca="1">IFERROR(IF(0=LEN(ReferenceData!$L$111),"",ReferenceData!$L$111),"")</f>
        <v>10.95834717</v>
      </c>
      <c r="M111">
        <f ca="1">IFERROR(IF(0=LEN(ReferenceData!$M$111),"",ReferenceData!$M$111),"")</f>
        <v>11.232457930000001</v>
      </c>
      <c r="N111">
        <f ca="1">IFERROR(IF(0=LEN(ReferenceData!$N$111),"",ReferenceData!$N$111),"")</f>
        <v>14.413878629999999</v>
      </c>
      <c r="O111">
        <f ca="1">IFERROR(IF(0=LEN(ReferenceData!$O$111),"",ReferenceData!$O$111),"")</f>
        <v>15.56429516</v>
      </c>
      <c r="P111">
        <f ca="1">IFERROR(IF(0=LEN(ReferenceData!$P$111),"",ReferenceData!$P$111),"")</f>
        <v>9.9630418909999996</v>
      </c>
      <c r="Q111">
        <f ca="1">IFERROR(IF(0=LEN(ReferenceData!$Q$111),"",ReferenceData!$Q$111),"")</f>
        <v>7.1954980869999998</v>
      </c>
      <c r="R111">
        <f ca="1">IFERROR(IF(0=LEN(ReferenceData!$R$111),"",ReferenceData!$R$111),"")</f>
        <v>8.6909566750000007</v>
      </c>
      <c r="S111">
        <f ca="1">IFERROR(IF(0=LEN(ReferenceData!$S$111),"",ReferenceData!$S$111),"")</f>
        <v>10.7017951</v>
      </c>
      <c r="T111">
        <f ca="1">IFERROR(IF(0=LEN(ReferenceData!$T$111),"",ReferenceData!$T$111),"")</f>
        <v>10.02024872</v>
      </c>
      <c r="U111">
        <f ca="1">IFERROR(IF(0=LEN(ReferenceData!$U$111),"",ReferenceData!$U$111),"")</f>
        <v>10.46988771</v>
      </c>
      <c r="V111">
        <f ca="1">IFERROR(IF(0=LEN(ReferenceData!$V$111),"",ReferenceData!$V$111),"")</f>
        <v>6.7416108509999999</v>
      </c>
      <c r="W111">
        <f ca="1">IFERROR(IF(0=LEN(ReferenceData!$W$111),"",ReferenceData!$W$111),"")</f>
        <v>5.4821580829999998</v>
      </c>
      <c r="X111">
        <f ca="1">IFERROR(IF(0=LEN(ReferenceData!$X$111),"",ReferenceData!$X$111),"")</f>
        <v>3.995873687</v>
      </c>
      <c r="Y111">
        <f ca="1">IFERROR(IF(0=LEN(ReferenceData!$Y$111),"",ReferenceData!$Y$111),"")</f>
        <v>5.7512580880000002</v>
      </c>
      <c r="Z111">
        <f ca="1">IFERROR(IF(0=LEN(ReferenceData!$Z$111),"",ReferenceData!$Z$111),"")</f>
        <v>5.9168486250000001</v>
      </c>
      <c r="AA111">
        <f ca="1">IFERROR(IF(0=LEN(ReferenceData!$AA$111),"",ReferenceData!$AA$111),"")</f>
        <v>7.5913496040000004</v>
      </c>
      <c r="AB111">
        <f ca="1">IFERROR(IF(0=LEN(ReferenceData!$AB$111),"",ReferenceData!$AB$111),"")</f>
        <v>10.111241489999999</v>
      </c>
      <c r="AC111">
        <f ca="1">IFERROR(IF(0=LEN(ReferenceData!$AC$111),"",ReferenceData!$AC$111),"")</f>
        <v>18.612846220000002</v>
      </c>
      <c r="AD111">
        <f ca="1">IFERROR(IF(0=LEN(ReferenceData!$AD$111),"",ReferenceData!$AD$111),"")</f>
        <v>29.82182113</v>
      </c>
      <c r="AE111">
        <f ca="1">IFERROR(IF(0=LEN(ReferenceData!$AE$111),"",ReferenceData!$AE$111),"")</f>
        <v>14.80245665</v>
      </c>
      <c r="AF111">
        <f ca="1">IFERROR(IF(0=LEN(ReferenceData!$AF$111),"",ReferenceData!$AF$111),"")</f>
        <v>15.061405690000001</v>
      </c>
      <c r="AG111">
        <f ca="1">IFERROR(IF(0=LEN(ReferenceData!$AG$111),"",ReferenceData!$AG$111),"")</f>
        <v>6.8264629699999997</v>
      </c>
      <c r="AH111">
        <f ca="1">IFERROR(IF(0=LEN(ReferenceData!$AH$111),"",ReferenceData!$AH$111),"")</f>
        <v>-3.4894757410000001</v>
      </c>
      <c r="AI111">
        <f ca="1">IFERROR(IF(0=LEN(ReferenceData!$AI$111),"",ReferenceData!$AI$111),"")</f>
        <v>0.52303886600000005</v>
      </c>
      <c r="AJ111">
        <f ca="1">IFERROR(IF(0=LEN(ReferenceData!$AJ$111),"",ReferenceData!$AJ$111),"")</f>
        <v>-1.22480769</v>
      </c>
      <c r="AK111">
        <f ca="1">IFERROR(IF(0=LEN(ReferenceData!$AK$111),"",ReferenceData!$AK$111),"")</f>
        <v>-6.2689023759999998</v>
      </c>
      <c r="AL111">
        <f ca="1">IFERROR(IF(0=LEN(ReferenceData!$AL$111),"",ReferenceData!$AL$111),"")</f>
        <v>-5.6431815070000004</v>
      </c>
      <c r="AM111">
        <f ca="1">IFERROR(IF(0=LEN(ReferenceData!$AM$111),"",ReferenceData!$AM$111),"")</f>
        <v>0.37454759700000001</v>
      </c>
      <c r="AN111">
        <f ca="1">IFERROR(IF(0=LEN(ReferenceData!$AN$111),"",ReferenceData!$AN$111),"")</f>
        <v>2.4159181799999998</v>
      </c>
      <c r="AO111">
        <f ca="1">IFERROR(IF(0=LEN(ReferenceData!$AO$111),"",ReferenceData!$AO$111),"")</f>
        <v>8.3059439590000004</v>
      </c>
      <c r="AP111">
        <f ca="1">IFERROR(IF(0=LEN(ReferenceData!$AP$111),"",ReferenceData!$AP$111),"")</f>
        <v>18.552799220000001</v>
      </c>
      <c r="AQ111">
        <f ca="1">IFERROR(IF(0=LEN(ReferenceData!$AQ$111),"",ReferenceData!$AQ$111),"")</f>
        <v>16.161517400000001</v>
      </c>
      <c r="AR111">
        <f ca="1">IFERROR(IF(0=LEN(ReferenceData!$AR$111),"",ReferenceData!$AR$111),"")</f>
        <v>8.7041216299999995</v>
      </c>
      <c r="AS111">
        <f ca="1">IFERROR(IF(0=LEN(ReferenceData!$AS$111),"",ReferenceData!$AS$111),"")</f>
        <v>12.81848235</v>
      </c>
      <c r="AT111">
        <f ca="1">IFERROR(IF(0=LEN(ReferenceData!$AT$111),"",ReferenceData!$AT$111),"")</f>
        <v>5.5283138249999997</v>
      </c>
      <c r="AU111">
        <f ca="1">IFERROR(IF(0=LEN(ReferenceData!$AU$111),"",ReferenceData!$AU$111),"")</f>
        <v>9.7012924330000008</v>
      </c>
      <c r="AV111">
        <f ca="1">IFERROR(IF(0=LEN(ReferenceData!$AV$111),"",ReferenceData!$AV$111),"")</f>
        <v>-32.992685629999997</v>
      </c>
      <c r="AW111">
        <f ca="1">IFERROR(IF(0=LEN(ReferenceData!$AW$111),"",ReferenceData!$AW$111),"")</f>
        <v>-21.430617139999999</v>
      </c>
      <c r="AX111">
        <f ca="1">IFERROR(IF(0=LEN(ReferenceData!$AX$111),"",ReferenceData!$AX$111),"")</f>
        <v>-22.73518898</v>
      </c>
      <c r="AY111">
        <f ca="1">IFERROR(IF(0=LEN(ReferenceData!$AY$111),"",ReferenceData!$AY$111),"")</f>
        <v>-42.879898300000001</v>
      </c>
      <c r="AZ111">
        <f ca="1">IFERROR(IF(0=LEN(ReferenceData!$AZ$111),"",ReferenceData!$AZ$111),"")</f>
        <v>9.7942063180000005</v>
      </c>
      <c r="BA111">
        <f ca="1">IFERROR(IF(0=LEN(ReferenceData!$BA$111),"",ReferenceData!$BA$111),"")</f>
        <v>6.79878917</v>
      </c>
      <c r="BB111">
        <f ca="1">IFERROR(IF(0=LEN(ReferenceData!$BB$111),"",ReferenceData!$BB$111),"")</f>
        <v>4.7819776750000003</v>
      </c>
      <c r="BC111">
        <f ca="1">IFERROR(IF(0=LEN(ReferenceData!$BC$111),"",ReferenceData!$BC$111),"")</f>
        <v>60.992479350000004</v>
      </c>
      <c r="BD111">
        <f ca="1">IFERROR(IF(0=LEN(ReferenceData!$BD$111),"",ReferenceData!$BD$111),"")</f>
        <v>29.495303839999998</v>
      </c>
      <c r="BE111">
        <f ca="1">IFERROR(IF(0=LEN(ReferenceData!$BE$111),"",ReferenceData!$BE$111),"")</f>
        <v>-12.433385980000001</v>
      </c>
      <c r="BF111">
        <f ca="1">IFERROR(IF(0=LEN(ReferenceData!$BF$111),"",ReferenceData!$BF$111),"")</f>
        <v>-11.98752689</v>
      </c>
      <c r="BG111">
        <f ca="1">IFERROR(IF(0=LEN(ReferenceData!$BG$111),"",ReferenceData!$BG$111),"")</f>
        <v>-22.218279809999999</v>
      </c>
      <c r="BH111">
        <f ca="1">IFERROR(IF(0=LEN(ReferenceData!$BH$111),"",ReferenceData!$BH$111),"")</f>
        <v>-10.308849349999999</v>
      </c>
      <c r="BI111">
        <f ca="1">IFERROR(IF(0=LEN(ReferenceData!$BI$111),"",ReferenceData!$BI$111),"")</f>
        <v>7.7418327639999998</v>
      </c>
      <c r="BJ111">
        <f ca="1">IFERROR(IF(0=LEN(ReferenceData!$BJ$111),"",ReferenceData!$BJ$111),"")</f>
        <v>5.715250266</v>
      </c>
      <c r="BK111">
        <f ca="1">IFERROR(IF(0=LEN(ReferenceData!$BK$111),"",ReferenceData!$BK$111),"")</f>
        <v>16.942721460000001</v>
      </c>
      <c r="BL111">
        <f ca="1">IFERROR(IF(0=LEN(ReferenceData!$BL$111),"",ReferenceData!$BL$111),"")</f>
        <v>-4.2971899249999996</v>
      </c>
      <c r="BM111">
        <f ca="1">IFERROR(IF(0=LEN(ReferenceData!$BM$111),"",ReferenceData!$BM$111),"")</f>
        <v>-2.0287792229999999</v>
      </c>
    </row>
    <row r="112" spans="1:65">
      <c r="A112" t="str">
        <f>IFERROR(IF(0=LEN(ReferenceData!$A$112),"",ReferenceData!$A$112),"")</f>
        <v>FFO增长同比(%)</v>
      </c>
      <c r="B112" t="str">
        <f>IFERROR(IF(0=LEN(ReferenceData!$B$112),"",ReferenceData!$B$112),"")</f>
        <v/>
      </c>
      <c r="C112" t="str">
        <f>IFERROR(IF(0=LEN(ReferenceData!$C$112),"",ReferenceData!$C$112),"")</f>
        <v/>
      </c>
      <c r="D112" t="str">
        <f>IFERROR(IF(0=LEN(ReferenceData!$D$112),"",ReferenceData!$D$112),"")</f>
        <v/>
      </c>
      <c r="E112" t="str">
        <f>IFERROR(IF(0=LEN(ReferenceData!$E$112),"",ReferenceData!$E$112),"")</f>
        <v>Median</v>
      </c>
      <c r="F112" t="str">
        <f ca="1">IFERROR(IF(0=LEN(ReferenceData!$F$112),"",ReferenceData!$F$112),"")</f>
        <v/>
      </c>
      <c r="G112" t="str">
        <f ca="1">IFERROR(IF(0=LEN(ReferenceData!$G$112),"",ReferenceData!$G$112),"")</f>
        <v/>
      </c>
      <c r="H112" t="str">
        <f ca="1">IFERROR(IF(0=LEN(ReferenceData!$H$112),"",ReferenceData!$H$112),"")</f>
        <v/>
      </c>
      <c r="I112" t="str">
        <f ca="1">IFERROR(IF(0=LEN(ReferenceData!$I$112),"",ReferenceData!$I$112),"")</f>
        <v/>
      </c>
      <c r="J112" t="str">
        <f ca="1">IFERROR(IF(0=LEN(ReferenceData!$J$112),"",ReferenceData!$J$112),"")</f>
        <v/>
      </c>
      <c r="K112" t="str">
        <f ca="1">IFERROR(IF(0=LEN(ReferenceData!$K$112),"",ReferenceData!$K$112),"")</f>
        <v/>
      </c>
      <c r="L112" t="str">
        <f ca="1">IFERROR(IF(0=LEN(ReferenceData!$L$112),"",ReferenceData!$L$112),"")</f>
        <v/>
      </c>
      <c r="M112" t="str">
        <f ca="1">IFERROR(IF(0=LEN(ReferenceData!$M$112),"",ReferenceData!$M$112),"")</f>
        <v/>
      </c>
      <c r="N112" t="str">
        <f ca="1">IFERROR(IF(0=LEN(ReferenceData!$N$112),"",ReferenceData!$N$112),"")</f>
        <v/>
      </c>
      <c r="O112" t="str">
        <f ca="1">IFERROR(IF(0=LEN(ReferenceData!$O$112),"",ReferenceData!$O$112),"")</f>
        <v/>
      </c>
      <c r="P112" t="str">
        <f ca="1">IFERROR(IF(0=LEN(ReferenceData!$P$112),"",ReferenceData!$P$112),"")</f>
        <v/>
      </c>
      <c r="Q112" t="str">
        <f ca="1">IFERROR(IF(0=LEN(ReferenceData!$Q$112),"",ReferenceData!$Q$112),"")</f>
        <v/>
      </c>
      <c r="R112" t="str">
        <f ca="1">IFERROR(IF(0=LEN(ReferenceData!$R$112),"",ReferenceData!$R$112),"")</f>
        <v/>
      </c>
      <c r="S112" t="str">
        <f ca="1">IFERROR(IF(0=LEN(ReferenceData!$S$112),"",ReferenceData!$S$112),"")</f>
        <v/>
      </c>
      <c r="T112" t="str">
        <f ca="1">IFERROR(IF(0=LEN(ReferenceData!$T$112),"",ReferenceData!$T$112),"")</f>
        <v/>
      </c>
      <c r="U112" t="str">
        <f ca="1">IFERROR(IF(0=LEN(ReferenceData!$U$112),"",ReferenceData!$U$112),"")</f>
        <v/>
      </c>
      <c r="V112" t="str">
        <f ca="1">IFERROR(IF(0=LEN(ReferenceData!$V$112),"",ReferenceData!$V$112),"")</f>
        <v/>
      </c>
      <c r="W112" t="str">
        <f ca="1">IFERROR(IF(0=LEN(ReferenceData!$W$112),"",ReferenceData!$W$112),"")</f>
        <v/>
      </c>
      <c r="X112" t="str">
        <f ca="1">IFERROR(IF(0=LEN(ReferenceData!$X$112),"",ReferenceData!$X$112),"")</f>
        <v/>
      </c>
      <c r="Y112" t="str">
        <f ca="1">IFERROR(IF(0=LEN(ReferenceData!$Y$112),"",ReferenceData!$Y$112),"")</f>
        <v/>
      </c>
      <c r="Z112" t="str">
        <f ca="1">IFERROR(IF(0=LEN(ReferenceData!$Z$112),"",ReferenceData!$Z$112),"")</f>
        <v/>
      </c>
      <c r="AA112" t="str">
        <f ca="1">IFERROR(IF(0=LEN(ReferenceData!$AA$112),"",ReferenceData!$AA$112),"")</f>
        <v/>
      </c>
      <c r="AB112" t="str">
        <f ca="1">IFERROR(IF(0=LEN(ReferenceData!$AB$112),"",ReferenceData!$AB$112),"")</f>
        <v/>
      </c>
      <c r="AC112" t="str">
        <f ca="1">IFERROR(IF(0=LEN(ReferenceData!$AC$112),"",ReferenceData!$AC$112),"")</f>
        <v/>
      </c>
      <c r="AD112" t="str">
        <f ca="1">IFERROR(IF(0=LEN(ReferenceData!$AD$112),"",ReferenceData!$AD$112),"")</f>
        <v/>
      </c>
      <c r="AE112" t="str">
        <f ca="1">IFERROR(IF(0=LEN(ReferenceData!$AE$112),"",ReferenceData!$AE$112),"")</f>
        <v/>
      </c>
      <c r="AF112" t="str">
        <f ca="1">IFERROR(IF(0=LEN(ReferenceData!$AF$112),"",ReferenceData!$AF$112),"")</f>
        <v/>
      </c>
      <c r="AG112" t="str">
        <f ca="1">IFERROR(IF(0=LEN(ReferenceData!$AG$112),"",ReferenceData!$AG$112),"")</f>
        <v/>
      </c>
      <c r="AH112" t="str">
        <f ca="1">IFERROR(IF(0=LEN(ReferenceData!$AH$112),"",ReferenceData!$AH$112),"")</f>
        <v/>
      </c>
      <c r="AI112" t="str">
        <f ca="1">IFERROR(IF(0=LEN(ReferenceData!$AI$112),"",ReferenceData!$AI$112),"")</f>
        <v/>
      </c>
      <c r="AJ112" t="str">
        <f ca="1">IFERROR(IF(0=LEN(ReferenceData!$AJ$112),"",ReferenceData!$AJ$112),"")</f>
        <v/>
      </c>
      <c r="AK112" t="str">
        <f ca="1">IFERROR(IF(0=LEN(ReferenceData!$AK$112),"",ReferenceData!$AK$112),"")</f>
        <v/>
      </c>
      <c r="AL112" t="str">
        <f ca="1">IFERROR(IF(0=LEN(ReferenceData!$AL$112),"",ReferenceData!$AL$112),"")</f>
        <v/>
      </c>
      <c r="AM112" t="str">
        <f ca="1">IFERROR(IF(0=LEN(ReferenceData!$AM$112),"",ReferenceData!$AM$112),"")</f>
        <v/>
      </c>
      <c r="AN112" t="str">
        <f ca="1">IFERROR(IF(0=LEN(ReferenceData!$AN$112),"",ReferenceData!$AN$112),"")</f>
        <v/>
      </c>
      <c r="AO112" t="str">
        <f ca="1">IFERROR(IF(0=LEN(ReferenceData!$AO$112),"",ReferenceData!$AO$112),"")</f>
        <v/>
      </c>
      <c r="AP112" t="str">
        <f ca="1">IFERROR(IF(0=LEN(ReferenceData!$AP$112),"",ReferenceData!$AP$112),"")</f>
        <v/>
      </c>
      <c r="AQ112" t="str">
        <f ca="1">IFERROR(IF(0=LEN(ReferenceData!$AQ$112),"",ReferenceData!$AQ$112),"")</f>
        <v/>
      </c>
      <c r="AR112" t="str">
        <f ca="1">IFERROR(IF(0=LEN(ReferenceData!$AR$112),"",ReferenceData!$AR$112),"")</f>
        <v/>
      </c>
      <c r="AS112" t="str">
        <f ca="1">IFERROR(IF(0=LEN(ReferenceData!$AS$112),"",ReferenceData!$AS$112),"")</f>
        <v/>
      </c>
      <c r="AT112" t="str">
        <f ca="1">IFERROR(IF(0=LEN(ReferenceData!$AT$112),"",ReferenceData!$AT$112),"")</f>
        <v/>
      </c>
      <c r="AU112" t="str">
        <f ca="1">IFERROR(IF(0=LEN(ReferenceData!$AU$112),"",ReferenceData!$AU$112),"")</f>
        <v/>
      </c>
      <c r="AV112" t="str">
        <f ca="1">IFERROR(IF(0=LEN(ReferenceData!$AV$112),"",ReferenceData!$AV$112),"")</f>
        <v/>
      </c>
      <c r="AW112" t="str">
        <f ca="1">IFERROR(IF(0=LEN(ReferenceData!$AW$112),"",ReferenceData!$AW$112),"")</f>
        <v/>
      </c>
      <c r="AX112" t="str">
        <f ca="1">IFERROR(IF(0=LEN(ReferenceData!$AX$112),"",ReferenceData!$AX$112),"")</f>
        <v/>
      </c>
      <c r="AY112" t="str">
        <f ca="1">IFERROR(IF(0=LEN(ReferenceData!$AY$112),"",ReferenceData!$AY$112),"")</f>
        <v/>
      </c>
      <c r="AZ112" t="str">
        <f ca="1">IFERROR(IF(0=LEN(ReferenceData!$AZ$112),"",ReferenceData!$AZ$112),"")</f>
        <v/>
      </c>
      <c r="BA112" t="str">
        <f ca="1">IFERROR(IF(0=LEN(ReferenceData!$BA$112),"",ReferenceData!$BA$112),"")</f>
        <v/>
      </c>
      <c r="BB112" t="str">
        <f ca="1">IFERROR(IF(0=LEN(ReferenceData!$BB$112),"",ReferenceData!$BB$112),"")</f>
        <v/>
      </c>
      <c r="BC112" t="str">
        <f ca="1">IFERROR(IF(0=LEN(ReferenceData!$BC$112),"",ReferenceData!$BC$112),"")</f>
        <v/>
      </c>
      <c r="BD112" t="str">
        <f ca="1">IFERROR(IF(0=LEN(ReferenceData!$BD$112),"",ReferenceData!$BD$112),"")</f>
        <v/>
      </c>
      <c r="BE112" t="str">
        <f ca="1">IFERROR(IF(0=LEN(ReferenceData!$BE$112),"",ReferenceData!$BE$112),"")</f>
        <v/>
      </c>
      <c r="BF112" t="str">
        <f ca="1">IFERROR(IF(0=LEN(ReferenceData!$BF$112),"",ReferenceData!$BF$112),"")</f>
        <v/>
      </c>
      <c r="BG112" t="str">
        <f ca="1">IFERROR(IF(0=LEN(ReferenceData!$BG$112),"",ReferenceData!$BG$112),"")</f>
        <v/>
      </c>
      <c r="BH112" t="str">
        <f ca="1">IFERROR(IF(0=LEN(ReferenceData!$BH$112),"",ReferenceData!$BH$112),"")</f>
        <v/>
      </c>
      <c r="BI112" t="str">
        <f ca="1">IFERROR(IF(0=LEN(ReferenceData!$BI$112),"",ReferenceData!$BI$112),"")</f>
        <v/>
      </c>
      <c r="BJ112" t="str">
        <f ca="1">IFERROR(IF(0=LEN(ReferenceData!$BJ$112),"",ReferenceData!$BJ$112),"")</f>
        <v/>
      </c>
      <c r="BK112" t="str">
        <f ca="1">IFERROR(IF(0=LEN(ReferenceData!$BK$112),"",ReferenceData!$BK$112),"")</f>
        <v/>
      </c>
      <c r="BL112" t="str">
        <f ca="1">IFERROR(IF(0=LEN(ReferenceData!$BL$112),"",ReferenceData!$BL$112),"")</f>
        <v/>
      </c>
      <c r="BM112" t="str">
        <f ca="1">IFERROR(IF(0=LEN(ReferenceData!$BM$112),"",ReferenceData!$BM$112),"")</f>
        <v/>
      </c>
    </row>
    <row r="113" spans="1:65">
      <c r="A113" t="str">
        <f>IFERROR(IF(0=LEN(ReferenceData!$A$113),"",ReferenceData!$A$113),"")</f>
        <v xml:space="preserve">    American Campus Communities In</v>
      </c>
      <c r="B113" t="str">
        <f>IFERROR(IF(0=LEN(ReferenceData!$B$113),"",ReferenceData!$B$113),"")</f>
        <v>ACC US Equity</v>
      </c>
      <c r="C113" t="str">
        <f>IFERROR(IF(0=LEN(ReferenceData!$C$113),"",ReferenceData!$C$113),"")</f>
        <v>BE592</v>
      </c>
      <c r="D113" t="str">
        <f>IFERROR(IF(0=LEN(ReferenceData!$D$113),"",ReferenceData!$D$113),"")</f>
        <v>BEST_FFOPS_YOY_GTH</v>
      </c>
      <c r="E113" t="str">
        <f>IFERROR(IF(0=LEN(ReferenceData!$E$113),"",ReferenceData!$E$113),"")</f>
        <v>动态</v>
      </c>
      <c r="F113" t="str">
        <f ca="1">IFERROR(IF(0=LEN(ReferenceData!$F$113),"",ReferenceData!$F$113),"")</f>
        <v/>
      </c>
      <c r="G113" t="str">
        <f ca="1">IFERROR(IF(0=LEN(ReferenceData!$G$113),"",ReferenceData!$G$113),"")</f>
        <v/>
      </c>
      <c r="H113" t="str">
        <f ca="1">IFERROR(IF(0=LEN(ReferenceData!$H$113),"",ReferenceData!$H$113),"")</f>
        <v/>
      </c>
      <c r="I113" t="str">
        <f ca="1">IFERROR(IF(0=LEN(ReferenceData!$I$113),"",ReferenceData!$I$113),"")</f>
        <v/>
      </c>
      <c r="J113" t="str">
        <f ca="1">IFERROR(IF(0=LEN(ReferenceData!$J$113),"",ReferenceData!$J$113),"")</f>
        <v/>
      </c>
      <c r="K113" t="str">
        <f ca="1">IFERROR(IF(0=LEN(ReferenceData!$K$113),"",ReferenceData!$K$113),"")</f>
        <v/>
      </c>
      <c r="L113" t="str">
        <f ca="1">IFERROR(IF(0=LEN(ReferenceData!$L$113),"",ReferenceData!$L$113),"")</f>
        <v/>
      </c>
      <c r="M113" t="str">
        <f ca="1">IFERROR(IF(0=LEN(ReferenceData!$M$113),"",ReferenceData!$M$113),"")</f>
        <v/>
      </c>
      <c r="N113" t="str">
        <f ca="1">IFERROR(IF(0=LEN(ReferenceData!$N$113),"",ReferenceData!$N$113),"")</f>
        <v/>
      </c>
      <c r="O113" t="str">
        <f ca="1">IFERROR(IF(0=LEN(ReferenceData!$O$113),"",ReferenceData!$O$113),"")</f>
        <v/>
      </c>
      <c r="P113" t="str">
        <f ca="1">IFERROR(IF(0=LEN(ReferenceData!$P$113),"",ReferenceData!$P$113),"")</f>
        <v/>
      </c>
      <c r="Q113" t="str">
        <f ca="1">IFERROR(IF(0=LEN(ReferenceData!$Q$113),"",ReferenceData!$Q$113),"")</f>
        <v/>
      </c>
      <c r="R113" t="str">
        <f ca="1">IFERROR(IF(0=LEN(ReferenceData!$R$113),"",ReferenceData!$R$113),"")</f>
        <v/>
      </c>
      <c r="S113" t="str">
        <f ca="1">IFERROR(IF(0=LEN(ReferenceData!$S$113),"",ReferenceData!$S$113),"")</f>
        <v/>
      </c>
      <c r="T113" t="str">
        <f ca="1">IFERROR(IF(0=LEN(ReferenceData!$T$113),"",ReferenceData!$T$113),"")</f>
        <v/>
      </c>
      <c r="U113" t="str">
        <f ca="1">IFERROR(IF(0=LEN(ReferenceData!$U$113),"",ReferenceData!$U$113),"")</f>
        <v/>
      </c>
      <c r="V113" t="str">
        <f ca="1">IFERROR(IF(0=LEN(ReferenceData!$V$113),"",ReferenceData!$V$113),"")</f>
        <v/>
      </c>
      <c r="W113" t="str">
        <f ca="1">IFERROR(IF(0=LEN(ReferenceData!$W$113),"",ReferenceData!$W$113),"")</f>
        <v/>
      </c>
      <c r="X113" t="str">
        <f ca="1">IFERROR(IF(0=LEN(ReferenceData!$X$113),"",ReferenceData!$X$113),"")</f>
        <v/>
      </c>
      <c r="Y113" t="str">
        <f ca="1">IFERROR(IF(0=LEN(ReferenceData!$Y$113),"",ReferenceData!$Y$113),"")</f>
        <v/>
      </c>
      <c r="Z113" t="str">
        <f ca="1">IFERROR(IF(0=LEN(ReferenceData!$Z$113),"",ReferenceData!$Z$113),"")</f>
        <v/>
      </c>
      <c r="AA113" t="str">
        <f ca="1">IFERROR(IF(0=LEN(ReferenceData!$AA$113),"",ReferenceData!$AA$113),"")</f>
        <v/>
      </c>
      <c r="AB113" t="str">
        <f ca="1">IFERROR(IF(0=LEN(ReferenceData!$AB$113),"",ReferenceData!$AB$113),"")</f>
        <v/>
      </c>
      <c r="AC113" t="str">
        <f ca="1">IFERROR(IF(0=LEN(ReferenceData!$AC$113),"",ReferenceData!$AC$113),"")</f>
        <v/>
      </c>
      <c r="AD113" t="str">
        <f ca="1">IFERROR(IF(0=LEN(ReferenceData!$AD$113),"",ReferenceData!$AD$113),"")</f>
        <v/>
      </c>
      <c r="AE113" t="str">
        <f ca="1">IFERROR(IF(0=LEN(ReferenceData!$AE$113),"",ReferenceData!$AE$113),"")</f>
        <v/>
      </c>
      <c r="AF113" t="str">
        <f ca="1">IFERROR(IF(0=LEN(ReferenceData!$AF$113),"",ReferenceData!$AF$113),"")</f>
        <v/>
      </c>
      <c r="AG113" t="str">
        <f ca="1">IFERROR(IF(0=LEN(ReferenceData!$AG$113),"",ReferenceData!$AG$113),"")</f>
        <v/>
      </c>
      <c r="AH113" t="str">
        <f ca="1">IFERROR(IF(0=LEN(ReferenceData!$AH$113),"",ReferenceData!$AH$113),"")</f>
        <v/>
      </c>
      <c r="AI113" t="str">
        <f ca="1">IFERROR(IF(0=LEN(ReferenceData!$AI$113),"",ReferenceData!$AI$113),"")</f>
        <v/>
      </c>
      <c r="AJ113" t="str">
        <f ca="1">IFERROR(IF(0=LEN(ReferenceData!$AJ$113),"",ReferenceData!$AJ$113),"")</f>
        <v/>
      </c>
      <c r="AK113" t="str">
        <f ca="1">IFERROR(IF(0=LEN(ReferenceData!$AK$113),"",ReferenceData!$AK$113),"")</f>
        <v/>
      </c>
      <c r="AL113" t="str">
        <f ca="1">IFERROR(IF(0=LEN(ReferenceData!$AL$113),"",ReferenceData!$AL$113),"")</f>
        <v/>
      </c>
      <c r="AM113" t="str">
        <f ca="1">IFERROR(IF(0=LEN(ReferenceData!$AM$113),"",ReferenceData!$AM$113),"")</f>
        <v/>
      </c>
      <c r="AN113" t="str">
        <f ca="1">IFERROR(IF(0=LEN(ReferenceData!$AN$113),"",ReferenceData!$AN$113),"")</f>
        <v/>
      </c>
      <c r="AO113" t="str">
        <f ca="1">IFERROR(IF(0=LEN(ReferenceData!$AO$113),"",ReferenceData!$AO$113),"")</f>
        <v/>
      </c>
      <c r="AP113" t="str">
        <f ca="1">IFERROR(IF(0=LEN(ReferenceData!$AP$113),"",ReferenceData!$AP$113),"")</f>
        <v/>
      </c>
      <c r="AQ113" t="str">
        <f ca="1">IFERROR(IF(0=LEN(ReferenceData!$AQ$113),"",ReferenceData!$AQ$113),"")</f>
        <v/>
      </c>
      <c r="AR113" t="str">
        <f ca="1">IFERROR(IF(0=LEN(ReferenceData!$AR$113),"",ReferenceData!$AR$113),"")</f>
        <v/>
      </c>
      <c r="AS113" t="str">
        <f ca="1">IFERROR(IF(0=LEN(ReferenceData!$AS$113),"",ReferenceData!$AS$113),"")</f>
        <v/>
      </c>
      <c r="AT113" t="str">
        <f ca="1">IFERROR(IF(0=LEN(ReferenceData!$AT$113),"",ReferenceData!$AT$113),"")</f>
        <v/>
      </c>
      <c r="AU113" t="str">
        <f ca="1">IFERROR(IF(0=LEN(ReferenceData!$AU$113),"",ReferenceData!$AU$113),"")</f>
        <v/>
      </c>
      <c r="AV113" t="str">
        <f ca="1">IFERROR(IF(0=LEN(ReferenceData!$AV$113),"",ReferenceData!$AV$113),"")</f>
        <v/>
      </c>
      <c r="AW113" t="str">
        <f ca="1">IFERROR(IF(0=LEN(ReferenceData!$AW$113),"",ReferenceData!$AW$113),"")</f>
        <v/>
      </c>
      <c r="AX113" t="str">
        <f ca="1">IFERROR(IF(0=LEN(ReferenceData!$AX$113),"",ReferenceData!$AX$113),"")</f>
        <v/>
      </c>
      <c r="AY113" t="str">
        <f ca="1">IFERROR(IF(0=LEN(ReferenceData!$AY$113),"",ReferenceData!$AY$113),"")</f>
        <v/>
      </c>
      <c r="AZ113" t="str">
        <f ca="1">IFERROR(IF(0=LEN(ReferenceData!$AZ$113),"",ReferenceData!$AZ$113),"")</f>
        <v/>
      </c>
      <c r="BA113" t="str">
        <f ca="1">IFERROR(IF(0=LEN(ReferenceData!$BA$113),"",ReferenceData!$BA$113),"")</f>
        <v/>
      </c>
      <c r="BB113" t="str">
        <f ca="1">IFERROR(IF(0=LEN(ReferenceData!$BB$113),"",ReferenceData!$BB$113),"")</f>
        <v/>
      </c>
      <c r="BC113" t="str">
        <f ca="1">IFERROR(IF(0=LEN(ReferenceData!$BC$113),"",ReferenceData!$BC$113),"")</f>
        <v/>
      </c>
      <c r="BD113" t="str">
        <f ca="1">IFERROR(IF(0=LEN(ReferenceData!$BD$113),"",ReferenceData!$BD$113),"")</f>
        <v/>
      </c>
      <c r="BE113" t="str">
        <f ca="1">IFERROR(IF(0=LEN(ReferenceData!$BE$113),"",ReferenceData!$BE$113),"")</f>
        <v/>
      </c>
      <c r="BF113" t="str">
        <f ca="1">IFERROR(IF(0=LEN(ReferenceData!$BF$113),"",ReferenceData!$BF$113),"")</f>
        <v/>
      </c>
      <c r="BG113" t="str">
        <f ca="1">IFERROR(IF(0=LEN(ReferenceData!$BG$113),"",ReferenceData!$BG$113),"")</f>
        <v/>
      </c>
      <c r="BH113" t="str">
        <f ca="1">IFERROR(IF(0=LEN(ReferenceData!$BH$113),"",ReferenceData!$BH$113),"")</f>
        <v/>
      </c>
      <c r="BI113" t="str">
        <f ca="1">IFERROR(IF(0=LEN(ReferenceData!$BI$113),"",ReferenceData!$BI$113),"")</f>
        <v/>
      </c>
      <c r="BJ113" t="str">
        <f ca="1">IFERROR(IF(0=LEN(ReferenceData!$BJ$113),"",ReferenceData!$BJ$113),"")</f>
        <v/>
      </c>
      <c r="BK113" t="str">
        <f ca="1">IFERROR(IF(0=LEN(ReferenceData!$BK$113),"",ReferenceData!$BK$113),"")</f>
        <v/>
      </c>
      <c r="BL113" t="str">
        <f ca="1">IFERROR(IF(0=LEN(ReferenceData!$BL$113),"",ReferenceData!$BL$113),"")</f>
        <v/>
      </c>
      <c r="BM113" t="str">
        <f ca="1">IFERROR(IF(0=LEN(ReferenceData!$BM$113),"",ReferenceData!$BM$113),"")</f>
        <v/>
      </c>
    </row>
    <row r="114" spans="1:65">
      <c r="A114" t="str">
        <f>IFERROR(IF(0=LEN(ReferenceData!$A$114),"",ReferenceData!$A$114),"")</f>
        <v xml:space="preserve">    AvalonBay Communities Inc</v>
      </c>
      <c r="B114" t="str">
        <f>IFERROR(IF(0=LEN(ReferenceData!$B$114),"",ReferenceData!$B$114),"")</f>
        <v>AVB US Equity</v>
      </c>
      <c r="C114" t="str">
        <f>IFERROR(IF(0=LEN(ReferenceData!$C$114),"",ReferenceData!$C$114),"")</f>
        <v>BE592</v>
      </c>
      <c r="D114" t="str">
        <f>IFERROR(IF(0=LEN(ReferenceData!$D$114),"",ReferenceData!$D$114),"")</f>
        <v>BEST_FFOPS_YOY_GTH</v>
      </c>
      <c r="E114" t="str">
        <f>IFERROR(IF(0=LEN(ReferenceData!$E$114),"",ReferenceData!$E$114),"")</f>
        <v>动态</v>
      </c>
      <c r="F114" t="str">
        <f ca="1">IFERROR(IF(0=LEN(ReferenceData!$F$114),"",ReferenceData!$F$114),"")</f>
        <v/>
      </c>
      <c r="G114" t="str">
        <f ca="1">IFERROR(IF(0=LEN(ReferenceData!$G$114),"",ReferenceData!$G$114),"")</f>
        <v/>
      </c>
      <c r="H114" t="str">
        <f ca="1">IFERROR(IF(0=LEN(ReferenceData!$H$114),"",ReferenceData!$H$114),"")</f>
        <v/>
      </c>
      <c r="I114" t="str">
        <f ca="1">IFERROR(IF(0=LEN(ReferenceData!$I$114),"",ReferenceData!$I$114),"")</f>
        <v/>
      </c>
      <c r="J114" t="str">
        <f ca="1">IFERROR(IF(0=LEN(ReferenceData!$J$114),"",ReferenceData!$J$114),"")</f>
        <v/>
      </c>
      <c r="K114" t="str">
        <f ca="1">IFERROR(IF(0=LEN(ReferenceData!$K$114),"",ReferenceData!$K$114),"")</f>
        <v/>
      </c>
      <c r="L114" t="str">
        <f ca="1">IFERROR(IF(0=LEN(ReferenceData!$L$114),"",ReferenceData!$L$114),"")</f>
        <v/>
      </c>
      <c r="M114" t="str">
        <f ca="1">IFERROR(IF(0=LEN(ReferenceData!$M$114),"",ReferenceData!$M$114),"")</f>
        <v/>
      </c>
      <c r="N114" t="str">
        <f ca="1">IFERROR(IF(0=LEN(ReferenceData!$N$114),"",ReferenceData!$N$114),"")</f>
        <v/>
      </c>
      <c r="O114" t="str">
        <f ca="1">IFERROR(IF(0=LEN(ReferenceData!$O$114),"",ReferenceData!$O$114),"")</f>
        <v/>
      </c>
      <c r="P114" t="str">
        <f ca="1">IFERROR(IF(0=LEN(ReferenceData!$P$114),"",ReferenceData!$P$114),"")</f>
        <v/>
      </c>
      <c r="Q114" t="str">
        <f ca="1">IFERROR(IF(0=LEN(ReferenceData!$Q$114),"",ReferenceData!$Q$114),"")</f>
        <v/>
      </c>
      <c r="R114" t="str">
        <f ca="1">IFERROR(IF(0=LEN(ReferenceData!$R$114),"",ReferenceData!$R$114),"")</f>
        <v/>
      </c>
      <c r="S114" t="str">
        <f ca="1">IFERROR(IF(0=LEN(ReferenceData!$S$114),"",ReferenceData!$S$114),"")</f>
        <v/>
      </c>
      <c r="T114" t="str">
        <f ca="1">IFERROR(IF(0=LEN(ReferenceData!$T$114),"",ReferenceData!$T$114),"")</f>
        <v/>
      </c>
      <c r="U114" t="str">
        <f ca="1">IFERROR(IF(0=LEN(ReferenceData!$U$114),"",ReferenceData!$U$114),"")</f>
        <v/>
      </c>
      <c r="V114" t="str">
        <f ca="1">IFERROR(IF(0=LEN(ReferenceData!$V$114),"",ReferenceData!$V$114),"")</f>
        <v/>
      </c>
      <c r="W114" t="str">
        <f ca="1">IFERROR(IF(0=LEN(ReferenceData!$W$114),"",ReferenceData!$W$114),"")</f>
        <v/>
      </c>
      <c r="X114" t="str">
        <f ca="1">IFERROR(IF(0=LEN(ReferenceData!$X$114),"",ReferenceData!$X$114),"")</f>
        <v/>
      </c>
      <c r="Y114" t="str">
        <f ca="1">IFERROR(IF(0=LEN(ReferenceData!$Y$114),"",ReferenceData!$Y$114),"")</f>
        <v/>
      </c>
      <c r="Z114" t="str">
        <f ca="1">IFERROR(IF(0=LEN(ReferenceData!$Z$114),"",ReferenceData!$Z$114),"")</f>
        <v/>
      </c>
      <c r="AA114" t="str">
        <f ca="1">IFERROR(IF(0=LEN(ReferenceData!$AA$114),"",ReferenceData!$AA$114),"")</f>
        <v/>
      </c>
      <c r="AB114" t="str">
        <f ca="1">IFERROR(IF(0=LEN(ReferenceData!$AB$114),"",ReferenceData!$AB$114),"")</f>
        <v/>
      </c>
      <c r="AC114" t="str">
        <f ca="1">IFERROR(IF(0=LEN(ReferenceData!$AC$114),"",ReferenceData!$AC$114),"")</f>
        <v/>
      </c>
      <c r="AD114" t="str">
        <f ca="1">IFERROR(IF(0=LEN(ReferenceData!$AD$114),"",ReferenceData!$AD$114),"")</f>
        <v/>
      </c>
      <c r="AE114" t="str">
        <f ca="1">IFERROR(IF(0=LEN(ReferenceData!$AE$114),"",ReferenceData!$AE$114),"")</f>
        <v/>
      </c>
      <c r="AF114" t="str">
        <f ca="1">IFERROR(IF(0=LEN(ReferenceData!$AF$114),"",ReferenceData!$AF$114),"")</f>
        <v/>
      </c>
      <c r="AG114" t="str">
        <f ca="1">IFERROR(IF(0=LEN(ReferenceData!$AG$114),"",ReferenceData!$AG$114),"")</f>
        <v/>
      </c>
      <c r="AH114" t="str">
        <f ca="1">IFERROR(IF(0=LEN(ReferenceData!$AH$114),"",ReferenceData!$AH$114),"")</f>
        <v/>
      </c>
      <c r="AI114" t="str">
        <f ca="1">IFERROR(IF(0=LEN(ReferenceData!$AI$114),"",ReferenceData!$AI$114),"")</f>
        <v/>
      </c>
      <c r="AJ114" t="str">
        <f ca="1">IFERROR(IF(0=LEN(ReferenceData!$AJ$114),"",ReferenceData!$AJ$114),"")</f>
        <v/>
      </c>
      <c r="AK114" t="str">
        <f ca="1">IFERROR(IF(0=LEN(ReferenceData!$AK$114),"",ReferenceData!$AK$114),"")</f>
        <v/>
      </c>
      <c r="AL114" t="str">
        <f ca="1">IFERROR(IF(0=LEN(ReferenceData!$AL$114),"",ReferenceData!$AL$114),"")</f>
        <v/>
      </c>
      <c r="AM114" t="str">
        <f ca="1">IFERROR(IF(0=LEN(ReferenceData!$AM$114),"",ReferenceData!$AM$114),"")</f>
        <v/>
      </c>
      <c r="AN114" t="str">
        <f ca="1">IFERROR(IF(0=LEN(ReferenceData!$AN$114),"",ReferenceData!$AN$114),"")</f>
        <v/>
      </c>
      <c r="AO114" t="str">
        <f ca="1">IFERROR(IF(0=LEN(ReferenceData!$AO$114),"",ReferenceData!$AO$114),"")</f>
        <v/>
      </c>
      <c r="AP114" t="str">
        <f ca="1">IFERROR(IF(0=LEN(ReferenceData!$AP$114),"",ReferenceData!$AP$114),"")</f>
        <v/>
      </c>
      <c r="AQ114" t="str">
        <f ca="1">IFERROR(IF(0=LEN(ReferenceData!$AQ$114),"",ReferenceData!$AQ$114),"")</f>
        <v/>
      </c>
      <c r="AR114" t="str">
        <f ca="1">IFERROR(IF(0=LEN(ReferenceData!$AR$114),"",ReferenceData!$AR$114),"")</f>
        <v/>
      </c>
      <c r="AS114" t="str">
        <f ca="1">IFERROR(IF(0=LEN(ReferenceData!$AS$114),"",ReferenceData!$AS$114),"")</f>
        <v/>
      </c>
      <c r="AT114" t="str">
        <f ca="1">IFERROR(IF(0=LEN(ReferenceData!$AT$114),"",ReferenceData!$AT$114),"")</f>
        <v/>
      </c>
      <c r="AU114" t="str">
        <f ca="1">IFERROR(IF(0=LEN(ReferenceData!$AU$114),"",ReferenceData!$AU$114),"")</f>
        <v/>
      </c>
      <c r="AV114" t="str">
        <f ca="1">IFERROR(IF(0=LEN(ReferenceData!$AV$114),"",ReferenceData!$AV$114),"")</f>
        <v/>
      </c>
      <c r="AW114" t="str">
        <f ca="1">IFERROR(IF(0=LEN(ReferenceData!$AW$114),"",ReferenceData!$AW$114),"")</f>
        <v/>
      </c>
      <c r="AX114" t="str">
        <f ca="1">IFERROR(IF(0=LEN(ReferenceData!$AX$114),"",ReferenceData!$AX$114),"")</f>
        <v/>
      </c>
      <c r="AY114" t="str">
        <f ca="1">IFERROR(IF(0=LEN(ReferenceData!$AY$114),"",ReferenceData!$AY$114),"")</f>
        <v/>
      </c>
      <c r="AZ114" t="str">
        <f ca="1">IFERROR(IF(0=LEN(ReferenceData!$AZ$114),"",ReferenceData!$AZ$114),"")</f>
        <v/>
      </c>
      <c r="BA114" t="str">
        <f ca="1">IFERROR(IF(0=LEN(ReferenceData!$BA$114),"",ReferenceData!$BA$114),"")</f>
        <v/>
      </c>
      <c r="BB114" t="str">
        <f ca="1">IFERROR(IF(0=LEN(ReferenceData!$BB$114),"",ReferenceData!$BB$114),"")</f>
        <v/>
      </c>
      <c r="BC114" t="str">
        <f ca="1">IFERROR(IF(0=LEN(ReferenceData!$BC$114),"",ReferenceData!$BC$114),"")</f>
        <v/>
      </c>
      <c r="BD114" t="str">
        <f ca="1">IFERROR(IF(0=LEN(ReferenceData!$BD$114),"",ReferenceData!$BD$114),"")</f>
        <v/>
      </c>
      <c r="BE114" t="str">
        <f ca="1">IFERROR(IF(0=LEN(ReferenceData!$BE$114),"",ReferenceData!$BE$114),"")</f>
        <v/>
      </c>
      <c r="BF114" t="str">
        <f ca="1">IFERROR(IF(0=LEN(ReferenceData!$BF$114),"",ReferenceData!$BF$114),"")</f>
        <v/>
      </c>
      <c r="BG114" t="str">
        <f ca="1">IFERROR(IF(0=LEN(ReferenceData!$BG$114),"",ReferenceData!$BG$114),"")</f>
        <v/>
      </c>
      <c r="BH114" t="str">
        <f ca="1">IFERROR(IF(0=LEN(ReferenceData!$BH$114),"",ReferenceData!$BH$114),"")</f>
        <v/>
      </c>
      <c r="BI114" t="str">
        <f ca="1">IFERROR(IF(0=LEN(ReferenceData!$BI$114),"",ReferenceData!$BI$114),"")</f>
        <v/>
      </c>
      <c r="BJ114" t="str">
        <f ca="1">IFERROR(IF(0=LEN(ReferenceData!$BJ$114),"",ReferenceData!$BJ$114),"")</f>
        <v/>
      </c>
      <c r="BK114" t="str">
        <f ca="1">IFERROR(IF(0=LEN(ReferenceData!$BK$114),"",ReferenceData!$BK$114),"")</f>
        <v/>
      </c>
      <c r="BL114" t="str">
        <f ca="1">IFERROR(IF(0=LEN(ReferenceData!$BL$114),"",ReferenceData!$BL$114),"")</f>
        <v/>
      </c>
      <c r="BM114" t="str">
        <f ca="1">IFERROR(IF(0=LEN(ReferenceData!$BM$114),"",ReferenceData!$BM$114),"")</f>
        <v/>
      </c>
    </row>
    <row r="115" spans="1:65">
      <c r="A115" t="str">
        <f>IFERROR(IF(0=LEN(ReferenceData!$A$115),"",ReferenceData!$A$115),"")</f>
        <v xml:space="preserve">    Camden Property Trust</v>
      </c>
      <c r="B115" t="str">
        <f>IFERROR(IF(0=LEN(ReferenceData!$B$115),"",ReferenceData!$B$115),"")</f>
        <v>CPT US Equity</v>
      </c>
      <c r="C115" t="str">
        <f>IFERROR(IF(0=LEN(ReferenceData!$C$115),"",ReferenceData!$C$115),"")</f>
        <v>BE592</v>
      </c>
      <c r="D115" t="str">
        <f>IFERROR(IF(0=LEN(ReferenceData!$D$115),"",ReferenceData!$D$115),"")</f>
        <v>BEST_FFOPS_YOY_GTH</v>
      </c>
      <c r="E115" t="str">
        <f>IFERROR(IF(0=LEN(ReferenceData!$E$115),"",ReferenceData!$E$115),"")</f>
        <v>动态</v>
      </c>
      <c r="F115" t="str">
        <f ca="1">IFERROR(IF(0=LEN(ReferenceData!$F$115),"",ReferenceData!$F$115),"")</f>
        <v/>
      </c>
      <c r="G115" t="str">
        <f ca="1">IFERROR(IF(0=LEN(ReferenceData!$G$115),"",ReferenceData!$G$115),"")</f>
        <v/>
      </c>
      <c r="H115" t="str">
        <f ca="1">IFERROR(IF(0=LEN(ReferenceData!$H$115),"",ReferenceData!$H$115),"")</f>
        <v/>
      </c>
      <c r="I115" t="str">
        <f ca="1">IFERROR(IF(0=LEN(ReferenceData!$I$115),"",ReferenceData!$I$115),"")</f>
        <v/>
      </c>
      <c r="J115" t="str">
        <f ca="1">IFERROR(IF(0=LEN(ReferenceData!$J$115),"",ReferenceData!$J$115),"")</f>
        <v/>
      </c>
      <c r="K115" t="str">
        <f ca="1">IFERROR(IF(0=LEN(ReferenceData!$K$115),"",ReferenceData!$K$115),"")</f>
        <v/>
      </c>
      <c r="L115" t="str">
        <f ca="1">IFERROR(IF(0=LEN(ReferenceData!$L$115),"",ReferenceData!$L$115),"")</f>
        <v/>
      </c>
      <c r="M115" t="str">
        <f ca="1">IFERROR(IF(0=LEN(ReferenceData!$M$115),"",ReferenceData!$M$115),"")</f>
        <v/>
      </c>
      <c r="N115" t="str">
        <f ca="1">IFERROR(IF(0=LEN(ReferenceData!$N$115),"",ReferenceData!$N$115),"")</f>
        <v/>
      </c>
      <c r="O115" t="str">
        <f ca="1">IFERROR(IF(0=LEN(ReferenceData!$O$115),"",ReferenceData!$O$115),"")</f>
        <v/>
      </c>
      <c r="P115" t="str">
        <f ca="1">IFERROR(IF(0=LEN(ReferenceData!$P$115),"",ReferenceData!$P$115),"")</f>
        <v/>
      </c>
      <c r="Q115" t="str">
        <f ca="1">IFERROR(IF(0=LEN(ReferenceData!$Q$115),"",ReferenceData!$Q$115),"")</f>
        <v/>
      </c>
      <c r="R115" t="str">
        <f ca="1">IFERROR(IF(0=LEN(ReferenceData!$R$115),"",ReferenceData!$R$115),"")</f>
        <v/>
      </c>
      <c r="S115" t="str">
        <f ca="1">IFERROR(IF(0=LEN(ReferenceData!$S$115),"",ReferenceData!$S$115),"")</f>
        <v/>
      </c>
      <c r="T115" t="str">
        <f ca="1">IFERROR(IF(0=LEN(ReferenceData!$T$115),"",ReferenceData!$T$115),"")</f>
        <v/>
      </c>
      <c r="U115" t="str">
        <f ca="1">IFERROR(IF(0=LEN(ReferenceData!$U$115),"",ReferenceData!$U$115),"")</f>
        <v/>
      </c>
      <c r="V115" t="str">
        <f ca="1">IFERROR(IF(0=LEN(ReferenceData!$V$115),"",ReferenceData!$V$115),"")</f>
        <v/>
      </c>
      <c r="W115" t="str">
        <f ca="1">IFERROR(IF(0=LEN(ReferenceData!$W$115),"",ReferenceData!$W$115),"")</f>
        <v/>
      </c>
      <c r="X115" t="str">
        <f ca="1">IFERROR(IF(0=LEN(ReferenceData!$X$115),"",ReferenceData!$X$115),"")</f>
        <v/>
      </c>
      <c r="Y115" t="str">
        <f ca="1">IFERROR(IF(0=LEN(ReferenceData!$Y$115),"",ReferenceData!$Y$115),"")</f>
        <v/>
      </c>
      <c r="Z115" t="str">
        <f ca="1">IFERROR(IF(0=LEN(ReferenceData!$Z$115),"",ReferenceData!$Z$115),"")</f>
        <v/>
      </c>
      <c r="AA115" t="str">
        <f ca="1">IFERROR(IF(0=LEN(ReferenceData!$AA$115),"",ReferenceData!$AA$115),"")</f>
        <v/>
      </c>
      <c r="AB115" t="str">
        <f ca="1">IFERROR(IF(0=LEN(ReferenceData!$AB$115),"",ReferenceData!$AB$115),"")</f>
        <v/>
      </c>
      <c r="AC115" t="str">
        <f ca="1">IFERROR(IF(0=LEN(ReferenceData!$AC$115),"",ReferenceData!$AC$115),"")</f>
        <v/>
      </c>
      <c r="AD115" t="str">
        <f ca="1">IFERROR(IF(0=LEN(ReferenceData!$AD$115),"",ReferenceData!$AD$115),"")</f>
        <v/>
      </c>
      <c r="AE115" t="str">
        <f ca="1">IFERROR(IF(0=LEN(ReferenceData!$AE$115),"",ReferenceData!$AE$115),"")</f>
        <v/>
      </c>
      <c r="AF115" t="str">
        <f ca="1">IFERROR(IF(0=LEN(ReferenceData!$AF$115),"",ReferenceData!$AF$115),"")</f>
        <v/>
      </c>
      <c r="AG115" t="str">
        <f ca="1">IFERROR(IF(0=LEN(ReferenceData!$AG$115),"",ReferenceData!$AG$115),"")</f>
        <v/>
      </c>
      <c r="AH115" t="str">
        <f ca="1">IFERROR(IF(0=LEN(ReferenceData!$AH$115),"",ReferenceData!$AH$115),"")</f>
        <v/>
      </c>
      <c r="AI115" t="str">
        <f ca="1">IFERROR(IF(0=LEN(ReferenceData!$AI$115),"",ReferenceData!$AI$115),"")</f>
        <v/>
      </c>
      <c r="AJ115" t="str">
        <f ca="1">IFERROR(IF(0=LEN(ReferenceData!$AJ$115),"",ReferenceData!$AJ$115),"")</f>
        <v/>
      </c>
      <c r="AK115" t="str">
        <f ca="1">IFERROR(IF(0=LEN(ReferenceData!$AK$115),"",ReferenceData!$AK$115),"")</f>
        <v/>
      </c>
      <c r="AL115" t="str">
        <f ca="1">IFERROR(IF(0=LEN(ReferenceData!$AL$115),"",ReferenceData!$AL$115),"")</f>
        <v/>
      </c>
      <c r="AM115" t="str">
        <f ca="1">IFERROR(IF(0=LEN(ReferenceData!$AM$115),"",ReferenceData!$AM$115),"")</f>
        <v/>
      </c>
      <c r="AN115" t="str">
        <f ca="1">IFERROR(IF(0=LEN(ReferenceData!$AN$115),"",ReferenceData!$AN$115),"")</f>
        <v/>
      </c>
      <c r="AO115" t="str">
        <f ca="1">IFERROR(IF(0=LEN(ReferenceData!$AO$115),"",ReferenceData!$AO$115),"")</f>
        <v/>
      </c>
      <c r="AP115" t="str">
        <f ca="1">IFERROR(IF(0=LEN(ReferenceData!$AP$115),"",ReferenceData!$AP$115),"")</f>
        <v/>
      </c>
      <c r="AQ115" t="str">
        <f ca="1">IFERROR(IF(0=LEN(ReferenceData!$AQ$115),"",ReferenceData!$AQ$115),"")</f>
        <v/>
      </c>
      <c r="AR115" t="str">
        <f ca="1">IFERROR(IF(0=LEN(ReferenceData!$AR$115),"",ReferenceData!$AR$115),"")</f>
        <v/>
      </c>
      <c r="AS115" t="str">
        <f ca="1">IFERROR(IF(0=LEN(ReferenceData!$AS$115),"",ReferenceData!$AS$115),"")</f>
        <v/>
      </c>
      <c r="AT115" t="str">
        <f ca="1">IFERROR(IF(0=LEN(ReferenceData!$AT$115),"",ReferenceData!$AT$115),"")</f>
        <v/>
      </c>
      <c r="AU115" t="str">
        <f ca="1">IFERROR(IF(0=LEN(ReferenceData!$AU$115),"",ReferenceData!$AU$115),"")</f>
        <v/>
      </c>
      <c r="AV115" t="str">
        <f ca="1">IFERROR(IF(0=LEN(ReferenceData!$AV$115),"",ReferenceData!$AV$115),"")</f>
        <v/>
      </c>
      <c r="AW115" t="str">
        <f ca="1">IFERROR(IF(0=LEN(ReferenceData!$AW$115),"",ReferenceData!$AW$115),"")</f>
        <v/>
      </c>
      <c r="AX115" t="str">
        <f ca="1">IFERROR(IF(0=LEN(ReferenceData!$AX$115),"",ReferenceData!$AX$115),"")</f>
        <v/>
      </c>
      <c r="AY115" t="str">
        <f ca="1">IFERROR(IF(0=LEN(ReferenceData!$AY$115),"",ReferenceData!$AY$115),"")</f>
        <v/>
      </c>
      <c r="AZ115" t="str">
        <f ca="1">IFERROR(IF(0=LEN(ReferenceData!$AZ$115),"",ReferenceData!$AZ$115),"")</f>
        <v/>
      </c>
      <c r="BA115" t="str">
        <f ca="1">IFERROR(IF(0=LEN(ReferenceData!$BA$115),"",ReferenceData!$BA$115),"")</f>
        <v/>
      </c>
      <c r="BB115" t="str">
        <f ca="1">IFERROR(IF(0=LEN(ReferenceData!$BB$115),"",ReferenceData!$BB$115),"")</f>
        <v/>
      </c>
      <c r="BC115" t="str">
        <f ca="1">IFERROR(IF(0=LEN(ReferenceData!$BC$115),"",ReferenceData!$BC$115),"")</f>
        <v/>
      </c>
      <c r="BD115" t="str">
        <f ca="1">IFERROR(IF(0=LEN(ReferenceData!$BD$115),"",ReferenceData!$BD$115),"")</f>
        <v/>
      </c>
      <c r="BE115" t="str">
        <f ca="1">IFERROR(IF(0=LEN(ReferenceData!$BE$115),"",ReferenceData!$BE$115),"")</f>
        <v/>
      </c>
      <c r="BF115" t="str">
        <f ca="1">IFERROR(IF(0=LEN(ReferenceData!$BF$115),"",ReferenceData!$BF$115),"")</f>
        <v/>
      </c>
      <c r="BG115" t="str">
        <f ca="1">IFERROR(IF(0=LEN(ReferenceData!$BG$115),"",ReferenceData!$BG$115),"")</f>
        <v/>
      </c>
      <c r="BH115" t="str">
        <f ca="1">IFERROR(IF(0=LEN(ReferenceData!$BH$115),"",ReferenceData!$BH$115),"")</f>
        <v/>
      </c>
      <c r="BI115" t="str">
        <f ca="1">IFERROR(IF(0=LEN(ReferenceData!$BI$115),"",ReferenceData!$BI$115),"")</f>
        <v/>
      </c>
      <c r="BJ115" t="str">
        <f ca="1">IFERROR(IF(0=LEN(ReferenceData!$BJ$115),"",ReferenceData!$BJ$115),"")</f>
        <v/>
      </c>
      <c r="BK115" t="str">
        <f ca="1">IFERROR(IF(0=LEN(ReferenceData!$BK$115),"",ReferenceData!$BK$115),"")</f>
        <v/>
      </c>
      <c r="BL115" t="str">
        <f ca="1">IFERROR(IF(0=LEN(ReferenceData!$BL$115),"",ReferenceData!$BL$115),"")</f>
        <v/>
      </c>
      <c r="BM115" t="str">
        <f ca="1">IFERROR(IF(0=LEN(ReferenceData!$BM$115),"",ReferenceData!$BM$115),"")</f>
        <v/>
      </c>
    </row>
    <row r="116" spans="1:65">
      <c r="A116" t="str">
        <f>IFERROR(IF(0=LEN(ReferenceData!$A$116),"",ReferenceData!$A$116),"")</f>
        <v xml:space="preserve">    Education Realty Trust Inc</v>
      </c>
      <c r="B116" t="str">
        <f>IFERROR(IF(0=LEN(ReferenceData!$B$116),"",ReferenceData!$B$116),"")</f>
        <v>EDR US Equity</v>
      </c>
      <c r="C116" t="str">
        <f>IFERROR(IF(0=LEN(ReferenceData!$C$116),"",ReferenceData!$C$116),"")</f>
        <v>BE592</v>
      </c>
      <c r="D116" t="str">
        <f>IFERROR(IF(0=LEN(ReferenceData!$D$116),"",ReferenceData!$D$116),"")</f>
        <v>BEST_FFOPS_YOY_GTH</v>
      </c>
      <c r="E116" t="str">
        <f>IFERROR(IF(0=LEN(ReferenceData!$E$116),"",ReferenceData!$E$116),"")</f>
        <v>动态</v>
      </c>
      <c r="F116" t="str">
        <f ca="1">IFERROR(IF(0=LEN(ReferenceData!$F$116),"",ReferenceData!$F$116),"")</f>
        <v/>
      </c>
      <c r="G116" t="str">
        <f ca="1">IFERROR(IF(0=LEN(ReferenceData!$G$116),"",ReferenceData!$G$116),"")</f>
        <v/>
      </c>
      <c r="H116" t="str">
        <f ca="1">IFERROR(IF(0=LEN(ReferenceData!$H$116),"",ReferenceData!$H$116),"")</f>
        <v/>
      </c>
      <c r="I116" t="str">
        <f ca="1">IFERROR(IF(0=LEN(ReferenceData!$I$116),"",ReferenceData!$I$116),"")</f>
        <v/>
      </c>
      <c r="J116" t="str">
        <f ca="1">IFERROR(IF(0=LEN(ReferenceData!$J$116),"",ReferenceData!$J$116),"")</f>
        <v/>
      </c>
      <c r="K116" t="str">
        <f ca="1">IFERROR(IF(0=LEN(ReferenceData!$K$116),"",ReferenceData!$K$116),"")</f>
        <v/>
      </c>
      <c r="L116" t="str">
        <f ca="1">IFERROR(IF(0=LEN(ReferenceData!$L$116),"",ReferenceData!$L$116),"")</f>
        <v/>
      </c>
      <c r="M116" t="str">
        <f ca="1">IFERROR(IF(0=LEN(ReferenceData!$M$116),"",ReferenceData!$M$116),"")</f>
        <v/>
      </c>
      <c r="N116" t="str">
        <f ca="1">IFERROR(IF(0=LEN(ReferenceData!$N$116),"",ReferenceData!$N$116),"")</f>
        <v/>
      </c>
      <c r="O116" t="str">
        <f ca="1">IFERROR(IF(0=LEN(ReferenceData!$O$116),"",ReferenceData!$O$116),"")</f>
        <v/>
      </c>
      <c r="P116" t="str">
        <f ca="1">IFERROR(IF(0=LEN(ReferenceData!$P$116),"",ReferenceData!$P$116),"")</f>
        <v/>
      </c>
      <c r="Q116" t="str">
        <f ca="1">IFERROR(IF(0=LEN(ReferenceData!$Q$116),"",ReferenceData!$Q$116),"")</f>
        <v/>
      </c>
      <c r="R116" t="str">
        <f ca="1">IFERROR(IF(0=LEN(ReferenceData!$R$116),"",ReferenceData!$R$116),"")</f>
        <v/>
      </c>
      <c r="S116" t="str">
        <f ca="1">IFERROR(IF(0=LEN(ReferenceData!$S$116),"",ReferenceData!$S$116),"")</f>
        <v/>
      </c>
      <c r="T116" t="str">
        <f ca="1">IFERROR(IF(0=LEN(ReferenceData!$T$116),"",ReferenceData!$T$116),"")</f>
        <v/>
      </c>
      <c r="U116" t="str">
        <f ca="1">IFERROR(IF(0=LEN(ReferenceData!$U$116),"",ReferenceData!$U$116),"")</f>
        <v/>
      </c>
      <c r="V116" t="str">
        <f ca="1">IFERROR(IF(0=LEN(ReferenceData!$V$116),"",ReferenceData!$V$116),"")</f>
        <v/>
      </c>
      <c r="W116" t="str">
        <f ca="1">IFERROR(IF(0=LEN(ReferenceData!$W$116),"",ReferenceData!$W$116),"")</f>
        <v/>
      </c>
      <c r="X116" t="str">
        <f ca="1">IFERROR(IF(0=LEN(ReferenceData!$X$116),"",ReferenceData!$X$116),"")</f>
        <v/>
      </c>
      <c r="Y116" t="str">
        <f ca="1">IFERROR(IF(0=LEN(ReferenceData!$Y$116),"",ReferenceData!$Y$116),"")</f>
        <v/>
      </c>
      <c r="Z116" t="str">
        <f ca="1">IFERROR(IF(0=LEN(ReferenceData!$Z$116),"",ReferenceData!$Z$116),"")</f>
        <v/>
      </c>
      <c r="AA116" t="str">
        <f ca="1">IFERROR(IF(0=LEN(ReferenceData!$AA$116),"",ReferenceData!$AA$116),"")</f>
        <v/>
      </c>
      <c r="AB116" t="str">
        <f ca="1">IFERROR(IF(0=LEN(ReferenceData!$AB$116),"",ReferenceData!$AB$116),"")</f>
        <v/>
      </c>
      <c r="AC116" t="str">
        <f ca="1">IFERROR(IF(0=LEN(ReferenceData!$AC$116),"",ReferenceData!$AC$116),"")</f>
        <v/>
      </c>
      <c r="AD116" t="str">
        <f ca="1">IFERROR(IF(0=LEN(ReferenceData!$AD$116),"",ReferenceData!$AD$116),"")</f>
        <v/>
      </c>
      <c r="AE116" t="str">
        <f ca="1">IFERROR(IF(0=LEN(ReferenceData!$AE$116),"",ReferenceData!$AE$116),"")</f>
        <v/>
      </c>
      <c r="AF116" t="str">
        <f ca="1">IFERROR(IF(0=LEN(ReferenceData!$AF$116),"",ReferenceData!$AF$116),"")</f>
        <v/>
      </c>
      <c r="AG116" t="str">
        <f ca="1">IFERROR(IF(0=LEN(ReferenceData!$AG$116),"",ReferenceData!$AG$116),"")</f>
        <v/>
      </c>
      <c r="AH116" t="str">
        <f ca="1">IFERROR(IF(0=LEN(ReferenceData!$AH$116),"",ReferenceData!$AH$116),"")</f>
        <v/>
      </c>
      <c r="AI116" t="str">
        <f ca="1">IFERROR(IF(0=LEN(ReferenceData!$AI$116),"",ReferenceData!$AI$116),"")</f>
        <v/>
      </c>
      <c r="AJ116" t="str">
        <f ca="1">IFERROR(IF(0=LEN(ReferenceData!$AJ$116),"",ReferenceData!$AJ$116),"")</f>
        <v/>
      </c>
      <c r="AK116" t="str">
        <f ca="1">IFERROR(IF(0=LEN(ReferenceData!$AK$116),"",ReferenceData!$AK$116),"")</f>
        <v/>
      </c>
      <c r="AL116" t="str">
        <f ca="1">IFERROR(IF(0=LEN(ReferenceData!$AL$116),"",ReferenceData!$AL$116),"")</f>
        <v/>
      </c>
      <c r="AM116" t="str">
        <f ca="1">IFERROR(IF(0=LEN(ReferenceData!$AM$116),"",ReferenceData!$AM$116),"")</f>
        <v/>
      </c>
      <c r="AN116" t="str">
        <f ca="1">IFERROR(IF(0=LEN(ReferenceData!$AN$116),"",ReferenceData!$AN$116),"")</f>
        <v/>
      </c>
      <c r="AO116" t="str">
        <f ca="1">IFERROR(IF(0=LEN(ReferenceData!$AO$116),"",ReferenceData!$AO$116),"")</f>
        <v/>
      </c>
      <c r="AP116" t="str">
        <f ca="1">IFERROR(IF(0=LEN(ReferenceData!$AP$116),"",ReferenceData!$AP$116),"")</f>
        <v/>
      </c>
      <c r="AQ116" t="str">
        <f ca="1">IFERROR(IF(0=LEN(ReferenceData!$AQ$116),"",ReferenceData!$AQ$116),"")</f>
        <v/>
      </c>
      <c r="AR116" t="str">
        <f ca="1">IFERROR(IF(0=LEN(ReferenceData!$AR$116),"",ReferenceData!$AR$116),"")</f>
        <v/>
      </c>
      <c r="AS116" t="str">
        <f ca="1">IFERROR(IF(0=LEN(ReferenceData!$AS$116),"",ReferenceData!$AS$116),"")</f>
        <v/>
      </c>
      <c r="AT116" t="str">
        <f ca="1">IFERROR(IF(0=LEN(ReferenceData!$AT$116),"",ReferenceData!$AT$116),"")</f>
        <v/>
      </c>
      <c r="AU116" t="str">
        <f ca="1">IFERROR(IF(0=LEN(ReferenceData!$AU$116),"",ReferenceData!$AU$116),"")</f>
        <v/>
      </c>
      <c r="AV116" t="str">
        <f ca="1">IFERROR(IF(0=LEN(ReferenceData!$AV$116),"",ReferenceData!$AV$116),"")</f>
        <v/>
      </c>
      <c r="AW116" t="str">
        <f ca="1">IFERROR(IF(0=LEN(ReferenceData!$AW$116),"",ReferenceData!$AW$116),"")</f>
        <v/>
      </c>
      <c r="AX116" t="str">
        <f ca="1">IFERROR(IF(0=LEN(ReferenceData!$AX$116),"",ReferenceData!$AX$116),"")</f>
        <v/>
      </c>
      <c r="AY116" t="str">
        <f ca="1">IFERROR(IF(0=LEN(ReferenceData!$AY$116),"",ReferenceData!$AY$116),"")</f>
        <v/>
      </c>
      <c r="AZ116" t="str">
        <f ca="1">IFERROR(IF(0=LEN(ReferenceData!$AZ$116),"",ReferenceData!$AZ$116),"")</f>
        <v/>
      </c>
      <c r="BA116" t="str">
        <f ca="1">IFERROR(IF(0=LEN(ReferenceData!$BA$116),"",ReferenceData!$BA$116),"")</f>
        <v/>
      </c>
      <c r="BB116" t="str">
        <f ca="1">IFERROR(IF(0=LEN(ReferenceData!$BB$116),"",ReferenceData!$BB$116),"")</f>
        <v/>
      </c>
      <c r="BC116" t="str">
        <f ca="1">IFERROR(IF(0=LEN(ReferenceData!$BC$116),"",ReferenceData!$BC$116),"")</f>
        <v/>
      </c>
      <c r="BD116" t="str">
        <f ca="1">IFERROR(IF(0=LEN(ReferenceData!$BD$116),"",ReferenceData!$BD$116),"")</f>
        <v/>
      </c>
      <c r="BE116" t="str">
        <f ca="1">IFERROR(IF(0=LEN(ReferenceData!$BE$116),"",ReferenceData!$BE$116),"")</f>
        <v/>
      </c>
      <c r="BF116" t="str">
        <f ca="1">IFERROR(IF(0=LEN(ReferenceData!$BF$116),"",ReferenceData!$BF$116),"")</f>
        <v/>
      </c>
      <c r="BG116" t="str">
        <f ca="1">IFERROR(IF(0=LEN(ReferenceData!$BG$116),"",ReferenceData!$BG$116),"")</f>
        <v/>
      </c>
      <c r="BH116" t="str">
        <f ca="1">IFERROR(IF(0=LEN(ReferenceData!$BH$116),"",ReferenceData!$BH$116),"")</f>
        <v/>
      </c>
      <c r="BI116" t="str">
        <f ca="1">IFERROR(IF(0=LEN(ReferenceData!$BI$116),"",ReferenceData!$BI$116),"")</f>
        <v/>
      </c>
      <c r="BJ116" t="str">
        <f ca="1">IFERROR(IF(0=LEN(ReferenceData!$BJ$116),"",ReferenceData!$BJ$116),"")</f>
        <v/>
      </c>
      <c r="BK116" t="str">
        <f ca="1">IFERROR(IF(0=LEN(ReferenceData!$BK$116),"",ReferenceData!$BK$116),"")</f>
        <v/>
      </c>
      <c r="BL116" t="str">
        <f ca="1">IFERROR(IF(0=LEN(ReferenceData!$BL$116),"",ReferenceData!$BL$116),"")</f>
        <v/>
      </c>
      <c r="BM116" t="str">
        <f ca="1">IFERROR(IF(0=LEN(ReferenceData!$BM$116),"",ReferenceData!$BM$116),"")</f>
        <v/>
      </c>
    </row>
    <row r="117" spans="1:65">
      <c r="A117" t="str">
        <f>IFERROR(IF(0=LEN(ReferenceData!$A$117),"",ReferenceData!$A$117),"")</f>
        <v xml:space="preserve">    Equity Residential</v>
      </c>
      <c r="B117" t="str">
        <f>IFERROR(IF(0=LEN(ReferenceData!$B$117),"",ReferenceData!$B$117),"")</f>
        <v>EQR US Equity</v>
      </c>
      <c r="C117" t="str">
        <f>IFERROR(IF(0=LEN(ReferenceData!$C$117),"",ReferenceData!$C$117),"")</f>
        <v>BE592</v>
      </c>
      <c r="D117" t="str">
        <f>IFERROR(IF(0=LEN(ReferenceData!$D$117),"",ReferenceData!$D$117),"")</f>
        <v>BEST_FFOPS_YOY_GTH</v>
      </c>
      <c r="E117" t="str">
        <f>IFERROR(IF(0=LEN(ReferenceData!$E$117),"",ReferenceData!$E$117),"")</f>
        <v>动态</v>
      </c>
      <c r="F117" t="str">
        <f ca="1">IFERROR(IF(0=LEN(ReferenceData!$F$117),"",ReferenceData!$F$117),"")</f>
        <v/>
      </c>
      <c r="G117" t="str">
        <f ca="1">IFERROR(IF(0=LEN(ReferenceData!$G$117),"",ReferenceData!$G$117),"")</f>
        <v/>
      </c>
      <c r="H117" t="str">
        <f ca="1">IFERROR(IF(0=LEN(ReferenceData!$H$117),"",ReferenceData!$H$117),"")</f>
        <v/>
      </c>
      <c r="I117" t="str">
        <f ca="1">IFERROR(IF(0=LEN(ReferenceData!$I$117),"",ReferenceData!$I$117),"")</f>
        <v/>
      </c>
      <c r="J117" t="str">
        <f ca="1">IFERROR(IF(0=LEN(ReferenceData!$J$117),"",ReferenceData!$J$117),"")</f>
        <v/>
      </c>
      <c r="K117" t="str">
        <f ca="1">IFERROR(IF(0=LEN(ReferenceData!$K$117),"",ReferenceData!$K$117),"")</f>
        <v/>
      </c>
      <c r="L117" t="str">
        <f ca="1">IFERROR(IF(0=LEN(ReferenceData!$L$117),"",ReferenceData!$L$117),"")</f>
        <v/>
      </c>
      <c r="M117" t="str">
        <f ca="1">IFERROR(IF(0=LEN(ReferenceData!$M$117),"",ReferenceData!$M$117),"")</f>
        <v/>
      </c>
      <c r="N117" t="str">
        <f ca="1">IFERROR(IF(0=LEN(ReferenceData!$N$117),"",ReferenceData!$N$117),"")</f>
        <v/>
      </c>
      <c r="O117" t="str">
        <f ca="1">IFERROR(IF(0=LEN(ReferenceData!$O$117),"",ReferenceData!$O$117),"")</f>
        <v/>
      </c>
      <c r="P117" t="str">
        <f ca="1">IFERROR(IF(0=LEN(ReferenceData!$P$117),"",ReferenceData!$P$117),"")</f>
        <v/>
      </c>
      <c r="Q117" t="str">
        <f ca="1">IFERROR(IF(0=LEN(ReferenceData!$Q$117),"",ReferenceData!$Q$117),"")</f>
        <v/>
      </c>
      <c r="R117" t="str">
        <f ca="1">IFERROR(IF(0=LEN(ReferenceData!$R$117),"",ReferenceData!$R$117),"")</f>
        <v/>
      </c>
      <c r="S117" t="str">
        <f ca="1">IFERROR(IF(0=LEN(ReferenceData!$S$117),"",ReferenceData!$S$117),"")</f>
        <v/>
      </c>
      <c r="T117" t="str">
        <f ca="1">IFERROR(IF(0=LEN(ReferenceData!$T$117),"",ReferenceData!$T$117),"")</f>
        <v/>
      </c>
      <c r="U117" t="str">
        <f ca="1">IFERROR(IF(0=LEN(ReferenceData!$U$117),"",ReferenceData!$U$117),"")</f>
        <v/>
      </c>
      <c r="V117" t="str">
        <f ca="1">IFERROR(IF(0=LEN(ReferenceData!$V$117),"",ReferenceData!$V$117),"")</f>
        <v/>
      </c>
      <c r="W117" t="str">
        <f ca="1">IFERROR(IF(0=LEN(ReferenceData!$W$117),"",ReferenceData!$W$117),"")</f>
        <v/>
      </c>
      <c r="X117" t="str">
        <f ca="1">IFERROR(IF(0=LEN(ReferenceData!$X$117),"",ReferenceData!$X$117),"")</f>
        <v/>
      </c>
      <c r="Y117" t="str">
        <f ca="1">IFERROR(IF(0=LEN(ReferenceData!$Y$117),"",ReferenceData!$Y$117),"")</f>
        <v/>
      </c>
      <c r="Z117" t="str">
        <f ca="1">IFERROR(IF(0=LEN(ReferenceData!$Z$117),"",ReferenceData!$Z$117),"")</f>
        <v/>
      </c>
      <c r="AA117" t="str">
        <f ca="1">IFERROR(IF(0=LEN(ReferenceData!$AA$117),"",ReferenceData!$AA$117),"")</f>
        <v/>
      </c>
      <c r="AB117" t="str">
        <f ca="1">IFERROR(IF(0=LEN(ReferenceData!$AB$117),"",ReferenceData!$AB$117),"")</f>
        <v/>
      </c>
      <c r="AC117" t="str">
        <f ca="1">IFERROR(IF(0=LEN(ReferenceData!$AC$117),"",ReferenceData!$AC$117),"")</f>
        <v/>
      </c>
      <c r="AD117" t="str">
        <f ca="1">IFERROR(IF(0=LEN(ReferenceData!$AD$117),"",ReferenceData!$AD$117),"")</f>
        <v/>
      </c>
      <c r="AE117" t="str">
        <f ca="1">IFERROR(IF(0=LEN(ReferenceData!$AE$117),"",ReferenceData!$AE$117),"")</f>
        <v/>
      </c>
      <c r="AF117" t="str">
        <f ca="1">IFERROR(IF(0=LEN(ReferenceData!$AF$117),"",ReferenceData!$AF$117),"")</f>
        <v/>
      </c>
      <c r="AG117" t="str">
        <f ca="1">IFERROR(IF(0=LEN(ReferenceData!$AG$117),"",ReferenceData!$AG$117),"")</f>
        <v/>
      </c>
      <c r="AH117" t="str">
        <f ca="1">IFERROR(IF(0=LEN(ReferenceData!$AH$117),"",ReferenceData!$AH$117),"")</f>
        <v/>
      </c>
      <c r="AI117" t="str">
        <f ca="1">IFERROR(IF(0=LEN(ReferenceData!$AI$117),"",ReferenceData!$AI$117),"")</f>
        <v/>
      </c>
      <c r="AJ117" t="str">
        <f ca="1">IFERROR(IF(0=LEN(ReferenceData!$AJ$117),"",ReferenceData!$AJ$117),"")</f>
        <v/>
      </c>
      <c r="AK117" t="str">
        <f ca="1">IFERROR(IF(0=LEN(ReferenceData!$AK$117),"",ReferenceData!$AK$117),"")</f>
        <v/>
      </c>
      <c r="AL117" t="str">
        <f ca="1">IFERROR(IF(0=LEN(ReferenceData!$AL$117),"",ReferenceData!$AL$117),"")</f>
        <v/>
      </c>
      <c r="AM117" t="str">
        <f ca="1">IFERROR(IF(0=LEN(ReferenceData!$AM$117),"",ReferenceData!$AM$117),"")</f>
        <v/>
      </c>
      <c r="AN117" t="str">
        <f ca="1">IFERROR(IF(0=LEN(ReferenceData!$AN$117),"",ReferenceData!$AN$117),"")</f>
        <v/>
      </c>
      <c r="AO117" t="str">
        <f ca="1">IFERROR(IF(0=LEN(ReferenceData!$AO$117),"",ReferenceData!$AO$117),"")</f>
        <v/>
      </c>
      <c r="AP117" t="str">
        <f ca="1">IFERROR(IF(0=LEN(ReferenceData!$AP$117),"",ReferenceData!$AP$117),"")</f>
        <v/>
      </c>
      <c r="AQ117" t="str">
        <f ca="1">IFERROR(IF(0=LEN(ReferenceData!$AQ$117),"",ReferenceData!$AQ$117),"")</f>
        <v/>
      </c>
      <c r="AR117" t="str">
        <f ca="1">IFERROR(IF(0=LEN(ReferenceData!$AR$117),"",ReferenceData!$AR$117),"")</f>
        <v/>
      </c>
      <c r="AS117" t="str">
        <f ca="1">IFERROR(IF(0=LEN(ReferenceData!$AS$117),"",ReferenceData!$AS$117),"")</f>
        <v/>
      </c>
      <c r="AT117" t="str">
        <f ca="1">IFERROR(IF(0=LEN(ReferenceData!$AT$117),"",ReferenceData!$AT$117),"")</f>
        <v/>
      </c>
      <c r="AU117" t="str">
        <f ca="1">IFERROR(IF(0=LEN(ReferenceData!$AU$117),"",ReferenceData!$AU$117),"")</f>
        <v/>
      </c>
      <c r="AV117" t="str">
        <f ca="1">IFERROR(IF(0=LEN(ReferenceData!$AV$117),"",ReferenceData!$AV$117),"")</f>
        <v/>
      </c>
      <c r="AW117" t="str">
        <f ca="1">IFERROR(IF(0=LEN(ReferenceData!$AW$117),"",ReferenceData!$AW$117),"")</f>
        <v/>
      </c>
      <c r="AX117" t="str">
        <f ca="1">IFERROR(IF(0=LEN(ReferenceData!$AX$117),"",ReferenceData!$AX$117),"")</f>
        <v/>
      </c>
      <c r="AY117" t="str">
        <f ca="1">IFERROR(IF(0=LEN(ReferenceData!$AY$117),"",ReferenceData!$AY$117),"")</f>
        <v/>
      </c>
      <c r="AZ117" t="str">
        <f ca="1">IFERROR(IF(0=LEN(ReferenceData!$AZ$117),"",ReferenceData!$AZ$117),"")</f>
        <v/>
      </c>
      <c r="BA117" t="str">
        <f ca="1">IFERROR(IF(0=LEN(ReferenceData!$BA$117),"",ReferenceData!$BA$117),"")</f>
        <v/>
      </c>
      <c r="BB117" t="str">
        <f ca="1">IFERROR(IF(0=LEN(ReferenceData!$BB$117),"",ReferenceData!$BB$117),"")</f>
        <v/>
      </c>
      <c r="BC117" t="str">
        <f ca="1">IFERROR(IF(0=LEN(ReferenceData!$BC$117),"",ReferenceData!$BC$117),"")</f>
        <v/>
      </c>
      <c r="BD117" t="str">
        <f ca="1">IFERROR(IF(0=LEN(ReferenceData!$BD$117),"",ReferenceData!$BD$117),"")</f>
        <v/>
      </c>
      <c r="BE117" t="str">
        <f ca="1">IFERROR(IF(0=LEN(ReferenceData!$BE$117),"",ReferenceData!$BE$117),"")</f>
        <v/>
      </c>
      <c r="BF117" t="str">
        <f ca="1">IFERROR(IF(0=LEN(ReferenceData!$BF$117),"",ReferenceData!$BF$117),"")</f>
        <v/>
      </c>
      <c r="BG117" t="str">
        <f ca="1">IFERROR(IF(0=LEN(ReferenceData!$BG$117),"",ReferenceData!$BG$117),"")</f>
        <v/>
      </c>
      <c r="BH117" t="str">
        <f ca="1">IFERROR(IF(0=LEN(ReferenceData!$BH$117),"",ReferenceData!$BH$117),"")</f>
        <v/>
      </c>
      <c r="BI117" t="str">
        <f ca="1">IFERROR(IF(0=LEN(ReferenceData!$BI$117),"",ReferenceData!$BI$117),"")</f>
        <v/>
      </c>
      <c r="BJ117" t="str">
        <f ca="1">IFERROR(IF(0=LEN(ReferenceData!$BJ$117),"",ReferenceData!$BJ$117),"")</f>
        <v/>
      </c>
      <c r="BK117" t="str">
        <f ca="1">IFERROR(IF(0=LEN(ReferenceData!$BK$117),"",ReferenceData!$BK$117),"")</f>
        <v/>
      </c>
      <c r="BL117" t="str">
        <f ca="1">IFERROR(IF(0=LEN(ReferenceData!$BL$117),"",ReferenceData!$BL$117),"")</f>
        <v/>
      </c>
      <c r="BM117" t="str">
        <f ca="1">IFERROR(IF(0=LEN(ReferenceData!$BM$117),"",ReferenceData!$BM$117),"")</f>
        <v/>
      </c>
    </row>
    <row r="118" spans="1:65">
      <c r="A118" t="str">
        <f>IFERROR(IF(0=LEN(ReferenceData!$A$118),"",ReferenceData!$A$118),"")</f>
        <v xml:space="preserve">    Essex Property Trust Inc</v>
      </c>
      <c r="B118" t="str">
        <f>IFERROR(IF(0=LEN(ReferenceData!$B$118),"",ReferenceData!$B$118),"")</f>
        <v>ESS US Equity</v>
      </c>
      <c r="C118" t="str">
        <f>IFERROR(IF(0=LEN(ReferenceData!$C$118),"",ReferenceData!$C$118),"")</f>
        <v>BE592</v>
      </c>
      <c r="D118" t="str">
        <f>IFERROR(IF(0=LEN(ReferenceData!$D$118),"",ReferenceData!$D$118),"")</f>
        <v>BEST_FFOPS_YOY_GTH</v>
      </c>
      <c r="E118" t="str">
        <f>IFERROR(IF(0=LEN(ReferenceData!$E$118),"",ReferenceData!$E$118),"")</f>
        <v>动态</v>
      </c>
      <c r="F118" t="str">
        <f ca="1">IFERROR(IF(0=LEN(ReferenceData!$F$118),"",ReferenceData!$F$118),"")</f>
        <v/>
      </c>
      <c r="G118" t="str">
        <f ca="1">IFERROR(IF(0=LEN(ReferenceData!$G$118),"",ReferenceData!$G$118),"")</f>
        <v/>
      </c>
      <c r="H118" t="str">
        <f ca="1">IFERROR(IF(0=LEN(ReferenceData!$H$118),"",ReferenceData!$H$118),"")</f>
        <v/>
      </c>
      <c r="I118" t="str">
        <f ca="1">IFERROR(IF(0=LEN(ReferenceData!$I$118),"",ReferenceData!$I$118),"")</f>
        <v/>
      </c>
      <c r="J118" t="str">
        <f ca="1">IFERROR(IF(0=LEN(ReferenceData!$J$118),"",ReferenceData!$J$118),"")</f>
        <v/>
      </c>
      <c r="K118" t="str">
        <f ca="1">IFERROR(IF(0=LEN(ReferenceData!$K$118),"",ReferenceData!$K$118),"")</f>
        <v/>
      </c>
      <c r="L118" t="str">
        <f ca="1">IFERROR(IF(0=LEN(ReferenceData!$L$118),"",ReferenceData!$L$118),"")</f>
        <v/>
      </c>
      <c r="M118" t="str">
        <f ca="1">IFERROR(IF(0=LEN(ReferenceData!$M$118),"",ReferenceData!$M$118),"")</f>
        <v/>
      </c>
      <c r="N118" t="str">
        <f ca="1">IFERROR(IF(0=LEN(ReferenceData!$N$118),"",ReferenceData!$N$118),"")</f>
        <v/>
      </c>
      <c r="O118" t="str">
        <f ca="1">IFERROR(IF(0=LEN(ReferenceData!$O$118),"",ReferenceData!$O$118),"")</f>
        <v/>
      </c>
      <c r="P118" t="str">
        <f ca="1">IFERROR(IF(0=LEN(ReferenceData!$P$118),"",ReferenceData!$P$118),"")</f>
        <v/>
      </c>
      <c r="Q118" t="str">
        <f ca="1">IFERROR(IF(0=LEN(ReferenceData!$Q$118),"",ReferenceData!$Q$118),"")</f>
        <v/>
      </c>
      <c r="R118" t="str">
        <f ca="1">IFERROR(IF(0=LEN(ReferenceData!$R$118),"",ReferenceData!$R$118),"")</f>
        <v/>
      </c>
      <c r="S118" t="str">
        <f ca="1">IFERROR(IF(0=LEN(ReferenceData!$S$118),"",ReferenceData!$S$118),"")</f>
        <v/>
      </c>
      <c r="T118" t="str">
        <f ca="1">IFERROR(IF(0=LEN(ReferenceData!$T$118),"",ReferenceData!$T$118),"")</f>
        <v/>
      </c>
      <c r="U118" t="str">
        <f ca="1">IFERROR(IF(0=LEN(ReferenceData!$U$118),"",ReferenceData!$U$118),"")</f>
        <v/>
      </c>
      <c r="V118" t="str">
        <f ca="1">IFERROR(IF(0=LEN(ReferenceData!$V$118),"",ReferenceData!$V$118),"")</f>
        <v/>
      </c>
      <c r="W118" t="str">
        <f ca="1">IFERROR(IF(0=LEN(ReferenceData!$W$118),"",ReferenceData!$W$118),"")</f>
        <v/>
      </c>
      <c r="X118" t="str">
        <f ca="1">IFERROR(IF(0=LEN(ReferenceData!$X$118),"",ReferenceData!$X$118),"")</f>
        <v/>
      </c>
      <c r="Y118" t="str">
        <f ca="1">IFERROR(IF(0=LEN(ReferenceData!$Y$118),"",ReferenceData!$Y$118),"")</f>
        <v/>
      </c>
      <c r="Z118" t="str">
        <f ca="1">IFERROR(IF(0=LEN(ReferenceData!$Z$118),"",ReferenceData!$Z$118),"")</f>
        <v/>
      </c>
      <c r="AA118" t="str">
        <f ca="1">IFERROR(IF(0=LEN(ReferenceData!$AA$118),"",ReferenceData!$AA$118),"")</f>
        <v/>
      </c>
      <c r="AB118" t="str">
        <f ca="1">IFERROR(IF(0=LEN(ReferenceData!$AB$118),"",ReferenceData!$AB$118),"")</f>
        <v/>
      </c>
      <c r="AC118" t="str">
        <f ca="1">IFERROR(IF(0=LEN(ReferenceData!$AC$118),"",ReferenceData!$AC$118),"")</f>
        <v/>
      </c>
      <c r="AD118" t="str">
        <f ca="1">IFERROR(IF(0=LEN(ReferenceData!$AD$118),"",ReferenceData!$AD$118),"")</f>
        <v/>
      </c>
      <c r="AE118" t="str">
        <f ca="1">IFERROR(IF(0=LEN(ReferenceData!$AE$118),"",ReferenceData!$AE$118),"")</f>
        <v/>
      </c>
      <c r="AF118" t="str">
        <f ca="1">IFERROR(IF(0=LEN(ReferenceData!$AF$118),"",ReferenceData!$AF$118),"")</f>
        <v/>
      </c>
      <c r="AG118" t="str">
        <f ca="1">IFERROR(IF(0=LEN(ReferenceData!$AG$118),"",ReferenceData!$AG$118),"")</f>
        <v/>
      </c>
      <c r="AH118" t="str">
        <f ca="1">IFERROR(IF(0=LEN(ReferenceData!$AH$118),"",ReferenceData!$AH$118),"")</f>
        <v/>
      </c>
      <c r="AI118" t="str">
        <f ca="1">IFERROR(IF(0=LEN(ReferenceData!$AI$118),"",ReferenceData!$AI$118),"")</f>
        <v/>
      </c>
      <c r="AJ118" t="str">
        <f ca="1">IFERROR(IF(0=LEN(ReferenceData!$AJ$118),"",ReferenceData!$AJ$118),"")</f>
        <v/>
      </c>
      <c r="AK118" t="str">
        <f ca="1">IFERROR(IF(0=LEN(ReferenceData!$AK$118),"",ReferenceData!$AK$118),"")</f>
        <v/>
      </c>
      <c r="AL118" t="str">
        <f ca="1">IFERROR(IF(0=LEN(ReferenceData!$AL$118),"",ReferenceData!$AL$118),"")</f>
        <v/>
      </c>
      <c r="AM118" t="str">
        <f ca="1">IFERROR(IF(0=LEN(ReferenceData!$AM$118),"",ReferenceData!$AM$118),"")</f>
        <v/>
      </c>
      <c r="AN118" t="str">
        <f ca="1">IFERROR(IF(0=LEN(ReferenceData!$AN$118),"",ReferenceData!$AN$118),"")</f>
        <v/>
      </c>
      <c r="AO118" t="str">
        <f ca="1">IFERROR(IF(0=LEN(ReferenceData!$AO$118),"",ReferenceData!$AO$118),"")</f>
        <v/>
      </c>
      <c r="AP118" t="str">
        <f ca="1">IFERROR(IF(0=LEN(ReferenceData!$AP$118),"",ReferenceData!$AP$118),"")</f>
        <v/>
      </c>
      <c r="AQ118" t="str">
        <f ca="1">IFERROR(IF(0=LEN(ReferenceData!$AQ$118),"",ReferenceData!$AQ$118),"")</f>
        <v/>
      </c>
      <c r="AR118" t="str">
        <f ca="1">IFERROR(IF(0=LEN(ReferenceData!$AR$118),"",ReferenceData!$AR$118),"")</f>
        <v/>
      </c>
      <c r="AS118" t="str">
        <f ca="1">IFERROR(IF(0=LEN(ReferenceData!$AS$118),"",ReferenceData!$AS$118),"")</f>
        <v/>
      </c>
      <c r="AT118" t="str">
        <f ca="1">IFERROR(IF(0=LEN(ReferenceData!$AT$118),"",ReferenceData!$AT$118),"")</f>
        <v/>
      </c>
      <c r="AU118" t="str">
        <f ca="1">IFERROR(IF(0=LEN(ReferenceData!$AU$118),"",ReferenceData!$AU$118),"")</f>
        <v/>
      </c>
      <c r="AV118" t="str">
        <f ca="1">IFERROR(IF(0=LEN(ReferenceData!$AV$118),"",ReferenceData!$AV$118),"")</f>
        <v/>
      </c>
      <c r="AW118" t="str">
        <f ca="1">IFERROR(IF(0=LEN(ReferenceData!$AW$118),"",ReferenceData!$AW$118),"")</f>
        <v/>
      </c>
      <c r="AX118" t="str">
        <f ca="1">IFERROR(IF(0=LEN(ReferenceData!$AX$118),"",ReferenceData!$AX$118),"")</f>
        <v/>
      </c>
      <c r="AY118" t="str">
        <f ca="1">IFERROR(IF(0=LEN(ReferenceData!$AY$118),"",ReferenceData!$AY$118),"")</f>
        <v/>
      </c>
      <c r="AZ118" t="str">
        <f ca="1">IFERROR(IF(0=LEN(ReferenceData!$AZ$118),"",ReferenceData!$AZ$118),"")</f>
        <v/>
      </c>
      <c r="BA118" t="str">
        <f ca="1">IFERROR(IF(0=LEN(ReferenceData!$BA$118),"",ReferenceData!$BA$118),"")</f>
        <v/>
      </c>
      <c r="BB118" t="str">
        <f ca="1">IFERROR(IF(0=LEN(ReferenceData!$BB$118),"",ReferenceData!$BB$118),"")</f>
        <v/>
      </c>
      <c r="BC118" t="str">
        <f ca="1">IFERROR(IF(0=LEN(ReferenceData!$BC$118),"",ReferenceData!$BC$118),"")</f>
        <v/>
      </c>
      <c r="BD118" t="str">
        <f ca="1">IFERROR(IF(0=LEN(ReferenceData!$BD$118),"",ReferenceData!$BD$118),"")</f>
        <v/>
      </c>
      <c r="BE118" t="str">
        <f ca="1">IFERROR(IF(0=LEN(ReferenceData!$BE$118),"",ReferenceData!$BE$118),"")</f>
        <v/>
      </c>
      <c r="BF118" t="str">
        <f ca="1">IFERROR(IF(0=LEN(ReferenceData!$BF$118),"",ReferenceData!$BF$118),"")</f>
        <v/>
      </c>
      <c r="BG118" t="str">
        <f ca="1">IFERROR(IF(0=LEN(ReferenceData!$BG$118),"",ReferenceData!$BG$118),"")</f>
        <v/>
      </c>
      <c r="BH118" t="str">
        <f ca="1">IFERROR(IF(0=LEN(ReferenceData!$BH$118),"",ReferenceData!$BH$118),"")</f>
        <v/>
      </c>
      <c r="BI118" t="str">
        <f ca="1">IFERROR(IF(0=LEN(ReferenceData!$BI$118),"",ReferenceData!$BI$118),"")</f>
        <v/>
      </c>
      <c r="BJ118" t="str">
        <f ca="1">IFERROR(IF(0=LEN(ReferenceData!$BJ$118),"",ReferenceData!$BJ$118),"")</f>
        <v/>
      </c>
      <c r="BK118" t="str">
        <f ca="1">IFERROR(IF(0=LEN(ReferenceData!$BK$118),"",ReferenceData!$BK$118),"")</f>
        <v/>
      </c>
      <c r="BL118" t="str">
        <f ca="1">IFERROR(IF(0=LEN(ReferenceData!$BL$118),"",ReferenceData!$BL$118),"")</f>
        <v/>
      </c>
      <c r="BM118" t="str">
        <f ca="1">IFERROR(IF(0=LEN(ReferenceData!$BM$118),"",ReferenceData!$BM$118),"")</f>
        <v/>
      </c>
    </row>
    <row r="119" spans="1:65">
      <c r="A119" t="str">
        <f>IFERROR(IF(0=LEN(ReferenceData!$A$119),"",ReferenceData!$A$119),"")</f>
        <v xml:space="preserve">    Mid-America Apartment Communit</v>
      </c>
      <c r="B119" t="str">
        <f>IFERROR(IF(0=LEN(ReferenceData!$B$119),"",ReferenceData!$B$119),"")</f>
        <v>MAA US Equity</v>
      </c>
      <c r="C119" t="str">
        <f>IFERROR(IF(0=LEN(ReferenceData!$C$119),"",ReferenceData!$C$119),"")</f>
        <v>BE592</v>
      </c>
      <c r="D119" t="str">
        <f>IFERROR(IF(0=LEN(ReferenceData!$D$119),"",ReferenceData!$D$119),"")</f>
        <v>BEST_FFOPS_YOY_GTH</v>
      </c>
      <c r="E119" t="str">
        <f>IFERROR(IF(0=LEN(ReferenceData!$E$119),"",ReferenceData!$E$119),"")</f>
        <v>动态</v>
      </c>
      <c r="F119" t="str">
        <f ca="1">IFERROR(IF(0=LEN(ReferenceData!$F$119),"",ReferenceData!$F$119),"")</f>
        <v/>
      </c>
      <c r="G119" t="str">
        <f ca="1">IFERROR(IF(0=LEN(ReferenceData!$G$119),"",ReferenceData!$G$119),"")</f>
        <v/>
      </c>
      <c r="H119" t="str">
        <f ca="1">IFERROR(IF(0=LEN(ReferenceData!$H$119),"",ReferenceData!$H$119),"")</f>
        <v/>
      </c>
      <c r="I119" t="str">
        <f ca="1">IFERROR(IF(0=LEN(ReferenceData!$I$119),"",ReferenceData!$I$119),"")</f>
        <v/>
      </c>
      <c r="J119" t="str">
        <f ca="1">IFERROR(IF(0=LEN(ReferenceData!$J$119),"",ReferenceData!$J$119),"")</f>
        <v/>
      </c>
      <c r="K119" t="str">
        <f ca="1">IFERROR(IF(0=LEN(ReferenceData!$K$119),"",ReferenceData!$K$119),"")</f>
        <v/>
      </c>
      <c r="L119" t="str">
        <f ca="1">IFERROR(IF(0=LEN(ReferenceData!$L$119),"",ReferenceData!$L$119),"")</f>
        <v/>
      </c>
      <c r="M119" t="str">
        <f ca="1">IFERROR(IF(0=LEN(ReferenceData!$M$119),"",ReferenceData!$M$119),"")</f>
        <v/>
      </c>
      <c r="N119" t="str">
        <f ca="1">IFERROR(IF(0=LEN(ReferenceData!$N$119),"",ReferenceData!$N$119),"")</f>
        <v/>
      </c>
      <c r="O119" t="str">
        <f ca="1">IFERROR(IF(0=LEN(ReferenceData!$O$119),"",ReferenceData!$O$119),"")</f>
        <v/>
      </c>
      <c r="P119" t="str">
        <f ca="1">IFERROR(IF(0=LEN(ReferenceData!$P$119),"",ReferenceData!$P$119),"")</f>
        <v/>
      </c>
      <c r="Q119" t="str">
        <f ca="1">IFERROR(IF(0=LEN(ReferenceData!$Q$119),"",ReferenceData!$Q$119),"")</f>
        <v/>
      </c>
      <c r="R119" t="str">
        <f ca="1">IFERROR(IF(0=LEN(ReferenceData!$R$119),"",ReferenceData!$R$119),"")</f>
        <v/>
      </c>
      <c r="S119" t="str">
        <f ca="1">IFERROR(IF(0=LEN(ReferenceData!$S$119),"",ReferenceData!$S$119),"")</f>
        <v/>
      </c>
      <c r="T119" t="str">
        <f ca="1">IFERROR(IF(0=LEN(ReferenceData!$T$119),"",ReferenceData!$T$119),"")</f>
        <v/>
      </c>
      <c r="U119" t="str">
        <f ca="1">IFERROR(IF(0=LEN(ReferenceData!$U$119),"",ReferenceData!$U$119),"")</f>
        <v/>
      </c>
      <c r="V119" t="str">
        <f ca="1">IFERROR(IF(0=LEN(ReferenceData!$V$119),"",ReferenceData!$V$119),"")</f>
        <v/>
      </c>
      <c r="W119" t="str">
        <f ca="1">IFERROR(IF(0=LEN(ReferenceData!$W$119),"",ReferenceData!$W$119),"")</f>
        <v/>
      </c>
      <c r="X119" t="str">
        <f ca="1">IFERROR(IF(0=LEN(ReferenceData!$X$119),"",ReferenceData!$X$119),"")</f>
        <v/>
      </c>
      <c r="Y119" t="str">
        <f ca="1">IFERROR(IF(0=LEN(ReferenceData!$Y$119),"",ReferenceData!$Y$119),"")</f>
        <v/>
      </c>
      <c r="Z119" t="str">
        <f ca="1">IFERROR(IF(0=LEN(ReferenceData!$Z$119),"",ReferenceData!$Z$119),"")</f>
        <v/>
      </c>
      <c r="AA119" t="str">
        <f ca="1">IFERROR(IF(0=LEN(ReferenceData!$AA$119),"",ReferenceData!$AA$119),"")</f>
        <v/>
      </c>
      <c r="AB119" t="str">
        <f ca="1">IFERROR(IF(0=LEN(ReferenceData!$AB$119),"",ReferenceData!$AB$119),"")</f>
        <v/>
      </c>
      <c r="AC119" t="str">
        <f ca="1">IFERROR(IF(0=LEN(ReferenceData!$AC$119),"",ReferenceData!$AC$119),"")</f>
        <v/>
      </c>
      <c r="AD119" t="str">
        <f ca="1">IFERROR(IF(0=LEN(ReferenceData!$AD$119),"",ReferenceData!$AD$119),"")</f>
        <v/>
      </c>
      <c r="AE119" t="str">
        <f ca="1">IFERROR(IF(0=LEN(ReferenceData!$AE$119),"",ReferenceData!$AE$119),"")</f>
        <v/>
      </c>
      <c r="AF119" t="str">
        <f ca="1">IFERROR(IF(0=LEN(ReferenceData!$AF$119),"",ReferenceData!$AF$119),"")</f>
        <v/>
      </c>
      <c r="AG119" t="str">
        <f ca="1">IFERROR(IF(0=LEN(ReferenceData!$AG$119),"",ReferenceData!$AG$119),"")</f>
        <v/>
      </c>
      <c r="AH119" t="str">
        <f ca="1">IFERROR(IF(0=LEN(ReferenceData!$AH$119),"",ReferenceData!$AH$119),"")</f>
        <v/>
      </c>
      <c r="AI119" t="str">
        <f ca="1">IFERROR(IF(0=LEN(ReferenceData!$AI$119),"",ReferenceData!$AI$119),"")</f>
        <v/>
      </c>
      <c r="AJ119" t="str">
        <f ca="1">IFERROR(IF(0=LEN(ReferenceData!$AJ$119),"",ReferenceData!$AJ$119),"")</f>
        <v/>
      </c>
      <c r="AK119" t="str">
        <f ca="1">IFERROR(IF(0=LEN(ReferenceData!$AK$119),"",ReferenceData!$AK$119),"")</f>
        <v/>
      </c>
      <c r="AL119" t="str">
        <f ca="1">IFERROR(IF(0=LEN(ReferenceData!$AL$119),"",ReferenceData!$AL$119),"")</f>
        <v/>
      </c>
      <c r="AM119" t="str">
        <f ca="1">IFERROR(IF(0=LEN(ReferenceData!$AM$119),"",ReferenceData!$AM$119),"")</f>
        <v/>
      </c>
      <c r="AN119" t="str">
        <f ca="1">IFERROR(IF(0=LEN(ReferenceData!$AN$119),"",ReferenceData!$AN$119),"")</f>
        <v/>
      </c>
      <c r="AO119" t="str">
        <f ca="1">IFERROR(IF(0=LEN(ReferenceData!$AO$119),"",ReferenceData!$AO$119),"")</f>
        <v/>
      </c>
      <c r="AP119" t="str">
        <f ca="1">IFERROR(IF(0=LEN(ReferenceData!$AP$119),"",ReferenceData!$AP$119),"")</f>
        <v/>
      </c>
      <c r="AQ119" t="str">
        <f ca="1">IFERROR(IF(0=LEN(ReferenceData!$AQ$119),"",ReferenceData!$AQ$119),"")</f>
        <v/>
      </c>
      <c r="AR119" t="str">
        <f ca="1">IFERROR(IF(0=LEN(ReferenceData!$AR$119),"",ReferenceData!$AR$119),"")</f>
        <v/>
      </c>
      <c r="AS119" t="str">
        <f ca="1">IFERROR(IF(0=LEN(ReferenceData!$AS$119),"",ReferenceData!$AS$119),"")</f>
        <v/>
      </c>
      <c r="AT119" t="str">
        <f ca="1">IFERROR(IF(0=LEN(ReferenceData!$AT$119),"",ReferenceData!$AT$119),"")</f>
        <v/>
      </c>
      <c r="AU119" t="str">
        <f ca="1">IFERROR(IF(0=LEN(ReferenceData!$AU$119),"",ReferenceData!$AU$119),"")</f>
        <v/>
      </c>
      <c r="AV119" t="str">
        <f ca="1">IFERROR(IF(0=LEN(ReferenceData!$AV$119),"",ReferenceData!$AV$119),"")</f>
        <v/>
      </c>
      <c r="AW119" t="str">
        <f ca="1">IFERROR(IF(0=LEN(ReferenceData!$AW$119),"",ReferenceData!$AW$119),"")</f>
        <v/>
      </c>
      <c r="AX119" t="str">
        <f ca="1">IFERROR(IF(0=LEN(ReferenceData!$AX$119),"",ReferenceData!$AX$119),"")</f>
        <v/>
      </c>
      <c r="AY119" t="str">
        <f ca="1">IFERROR(IF(0=LEN(ReferenceData!$AY$119),"",ReferenceData!$AY$119),"")</f>
        <v/>
      </c>
      <c r="AZ119" t="str">
        <f ca="1">IFERROR(IF(0=LEN(ReferenceData!$AZ$119),"",ReferenceData!$AZ$119),"")</f>
        <v/>
      </c>
      <c r="BA119" t="str">
        <f ca="1">IFERROR(IF(0=LEN(ReferenceData!$BA$119),"",ReferenceData!$BA$119),"")</f>
        <v/>
      </c>
      <c r="BB119" t="str">
        <f ca="1">IFERROR(IF(0=LEN(ReferenceData!$BB$119),"",ReferenceData!$BB$119),"")</f>
        <v/>
      </c>
      <c r="BC119" t="str">
        <f ca="1">IFERROR(IF(0=LEN(ReferenceData!$BC$119),"",ReferenceData!$BC$119),"")</f>
        <v/>
      </c>
      <c r="BD119" t="str">
        <f ca="1">IFERROR(IF(0=LEN(ReferenceData!$BD$119),"",ReferenceData!$BD$119),"")</f>
        <v/>
      </c>
      <c r="BE119" t="str">
        <f ca="1">IFERROR(IF(0=LEN(ReferenceData!$BE$119),"",ReferenceData!$BE$119),"")</f>
        <v/>
      </c>
      <c r="BF119" t="str">
        <f ca="1">IFERROR(IF(0=LEN(ReferenceData!$BF$119),"",ReferenceData!$BF$119),"")</f>
        <v/>
      </c>
      <c r="BG119" t="str">
        <f ca="1">IFERROR(IF(0=LEN(ReferenceData!$BG$119),"",ReferenceData!$BG$119),"")</f>
        <v/>
      </c>
      <c r="BH119" t="str">
        <f ca="1">IFERROR(IF(0=LEN(ReferenceData!$BH$119),"",ReferenceData!$BH$119),"")</f>
        <v/>
      </c>
      <c r="BI119" t="str">
        <f ca="1">IFERROR(IF(0=LEN(ReferenceData!$BI$119),"",ReferenceData!$BI$119),"")</f>
        <v/>
      </c>
      <c r="BJ119" t="str">
        <f ca="1">IFERROR(IF(0=LEN(ReferenceData!$BJ$119),"",ReferenceData!$BJ$119),"")</f>
        <v/>
      </c>
      <c r="BK119" t="str">
        <f ca="1">IFERROR(IF(0=LEN(ReferenceData!$BK$119),"",ReferenceData!$BK$119),"")</f>
        <v/>
      </c>
      <c r="BL119" t="str">
        <f ca="1">IFERROR(IF(0=LEN(ReferenceData!$BL$119),"",ReferenceData!$BL$119),"")</f>
        <v/>
      </c>
      <c r="BM119" t="str">
        <f ca="1">IFERROR(IF(0=LEN(ReferenceData!$BM$119),"",ReferenceData!$BM$119),"")</f>
        <v/>
      </c>
    </row>
    <row r="120" spans="1:65">
      <c r="A120" t="str">
        <f>IFERROR(IF(0=LEN(ReferenceData!$A$120),"",ReferenceData!$A$120),"")</f>
        <v xml:space="preserve">    UDR Inc</v>
      </c>
      <c r="B120" t="str">
        <f>IFERROR(IF(0=LEN(ReferenceData!$B$120),"",ReferenceData!$B$120),"")</f>
        <v>UDR US Equity</v>
      </c>
      <c r="C120" t="str">
        <f>IFERROR(IF(0=LEN(ReferenceData!$C$120),"",ReferenceData!$C$120),"")</f>
        <v>BE592</v>
      </c>
      <c r="D120" t="str">
        <f>IFERROR(IF(0=LEN(ReferenceData!$D$120),"",ReferenceData!$D$120),"")</f>
        <v>BEST_FFOPS_YOY_GTH</v>
      </c>
      <c r="E120" t="str">
        <f>IFERROR(IF(0=LEN(ReferenceData!$E$120),"",ReferenceData!$E$120),"")</f>
        <v>动态</v>
      </c>
      <c r="F120" t="str">
        <f ca="1">IFERROR(IF(0=LEN(ReferenceData!$F$120),"",ReferenceData!$F$120),"")</f>
        <v/>
      </c>
      <c r="G120" t="str">
        <f ca="1">IFERROR(IF(0=LEN(ReferenceData!$G$120),"",ReferenceData!$G$120),"")</f>
        <v/>
      </c>
      <c r="H120" t="str">
        <f ca="1">IFERROR(IF(0=LEN(ReferenceData!$H$120),"",ReferenceData!$H$120),"")</f>
        <v/>
      </c>
      <c r="I120" t="str">
        <f ca="1">IFERROR(IF(0=LEN(ReferenceData!$I$120),"",ReferenceData!$I$120),"")</f>
        <v/>
      </c>
      <c r="J120" t="str">
        <f ca="1">IFERROR(IF(0=LEN(ReferenceData!$J$120),"",ReferenceData!$J$120),"")</f>
        <v/>
      </c>
      <c r="K120" t="str">
        <f ca="1">IFERROR(IF(0=LEN(ReferenceData!$K$120),"",ReferenceData!$K$120),"")</f>
        <v/>
      </c>
      <c r="L120" t="str">
        <f ca="1">IFERROR(IF(0=LEN(ReferenceData!$L$120),"",ReferenceData!$L$120),"")</f>
        <v/>
      </c>
      <c r="M120" t="str">
        <f ca="1">IFERROR(IF(0=LEN(ReferenceData!$M$120),"",ReferenceData!$M$120),"")</f>
        <v/>
      </c>
      <c r="N120" t="str">
        <f ca="1">IFERROR(IF(0=LEN(ReferenceData!$N$120),"",ReferenceData!$N$120),"")</f>
        <v/>
      </c>
      <c r="O120" t="str">
        <f ca="1">IFERROR(IF(0=LEN(ReferenceData!$O$120),"",ReferenceData!$O$120),"")</f>
        <v/>
      </c>
      <c r="P120" t="str">
        <f ca="1">IFERROR(IF(0=LEN(ReferenceData!$P$120),"",ReferenceData!$P$120),"")</f>
        <v/>
      </c>
      <c r="Q120" t="str">
        <f ca="1">IFERROR(IF(0=LEN(ReferenceData!$Q$120),"",ReferenceData!$Q$120),"")</f>
        <v/>
      </c>
      <c r="R120" t="str">
        <f ca="1">IFERROR(IF(0=LEN(ReferenceData!$R$120),"",ReferenceData!$R$120),"")</f>
        <v/>
      </c>
      <c r="S120" t="str">
        <f ca="1">IFERROR(IF(0=LEN(ReferenceData!$S$120),"",ReferenceData!$S$120),"")</f>
        <v/>
      </c>
      <c r="T120" t="str">
        <f ca="1">IFERROR(IF(0=LEN(ReferenceData!$T$120),"",ReferenceData!$T$120),"")</f>
        <v/>
      </c>
      <c r="U120" t="str">
        <f ca="1">IFERROR(IF(0=LEN(ReferenceData!$U$120),"",ReferenceData!$U$120),"")</f>
        <v/>
      </c>
      <c r="V120" t="str">
        <f ca="1">IFERROR(IF(0=LEN(ReferenceData!$V$120),"",ReferenceData!$V$120),"")</f>
        <v/>
      </c>
      <c r="W120" t="str">
        <f ca="1">IFERROR(IF(0=LEN(ReferenceData!$W$120),"",ReferenceData!$W$120),"")</f>
        <v/>
      </c>
      <c r="X120" t="str">
        <f ca="1">IFERROR(IF(0=LEN(ReferenceData!$X$120),"",ReferenceData!$X$120),"")</f>
        <v/>
      </c>
      <c r="Y120" t="str">
        <f ca="1">IFERROR(IF(0=LEN(ReferenceData!$Y$120),"",ReferenceData!$Y$120),"")</f>
        <v/>
      </c>
      <c r="Z120" t="str">
        <f ca="1">IFERROR(IF(0=LEN(ReferenceData!$Z$120),"",ReferenceData!$Z$120),"")</f>
        <v/>
      </c>
      <c r="AA120" t="str">
        <f ca="1">IFERROR(IF(0=LEN(ReferenceData!$AA$120),"",ReferenceData!$AA$120),"")</f>
        <v/>
      </c>
      <c r="AB120" t="str">
        <f ca="1">IFERROR(IF(0=LEN(ReferenceData!$AB$120),"",ReferenceData!$AB$120),"")</f>
        <v/>
      </c>
      <c r="AC120" t="str">
        <f ca="1">IFERROR(IF(0=LEN(ReferenceData!$AC$120),"",ReferenceData!$AC$120),"")</f>
        <v/>
      </c>
      <c r="AD120" t="str">
        <f ca="1">IFERROR(IF(0=LEN(ReferenceData!$AD$120),"",ReferenceData!$AD$120),"")</f>
        <v/>
      </c>
      <c r="AE120" t="str">
        <f ca="1">IFERROR(IF(0=LEN(ReferenceData!$AE$120),"",ReferenceData!$AE$120),"")</f>
        <v/>
      </c>
      <c r="AF120" t="str">
        <f ca="1">IFERROR(IF(0=LEN(ReferenceData!$AF$120),"",ReferenceData!$AF$120),"")</f>
        <v/>
      </c>
      <c r="AG120" t="str">
        <f ca="1">IFERROR(IF(0=LEN(ReferenceData!$AG$120),"",ReferenceData!$AG$120),"")</f>
        <v/>
      </c>
      <c r="AH120" t="str">
        <f ca="1">IFERROR(IF(0=LEN(ReferenceData!$AH$120),"",ReferenceData!$AH$120),"")</f>
        <v/>
      </c>
      <c r="AI120" t="str">
        <f ca="1">IFERROR(IF(0=LEN(ReferenceData!$AI$120),"",ReferenceData!$AI$120),"")</f>
        <v/>
      </c>
      <c r="AJ120" t="str">
        <f ca="1">IFERROR(IF(0=LEN(ReferenceData!$AJ$120),"",ReferenceData!$AJ$120),"")</f>
        <v/>
      </c>
      <c r="AK120" t="str">
        <f ca="1">IFERROR(IF(0=LEN(ReferenceData!$AK$120),"",ReferenceData!$AK$120),"")</f>
        <v/>
      </c>
      <c r="AL120" t="str">
        <f ca="1">IFERROR(IF(0=LEN(ReferenceData!$AL$120),"",ReferenceData!$AL$120),"")</f>
        <v/>
      </c>
      <c r="AM120" t="str">
        <f ca="1">IFERROR(IF(0=LEN(ReferenceData!$AM$120),"",ReferenceData!$AM$120),"")</f>
        <v/>
      </c>
      <c r="AN120" t="str">
        <f ca="1">IFERROR(IF(0=LEN(ReferenceData!$AN$120),"",ReferenceData!$AN$120),"")</f>
        <v/>
      </c>
      <c r="AO120" t="str">
        <f ca="1">IFERROR(IF(0=LEN(ReferenceData!$AO$120),"",ReferenceData!$AO$120),"")</f>
        <v/>
      </c>
      <c r="AP120" t="str">
        <f ca="1">IFERROR(IF(0=LEN(ReferenceData!$AP$120),"",ReferenceData!$AP$120),"")</f>
        <v/>
      </c>
      <c r="AQ120" t="str">
        <f ca="1">IFERROR(IF(0=LEN(ReferenceData!$AQ$120),"",ReferenceData!$AQ$120),"")</f>
        <v/>
      </c>
      <c r="AR120" t="str">
        <f ca="1">IFERROR(IF(0=LEN(ReferenceData!$AR$120),"",ReferenceData!$AR$120),"")</f>
        <v/>
      </c>
      <c r="AS120" t="str">
        <f ca="1">IFERROR(IF(0=LEN(ReferenceData!$AS$120),"",ReferenceData!$AS$120),"")</f>
        <v/>
      </c>
      <c r="AT120" t="str">
        <f ca="1">IFERROR(IF(0=LEN(ReferenceData!$AT$120),"",ReferenceData!$AT$120),"")</f>
        <v/>
      </c>
      <c r="AU120" t="str">
        <f ca="1">IFERROR(IF(0=LEN(ReferenceData!$AU$120),"",ReferenceData!$AU$120),"")</f>
        <v/>
      </c>
      <c r="AV120" t="str">
        <f ca="1">IFERROR(IF(0=LEN(ReferenceData!$AV$120),"",ReferenceData!$AV$120),"")</f>
        <v/>
      </c>
      <c r="AW120" t="str">
        <f ca="1">IFERROR(IF(0=LEN(ReferenceData!$AW$120),"",ReferenceData!$AW$120),"")</f>
        <v/>
      </c>
      <c r="AX120" t="str">
        <f ca="1">IFERROR(IF(0=LEN(ReferenceData!$AX$120),"",ReferenceData!$AX$120),"")</f>
        <v/>
      </c>
      <c r="AY120" t="str">
        <f ca="1">IFERROR(IF(0=LEN(ReferenceData!$AY$120),"",ReferenceData!$AY$120),"")</f>
        <v/>
      </c>
      <c r="AZ120" t="str">
        <f ca="1">IFERROR(IF(0=LEN(ReferenceData!$AZ$120),"",ReferenceData!$AZ$120),"")</f>
        <v/>
      </c>
      <c r="BA120" t="str">
        <f ca="1">IFERROR(IF(0=LEN(ReferenceData!$BA$120),"",ReferenceData!$BA$120),"")</f>
        <v/>
      </c>
      <c r="BB120" t="str">
        <f ca="1">IFERROR(IF(0=LEN(ReferenceData!$BB$120),"",ReferenceData!$BB$120),"")</f>
        <v/>
      </c>
      <c r="BC120" t="str">
        <f ca="1">IFERROR(IF(0=LEN(ReferenceData!$BC$120),"",ReferenceData!$BC$120),"")</f>
        <v/>
      </c>
      <c r="BD120" t="str">
        <f ca="1">IFERROR(IF(0=LEN(ReferenceData!$BD$120),"",ReferenceData!$BD$120),"")</f>
        <v/>
      </c>
      <c r="BE120" t="str">
        <f ca="1">IFERROR(IF(0=LEN(ReferenceData!$BE$120),"",ReferenceData!$BE$120),"")</f>
        <v/>
      </c>
      <c r="BF120" t="str">
        <f ca="1">IFERROR(IF(0=LEN(ReferenceData!$BF$120),"",ReferenceData!$BF$120),"")</f>
        <v/>
      </c>
      <c r="BG120" t="str">
        <f ca="1">IFERROR(IF(0=LEN(ReferenceData!$BG$120),"",ReferenceData!$BG$120),"")</f>
        <v/>
      </c>
      <c r="BH120" t="str">
        <f ca="1">IFERROR(IF(0=LEN(ReferenceData!$BH$120),"",ReferenceData!$BH$120),"")</f>
        <v/>
      </c>
      <c r="BI120" t="str">
        <f ca="1">IFERROR(IF(0=LEN(ReferenceData!$BI$120),"",ReferenceData!$BI$120),"")</f>
        <v/>
      </c>
      <c r="BJ120" t="str">
        <f ca="1">IFERROR(IF(0=LEN(ReferenceData!$BJ$120),"",ReferenceData!$BJ$120),"")</f>
        <v/>
      </c>
      <c r="BK120" t="str">
        <f ca="1">IFERROR(IF(0=LEN(ReferenceData!$BK$120),"",ReferenceData!$BK$120),"")</f>
        <v/>
      </c>
      <c r="BL120" t="str">
        <f ca="1">IFERROR(IF(0=LEN(ReferenceData!$BL$120),"",ReferenceData!$BL$120),"")</f>
        <v/>
      </c>
      <c r="BM120" t="str">
        <f ca="1">IFERROR(IF(0=LEN(ReferenceData!$BM$120),"",ReferenceData!$BM$120),"")</f>
        <v/>
      </c>
    </row>
    <row r="121" spans="1:65">
      <c r="A121" t="str">
        <f>IFERROR(IF(0=LEN(ReferenceData!$A$121),"",ReferenceData!$A$121),"")</f>
        <v>EBITDA利润率(%)</v>
      </c>
      <c r="B121" t="str">
        <f>IFERROR(IF(0=LEN(ReferenceData!$B$121),"",ReferenceData!$B$121),"")</f>
        <v/>
      </c>
      <c r="C121" t="str">
        <f>IFERROR(IF(0=LEN(ReferenceData!$C$121),"",ReferenceData!$C$121),"")</f>
        <v/>
      </c>
      <c r="D121" t="str">
        <f>IFERROR(IF(0=LEN(ReferenceData!$D$121),"",ReferenceData!$D$121),"")</f>
        <v/>
      </c>
      <c r="E121" t="str">
        <f>IFERROR(IF(0=LEN(ReferenceData!$E$121),"",ReferenceData!$E$121),"")</f>
        <v>Median</v>
      </c>
      <c r="F121" t="str">
        <f ca="1">IFERROR(IF(0=LEN(ReferenceData!$F$121),"",ReferenceData!$F$121),"")</f>
        <v/>
      </c>
      <c r="G121">
        <f ca="1">IFERROR(IF(0=LEN(ReferenceData!$G$121),"",ReferenceData!$G$121),"")</f>
        <v>59.845863855000005</v>
      </c>
      <c r="H121">
        <f ca="1">IFERROR(IF(0=LEN(ReferenceData!$H$121),"",ReferenceData!$H$121),"")</f>
        <v>58.377239795000001</v>
      </c>
      <c r="I121">
        <f ca="1">IFERROR(IF(0=LEN(ReferenceData!$I$121),"",ReferenceData!$I$121),"")</f>
        <v>59.290443979999999</v>
      </c>
      <c r="J121">
        <f ca="1">IFERROR(IF(0=LEN(ReferenceData!$J$121),"",ReferenceData!$J$121),"")</f>
        <v>58.114813139999995</v>
      </c>
      <c r="K121">
        <f ca="1">IFERROR(IF(0=LEN(ReferenceData!$K$121),"",ReferenceData!$K$121),"")</f>
        <v>60.192604395000004</v>
      </c>
      <c r="L121">
        <f ca="1">IFERROR(IF(0=LEN(ReferenceData!$L$121),"",ReferenceData!$L$121),"")</f>
        <v>59.308908404999997</v>
      </c>
      <c r="M121">
        <f ca="1">IFERROR(IF(0=LEN(ReferenceData!$M$121),"",ReferenceData!$M$121),"")</f>
        <v>59.457066990000001</v>
      </c>
      <c r="N121">
        <f ca="1">IFERROR(IF(0=LEN(ReferenceData!$N$121),"",ReferenceData!$N$121),"")</f>
        <v>59.103519239999997</v>
      </c>
      <c r="O121">
        <f ca="1">IFERROR(IF(0=LEN(ReferenceData!$O$121),"",ReferenceData!$O$121),"")</f>
        <v>58.078887594999998</v>
      </c>
      <c r="P121">
        <f ca="1">IFERROR(IF(0=LEN(ReferenceData!$P$121),"",ReferenceData!$P$121),"")</f>
        <v>59.74095793</v>
      </c>
      <c r="Q121">
        <f ca="1">IFERROR(IF(0=LEN(ReferenceData!$Q$121),"",ReferenceData!$Q$121),"")</f>
        <v>58.486958819999998</v>
      </c>
      <c r="R121">
        <f ca="1">IFERROR(IF(0=LEN(ReferenceData!$R$121),"",ReferenceData!$R$121),"")</f>
        <v>58.014018774999997</v>
      </c>
      <c r="S121">
        <f ca="1">IFERROR(IF(0=LEN(ReferenceData!$S$121),"",ReferenceData!$S$121),"")</f>
        <v>57.504498525000002</v>
      </c>
      <c r="T121">
        <f ca="1">IFERROR(IF(0=LEN(ReferenceData!$T$121),"",ReferenceData!$T$121),"")</f>
        <v>57.717637400000001</v>
      </c>
      <c r="U121">
        <f ca="1">IFERROR(IF(0=LEN(ReferenceData!$U$121),"",ReferenceData!$U$121),"")</f>
        <v>53.765986044999998</v>
      </c>
      <c r="V121">
        <f ca="1">IFERROR(IF(0=LEN(ReferenceData!$V$121),"",ReferenceData!$V$121),"")</f>
        <v>55.516439129999995</v>
      </c>
      <c r="W121">
        <f ca="1">IFERROR(IF(0=LEN(ReferenceData!$W$121),"",ReferenceData!$W$121),"")</f>
        <v>58.62766285</v>
      </c>
      <c r="X121">
        <f ca="1">IFERROR(IF(0=LEN(ReferenceData!$X$121),"",ReferenceData!$X$121),"")</f>
        <v>57.981643914999999</v>
      </c>
      <c r="Y121">
        <f ca="1">IFERROR(IF(0=LEN(ReferenceData!$Y$121),"",ReferenceData!$Y$121),"")</f>
        <v>58.556270935000001</v>
      </c>
      <c r="Z121">
        <f ca="1">IFERROR(IF(0=LEN(ReferenceData!$Z$121),"",ReferenceData!$Z$121),"")</f>
        <v>55.773447789999999</v>
      </c>
      <c r="AA121">
        <f ca="1">IFERROR(IF(0=LEN(ReferenceData!$AA$121),"",ReferenceData!$AA$121),"")</f>
        <v>56.854968530000001</v>
      </c>
      <c r="AB121">
        <f ca="1">IFERROR(IF(0=LEN(ReferenceData!$AB$121),"",ReferenceData!$AB$121),"")</f>
        <v>57.169128955000005</v>
      </c>
      <c r="AC121">
        <f ca="1">IFERROR(IF(0=LEN(ReferenceData!$AC$121),"",ReferenceData!$AC$121),"")</f>
        <v>55.753084744999995</v>
      </c>
      <c r="AD121">
        <f ca="1">IFERROR(IF(0=LEN(ReferenceData!$AD$121),"",ReferenceData!$AD$121),"")</f>
        <v>58.096876934999997</v>
      </c>
      <c r="AE121">
        <f ca="1">IFERROR(IF(0=LEN(ReferenceData!$AE$121),"",ReferenceData!$AE$121),"")</f>
        <v>57.286606454999998</v>
      </c>
      <c r="AF121">
        <f ca="1">IFERROR(IF(0=LEN(ReferenceData!$AF$121),"",ReferenceData!$AF$121),"")</f>
        <v>53.649165310000001</v>
      </c>
      <c r="AG121">
        <f ca="1">IFERROR(IF(0=LEN(ReferenceData!$AG$121),"",ReferenceData!$AG$121),"")</f>
        <v>57.132087885000004</v>
      </c>
      <c r="AH121">
        <f ca="1">IFERROR(IF(0=LEN(ReferenceData!$AH$121),"",ReferenceData!$AH$121),"")</f>
        <v>58.342887150000003</v>
      </c>
      <c r="AI121">
        <f ca="1">IFERROR(IF(0=LEN(ReferenceData!$AI$121),"",ReferenceData!$AI$121),"")</f>
        <v>53.871313600000001</v>
      </c>
      <c r="AJ121">
        <f ca="1">IFERROR(IF(0=LEN(ReferenceData!$AJ$121),"",ReferenceData!$AJ$121),"")</f>
        <v>56.399589749999997</v>
      </c>
      <c r="AK121">
        <f ca="1">IFERROR(IF(0=LEN(ReferenceData!$AK$121),"",ReferenceData!$AK$121),"")</f>
        <v>57.864333600000002</v>
      </c>
      <c r="AL121">
        <f ca="1">IFERROR(IF(0=LEN(ReferenceData!$AL$121),"",ReferenceData!$AL$121),"")</f>
        <v>55.052007670000002</v>
      </c>
      <c r="AM121">
        <f ca="1">IFERROR(IF(0=LEN(ReferenceData!$AM$121),"",ReferenceData!$AM$121),"")</f>
        <v>52.979425579999997</v>
      </c>
      <c r="AN121">
        <f ca="1">IFERROR(IF(0=LEN(ReferenceData!$AN$121),"",ReferenceData!$AN$121),"")</f>
        <v>50.871417379999997</v>
      </c>
      <c r="AO121">
        <f ca="1">IFERROR(IF(0=LEN(ReferenceData!$AO$121),"",ReferenceData!$AO$121),"")</f>
        <v>51.916721330000001</v>
      </c>
      <c r="AP121">
        <f ca="1">IFERROR(IF(0=LEN(ReferenceData!$AP$121),"",ReferenceData!$AP$121),"")</f>
        <v>56.083629420000001</v>
      </c>
      <c r="AQ121">
        <f ca="1">IFERROR(IF(0=LEN(ReferenceData!$AQ$121),"",ReferenceData!$AQ$121),"")</f>
        <v>51.736856070000002</v>
      </c>
      <c r="AR121">
        <f ca="1">IFERROR(IF(0=LEN(ReferenceData!$AR$121),"",ReferenceData!$AR$121),"")</f>
        <v>50.268034350000001</v>
      </c>
      <c r="AS121">
        <f ca="1">IFERROR(IF(0=LEN(ReferenceData!$AS$121),"",ReferenceData!$AS$121),"")</f>
        <v>55.685683109999999</v>
      </c>
      <c r="AT121">
        <f ca="1">IFERROR(IF(0=LEN(ReferenceData!$AT$121),"",ReferenceData!$AT$121),"")</f>
        <v>55.379003080000004</v>
      </c>
      <c r="AU121">
        <f ca="1">IFERROR(IF(0=LEN(ReferenceData!$AU$121),"",ReferenceData!$AU$121),"")</f>
        <v>56.638356314999996</v>
      </c>
      <c r="AV121">
        <f ca="1">IFERROR(IF(0=LEN(ReferenceData!$AV$121),"",ReferenceData!$AV$121),"")</f>
        <v>55.862358039999997</v>
      </c>
      <c r="AW121">
        <f ca="1">IFERROR(IF(0=LEN(ReferenceData!$AW$121),"",ReferenceData!$AW$121),"")</f>
        <v>56.162631400000002</v>
      </c>
      <c r="AX121">
        <f ca="1">IFERROR(IF(0=LEN(ReferenceData!$AX$121),"",ReferenceData!$AX$121),"")</f>
        <v>56.572339589999999</v>
      </c>
      <c r="AY121">
        <f ca="1">IFERROR(IF(0=LEN(ReferenceData!$AY$121),"",ReferenceData!$AY$121),"")</f>
        <v>56.217418365</v>
      </c>
      <c r="AZ121">
        <f ca="1">IFERROR(IF(0=LEN(ReferenceData!$AZ$121),"",ReferenceData!$AZ$121),"")</f>
        <v>55.275023599999997</v>
      </c>
      <c r="BA121">
        <f ca="1">IFERROR(IF(0=LEN(ReferenceData!$BA$121),"",ReferenceData!$BA$121),"")</f>
        <v>56.078902859999999</v>
      </c>
      <c r="BB121">
        <f ca="1">IFERROR(IF(0=LEN(ReferenceData!$BB$121),"",ReferenceData!$BB$121),"")</f>
        <v>57.392204100000001</v>
      </c>
      <c r="BC121">
        <f ca="1">IFERROR(IF(0=LEN(ReferenceData!$BC$121),"",ReferenceData!$BC$121),"")</f>
        <v>56.700203205000001</v>
      </c>
      <c r="BD121">
        <f ca="1">IFERROR(IF(0=LEN(ReferenceData!$BD$121),"",ReferenceData!$BD$121),"")</f>
        <v>54.853230879999998</v>
      </c>
      <c r="BE121">
        <f ca="1">IFERROR(IF(0=LEN(ReferenceData!$BE$121),"",ReferenceData!$BE$121),"")</f>
        <v>56.286110890000003</v>
      </c>
      <c r="BF121">
        <f ca="1">IFERROR(IF(0=LEN(ReferenceData!$BF$121),"",ReferenceData!$BF$121),"")</f>
        <v>55.681091260000002</v>
      </c>
      <c r="BG121">
        <f ca="1">IFERROR(IF(0=LEN(ReferenceData!$BG$121),"",ReferenceData!$BG$121),"")</f>
        <v>60.26149118</v>
      </c>
      <c r="BH121">
        <f ca="1">IFERROR(IF(0=LEN(ReferenceData!$BH$121),"",ReferenceData!$BH$121),"")</f>
        <v>55.598923540000001</v>
      </c>
      <c r="BI121">
        <f ca="1">IFERROR(IF(0=LEN(ReferenceData!$BI$121),"",ReferenceData!$BI$121),"")</f>
        <v>53.661597440000001</v>
      </c>
      <c r="BJ121">
        <f ca="1">IFERROR(IF(0=LEN(ReferenceData!$BJ$121),"",ReferenceData!$BJ$121),"")</f>
        <v>55.642480030000002</v>
      </c>
      <c r="BK121">
        <f ca="1">IFERROR(IF(0=LEN(ReferenceData!$BK$121),"",ReferenceData!$BK$121),"")</f>
        <v>56.190083135000002</v>
      </c>
      <c r="BL121">
        <f ca="1">IFERROR(IF(0=LEN(ReferenceData!$BL$121),"",ReferenceData!$BL$121),"")</f>
        <v>57.80172692</v>
      </c>
      <c r="BM121">
        <f ca="1">IFERROR(IF(0=LEN(ReferenceData!$BM$121),"",ReferenceData!$BM$121),"")</f>
        <v>58.945949825</v>
      </c>
    </row>
    <row r="122" spans="1:65">
      <c r="A122" t="str">
        <f>IFERROR(IF(0=LEN(ReferenceData!$A$122),"",ReferenceData!$A$122),"")</f>
        <v xml:space="preserve">    American Campus Communities In</v>
      </c>
      <c r="B122" t="str">
        <f>IFERROR(IF(0=LEN(ReferenceData!$B$122),"",ReferenceData!$B$122),"")</f>
        <v>ACC US Equity</v>
      </c>
      <c r="C122" t="str">
        <f>IFERROR(IF(0=LEN(ReferenceData!$C$122),"",ReferenceData!$C$122),"")</f>
        <v>RX225</v>
      </c>
      <c r="D122" t="str">
        <f>IFERROR(IF(0=LEN(ReferenceData!$D$122),"",ReferenceData!$D$122),"")</f>
        <v>EBITDA_TO_REVENUE</v>
      </c>
      <c r="E122" t="str">
        <f>IFERROR(IF(0=LEN(ReferenceData!$E$122),"",ReferenceData!$E$122),"")</f>
        <v>动态</v>
      </c>
      <c r="F122" t="str">
        <f ca="1">IFERROR(IF(0=LEN(ReferenceData!$F$122),"",ReferenceData!$F$122),"")</f>
        <v/>
      </c>
      <c r="G122">
        <f ca="1">IFERROR(IF(0=LEN(ReferenceData!$G$122),"",ReferenceData!$G$122),"")</f>
        <v>56.554888099999999</v>
      </c>
      <c r="H122">
        <f ca="1">IFERROR(IF(0=LEN(ReferenceData!$H$122),"",ReferenceData!$H$122),"")</f>
        <v>39.961815389999998</v>
      </c>
      <c r="I122">
        <f ca="1">IFERROR(IF(0=LEN(ReferenceData!$I$122),"",ReferenceData!$I$122),"")</f>
        <v>38.296053809999997</v>
      </c>
      <c r="J122">
        <f ca="1">IFERROR(IF(0=LEN(ReferenceData!$J$122),"",ReferenceData!$J$122),"")</f>
        <v>52.62934207</v>
      </c>
      <c r="K122">
        <f ca="1">IFERROR(IF(0=LEN(ReferenceData!$K$122),"",ReferenceData!$K$122),"")</f>
        <v>50.80354166</v>
      </c>
      <c r="L122">
        <f ca="1">IFERROR(IF(0=LEN(ReferenceData!$L$122),"",ReferenceData!$L$122),"")</f>
        <v>41.415704820000002</v>
      </c>
      <c r="M122">
        <f ca="1">IFERROR(IF(0=LEN(ReferenceData!$M$122),"",ReferenceData!$M$122),"")</f>
        <v>49.901872750000003</v>
      </c>
      <c r="N122">
        <f ca="1">IFERROR(IF(0=LEN(ReferenceData!$N$122),"",ReferenceData!$N$122),"")</f>
        <v>53.376834420000002</v>
      </c>
      <c r="O122">
        <f ca="1">IFERROR(IF(0=LEN(ReferenceData!$O$122),"",ReferenceData!$O$122),"")</f>
        <v>53.615762770000003</v>
      </c>
      <c r="P122">
        <f ca="1">IFERROR(IF(0=LEN(ReferenceData!$P$122),"",ReferenceData!$P$122),"")</f>
        <v>39.155273870000002</v>
      </c>
      <c r="Q122">
        <f ca="1">IFERROR(IF(0=LEN(ReferenceData!$Q$122),"",ReferenceData!$Q$122),"")</f>
        <v>48.367945849999998</v>
      </c>
      <c r="R122">
        <f ca="1">IFERROR(IF(0=LEN(ReferenceData!$R$122),"",ReferenceData!$R$122),"")</f>
        <v>52.183196270000003</v>
      </c>
      <c r="S122">
        <f ca="1">IFERROR(IF(0=LEN(ReferenceData!$S$122),"",ReferenceData!$S$122),"")</f>
        <v>52.872944179999998</v>
      </c>
      <c r="T122">
        <f ca="1">IFERROR(IF(0=LEN(ReferenceData!$T$122),"",ReferenceData!$T$122),"")</f>
        <v>38.918630729999997</v>
      </c>
      <c r="U122">
        <f ca="1">IFERROR(IF(0=LEN(ReferenceData!$U$122),"",ReferenceData!$U$122),"")</f>
        <v>48.775708379999998</v>
      </c>
      <c r="V122">
        <f ca="1">IFERROR(IF(0=LEN(ReferenceData!$V$122),"",ReferenceData!$V$122),"")</f>
        <v>52.525070560000003</v>
      </c>
      <c r="W122">
        <f ca="1">IFERROR(IF(0=LEN(ReferenceData!$W$122),"",ReferenceData!$W$122),"")</f>
        <v>52.756521829999997</v>
      </c>
      <c r="X122">
        <f ca="1">IFERROR(IF(0=LEN(ReferenceData!$X$122),"",ReferenceData!$X$122),"")</f>
        <v>38.089429109999998</v>
      </c>
      <c r="Y122">
        <f ca="1">IFERROR(IF(0=LEN(ReferenceData!$Y$122),"",ReferenceData!$Y$122),"")</f>
        <v>48.109155940000001</v>
      </c>
      <c r="Z122">
        <f ca="1">IFERROR(IF(0=LEN(ReferenceData!$Z$122),"",ReferenceData!$Z$122),"")</f>
        <v>54.335568330000001</v>
      </c>
      <c r="AA122">
        <f ca="1">IFERROR(IF(0=LEN(ReferenceData!$AA$122),"",ReferenceData!$AA$122),"")</f>
        <v>51.720557599999999</v>
      </c>
      <c r="AB122">
        <f ca="1">IFERROR(IF(0=LEN(ReferenceData!$AB$122),"",ReferenceData!$AB$122),"")</f>
        <v>37.150686880000002</v>
      </c>
      <c r="AC122">
        <f ca="1">IFERROR(IF(0=LEN(ReferenceData!$AC$122),"",ReferenceData!$AC$122),"")</f>
        <v>47.9184628</v>
      </c>
      <c r="AD122">
        <f ca="1">IFERROR(IF(0=LEN(ReferenceData!$AD$122),"",ReferenceData!$AD$122),"")</f>
        <v>52.47567325</v>
      </c>
      <c r="AE122">
        <f ca="1">IFERROR(IF(0=LEN(ReferenceData!$AE$122),"",ReferenceData!$AE$122),"")</f>
        <v>50.828139589999999</v>
      </c>
      <c r="AF122">
        <f ca="1">IFERROR(IF(0=LEN(ReferenceData!$AF$122),"",ReferenceData!$AF$122),"")</f>
        <v>39.962184870000002</v>
      </c>
      <c r="AG122">
        <f ca="1">IFERROR(IF(0=LEN(ReferenceData!$AG$122),"",ReferenceData!$AG$122),"")</f>
        <v>48.17886927</v>
      </c>
      <c r="AH122">
        <f ca="1">IFERROR(IF(0=LEN(ReferenceData!$AH$122),"",ReferenceData!$AH$122),"")</f>
        <v>54.754349380000001</v>
      </c>
      <c r="AI122">
        <f ca="1">IFERROR(IF(0=LEN(ReferenceData!$AI$122),"",ReferenceData!$AI$122),"")</f>
        <v>52.514767749999997</v>
      </c>
      <c r="AJ122">
        <f ca="1">IFERROR(IF(0=LEN(ReferenceData!$AJ$122),"",ReferenceData!$AJ$122),"")</f>
        <v>42.393421590000003</v>
      </c>
      <c r="AK122">
        <f ca="1">IFERROR(IF(0=LEN(ReferenceData!$AK$122),"",ReferenceData!$AK$122),"")</f>
        <v>47.268225360000002</v>
      </c>
      <c r="AL122">
        <f ca="1">IFERROR(IF(0=LEN(ReferenceData!$AL$122),"",ReferenceData!$AL$122),"")</f>
        <v>51.451794419999999</v>
      </c>
      <c r="AM122">
        <f ca="1">IFERROR(IF(0=LEN(ReferenceData!$AM$122),"",ReferenceData!$AM$122),"")</f>
        <v>52.979425579999997</v>
      </c>
      <c r="AN122">
        <f ca="1">IFERROR(IF(0=LEN(ReferenceData!$AN$122),"",ReferenceData!$AN$122),"")</f>
        <v>40.262748129999999</v>
      </c>
      <c r="AO122">
        <f ca="1">IFERROR(IF(0=LEN(ReferenceData!$AO$122),"",ReferenceData!$AO$122),"")</f>
        <v>44.074027299999997</v>
      </c>
      <c r="AP122">
        <f ca="1">IFERROR(IF(0=LEN(ReferenceData!$AP$122),"",ReferenceData!$AP$122),"")</f>
        <v>49.794700499999998</v>
      </c>
      <c r="AQ122">
        <f ca="1">IFERROR(IF(0=LEN(ReferenceData!$AQ$122),"",ReferenceData!$AQ$122),"")</f>
        <v>46.394175500000003</v>
      </c>
      <c r="AR122">
        <f ca="1">IFERROR(IF(0=LEN(ReferenceData!$AR$122),"",ReferenceData!$AR$122),"")</f>
        <v>31.901738430000002</v>
      </c>
      <c r="AS122">
        <f ca="1">IFERROR(IF(0=LEN(ReferenceData!$AS$122),"",ReferenceData!$AS$122),"")</f>
        <v>42.061633139999998</v>
      </c>
      <c r="AT122">
        <f ca="1">IFERROR(IF(0=LEN(ReferenceData!$AT$122),"",ReferenceData!$AT$122),"")</f>
        <v>49.905054919999998</v>
      </c>
      <c r="AU122">
        <f ca="1">IFERROR(IF(0=LEN(ReferenceData!$AU$122),"",ReferenceData!$AU$122),"")</f>
        <v>51.866654130000001</v>
      </c>
      <c r="AV122">
        <f ca="1">IFERROR(IF(0=LEN(ReferenceData!$AV$122),"",ReferenceData!$AV$122),"")</f>
        <v>37.428890279999997</v>
      </c>
      <c r="AW122">
        <f ca="1">IFERROR(IF(0=LEN(ReferenceData!$AW$122),"",ReferenceData!$AW$122),"")</f>
        <v>42.286223280000002</v>
      </c>
      <c r="AX122">
        <f ca="1">IFERROR(IF(0=LEN(ReferenceData!$AX$122),"",ReferenceData!$AX$122),"")</f>
        <v>24.741285019999999</v>
      </c>
      <c r="AY122">
        <f ca="1">IFERROR(IF(0=LEN(ReferenceData!$AY$122),"",ReferenceData!$AY$122),"")</f>
        <v>53.228028020000004</v>
      </c>
      <c r="AZ122">
        <f ca="1">IFERROR(IF(0=LEN(ReferenceData!$AZ$122),"",ReferenceData!$AZ$122),"")</f>
        <v>40.423073219999999</v>
      </c>
      <c r="BA122">
        <f ca="1">IFERROR(IF(0=LEN(ReferenceData!$BA$122),"",ReferenceData!$BA$122),"")</f>
        <v>41.923269269999999</v>
      </c>
      <c r="BB122">
        <f ca="1">IFERROR(IF(0=LEN(ReferenceData!$BB$122),"",ReferenceData!$BB$122),"")</f>
        <v>52.155172409999999</v>
      </c>
      <c r="BC122">
        <f ca="1">IFERROR(IF(0=LEN(ReferenceData!$BC$122),"",ReferenceData!$BC$122),"")</f>
        <v>46.71521036</v>
      </c>
      <c r="BD122">
        <f ca="1">IFERROR(IF(0=LEN(ReferenceData!$BD$122),"",ReferenceData!$BD$122),"")</f>
        <v>38.792129539999998</v>
      </c>
      <c r="BE122">
        <f ca="1">IFERROR(IF(0=LEN(ReferenceData!$BE$122),"",ReferenceData!$BE$122),"")</f>
        <v>37.175203230000001</v>
      </c>
      <c r="BF122">
        <f ca="1">IFERROR(IF(0=LEN(ReferenceData!$BF$122),"",ReferenceData!$BF$122),"")</f>
        <v>48.716771260000002</v>
      </c>
      <c r="BG122">
        <f ca="1">IFERROR(IF(0=LEN(ReferenceData!$BG$122),"",ReferenceData!$BG$122),"")</f>
        <v>48.783434939999999</v>
      </c>
      <c r="BH122">
        <f ca="1">IFERROR(IF(0=LEN(ReferenceData!$BH$122),"",ReferenceData!$BH$122),"")</f>
        <v>37.669344199999998</v>
      </c>
      <c r="BI122">
        <f ca="1">IFERROR(IF(0=LEN(ReferenceData!$BI$122),"",ReferenceData!$BI$122),"")</f>
        <v>42.209057870000002</v>
      </c>
      <c r="BJ122">
        <f ca="1">IFERROR(IF(0=LEN(ReferenceData!$BJ$122),"",ReferenceData!$BJ$122),"")</f>
        <v>53.080013129999998</v>
      </c>
      <c r="BK122" t="str">
        <f ca="1">IFERROR(IF(0=LEN(ReferenceData!$BK$122),"",ReferenceData!$BK$122),"")</f>
        <v/>
      </c>
      <c r="BL122" t="str">
        <f ca="1">IFERROR(IF(0=LEN(ReferenceData!$BL$122),"",ReferenceData!$BL$122),"")</f>
        <v/>
      </c>
      <c r="BM122" t="str">
        <f ca="1">IFERROR(IF(0=LEN(ReferenceData!$BM$122),"",ReferenceData!$BM$122),"")</f>
        <v/>
      </c>
    </row>
    <row r="123" spans="1:65">
      <c r="A123" t="str">
        <f>IFERROR(IF(0=LEN(ReferenceData!$A$123),"",ReferenceData!$A$123),"")</f>
        <v xml:space="preserve">    AvalonBay Communities Inc</v>
      </c>
      <c r="B123" t="str">
        <f>IFERROR(IF(0=LEN(ReferenceData!$B$123),"",ReferenceData!$B$123),"")</f>
        <v>AVB US Equity</v>
      </c>
      <c r="C123" t="str">
        <f>IFERROR(IF(0=LEN(ReferenceData!$C$123),"",ReferenceData!$C$123),"")</f>
        <v>RX225</v>
      </c>
      <c r="D123" t="str">
        <f>IFERROR(IF(0=LEN(ReferenceData!$D$123),"",ReferenceData!$D$123),"")</f>
        <v>EBITDA_TO_REVENUE</v>
      </c>
      <c r="E123" t="str">
        <f>IFERROR(IF(0=LEN(ReferenceData!$E$123),"",ReferenceData!$E$123),"")</f>
        <v>动态</v>
      </c>
      <c r="F123" t="str">
        <f ca="1">IFERROR(IF(0=LEN(ReferenceData!$F$123),"",ReferenceData!$F$123),"")</f>
        <v/>
      </c>
      <c r="G123">
        <f ca="1">IFERROR(IF(0=LEN(ReferenceData!$G$123),"",ReferenceData!$G$123),"")</f>
        <v>69.204850780000001</v>
      </c>
      <c r="H123">
        <f ca="1">IFERROR(IF(0=LEN(ReferenceData!$H$123),"",ReferenceData!$H$123),"")</f>
        <v>63.718074479999999</v>
      </c>
      <c r="I123">
        <f ca="1">IFERROR(IF(0=LEN(ReferenceData!$I$123),"",ReferenceData!$I$123),"")</f>
        <v>63.286410109999998</v>
      </c>
      <c r="J123">
        <f ca="1">IFERROR(IF(0=LEN(ReferenceData!$J$123),"",ReferenceData!$J$123),"")</f>
        <v>61.404180529999998</v>
      </c>
      <c r="K123">
        <f ca="1">IFERROR(IF(0=LEN(ReferenceData!$K$123),"",ReferenceData!$K$123),"")</f>
        <v>65.056151589999999</v>
      </c>
      <c r="L123">
        <f ca="1">IFERROR(IF(0=LEN(ReferenceData!$L$123),"",ReferenceData!$L$123),"")</f>
        <v>62.639502059999998</v>
      </c>
      <c r="M123">
        <f ca="1">IFERROR(IF(0=LEN(ReferenceData!$M$123),"",ReferenceData!$M$123),"")</f>
        <v>63.821925640000003</v>
      </c>
      <c r="N123">
        <f ca="1">IFERROR(IF(0=LEN(ReferenceData!$N$123),"",ReferenceData!$N$123),"")</f>
        <v>64.728081529999997</v>
      </c>
      <c r="O123">
        <f ca="1">IFERROR(IF(0=LEN(ReferenceData!$O$123),"",ReferenceData!$O$123),"")</f>
        <v>64.316820559999996</v>
      </c>
      <c r="P123">
        <f ca="1">IFERROR(IF(0=LEN(ReferenceData!$P$123),"",ReferenceData!$P$123),"")</f>
        <v>60.274528779999997</v>
      </c>
      <c r="Q123">
        <f ca="1">IFERROR(IF(0=LEN(ReferenceData!$Q$123),"",ReferenceData!$Q$123),"")</f>
        <v>68.321969839999994</v>
      </c>
      <c r="R123">
        <f ca="1">IFERROR(IF(0=LEN(ReferenceData!$R$123),"",ReferenceData!$R$123),"")</f>
        <v>59.898229299999997</v>
      </c>
      <c r="S123">
        <f ca="1">IFERROR(IF(0=LEN(ReferenceData!$S$123),"",ReferenceData!$S$123),"")</f>
        <v>63.192830690000001</v>
      </c>
      <c r="T123">
        <f ca="1">IFERROR(IF(0=LEN(ReferenceData!$T$123),"",ReferenceData!$T$123),"")</f>
        <v>64.200685210000003</v>
      </c>
      <c r="U123">
        <f ca="1">IFERROR(IF(0=LEN(ReferenceData!$U$123),"",ReferenceData!$U$123),"")</f>
        <v>62.98748689</v>
      </c>
      <c r="V123">
        <f ca="1">IFERROR(IF(0=LEN(ReferenceData!$V$123),"",ReferenceData!$V$123),"")</f>
        <v>61.762669500000001</v>
      </c>
      <c r="W123">
        <f ca="1">IFERROR(IF(0=LEN(ReferenceData!$W$123),"",ReferenceData!$W$123),"")</f>
        <v>64.334587450000001</v>
      </c>
      <c r="X123">
        <f ca="1">IFERROR(IF(0=LEN(ReferenceData!$X$123),"",ReferenceData!$X$123),"")</f>
        <v>60.617591969999999</v>
      </c>
      <c r="Y123">
        <f ca="1">IFERROR(IF(0=LEN(ReferenceData!$Y$123),"",ReferenceData!$Y$123),"")</f>
        <v>64.312664760000004</v>
      </c>
      <c r="Z123">
        <f ca="1">IFERROR(IF(0=LEN(ReferenceData!$Z$123),"",ReferenceData!$Z$123),"")</f>
        <v>50.371818140000002</v>
      </c>
      <c r="AA123">
        <f ca="1">IFERROR(IF(0=LEN(ReferenceData!$AA$123),"",ReferenceData!$AA$123),"")</f>
        <v>58.708052019999997</v>
      </c>
      <c r="AB123">
        <f ca="1">IFERROR(IF(0=LEN(ReferenceData!$AB$123),"",ReferenceData!$AB$123),"")</f>
        <v>63.876611519999997</v>
      </c>
      <c r="AC123">
        <f ca="1">IFERROR(IF(0=LEN(ReferenceData!$AC$123),"",ReferenceData!$AC$123),"")</f>
        <v>61.579353920000003</v>
      </c>
      <c r="AD123">
        <f ca="1">IFERROR(IF(0=LEN(ReferenceData!$AD$123),"",ReferenceData!$AD$123),"")</f>
        <v>60.68113091</v>
      </c>
      <c r="AE123">
        <f ca="1">IFERROR(IF(0=LEN(ReferenceData!$AE$123),"",ReferenceData!$AE$123),"")</f>
        <v>58.974285139999999</v>
      </c>
      <c r="AF123">
        <f ca="1">IFERROR(IF(0=LEN(ReferenceData!$AF$123),"",ReferenceData!$AF$123),"")</f>
        <v>54.867695990000001</v>
      </c>
      <c r="AG123">
        <f ca="1">IFERROR(IF(0=LEN(ReferenceData!$AG$123),"",ReferenceData!$AG$123),"")</f>
        <v>61.72653992</v>
      </c>
      <c r="AH123">
        <f ca="1">IFERROR(IF(0=LEN(ReferenceData!$AH$123),"",ReferenceData!$AH$123),"")</f>
        <v>58.342887150000003</v>
      </c>
      <c r="AI123">
        <f ca="1">IFERROR(IF(0=LEN(ReferenceData!$AI$123),"",ReferenceData!$AI$123),"")</f>
        <v>59.89044458</v>
      </c>
      <c r="AJ123">
        <f ca="1">IFERROR(IF(0=LEN(ReferenceData!$AJ$123),"",ReferenceData!$AJ$123),"")</f>
        <v>56.96760922</v>
      </c>
      <c r="AK123">
        <f ca="1">IFERROR(IF(0=LEN(ReferenceData!$AK$123),"",ReferenceData!$AK$123),"")</f>
        <v>59.299180370000002</v>
      </c>
      <c r="AL123">
        <f ca="1">IFERROR(IF(0=LEN(ReferenceData!$AL$123),"",ReferenceData!$AL$123),"")</f>
        <v>55.052007670000002</v>
      </c>
      <c r="AM123">
        <f ca="1">IFERROR(IF(0=LEN(ReferenceData!$AM$123),"",ReferenceData!$AM$123),"")</f>
        <v>52.604856920000003</v>
      </c>
      <c r="AN123">
        <f ca="1">IFERROR(IF(0=LEN(ReferenceData!$AN$123),"",ReferenceData!$AN$123),"")</f>
        <v>54.005477970000001</v>
      </c>
      <c r="AO123">
        <f ca="1">IFERROR(IF(0=LEN(ReferenceData!$AO$123),"",ReferenceData!$AO$123),"")</f>
        <v>49.821680120000003</v>
      </c>
      <c r="AP123">
        <f ca="1">IFERROR(IF(0=LEN(ReferenceData!$AP$123),"",ReferenceData!$AP$123),"")</f>
        <v>56.652982600000001</v>
      </c>
      <c r="AQ123">
        <f ca="1">IFERROR(IF(0=LEN(ReferenceData!$AQ$123),"",ReferenceData!$AQ$123),"")</f>
        <v>22.42719636</v>
      </c>
      <c r="AR123">
        <f ca="1">IFERROR(IF(0=LEN(ReferenceData!$AR$123),"",ReferenceData!$AR$123),"")</f>
        <v>85.235619110000002</v>
      </c>
      <c r="AS123">
        <f ca="1">IFERROR(IF(0=LEN(ReferenceData!$AS$123),"",ReferenceData!$AS$123),"")</f>
        <v>58.263372969999999</v>
      </c>
      <c r="AT123">
        <f ca="1">IFERROR(IF(0=LEN(ReferenceData!$AT$123),"",ReferenceData!$AT$123),"")</f>
        <v>58.849603029999997</v>
      </c>
      <c r="AU123">
        <f ca="1">IFERROR(IF(0=LEN(ReferenceData!$AU$123),"",ReferenceData!$AU$123),"")</f>
        <v>59.29384898</v>
      </c>
      <c r="AV123">
        <f ca="1">IFERROR(IF(0=LEN(ReferenceData!$AV$123),"",ReferenceData!$AV$123),"")</f>
        <v>60.801803270000001</v>
      </c>
      <c r="AW123">
        <f ca="1">IFERROR(IF(0=LEN(ReferenceData!$AW$123),"",ReferenceData!$AW$123),"")</f>
        <v>59.010915339999997</v>
      </c>
      <c r="AX123">
        <f ca="1">IFERROR(IF(0=LEN(ReferenceData!$AX$123),"",ReferenceData!$AX$123),"")</f>
        <v>62.038544119999997</v>
      </c>
      <c r="AY123">
        <f ca="1">IFERROR(IF(0=LEN(ReferenceData!$AY$123),"",ReferenceData!$AY$123),"")</f>
        <v>58.489472460000002</v>
      </c>
      <c r="AZ123">
        <f ca="1">IFERROR(IF(0=LEN(ReferenceData!$AZ$123),"",ReferenceData!$AZ$123),"")</f>
        <v>59.404506499999997</v>
      </c>
      <c r="BA123">
        <f ca="1">IFERROR(IF(0=LEN(ReferenceData!$BA$123),"",ReferenceData!$BA$123),"")</f>
        <v>57.815091330000001</v>
      </c>
      <c r="BB123">
        <f ca="1">IFERROR(IF(0=LEN(ReferenceData!$BB$123),"",ReferenceData!$BB$123),"")</f>
        <v>60.176182779999998</v>
      </c>
      <c r="BC123">
        <f ca="1">IFERROR(IF(0=LEN(ReferenceData!$BC$123),"",ReferenceData!$BC$123),"")</f>
        <v>57.23347468</v>
      </c>
      <c r="BD123">
        <f ca="1">IFERROR(IF(0=LEN(ReferenceData!$BD$123),"",ReferenceData!$BD$123),"")</f>
        <v>58.538084619999999</v>
      </c>
      <c r="BE123">
        <f ca="1">IFERROR(IF(0=LEN(ReferenceData!$BE$123),"",ReferenceData!$BE$123),"")</f>
        <v>60.173134040000001</v>
      </c>
      <c r="BF123">
        <f ca="1">IFERROR(IF(0=LEN(ReferenceData!$BF$123),"",ReferenceData!$BF$123),"")</f>
        <v>60.713593660000001</v>
      </c>
      <c r="BG123">
        <f ca="1">IFERROR(IF(0=LEN(ReferenceData!$BG$123),"",ReferenceData!$BG$123),"")</f>
        <v>61.470541599999997</v>
      </c>
      <c r="BH123">
        <f ca="1">IFERROR(IF(0=LEN(ReferenceData!$BH$123),"",ReferenceData!$BH$123),"")</f>
        <v>62.108355299999999</v>
      </c>
      <c r="BI123">
        <f ca="1">IFERROR(IF(0=LEN(ReferenceData!$BI$123),"",ReferenceData!$BI$123),"")</f>
        <v>58.660825420000002</v>
      </c>
      <c r="BJ123">
        <f ca="1">IFERROR(IF(0=LEN(ReferenceData!$BJ$123),"",ReferenceData!$BJ$123),"")</f>
        <v>58.251486630000002</v>
      </c>
      <c r="BK123">
        <f ca="1">IFERROR(IF(0=LEN(ReferenceData!$BK$123),"",ReferenceData!$BK$123),"")</f>
        <v>59.658760209999997</v>
      </c>
      <c r="BL123">
        <f ca="1">IFERROR(IF(0=LEN(ReferenceData!$BL$123),"",ReferenceData!$BL$123),"")</f>
        <v>60.095768049999997</v>
      </c>
      <c r="BM123">
        <f ca="1">IFERROR(IF(0=LEN(ReferenceData!$BM$123),"",ReferenceData!$BM$123),"")</f>
        <v>60.636499190000002</v>
      </c>
    </row>
    <row r="124" spans="1:65">
      <c r="A124" t="str">
        <f>IFERROR(IF(0=LEN(ReferenceData!$A$124),"",ReferenceData!$A$124),"")</f>
        <v xml:space="preserve">    Camden Property Trust</v>
      </c>
      <c r="B124" t="str">
        <f>IFERROR(IF(0=LEN(ReferenceData!$B$124),"",ReferenceData!$B$124),"")</f>
        <v>CPT US Equity</v>
      </c>
      <c r="C124" t="str">
        <f>IFERROR(IF(0=LEN(ReferenceData!$C$124),"",ReferenceData!$C$124),"")</f>
        <v>RX225</v>
      </c>
      <c r="D124" t="str">
        <f>IFERROR(IF(0=LEN(ReferenceData!$D$124),"",ReferenceData!$D$124),"")</f>
        <v>EBITDA_TO_REVENUE</v>
      </c>
      <c r="E124" t="str">
        <f>IFERROR(IF(0=LEN(ReferenceData!$E$124),"",ReferenceData!$E$124),"")</f>
        <v>动态</v>
      </c>
      <c r="F124" t="str">
        <f ca="1">IFERROR(IF(0=LEN(ReferenceData!$F$124),"",ReferenceData!$F$124),"")</f>
        <v/>
      </c>
      <c r="G124">
        <f ca="1">IFERROR(IF(0=LEN(ReferenceData!$G$124),"",ReferenceData!$G$124),"")</f>
        <v>56.624762590000003</v>
      </c>
      <c r="H124">
        <f ca="1">IFERROR(IF(0=LEN(ReferenceData!$H$124),"",ReferenceData!$H$124),"")</f>
        <v>53.223705350000003</v>
      </c>
      <c r="I124">
        <f ca="1">IFERROR(IF(0=LEN(ReferenceData!$I$124),"",ReferenceData!$I$124),"")</f>
        <v>55.475518389999998</v>
      </c>
      <c r="J124">
        <f ca="1">IFERROR(IF(0=LEN(ReferenceData!$J$124),"",ReferenceData!$J$124),"")</f>
        <v>54.694512109999998</v>
      </c>
      <c r="K124">
        <f ca="1">IFERROR(IF(0=LEN(ReferenceData!$K$124),"",ReferenceData!$K$124),"")</f>
        <v>57.390986380000001</v>
      </c>
      <c r="L124">
        <f ca="1">IFERROR(IF(0=LEN(ReferenceData!$L$124),"",ReferenceData!$L$124),"")</f>
        <v>55.978314750000003</v>
      </c>
      <c r="M124">
        <f ca="1">IFERROR(IF(0=LEN(ReferenceData!$M$124),"",ReferenceData!$M$124),"")</f>
        <v>55.491357960000002</v>
      </c>
      <c r="N124">
        <f ca="1">IFERROR(IF(0=LEN(ReferenceData!$N$124),"",ReferenceData!$N$124),"")</f>
        <v>55.568927789999996</v>
      </c>
      <c r="O124">
        <f ca="1">IFERROR(IF(0=LEN(ReferenceData!$O$124),"",ReferenceData!$O$124),"")</f>
        <v>51.038492220000002</v>
      </c>
      <c r="P124">
        <f ca="1">IFERROR(IF(0=LEN(ReferenceData!$P$124),"",ReferenceData!$P$124),"")</f>
        <v>59.764097069999998</v>
      </c>
      <c r="Q124">
        <f ca="1">IFERROR(IF(0=LEN(ReferenceData!$Q$124),"",ReferenceData!$Q$124),"")</f>
        <v>53.890891609999997</v>
      </c>
      <c r="R124">
        <f ca="1">IFERROR(IF(0=LEN(ReferenceData!$R$124),"",ReferenceData!$R$124),"")</f>
        <v>56.129808250000004</v>
      </c>
      <c r="S124">
        <f ca="1">IFERROR(IF(0=LEN(ReferenceData!$S$124),"",ReferenceData!$S$124),"")</f>
        <v>52.417918630000003</v>
      </c>
      <c r="T124">
        <f ca="1">IFERROR(IF(0=LEN(ReferenceData!$T$124),"",ReferenceData!$T$124),"")</f>
        <v>55.553387319999999</v>
      </c>
      <c r="U124">
        <f ca="1">IFERROR(IF(0=LEN(ReferenceData!$U$124),"",ReferenceData!$U$124),"")</f>
        <v>55.05770536</v>
      </c>
      <c r="V124">
        <f ca="1">IFERROR(IF(0=LEN(ReferenceData!$V$124),"",ReferenceData!$V$124),"")</f>
        <v>56.465121179999997</v>
      </c>
      <c r="W124">
        <f ca="1">IFERROR(IF(0=LEN(ReferenceData!$W$124),"",ReferenceData!$W$124),"")</f>
        <v>57.829528449999998</v>
      </c>
      <c r="X124">
        <f ca="1">IFERROR(IF(0=LEN(ReferenceData!$X$124),"",ReferenceData!$X$124),"")</f>
        <v>56.557514449999999</v>
      </c>
      <c r="Y124">
        <f ca="1">IFERROR(IF(0=LEN(ReferenceData!$Y$124),"",ReferenceData!$Y$124),"")</f>
        <v>55.397098229999997</v>
      </c>
      <c r="Z124">
        <f ca="1">IFERROR(IF(0=LEN(ReferenceData!$Z$124),"",ReferenceData!$Z$124),"")</f>
        <v>55.977789889999997</v>
      </c>
      <c r="AA124">
        <f ca="1">IFERROR(IF(0=LEN(ReferenceData!$AA$124),"",ReferenceData!$AA$124),"")</f>
        <v>57.016363740000003</v>
      </c>
      <c r="AB124">
        <f ca="1">IFERROR(IF(0=LEN(ReferenceData!$AB$124),"",ReferenceData!$AB$124),"")</f>
        <v>56.311010580000001</v>
      </c>
      <c r="AC124">
        <f ca="1">IFERROR(IF(0=LEN(ReferenceData!$AC$124),"",ReferenceData!$AC$124),"")</f>
        <v>55.62965999</v>
      </c>
      <c r="AD124">
        <f ca="1">IFERROR(IF(0=LEN(ReferenceData!$AD$124),"",ReferenceData!$AD$124),"")</f>
        <v>55.512622960000002</v>
      </c>
      <c r="AE124">
        <f ca="1">IFERROR(IF(0=LEN(ReferenceData!$AE$124),"",ReferenceData!$AE$124),"")</f>
        <v>55.598927770000003</v>
      </c>
      <c r="AF124">
        <f ca="1">IFERROR(IF(0=LEN(ReferenceData!$AF$124),"",ReferenceData!$AF$124),"")</f>
        <v>52.43063463</v>
      </c>
      <c r="AG124">
        <f ca="1">IFERROR(IF(0=LEN(ReferenceData!$AG$124),"",ReferenceData!$AG$124),"")</f>
        <v>52.537635850000001</v>
      </c>
      <c r="AH124">
        <f ca="1">IFERROR(IF(0=LEN(ReferenceData!$AH$124),"",ReferenceData!$AH$124),"")</f>
        <v>51.244982440000001</v>
      </c>
      <c r="AI124">
        <f ca="1">IFERROR(IF(0=LEN(ReferenceData!$AI$124),"",ReferenceData!$AI$124),"")</f>
        <v>52.53654453</v>
      </c>
      <c r="AJ124">
        <f ca="1">IFERROR(IF(0=LEN(ReferenceData!$AJ$124),"",ReferenceData!$AJ$124),"")</f>
        <v>50.923481160000001</v>
      </c>
      <c r="AK124">
        <f ca="1">IFERROR(IF(0=LEN(ReferenceData!$AK$124),"",ReferenceData!$AK$124),"")</f>
        <v>51.019330099999998</v>
      </c>
      <c r="AL124">
        <f ca="1">IFERROR(IF(0=LEN(ReferenceData!$AL$124),"",ReferenceData!$AL$124),"")</f>
        <v>50.367506110000001</v>
      </c>
      <c r="AM124">
        <f ca="1">IFERROR(IF(0=LEN(ReferenceData!$AM$124),"",ReferenceData!$AM$124),"")</f>
        <v>-2.927483627</v>
      </c>
      <c r="AN124">
        <f ca="1">IFERROR(IF(0=LEN(ReferenceData!$AN$124),"",ReferenceData!$AN$124),"")</f>
        <v>50.871417379999997</v>
      </c>
      <c r="AO124">
        <f ca="1">IFERROR(IF(0=LEN(ReferenceData!$AO$124),"",ReferenceData!$AO$124),"")</f>
        <v>51.916721330000001</v>
      </c>
      <c r="AP124">
        <f ca="1">IFERROR(IF(0=LEN(ReferenceData!$AP$124),"",ReferenceData!$AP$124),"")</f>
        <v>52.200700349999998</v>
      </c>
      <c r="AQ124">
        <f ca="1">IFERROR(IF(0=LEN(ReferenceData!$AQ$124),"",ReferenceData!$AQ$124),"")</f>
        <v>51.407825180000003</v>
      </c>
      <c r="AR124">
        <f ca="1">IFERROR(IF(0=LEN(ReferenceData!$AR$124),"",ReferenceData!$AR$124),"")</f>
        <v>50.268034350000001</v>
      </c>
      <c r="AS124">
        <f ca="1">IFERROR(IF(0=LEN(ReferenceData!$AS$124),"",ReferenceData!$AS$124),"")</f>
        <v>53.10799325</v>
      </c>
      <c r="AT124">
        <f ca="1">IFERROR(IF(0=LEN(ReferenceData!$AT$124),"",ReferenceData!$AT$124),"")</f>
        <v>53.641893469999999</v>
      </c>
      <c r="AU124">
        <f ca="1">IFERROR(IF(0=LEN(ReferenceData!$AU$124),"",ReferenceData!$AU$124),"")</f>
        <v>44.088173470000001</v>
      </c>
      <c r="AV124">
        <f ca="1">IFERROR(IF(0=LEN(ReferenceData!$AV$124),"",ReferenceData!$AV$124),"")</f>
        <v>55.862358039999997</v>
      </c>
      <c r="AW124">
        <f ca="1">IFERROR(IF(0=LEN(ReferenceData!$AW$124),"",ReferenceData!$AW$124),"")</f>
        <v>56.162631400000002</v>
      </c>
      <c r="AX124">
        <f ca="1">IFERROR(IF(0=LEN(ReferenceData!$AX$124),"",ReferenceData!$AX$124),"")</f>
        <v>55.302590619999997</v>
      </c>
      <c r="AY124">
        <f ca="1">IFERROR(IF(0=LEN(ReferenceData!$AY$124),"",ReferenceData!$AY$124),"")</f>
        <v>53.945364269999999</v>
      </c>
      <c r="AZ124">
        <f ca="1">IFERROR(IF(0=LEN(ReferenceData!$AZ$124),"",ReferenceData!$AZ$124),"")</f>
        <v>56.136666689999998</v>
      </c>
      <c r="BA124">
        <f ca="1">IFERROR(IF(0=LEN(ReferenceData!$BA$124),"",ReferenceData!$BA$124),"")</f>
        <v>56.078902859999999</v>
      </c>
      <c r="BB124">
        <f ca="1">IFERROR(IF(0=LEN(ReferenceData!$BB$124),"",ReferenceData!$BB$124),"")</f>
        <v>56.361879709999997</v>
      </c>
      <c r="BC124">
        <f ca="1">IFERROR(IF(0=LEN(ReferenceData!$BC$124),"",ReferenceData!$BC$124),"")</f>
        <v>56.166931730000002</v>
      </c>
      <c r="BD124">
        <f ca="1">IFERROR(IF(0=LEN(ReferenceData!$BD$124),"",ReferenceData!$BD$124),"")</f>
        <v>53.767860499999998</v>
      </c>
      <c r="BE124">
        <f ca="1">IFERROR(IF(0=LEN(ReferenceData!$BE$124),"",ReferenceData!$BE$124),"")</f>
        <v>56.286110890000003</v>
      </c>
      <c r="BF124">
        <f ca="1">IFERROR(IF(0=LEN(ReferenceData!$BF$124),"",ReferenceData!$BF$124),"")</f>
        <v>61.870939870000001</v>
      </c>
      <c r="BG124">
        <f ca="1">IFERROR(IF(0=LEN(ReferenceData!$BG$124),"",ReferenceData!$BG$124),"")</f>
        <v>54.345720739999997</v>
      </c>
      <c r="BH124">
        <f ca="1">IFERROR(IF(0=LEN(ReferenceData!$BH$124),"",ReferenceData!$BH$124),"")</f>
        <v>55.598923540000001</v>
      </c>
      <c r="BI124">
        <f ca="1">IFERROR(IF(0=LEN(ReferenceData!$BI$124),"",ReferenceData!$BI$124),"")</f>
        <v>53.661597440000001</v>
      </c>
      <c r="BJ124">
        <f ca="1">IFERROR(IF(0=LEN(ReferenceData!$BJ$124),"",ReferenceData!$BJ$124),"")</f>
        <v>55.095654039999999</v>
      </c>
      <c r="BK124">
        <f ca="1">IFERROR(IF(0=LEN(ReferenceData!$BK$124),"",ReferenceData!$BK$124),"")</f>
        <v>56.211891850000001</v>
      </c>
      <c r="BL124">
        <f ca="1">IFERROR(IF(0=LEN(ReferenceData!$BL$124),"",ReferenceData!$BL$124),"")</f>
        <v>53.183859509999998</v>
      </c>
      <c r="BM124">
        <f ca="1">IFERROR(IF(0=LEN(ReferenceData!$BM$124),"",ReferenceData!$BM$124),"")</f>
        <v>51.773164530000003</v>
      </c>
    </row>
    <row r="125" spans="1:65">
      <c r="A125" t="str">
        <f>IFERROR(IF(0=LEN(ReferenceData!$A$125),"",ReferenceData!$A$125),"")</f>
        <v xml:space="preserve">    Education Realty Trust Inc</v>
      </c>
      <c r="B125" t="str">
        <f>IFERROR(IF(0=LEN(ReferenceData!$B$125),"",ReferenceData!$B$125),"")</f>
        <v>EDR US Equity</v>
      </c>
      <c r="C125" t="str">
        <f>IFERROR(IF(0=LEN(ReferenceData!$C$125),"",ReferenceData!$C$125),"")</f>
        <v>RX225</v>
      </c>
      <c r="D125" t="str">
        <f>IFERROR(IF(0=LEN(ReferenceData!$D$125),"",ReferenceData!$D$125),"")</f>
        <v>EBITDA_TO_REVENUE</v>
      </c>
      <c r="E125" t="str">
        <f>IFERROR(IF(0=LEN(ReferenceData!$E$125),"",ReferenceData!$E$125),"")</f>
        <v>动态</v>
      </c>
      <c r="F125" t="str">
        <f ca="1">IFERROR(IF(0=LEN(ReferenceData!$F$125),"",ReferenceData!$F$125),"")</f>
        <v/>
      </c>
      <c r="G125">
        <f ca="1">IFERROR(IF(0=LEN(ReferenceData!$G$125),"",ReferenceData!$G$125),"")</f>
        <v>57.078630590000003</v>
      </c>
      <c r="H125">
        <f ca="1">IFERROR(IF(0=LEN(ReferenceData!$H$125),"",ReferenceData!$H$125),"")</f>
        <v>34.923036089999997</v>
      </c>
      <c r="I125">
        <f ca="1">IFERROR(IF(0=LEN(ReferenceData!$I$125),"",ReferenceData!$I$125),"")</f>
        <v>44.765133300000002</v>
      </c>
      <c r="J125">
        <f ca="1">IFERROR(IF(0=LEN(ReferenceData!$J$125),"",ReferenceData!$J$125),"")</f>
        <v>51.609594629999997</v>
      </c>
      <c r="K125">
        <f ca="1">IFERROR(IF(0=LEN(ReferenceData!$K$125),"",ReferenceData!$K$125),"")</f>
        <v>48.19885068</v>
      </c>
      <c r="L125">
        <f ca="1">IFERROR(IF(0=LEN(ReferenceData!$L$125),"",ReferenceData!$L$125),"")</f>
        <v>35.586258970000003</v>
      </c>
      <c r="M125">
        <f ca="1">IFERROR(IF(0=LEN(ReferenceData!$M$125),"",ReferenceData!$M$125),"")</f>
        <v>43.882407120000003</v>
      </c>
      <c r="N125">
        <f ca="1">IFERROR(IF(0=LEN(ReferenceData!$N$125),"",ReferenceData!$N$125),"")</f>
        <v>51.420706199999998</v>
      </c>
      <c r="O125">
        <f ca="1">IFERROR(IF(0=LEN(ReferenceData!$O$125),"",ReferenceData!$O$125),"")</f>
        <v>50.680614409999997</v>
      </c>
      <c r="P125">
        <f ca="1">IFERROR(IF(0=LEN(ReferenceData!$P$125),"",ReferenceData!$P$125),"")</f>
        <v>34.791799140000002</v>
      </c>
      <c r="Q125">
        <f ca="1">IFERROR(IF(0=LEN(ReferenceData!$Q$125),"",ReferenceData!$Q$125),"")</f>
        <v>43.357058129999999</v>
      </c>
      <c r="R125">
        <f ca="1">IFERROR(IF(0=LEN(ReferenceData!$R$125),"",ReferenceData!$R$125),"")</f>
        <v>46.319137990000002</v>
      </c>
      <c r="S125">
        <f ca="1">IFERROR(IF(0=LEN(ReferenceData!$S$125),"",ReferenceData!$S$125),"")</f>
        <v>50.463130040000003</v>
      </c>
      <c r="T125">
        <f ca="1">IFERROR(IF(0=LEN(ReferenceData!$T$125),"",ReferenceData!$T$125),"")</f>
        <v>30.07458321</v>
      </c>
      <c r="U125">
        <f ca="1">IFERROR(IF(0=LEN(ReferenceData!$U$125),"",ReferenceData!$U$125),"")</f>
        <v>21.596722620000001</v>
      </c>
      <c r="V125">
        <f ca="1">IFERROR(IF(0=LEN(ReferenceData!$V$125),"",ReferenceData!$V$125),"")</f>
        <v>40.50783757</v>
      </c>
      <c r="W125">
        <f ca="1">IFERROR(IF(0=LEN(ReferenceData!$W$125),"",ReferenceData!$W$125),"")</f>
        <v>47.35135331</v>
      </c>
      <c r="X125">
        <f ca="1">IFERROR(IF(0=LEN(ReferenceData!$X$125),"",ReferenceData!$X$125),"")</f>
        <v>26.377418389999999</v>
      </c>
      <c r="Y125">
        <f ca="1">IFERROR(IF(0=LEN(ReferenceData!$Y$125),"",ReferenceData!$Y$125),"")</f>
        <v>37.387299579999997</v>
      </c>
      <c r="Z125">
        <f ca="1">IFERROR(IF(0=LEN(ReferenceData!$Z$125),"",ReferenceData!$Z$125),"")</f>
        <v>40.834098179999998</v>
      </c>
      <c r="AA125">
        <f ca="1">IFERROR(IF(0=LEN(ReferenceData!$AA$125),"",ReferenceData!$AA$125),"")</f>
        <v>40.051943010000002</v>
      </c>
      <c r="AB125">
        <f ca="1">IFERROR(IF(0=LEN(ReferenceData!$AB$125),"",ReferenceData!$AB$125),"")</f>
        <v>18.863332119999999</v>
      </c>
      <c r="AC125">
        <f ca="1">IFERROR(IF(0=LEN(ReferenceData!$AC$125),"",ReferenceData!$AC$125),"")</f>
        <v>35.042708589999997</v>
      </c>
      <c r="AD125">
        <f ca="1">IFERROR(IF(0=LEN(ReferenceData!$AD$125),"",ReferenceData!$AD$125),"")</f>
        <v>41.823647289999997</v>
      </c>
      <c r="AE125">
        <f ca="1">IFERROR(IF(0=LEN(ReferenceData!$AE$125),"",ReferenceData!$AE$125),"")</f>
        <v>44.671805220000003</v>
      </c>
      <c r="AF125">
        <f ca="1">IFERROR(IF(0=LEN(ReferenceData!$AF$125),"",ReferenceData!$AF$125),"")</f>
        <v>19.493407850000001</v>
      </c>
      <c r="AG125">
        <f ca="1">IFERROR(IF(0=LEN(ReferenceData!$AG$125),"",ReferenceData!$AG$125),"")</f>
        <v>36.031783760000003</v>
      </c>
      <c r="AH125">
        <f ca="1">IFERROR(IF(0=LEN(ReferenceData!$AH$125),"",ReferenceData!$AH$125),"")</f>
        <v>41.389205939999997</v>
      </c>
      <c r="AI125">
        <f ca="1">IFERROR(IF(0=LEN(ReferenceData!$AI$125),"",ReferenceData!$AI$125),"")</f>
        <v>33.182045819999999</v>
      </c>
      <c r="AJ125">
        <f ca="1">IFERROR(IF(0=LEN(ReferenceData!$AJ$125),"",ReferenceData!$AJ$125),"")</f>
        <v>20.1546272</v>
      </c>
      <c r="AK125">
        <f ca="1">IFERROR(IF(0=LEN(ReferenceData!$AK$125),"",ReferenceData!$AK$125),"")</f>
        <v>32.577776110000002</v>
      </c>
      <c r="AL125">
        <f ca="1">IFERROR(IF(0=LEN(ReferenceData!$AL$125),"",ReferenceData!$AL$125),"")</f>
        <v>43.331711720000001</v>
      </c>
      <c r="AM125">
        <f ca="1">IFERROR(IF(0=LEN(ReferenceData!$AM$125),"",ReferenceData!$AM$125),"")</f>
        <v>45.219794180000001</v>
      </c>
      <c r="AN125">
        <f ca="1">IFERROR(IF(0=LEN(ReferenceData!$AN$125),"",ReferenceData!$AN$125),"")</f>
        <v>20.564888310000001</v>
      </c>
      <c r="AO125">
        <f ca="1">IFERROR(IF(0=LEN(ReferenceData!$AO$125),"",ReferenceData!$AO$125),"")</f>
        <v>41.203689230000002</v>
      </c>
      <c r="AP125">
        <f ca="1">IFERROR(IF(0=LEN(ReferenceData!$AP$125),"",ReferenceData!$AP$125),"")</f>
        <v>42.856299270000001</v>
      </c>
      <c r="AQ125">
        <f ca="1">IFERROR(IF(0=LEN(ReferenceData!$AQ$125),"",ReferenceData!$AQ$125),"")</f>
        <v>44.804546709999997</v>
      </c>
      <c r="AR125">
        <f ca="1">IFERROR(IF(0=LEN(ReferenceData!$AR$125),"",ReferenceData!$AR$125),"")</f>
        <v>21.40537531</v>
      </c>
      <c r="AS125">
        <f ca="1">IFERROR(IF(0=LEN(ReferenceData!$AS$125),"",ReferenceData!$AS$125),"")</f>
        <v>45.853698270000002</v>
      </c>
      <c r="AT125">
        <f ca="1">IFERROR(IF(0=LEN(ReferenceData!$AT$125),"",ReferenceData!$AT$125),"")</f>
        <v>43.996258619999999</v>
      </c>
      <c r="AU125">
        <f ca="1">IFERROR(IF(0=LEN(ReferenceData!$AU$125),"",ReferenceData!$AU$125),"")</f>
        <v>46.20267587</v>
      </c>
      <c r="AV125">
        <f ca="1">IFERROR(IF(0=LEN(ReferenceData!$AV$125),"",ReferenceData!$AV$125),"")</f>
        <v>30.27713301</v>
      </c>
      <c r="AW125">
        <f ca="1">IFERROR(IF(0=LEN(ReferenceData!$AW$125),"",ReferenceData!$AW$125),"")</f>
        <v>46.927144130000002</v>
      </c>
      <c r="AX125">
        <f ca="1">IFERROR(IF(0=LEN(ReferenceData!$AX$125),"",ReferenceData!$AX$125),"")</f>
        <v>49.348100840000001</v>
      </c>
      <c r="AY125">
        <f ca="1">IFERROR(IF(0=LEN(ReferenceData!$AY$125),"",ReferenceData!$AY$125),"")</f>
        <v>51.16554172</v>
      </c>
      <c r="AZ125">
        <f ca="1">IFERROR(IF(0=LEN(ReferenceData!$AZ$125),"",ReferenceData!$AZ$125),"")</f>
        <v>33.344642989999997</v>
      </c>
      <c r="BA125">
        <f ca="1">IFERROR(IF(0=LEN(ReferenceData!$BA$125),"",ReferenceData!$BA$125),"")</f>
        <v>48.892835140000003</v>
      </c>
      <c r="BB125">
        <f ca="1">IFERROR(IF(0=LEN(ReferenceData!$BB$125),"",ReferenceData!$BB$125),"")</f>
        <v>50.576273430000001</v>
      </c>
      <c r="BC125">
        <f ca="1">IFERROR(IF(0=LEN(ReferenceData!$BC$125),"",ReferenceData!$BC$125),"")</f>
        <v>44.633462620000003</v>
      </c>
      <c r="BD125">
        <f ca="1">IFERROR(IF(0=LEN(ReferenceData!$BD$125),"",ReferenceData!$BD$125),"")</f>
        <v>25.287979969999999</v>
      </c>
      <c r="BE125">
        <f ca="1">IFERROR(IF(0=LEN(ReferenceData!$BE$125),"",ReferenceData!$BE$125),"")</f>
        <v>40.4850408</v>
      </c>
      <c r="BF125">
        <f ca="1">IFERROR(IF(0=LEN(ReferenceData!$BF$125),"",ReferenceData!$BF$125),"")</f>
        <v>20.491355779999999</v>
      </c>
      <c r="BG125" t="str">
        <f ca="1">IFERROR(IF(0=LEN(ReferenceData!$BG$125),"",ReferenceData!$BG$125),"")</f>
        <v/>
      </c>
      <c r="BH125" t="str">
        <f ca="1">IFERROR(IF(0=LEN(ReferenceData!$BH$125),"",ReferenceData!$BH$125),"")</f>
        <v/>
      </c>
      <c r="BI125" t="str">
        <f ca="1">IFERROR(IF(0=LEN(ReferenceData!$BI$125),"",ReferenceData!$BI$125),"")</f>
        <v/>
      </c>
      <c r="BJ125" t="str">
        <f ca="1">IFERROR(IF(0=LEN(ReferenceData!$BJ$125),"",ReferenceData!$BJ$125),"")</f>
        <v/>
      </c>
      <c r="BK125" t="str">
        <f ca="1">IFERROR(IF(0=LEN(ReferenceData!$BK$125),"",ReferenceData!$BK$125),"")</f>
        <v/>
      </c>
      <c r="BL125" t="str">
        <f ca="1">IFERROR(IF(0=LEN(ReferenceData!$BL$125),"",ReferenceData!$BL$125),"")</f>
        <v/>
      </c>
      <c r="BM125" t="str">
        <f ca="1">IFERROR(IF(0=LEN(ReferenceData!$BM$125),"",ReferenceData!$BM$125),"")</f>
        <v/>
      </c>
    </row>
    <row r="126" spans="1:65">
      <c r="A126" t="str">
        <f>IFERROR(IF(0=LEN(ReferenceData!$A$126),"",ReferenceData!$A$126),"")</f>
        <v xml:space="preserve">    Equity Residential</v>
      </c>
      <c r="B126" t="str">
        <f>IFERROR(IF(0=LEN(ReferenceData!$B$126),"",ReferenceData!$B$126),"")</f>
        <v>EQR US Equity</v>
      </c>
      <c r="C126" t="str">
        <f>IFERROR(IF(0=LEN(ReferenceData!$C$126),"",ReferenceData!$C$126),"")</f>
        <v>RX225</v>
      </c>
      <c r="D126" t="str">
        <f>IFERROR(IF(0=LEN(ReferenceData!$D$126),"",ReferenceData!$D$126),"")</f>
        <v>EBITDA_TO_REVENUE</v>
      </c>
      <c r="E126" t="str">
        <f>IFERROR(IF(0=LEN(ReferenceData!$E$126),"",ReferenceData!$E$126),"")</f>
        <v>动态</v>
      </c>
      <c r="F126" t="str">
        <f ca="1">IFERROR(IF(0=LEN(ReferenceData!$F$126),"",ReferenceData!$F$126),"")</f>
        <v/>
      </c>
      <c r="G126">
        <f ca="1">IFERROR(IF(0=LEN(ReferenceData!$G$126),"",ReferenceData!$G$126),"")</f>
        <v>66.060782869999997</v>
      </c>
      <c r="H126">
        <f ca="1">IFERROR(IF(0=LEN(ReferenceData!$H$126),"",ReferenceData!$H$126),"")</f>
        <v>64.554365970000006</v>
      </c>
      <c r="I126">
        <f ca="1">IFERROR(IF(0=LEN(ReferenceData!$I$126),"",ReferenceData!$I$126),"")</f>
        <v>63.888943310000002</v>
      </c>
      <c r="J126">
        <f ca="1">IFERROR(IF(0=LEN(ReferenceData!$J$126),"",ReferenceData!$J$126),"")</f>
        <v>63.597914250000002</v>
      </c>
      <c r="K126">
        <f ca="1">IFERROR(IF(0=LEN(ReferenceData!$K$126),"",ReferenceData!$K$126),"")</f>
        <v>66.448275690000003</v>
      </c>
      <c r="L126">
        <f ca="1">IFERROR(IF(0=LEN(ReferenceData!$L$126),"",ReferenceData!$L$126),"")</f>
        <v>64.259644859999995</v>
      </c>
      <c r="M126">
        <f ca="1">IFERROR(IF(0=LEN(ReferenceData!$M$126),"",ReferenceData!$M$126),"")</f>
        <v>64.353427850000003</v>
      </c>
      <c r="N126">
        <f ca="1">IFERROR(IF(0=LEN(ReferenceData!$N$126),"",ReferenceData!$N$126),"")</f>
        <v>63.054711570000002</v>
      </c>
      <c r="O126">
        <f ca="1">IFERROR(IF(0=LEN(ReferenceData!$O$126),"",ReferenceData!$O$126),"")</f>
        <v>66.687097280000003</v>
      </c>
      <c r="P126">
        <f ca="1">IFERROR(IF(0=LEN(ReferenceData!$P$126),"",ReferenceData!$P$126),"")</f>
        <v>65.274045689999994</v>
      </c>
      <c r="Q126">
        <f ca="1">IFERROR(IF(0=LEN(ReferenceData!$Q$126),"",ReferenceData!$Q$126),"")</f>
        <v>64.993992149999997</v>
      </c>
      <c r="R126">
        <f ca="1">IFERROR(IF(0=LEN(ReferenceData!$R$126),"",ReferenceData!$R$126),"")</f>
        <v>62.082233469999998</v>
      </c>
      <c r="S126">
        <f ca="1">IFERROR(IF(0=LEN(ReferenceData!$S$126),"",ReferenceData!$S$126),"")</f>
        <v>66.871332710000004</v>
      </c>
      <c r="T126">
        <f ca="1">IFERROR(IF(0=LEN(ReferenceData!$T$126),"",ReferenceData!$T$126),"")</f>
        <v>65.442463079999996</v>
      </c>
      <c r="U126">
        <f ca="1">IFERROR(IF(0=LEN(ReferenceData!$U$126),"",ReferenceData!$U$126),"")</f>
        <v>64.230394380000007</v>
      </c>
      <c r="V126">
        <f ca="1">IFERROR(IF(0=LEN(ReferenceData!$V$126),"",ReferenceData!$V$126),"")</f>
        <v>60.819301529999997</v>
      </c>
      <c r="W126">
        <f ca="1">IFERROR(IF(0=LEN(ReferenceData!$W$126),"",ReferenceData!$W$126),"")</f>
        <v>63.463530339999998</v>
      </c>
      <c r="X126">
        <f ca="1">IFERROR(IF(0=LEN(ReferenceData!$X$126),"",ReferenceData!$X$126),"")</f>
        <v>63.993686850000003</v>
      </c>
      <c r="Y126">
        <f ca="1">IFERROR(IF(0=LEN(ReferenceData!$Y$126),"",ReferenceData!$Y$126),"")</f>
        <v>64.053809279999996</v>
      </c>
      <c r="Z126">
        <f ca="1">IFERROR(IF(0=LEN(ReferenceData!$Z$126),"",ReferenceData!$Z$126),"")</f>
        <v>64.307876419999999</v>
      </c>
      <c r="AA126">
        <f ca="1">IFERROR(IF(0=LEN(ReferenceData!$AA$126),"",ReferenceData!$AA$126),"")</f>
        <v>69.90251567</v>
      </c>
      <c r="AB126">
        <f ca="1">IFERROR(IF(0=LEN(ReferenceData!$AB$126),"",ReferenceData!$AB$126),"")</f>
        <v>69.020741689999994</v>
      </c>
      <c r="AC126">
        <f ca="1">IFERROR(IF(0=LEN(ReferenceData!$AC$126),"",ReferenceData!$AC$126),"")</f>
        <v>67.259357069999993</v>
      </c>
      <c r="AD126">
        <f ca="1">IFERROR(IF(0=LEN(ReferenceData!$AD$126),"",ReferenceData!$AD$126),"")</f>
        <v>64.863993120000004</v>
      </c>
      <c r="AE126">
        <f ca="1">IFERROR(IF(0=LEN(ReferenceData!$AE$126),"",ReferenceData!$AE$126),"")</f>
        <v>65.391489789999994</v>
      </c>
      <c r="AF126">
        <f ca="1">IFERROR(IF(0=LEN(ReferenceData!$AF$126),"",ReferenceData!$AF$126),"")</f>
        <v>62.823363139999998</v>
      </c>
      <c r="AG126">
        <f ca="1">IFERROR(IF(0=LEN(ReferenceData!$AG$126),"",ReferenceData!$AG$126),"")</f>
        <v>62.748690060000001</v>
      </c>
      <c r="AH126">
        <f ca="1">IFERROR(IF(0=LEN(ReferenceData!$AH$126),"",ReferenceData!$AH$126),"")</f>
        <v>61.179871169999998</v>
      </c>
      <c r="AI126">
        <f ca="1">IFERROR(IF(0=LEN(ReferenceData!$AI$126),"",ReferenceData!$AI$126),"")</f>
        <v>53.871313600000001</v>
      </c>
      <c r="AJ126">
        <f ca="1">IFERROR(IF(0=LEN(ReferenceData!$AJ$126),"",ReferenceData!$AJ$126),"")</f>
        <v>61.521499689999999</v>
      </c>
      <c r="AK126">
        <f ca="1">IFERROR(IF(0=LEN(ReferenceData!$AK$126),"",ReferenceData!$AK$126),"")</f>
        <v>61.529709709999999</v>
      </c>
      <c r="AL126">
        <f ca="1">IFERROR(IF(0=LEN(ReferenceData!$AL$126),"",ReferenceData!$AL$126),"")</f>
        <v>56.50377743</v>
      </c>
      <c r="AM126">
        <f ca="1">IFERROR(IF(0=LEN(ReferenceData!$AM$126),"",ReferenceData!$AM$126),"")</f>
        <v>59.800032090000002</v>
      </c>
      <c r="AN126">
        <f ca="1">IFERROR(IF(0=LEN(ReferenceData!$AN$126),"",ReferenceData!$AN$126),"")</f>
        <v>57.951528500000002</v>
      </c>
      <c r="AO126">
        <f ca="1">IFERROR(IF(0=LEN(ReferenceData!$AO$126),"",ReferenceData!$AO$126),"")</f>
        <v>57.937097809999997</v>
      </c>
      <c r="AP126">
        <f ca="1">IFERROR(IF(0=LEN(ReferenceData!$AP$126),"",ReferenceData!$AP$126),"")</f>
        <v>58.556796210000002</v>
      </c>
      <c r="AQ126">
        <f ca="1">IFERROR(IF(0=LEN(ReferenceData!$AQ$126),"",ReferenceData!$AQ$126),"")</f>
        <v>60.421975619999998</v>
      </c>
      <c r="AR126">
        <f ca="1">IFERROR(IF(0=LEN(ReferenceData!$AR$126),"",ReferenceData!$AR$126),"")</f>
        <v>59.086781760000001</v>
      </c>
      <c r="AS126">
        <f ca="1">IFERROR(IF(0=LEN(ReferenceData!$AS$126),"",ReferenceData!$AS$126),"")</f>
        <v>59.411669590000002</v>
      </c>
      <c r="AT126">
        <f ca="1">IFERROR(IF(0=LEN(ReferenceData!$AT$126),"",ReferenceData!$AT$126),"")</f>
        <v>57.116112690000001</v>
      </c>
      <c r="AU126">
        <f ca="1">IFERROR(IF(0=LEN(ReferenceData!$AU$126),"",ReferenceData!$AU$126),"")</f>
        <v>62.903625030000001</v>
      </c>
      <c r="AV126">
        <f ca="1">IFERROR(IF(0=LEN(ReferenceData!$AV$126),"",ReferenceData!$AV$126),"")</f>
        <v>58.534589760000003</v>
      </c>
      <c r="AW126">
        <f ca="1">IFERROR(IF(0=LEN(ReferenceData!$AW$126),"",ReferenceData!$AW$126),"")</f>
        <v>59.607982749999998</v>
      </c>
      <c r="AX126">
        <f ca="1">IFERROR(IF(0=LEN(ReferenceData!$AX$126),"",ReferenceData!$AX$126),"")</f>
        <v>57.842088560000001</v>
      </c>
      <c r="AY126">
        <f ca="1">IFERROR(IF(0=LEN(ReferenceData!$AY$126),"",ReferenceData!$AY$126),"")</f>
        <v>77.804271459999995</v>
      </c>
      <c r="AZ126">
        <f ca="1">IFERROR(IF(0=LEN(ReferenceData!$AZ$126),"",ReferenceData!$AZ$126),"")</f>
        <v>55.275023599999997</v>
      </c>
      <c r="BA126">
        <f ca="1">IFERROR(IF(0=LEN(ReferenceData!$BA$126),"",ReferenceData!$BA$126),"")</f>
        <v>59.158147659999997</v>
      </c>
      <c r="BB126">
        <f ca="1">IFERROR(IF(0=LEN(ReferenceData!$BB$126),"",ReferenceData!$BB$126),"")</f>
        <v>59.155858479999999</v>
      </c>
      <c r="BC126">
        <f ca="1">IFERROR(IF(0=LEN(ReferenceData!$BC$126),"",ReferenceData!$BC$126),"")</f>
        <v>58.5427459</v>
      </c>
      <c r="BD126">
        <f ca="1">IFERROR(IF(0=LEN(ReferenceData!$BD$126),"",ReferenceData!$BD$126),"")</f>
        <v>55.938601259999999</v>
      </c>
      <c r="BE126">
        <f ca="1">IFERROR(IF(0=LEN(ReferenceData!$BE$126),"",ReferenceData!$BE$126),"")</f>
        <v>59.355778729999997</v>
      </c>
      <c r="BF126">
        <f ca="1">IFERROR(IF(0=LEN(ReferenceData!$BF$126),"",ReferenceData!$BF$126),"")</f>
        <v>55.681091260000002</v>
      </c>
      <c r="BG126">
        <f ca="1">IFERROR(IF(0=LEN(ReferenceData!$BG$126),"",ReferenceData!$BG$126),"")</f>
        <v>60.26149118</v>
      </c>
      <c r="BH126">
        <f ca="1">IFERROR(IF(0=LEN(ReferenceData!$BH$126),"",ReferenceData!$BH$126),"")</f>
        <v>52.884809140000002</v>
      </c>
      <c r="BI126">
        <f ca="1">IFERROR(IF(0=LEN(ReferenceData!$BI$126),"",ReferenceData!$BI$126),"")</f>
        <v>30.739040330000002</v>
      </c>
      <c r="BJ126">
        <f ca="1">IFERROR(IF(0=LEN(ReferenceData!$BJ$126),"",ReferenceData!$BJ$126),"")</f>
        <v>55.642480030000002</v>
      </c>
      <c r="BK126">
        <f ca="1">IFERROR(IF(0=LEN(ReferenceData!$BK$126),"",ReferenceData!$BK$126),"")</f>
        <v>51.859357869999997</v>
      </c>
      <c r="BL126">
        <f ca="1">IFERROR(IF(0=LEN(ReferenceData!$BL$126),"",ReferenceData!$BL$126),"")</f>
        <v>58.705374079999999</v>
      </c>
      <c r="BM126">
        <f ca="1">IFERROR(IF(0=LEN(ReferenceData!$BM$126),"",ReferenceData!$BM$126),"")</f>
        <v>59.904887559999999</v>
      </c>
    </row>
    <row r="127" spans="1:65">
      <c r="A127" t="str">
        <f>IFERROR(IF(0=LEN(ReferenceData!$A$127),"",ReferenceData!$A$127),"")</f>
        <v xml:space="preserve">    Essex Property Trust Inc</v>
      </c>
      <c r="B127" t="str">
        <f>IFERROR(IF(0=LEN(ReferenceData!$B$127),"",ReferenceData!$B$127),"")</f>
        <v>ESS US Equity</v>
      </c>
      <c r="C127" t="str">
        <f>IFERROR(IF(0=LEN(ReferenceData!$C$127),"",ReferenceData!$C$127),"")</f>
        <v>RX225</v>
      </c>
      <c r="D127" t="str">
        <f>IFERROR(IF(0=LEN(ReferenceData!$D$127),"",ReferenceData!$D$127),"")</f>
        <v>EBITDA_TO_REVENUE</v>
      </c>
      <c r="E127" t="str">
        <f>IFERROR(IF(0=LEN(ReferenceData!$E$127),"",ReferenceData!$E$127),"")</f>
        <v>动态</v>
      </c>
      <c r="F127" t="str">
        <f ca="1">IFERROR(IF(0=LEN(ReferenceData!$F$127),"",ReferenceData!$F$127),"")</f>
        <v/>
      </c>
      <c r="G127">
        <f ca="1">IFERROR(IF(0=LEN(ReferenceData!$G$127),"",ReferenceData!$G$127),"")</f>
        <v>68.246760019999996</v>
      </c>
      <c r="H127">
        <f ca="1">IFERROR(IF(0=LEN(ReferenceData!$H$127),"",ReferenceData!$H$127),"")</f>
        <v>66.587004059999998</v>
      </c>
      <c r="I127">
        <f ca="1">IFERROR(IF(0=LEN(ReferenceData!$I$127),"",ReferenceData!$I$127),"")</f>
        <v>67.591767880000006</v>
      </c>
      <c r="J127">
        <f ca="1">IFERROR(IF(0=LEN(ReferenceData!$J$127),"",ReferenceData!$J$127),"")</f>
        <v>66.017399909999995</v>
      </c>
      <c r="K127">
        <f ca="1">IFERROR(IF(0=LEN(ReferenceData!$K$127),"",ReferenceData!$K$127),"")</f>
        <v>66.057719779999999</v>
      </c>
      <c r="L127">
        <f ca="1">IFERROR(IF(0=LEN(ReferenceData!$L$127),"",ReferenceData!$L$127),"")</f>
        <v>69.106026959999994</v>
      </c>
      <c r="M127">
        <f ca="1">IFERROR(IF(0=LEN(ReferenceData!$M$127),"",ReferenceData!$M$127),"")</f>
        <v>63.977735629999998</v>
      </c>
      <c r="N127">
        <f ca="1">IFERROR(IF(0=LEN(ReferenceData!$N$127),"",ReferenceData!$N$127),"")</f>
        <v>67.441964089999999</v>
      </c>
      <c r="O127">
        <f ca="1">IFERROR(IF(0=LEN(ReferenceData!$O$127),"",ReferenceData!$O$127),"")</f>
        <v>67.154846719999995</v>
      </c>
      <c r="P127">
        <f ca="1">IFERROR(IF(0=LEN(ReferenceData!$P$127),"",ReferenceData!$P$127),"")</f>
        <v>68.977040700000003</v>
      </c>
      <c r="Q127">
        <f ca="1">IFERROR(IF(0=LEN(ReferenceData!$Q$127),"",ReferenceData!$Q$127),"")</f>
        <v>64.188518450000004</v>
      </c>
      <c r="R127">
        <f ca="1">IFERROR(IF(0=LEN(ReferenceData!$R$127),"",ReferenceData!$R$127),"")</f>
        <v>62.109851419999998</v>
      </c>
      <c r="S127">
        <f ca="1">IFERROR(IF(0=LEN(ReferenceData!$S$127),"",ReferenceData!$S$127),"")</f>
        <v>60.81756592</v>
      </c>
      <c r="T127">
        <f ca="1">IFERROR(IF(0=LEN(ReferenceData!$T$127),"",ReferenceData!$T$127),"")</f>
        <v>63.766503129999997</v>
      </c>
      <c r="U127">
        <f ca="1">IFERROR(IF(0=LEN(ReferenceData!$U$127),"",ReferenceData!$U$127),"")</f>
        <v>52.346887649999999</v>
      </c>
      <c r="V127">
        <f ca="1">IFERROR(IF(0=LEN(ReferenceData!$V$127),"",ReferenceData!$V$127),"")</f>
        <v>54.56775708</v>
      </c>
      <c r="W127">
        <f ca="1">IFERROR(IF(0=LEN(ReferenceData!$W$127),"",ReferenceData!$W$127),"")</f>
        <v>68.104702200000006</v>
      </c>
      <c r="X127">
        <f ca="1">IFERROR(IF(0=LEN(ReferenceData!$X$127),"",ReferenceData!$X$127),"")</f>
        <v>59.405773379999999</v>
      </c>
      <c r="Y127">
        <f ca="1">IFERROR(IF(0=LEN(ReferenceData!$Y$127),"",ReferenceData!$Y$127),"")</f>
        <v>65.724231669999995</v>
      </c>
      <c r="Z127">
        <f ca="1">IFERROR(IF(0=LEN(ReferenceData!$Z$127),"",ReferenceData!$Z$127),"")</f>
        <v>65.294415729999997</v>
      </c>
      <c r="AA127">
        <f ca="1">IFERROR(IF(0=LEN(ReferenceData!$AA$127),"",ReferenceData!$AA$127),"")</f>
        <v>70.595451350000005</v>
      </c>
      <c r="AB127">
        <f ca="1">IFERROR(IF(0=LEN(ReferenceData!$AB$127),"",ReferenceData!$AB$127),"")</f>
        <v>58.027247330000002</v>
      </c>
      <c r="AC127">
        <f ca="1">IFERROR(IF(0=LEN(ReferenceData!$AC$127),"",ReferenceData!$AC$127),"")</f>
        <v>64.613272379999998</v>
      </c>
      <c r="AD127">
        <f ca="1">IFERROR(IF(0=LEN(ReferenceData!$AD$127),"",ReferenceData!$AD$127),"")</f>
        <v>65.416125960000002</v>
      </c>
      <c r="AE127">
        <f ca="1">IFERROR(IF(0=LEN(ReferenceData!$AE$127),"",ReferenceData!$AE$127),"")</f>
        <v>71.897502590000002</v>
      </c>
      <c r="AF127">
        <f ca="1">IFERROR(IF(0=LEN(ReferenceData!$AF$127),"",ReferenceData!$AF$127),"")</f>
        <v>56.09989427</v>
      </c>
      <c r="AG127">
        <f ca="1">IFERROR(IF(0=LEN(ReferenceData!$AG$127),"",ReferenceData!$AG$127),"")</f>
        <v>62.808830360000002</v>
      </c>
      <c r="AH127">
        <f ca="1">IFERROR(IF(0=LEN(ReferenceData!$AH$127),"",ReferenceData!$AH$127),"")</f>
        <v>63.207983489999997</v>
      </c>
      <c r="AI127">
        <f ca="1">IFERROR(IF(0=LEN(ReferenceData!$AI$127),"",ReferenceData!$AI$127),"")</f>
        <v>61.50225227</v>
      </c>
      <c r="AJ127">
        <f ca="1">IFERROR(IF(0=LEN(ReferenceData!$AJ$127),"",ReferenceData!$AJ$127),"")</f>
        <v>56.399589749999997</v>
      </c>
      <c r="AK127">
        <f ca="1">IFERROR(IF(0=LEN(ReferenceData!$AK$127),"",ReferenceData!$AK$127),"")</f>
        <v>59.039776410000002</v>
      </c>
      <c r="AL127">
        <f ca="1">IFERROR(IF(0=LEN(ReferenceData!$AL$127),"",ReferenceData!$AL$127),"")</f>
        <v>60.648916819999997</v>
      </c>
      <c r="AM127">
        <f ca="1">IFERROR(IF(0=LEN(ReferenceData!$AM$127),"",ReferenceData!$AM$127),"")</f>
        <v>62.905143039999999</v>
      </c>
      <c r="AN127">
        <f ca="1">IFERROR(IF(0=LEN(ReferenceData!$AN$127),"",ReferenceData!$AN$127),"")</f>
        <v>47.588844969999997</v>
      </c>
      <c r="AO127">
        <f ca="1">IFERROR(IF(0=LEN(ReferenceData!$AO$127),"",ReferenceData!$AO$127),"")</f>
        <v>61.70584375</v>
      </c>
      <c r="AP127">
        <f ca="1">IFERROR(IF(0=LEN(ReferenceData!$AP$127),"",ReferenceData!$AP$127),"")</f>
        <v>57.085366899999997</v>
      </c>
      <c r="AQ127">
        <f ca="1">IFERROR(IF(0=LEN(ReferenceData!$AQ$127),"",ReferenceData!$AQ$127),"")</f>
        <v>63.624752170000001</v>
      </c>
      <c r="AR127" t="str">
        <f ca="1">IFERROR(IF(0=LEN(ReferenceData!$AR$127),"",ReferenceData!$AR$127),"")</f>
        <v/>
      </c>
      <c r="AS127">
        <f ca="1">IFERROR(IF(0=LEN(ReferenceData!$AS$127),"",ReferenceData!$AS$127),"")</f>
        <v>61.128344509999998</v>
      </c>
      <c r="AT127">
        <f ca="1">IFERROR(IF(0=LEN(ReferenceData!$AT$127),"",ReferenceData!$AT$127),"")</f>
        <v>62.625456319999998</v>
      </c>
      <c r="AU127">
        <f ca="1">IFERROR(IF(0=LEN(ReferenceData!$AU$127),"",ReferenceData!$AU$127),"")</f>
        <v>107.3495551</v>
      </c>
      <c r="AV127" t="str">
        <f ca="1">IFERROR(IF(0=LEN(ReferenceData!$AV$127),"",ReferenceData!$AV$127),"")</f>
        <v/>
      </c>
      <c r="AW127" t="str">
        <f ca="1">IFERROR(IF(0=LEN(ReferenceData!$AW$127),"",ReferenceData!$AW$127),"")</f>
        <v/>
      </c>
      <c r="AX127">
        <f ca="1">IFERROR(IF(0=LEN(ReferenceData!$AX$127),"",ReferenceData!$AX$127),"")</f>
        <v>62.13827405</v>
      </c>
      <c r="AY127">
        <f ca="1">IFERROR(IF(0=LEN(ReferenceData!$AY$127),"",ReferenceData!$AY$127),"")</f>
        <v>127.2153289</v>
      </c>
      <c r="AZ127" t="str">
        <f ca="1">IFERROR(IF(0=LEN(ReferenceData!$AZ$127),"",ReferenceData!$AZ$127),"")</f>
        <v/>
      </c>
      <c r="BA127" t="str">
        <f ca="1">IFERROR(IF(0=LEN(ReferenceData!$BA$127),"",ReferenceData!$BA$127),"")</f>
        <v/>
      </c>
      <c r="BB127">
        <f ca="1">IFERROR(IF(0=LEN(ReferenceData!$BB$127),"",ReferenceData!$BB$127),"")</f>
        <v>59.393102480000003</v>
      </c>
      <c r="BC127">
        <f ca="1">IFERROR(IF(0=LEN(ReferenceData!$BC$127),"",ReferenceData!$BC$127),"")</f>
        <v>112.6683427</v>
      </c>
      <c r="BD127">
        <f ca="1">IFERROR(IF(0=LEN(ReferenceData!$BD$127),"",ReferenceData!$BD$127),"")</f>
        <v>61.248021700000002</v>
      </c>
      <c r="BE127" t="str">
        <f ca="1">IFERROR(IF(0=LEN(ReferenceData!$BE$127),"",ReferenceData!$BE$127),"")</f>
        <v/>
      </c>
      <c r="BF127" t="str">
        <f ca="1">IFERROR(IF(0=LEN(ReferenceData!$BF$127),"",ReferenceData!$BF$127),"")</f>
        <v/>
      </c>
      <c r="BG127">
        <f ca="1">IFERROR(IF(0=LEN(ReferenceData!$BG$127),"",ReferenceData!$BG$127),"")</f>
        <v>61.032915879999997</v>
      </c>
      <c r="BH127">
        <f ca="1">IFERROR(IF(0=LEN(ReferenceData!$BH$127),"",ReferenceData!$BH$127),"")</f>
        <v>63.107511049999999</v>
      </c>
      <c r="BI127">
        <f ca="1">IFERROR(IF(0=LEN(ReferenceData!$BI$127),"",ReferenceData!$BI$127),"")</f>
        <v>62.104351790000003</v>
      </c>
      <c r="BJ127">
        <f ca="1">IFERROR(IF(0=LEN(ReferenceData!$BJ$127),"",ReferenceData!$BJ$127),"")</f>
        <v>63.800940529999998</v>
      </c>
      <c r="BK127">
        <f ca="1">IFERROR(IF(0=LEN(ReferenceData!$BK$127),"",ReferenceData!$BK$127),"")</f>
        <v>63.757163030000001</v>
      </c>
      <c r="BL127">
        <f ca="1">IFERROR(IF(0=LEN(ReferenceData!$BL$127),"",ReferenceData!$BL$127),"")</f>
        <v>64.602580209999999</v>
      </c>
      <c r="BM127">
        <f ca="1">IFERROR(IF(0=LEN(ReferenceData!$BM$127),"",ReferenceData!$BM$127),"")</f>
        <v>65.579114579999995</v>
      </c>
    </row>
    <row r="128" spans="1:65">
      <c r="A128" t="str">
        <f>IFERROR(IF(0=LEN(ReferenceData!$A$128),"",ReferenceData!$A$128),"")</f>
        <v xml:space="preserve">    Mid-America Apartment Communit</v>
      </c>
      <c r="B128" t="str">
        <f>IFERROR(IF(0=LEN(ReferenceData!$B$128),"",ReferenceData!$B$128),"")</f>
        <v>MAA US Equity</v>
      </c>
      <c r="C128" t="str">
        <f>IFERROR(IF(0=LEN(ReferenceData!$C$128),"",ReferenceData!$C$128),"")</f>
        <v>RX225</v>
      </c>
      <c r="D128" t="str">
        <f>IFERROR(IF(0=LEN(ReferenceData!$D$128),"",ReferenceData!$D$128),"")</f>
        <v>EBITDA_TO_REVENUE</v>
      </c>
      <c r="E128" t="str">
        <f>IFERROR(IF(0=LEN(ReferenceData!$E$128),"",ReferenceData!$E$128),"")</f>
        <v>动态</v>
      </c>
      <c r="F128" t="str">
        <f ca="1">IFERROR(IF(0=LEN(ReferenceData!$F$128),"",ReferenceData!$F$128),"")</f>
        <v/>
      </c>
      <c r="G128">
        <f ca="1">IFERROR(IF(0=LEN(ReferenceData!$G$128),"",ReferenceData!$G$128),"")</f>
        <v>56.452717</v>
      </c>
      <c r="H128">
        <f ca="1">IFERROR(IF(0=LEN(ReferenceData!$H$128),"",ReferenceData!$H$128),"")</f>
        <v>55.32336497</v>
      </c>
      <c r="I128">
        <f ca="1">IFERROR(IF(0=LEN(ReferenceData!$I$128),"",ReferenceData!$I$128),"")</f>
        <v>55.582811509999999</v>
      </c>
      <c r="J128">
        <f ca="1">IFERROR(IF(0=LEN(ReferenceData!$J$128),"",ReferenceData!$J$128),"")</f>
        <v>54.82544575</v>
      </c>
      <c r="K128">
        <f ca="1">IFERROR(IF(0=LEN(ReferenceData!$K$128),"",ReferenceData!$K$128),"")</f>
        <v>45.517223420000001</v>
      </c>
      <c r="L128">
        <f ca="1">IFERROR(IF(0=LEN(ReferenceData!$L$128),"",ReferenceData!$L$128),"")</f>
        <v>54.442068919999997</v>
      </c>
      <c r="M128">
        <f ca="1">IFERROR(IF(0=LEN(ReferenceData!$M$128),"",ReferenceData!$M$128),"")</f>
        <v>56.480406709999997</v>
      </c>
      <c r="N128">
        <f ca="1">IFERROR(IF(0=LEN(ReferenceData!$N$128),"",ReferenceData!$N$128),"")</f>
        <v>56.449058790000002</v>
      </c>
      <c r="O128">
        <f ca="1">IFERROR(IF(0=LEN(ReferenceData!$O$128),"",ReferenceData!$O$128),"")</f>
        <v>56.553389760000002</v>
      </c>
      <c r="P128">
        <f ca="1">IFERROR(IF(0=LEN(ReferenceData!$P$128),"",ReferenceData!$P$128),"")</f>
        <v>55.50004199</v>
      </c>
      <c r="Q128">
        <f ca="1">IFERROR(IF(0=LEN(ReferenceData!$Q$128),"",ReferenceData!$Q$128),"")</f>
        <v>56.126709699999999</v>
      </c>
      <c r="R128">
        <f ca="1">IFERROR(IF(0=LEN(ReferenceData!$R$128),"",ReferenceData!$R$128),"")</f>
        <v>55.118506140000001</v>
      </c>
      <c r="S128">
        <f ca="1">IFERROR(IF(0=LEN(ReferenceData!$S$128),"",ReferenceData!$S$128),"")</f>
        <v>54.191431129999998</v>
      </c>
      <c r="T128">
        <f ca="1">IFERROR(IF(0=LEN(ReferenceData!$T$128),"",ReferenceData!$T$128),"")</f>
        <v>54.193145119999997</v>
      </c>
      <c r="U128">
        <f ca="1">IFERROR(IF(0=LEN(ReferenceData!$U$128),"",ReferenceData!$U$128),"")</f>
        <v>52.474266729999997</v>
      </c>
      <c r="V128">
        <f ca="1">IFERROR(IF(0=LEN(ReferenceData!$V$128),"",ReferenceData!$V$128),"")</f>
        <v>53.513329249999998</v>
      </c>
      <c r="W128">
        <f ca="1">IFERROR(IF(0=LEN(ReferenceData!$W$128),"",ReferenceData!$W$128),"")</f>
        <v>44.363061180000003</v>
      </c>
      <c r="X128">
        <f ca="1">IFERROR(IF(0=LEN(ReferenceData!$X$128),"",ReferenceData!$X$128),"")</f>
        <v>48.98379688</v>
      </c>
      <c r="Y128">
        <f ca="1">IFERROR(IF(0=LEN(ReferenceData!$Y$128),"",ReferenceData!$Y$128),"")</f>
        <v>50.014036310000002</v>
      </c>
      <c r="Z128">
        <f ca="1">IFERROR(IF(0=LEN(ReferenceData!$Z$128),"",ReferenceData!$Z$128),"")</f>
        <v>55.569105690000001</v>
      </c>
      <c r="AA128">
        <f ca="1">IFERROR(IF(0=LEN(ReferenceData!$AA$128),"",ReferenceData!$AA$128),"")</f>
        <v>56.693573319999999</v>
      </c>
      <c r="AB128">
        <f ca="1">IFERROR(IF(0=LEN(ReferenceData!$AB$128),"",ReferenceData!$AB$128),"")</f>
        <v>51.90518711</v>
      </c>
      <c r="AC128">
        <f ca="1">IFERROR(IF(0=LEN(ReferenceData!$AC$128),"",ReferenceData!$AC$128),"")</f>
        <v>52.881318899999997</v>
      </c>
      <c r="AD128">
        <f ca="1">IFERROR(IF(0=LEN(ReferenceData!$AD$128),"",ReferenceData!$AD$128),"")</f>
        <v>52.897167330000002</v>
      </c>
      <c r="AE128">
        <f ca="1">IFERROR(IF(0=LEN(ReferenceData!$AE$128),"",ReferenceData!$AE$128),"")</f>
        <v>51.384465679999998</v>
      </c>
      <c r="AF128">
        <f ca="1">IFERROR(IF(0=LEN(ReferenceData!$AF$128),"",ReferenceData!$AF$128),"")</f>
        <v>49.811006059999997</v>
      </c>
      <c r="AG128">
        <f ca="1">IFERROR(IF(0=LEN(ReferenceData!$AG$128),"",ReferenceData!$AG$128),"")</f>
        <v>47.488362979999998</v>
      </c>
      <c r="AH128" t="str">
        <f ca="1">IFERROR(IF(0=LEN(ReferenceData!$AH$128),"",ReferenceData!$AH$128),"")</f>
        <v/>
      </c>
      <c r="AI128" t="str">
        <f ca="1">IFERROR(IF(0=LEN(ReferenceData!$AI$128),"",ReferenceData!$AI$128),"")</f>
        <v/>
      </c>
      <c r="AJ128" t="str">
        <f ca="1">IFERROR(IF(0=LEN(ReferenceData!$AJ$128),"",ReferenceData!$AJ$128),"")</f>
        <v/>
      </c>
      <c r="AK128" t="str">
        <f ca="1">IFERROR(IF(0=LEN(ReferenceData!$AK$128),"",ReferenceData!$AK$128),"")</f>
        <v/>
      </c>
      <c r="AL128" t="str">
        <f ca="1">IFERROR(IF(0=LEN(ReferenceData!$AL$128),"",ReferenceData!$AL$128),"")</f>
        <v/>
      </c>
      <c r="AM128" t="str">
        <f ca="1">IFERROR(IF(0=LEN(ReferenceData!$AM$128),"",ReferenceData!$AM$128),"")</f>
        <v/>
      </c>
      <c r="AN128" t="str">
        <f ca="1">IFERROR(IF(0=LEN(ReferenceData!$AN$128),"",ReferenceData!$AN$128),"")</f>
        <v/>
      </c>
      <c r="AO128" t="str">
        <f ca="1">IFERROR(IF(0=LEN(ReferenceData!$AO$128),"",ReferenceData!$AO$128),"")</f>
        <v/>
      </c>
      <c r="AP128" t="str">
        <f ca="1">IFERROR(IF(0=LEN(ReferenceData!$AP$128),"",ReferenceData!$AP$128),"")</f>
        <v/>
      </c>
      <c r="AQ128">
        <f ca="1">IFERROR(IF(0=LEN(ReferenceData!$AQ$128),"",ReferenceData!$AQ$128),"")</f>
        <v>52.09894414</v>
      </c>
      <c r="AR128">
        <f ca="1">IFERROR(IF(0=LEN(ReferenceData!$AR$128),"",ReferenceData!$AR$128),"")</f>
        <v>49.064952230000003</v>
      </c>
      <c r="AS128">
        <f ca="1">IFERROR(IF(0=LEN(ReferenceData!$AS$128),"",ReferenceData!$AS$128),"")</f>
        <v>50.81368389</v>
      </c>
      <c r="AT128">
        <f ca="1">IFERROR(IF(0=LEN(ReferenceData!$AT$128),"",ReferenceData!$AT$128),"")</f>
        <v>52.506363710000002</v>
      </c>
      <c r="AU128">
        <f ca="1">IFERROR(IF(0=LEN(ReferenceData!$AU$128),"",ReferenceData!$AU$128),"")</f>
        <v>53.982863649999999</v>
      </c>
      <c r="AV128">
        <f ca="1">IFERROR(IF(0=LEN(ReferenceData!$AV$128),"",ReferenceData!$AV$128),"")</f>
        <v>50.926795060000003</v>
      </c>
      <c r="AW128">
        <f ca="1">IFERROR(IF(0=LEN(ReferenceData!$AW$128),"",ReferenceData!$AW$128),"")</f>
        <v>50.643588889999997</v>
      </c>
      <c r="AX128">
        <f ca="1">IFERROR(IF(0=LEN(ReferenceData!$AX$128),"",ReferenceData!$AX$128),"")</f>
        <v>51.203068559999998</v>
      </c>
      <c r="AY128">
        <f ca="1">IFERROR(IF(0=LEN(ReferenceData!$AY$128),"",ReferenceData!$AY$128),"")</f>
        <v>51.261956619999999</v>
      </c>
      <c r="AZ128">
        <f ca="1">IFERROR(IF(0=LEN(ReferenceData!$AZ$128),"",ReferenceData!$AZ$128),"")</f>
        <v>50.61752431</v>
      </c>
      <c r="BA128">
        <f ca="1">IFERROR(IF(0=LEN(ReferenceData!$BA$128),"",ReferenceData!$BA$128),"")</f>
        <v>52.354157530000002</v>
      </c>
      <c r="BB128">
        <f ca="1">IFERROR(IF(0=LEN(ReferenceData!$BB$128),"",ReferenceData!$BB$128),"")</f>
        <v>53.074646919999999</v>
      </c>
      <c r="BC128">
        <f ca="1">IFERROR(IF(0=LEN(ReferenceData!$BC$128),"",ReferenceData!$BC$128),"")</f>
        <v>52.226442489999997</v>
      </c>
      <c r="BD128">
        <f ca="1">IFERROR(IF(0=LEN(ReferenceData!$BD$128),"",ReferenceData!$BD$128),"")</f>
        <v>50.640666289999999</v>
      </c>
      <c r="BE128">
        <f ca="1">IFERROR(IF(0=LEN(ReferenceData!$BE$128),"",ReferenceData!$BE$128),"")</f>
        <v>51.800267519999998</v>
      </c>
      <c r="BF128">
        <f ca="1">IFERROR(IF(0=LEN(ReferenceData!$BF$128),"",ReferenceData!$BF$128),"")</f>
        <v>51.055193670000001</v>
      </c>
      <c r="BG128">
        <f ca="1">IFERROR(IF(0=LEN(ReferenceData!$BG$128),"",ReferenceData!$BG$128),"")</f>
        <v>51.66523917</v>
      </c>
      <c r="BH128">
        <f ca="1">IFERROR(IF(0=LEN(ReferenceData!$BH$128),"",ReferenceData!$BH$128),"")</f>
        <v>50.681125719999997</v>
      </c>
      <c r="BI128">
        <f ca="1">IFERROR(IF(0=LEN(ReferenceData!$BI$128),"",ReferenceData!$BI$128),"")</f>
        <v>51.502973410000003</v>
      </c>
      <c r="BJ128">
        <f ca="1">IFERROR(IF(0=LEN(ReferenceData!$BJ$128),"",ReferenceData!$BJ$128),"")</f>
        <v>52.371885579999997</v>
      </c>
      <c r="BK128">
        <f ca="1">IFERROR(IF(0=LEN(ReferenceData!$BK$128),"",ReferenceData!$BK$128),"")</f>
        <v>51.630239750000001</v>
      </c>
      <c r="BL128">
        <f ca="1">IFERROR(IF(0=LEN(ReferenceData!$BL$128),"",ReferenceData!$BL$128),"")</f>
        <v>51.120368190000001</v>
      </c>
      <c r="BM128">
        <f ca="1">IFERROR(IF(0=LEN(ReferenceData!$BM$128),"",ReferenceData!$BM$128),"")</f>
        <v>53.217757200000001</v>
      </c>
    </row>
    <row r="129" spans="1:65">
      <c r="A129" t="str">
        <f>IFERROR(IF(0=LEN(ReferenceData!$A$129),"",ReferenceData!$A$129),"")</f>
        <v xml:space="preserve">    UDR Inc</v>
      </c>
      <c r="B129" t="str">
        <f>IFERROR(IF(0=LEN(ReferenceData!$B$129),"",ReferenceData!$B$129),"")</f>
        <v>UDR US Equity</v>
      </c>
      <c r="C129" t="str">
        <f>IFERROR(IF(0=LEN(ReferenceData!$C$129),"",ReferenceData!$C$129),"")</f>
        <v>RX225</v>
      </c>
      <c r="D129" t="str">
        <f>IFERROR(IF(0=LEN(ReferenceData!$D$129),"",ReferenceData!$D$129),"")</f>
        <v>EBITDA_TO_REVENUE</v>
      </c>
      <c r="E129" t="str">
        <f>IFERROR(IF(0=LEN(ReferenceData!$E$129),"",ReferenceData!$E$129),"")</f>
        <v>动态</v>
      </c>
      <c r="F129" t="str">
        <f ca="1">IFERROR(IF(0=LEN(ReferenceData!$F$129),"",ReferenceData!$F$129),"")</f>
        <v/>
      </c>
      <c r="G129">
        <f ca="1">IFERROR(IF(0=LEN(ReferenceData!$G$129),"",ReferenceData!$G$129),"")</f>
        <v>62.613097119999999</v>
      </c>
      <c r="H129">
        <f ca="1">IFERROR(IF(0=LEN(ReferenceData!$H$129),"",ReferenceData!$H$129),"")</f>
        <v>61.431114620000002</v>
      </c>
      <c r="I129">
        <f ca="1">IFERROR(IF(0=LEN(ReferenceData!$I$129),"",ReferenceData!$I$129),"")</f>
        <v>62.998076449999999</v>
      </c>
      <c r="J129">
        <f ca="1">IFERROR(IF(0=LEN(ReferenceData!$J$129),"",ReferenceData!$J$129),"")</f>
        <v>62.397217859999998</v>
      </c>
      <c r="K129">
        <f ca="1">IFERROR(IF(0=LEN(ReferenceData!$K$129),"",ReferenceData!$K$129),"")</f>
        <v>62.994222409999999</v>
      </c>
      <c r="L129">
        <f ca="1">IFERROR(IF(0=LEN(ReferenceData!$L$129),"",ReferenceData!$L$129),"")</f>
        <v>62.93021229</v>
      </c>
      <c r="M129">
        <f ca="1">IFERROR(IF(0=LEN(ReferenceData!$M$129),"",ReferenceData!$M$129),"")</f>
        <v>62.433727269999999</v>
      </c>
      <c r="N129">
        <f ca="1">IFERROR(IF(0=LEN(ReferenceData!$N$129),"",ReferenceData!$N$129),"")</f>
        <v>61.757979689999999</v>
      </c>
      <c r="O129">
        <f ca="1">IFERROR(IF(0=LEN(ReferenceData!$O$129),"",ReferenceData!$O$129),"")</f>
        <v>59.604385430000001</v>
      </c>
      <c r="P129">
        <f ca="1">IFERROR(IF(0=LEN(ReferenceData!$P$129),"",ReferenceData!$P$129),"")</f>
        <v>59.717818790000003</v>
      </c>
      <c r="Q129">
        <f ca="1">IFERROR(IF(0=LEN(ReferenceData!$Q$129),"",ReferenceData!$Q$129),"")</f>
        <v>60.847207939999997</v>
      </c>
      <c r="R129">
        <f ca="1">IFERROR(IF(0=LEN(ReferenceData!$R$129),"",ReferenceData!$R$129),"")</f>
        <v>61.738861360000001</v>
      </c>
      <c r="S129">
        <f ca="1">IFERROR(IF(0=LEN(ReferenceData!$S$129),"",ReferenceData!$S$129),"")</f>
        <v>61.003393000000003</v>
      </c>
      <c r="T129">
        <f ca="1">IFERROR(IF(0=LEN(ReferenceData!$T$129),"",ReferenceData!$T$129),"")</f>
        <v>59.881887480000003</v>
      </c>
      <c r="U129">
        <f ca="1">IFERROR(IF(0=LEN(ReferenceData!$U$129),"",ReferenceData!$U$129),"")</f>
        <v>60.347265180000001</v>
      </c>
      <c r="V129">
        <f ca="1">IFERROR(IF(0=LEN(ReferenceData!$V$129),"",ReferenceData!$V$129),"")</f>
        <v>58.6364302</v>
      </c>
      <c r="W129">
        <f ca="1">IFERROR(IF(0=LEN(ReferenceData!$W$129),"",ReferenceData!$W$129),"")</f>
        <v>59.425797250000002</v>
      </c>
      <c r="X129">
        <f ca="1">IFERROR(IF(0=LEN(ReferenceData!$X$129),"",ReferenceData!$X$129),"")</f>
        <v>62.283648309999997</v>
      </c>
      <c r="Y129">
        <f ca="1">IFERROR(IF(0=LEN(ReferenceData!$Y$129),"",ReferenceData!$Y$129),"")</f>
        <v>61.715443639999997</v>
      </c>
      <c r="Z129">
        <f ca="1">IFERROR(IF(0=LEN(ReferenceData!$Z$129),"",ReferenceData!$Z$129),"")</f>
        <v>61.779277819999997</v>
      </c>
      <c r="AA129">
        <f ca="1">IFERROR(IF(0=LEN(ReferenceData!$AA$129),"",ReferenceData!$AA$129),"")</f>
        <v>55.331796279999999</v>
      </c>
      <c r="AB129">
        <f ca="1">IFERROR(IF(0=LEN(ReferenceData!$AB$129),"",ReferenceData!$AB$129),"")</f>
        <v>58.960159060000002</v>
      </c>
      <c r="AC129">
        <f ca="1">IFERROR(IF(0=LEN(ReferenceData!$AC$129),"",ReferenceData!$AC$129),"")</f>
        <v>55.876509499999997</v>
      </c>
      <c r="AD129">
        <f ca="1">IFERROR(IF(0=LEN(ReferenceData!$AD$129),"",ReferenceData!$AD$129),"")</f>
        <v>63.21484212</v>
      </c>
      <c r="AE129">
        <f ca="1">IFERROR(IF(0=LEN(ReferenceData!$AE$129),"",ReferenceData!$AE$129),"")</f>
        <v>61.700656760000001</v>
      </c>
      <c r="AF129">
        <f ca="1">IFERROR(IF(0=LEN(ReferenceData!$AF$129),"",ReferenceData!$AF$129),"")</f>
        <v>66.727975970000003</v>
      </c>
      <c r="AG129">
        <f ca="1">IFERROR(IF(0=LEN(ReferenceData!$AG$129),"",ReferenceData!$AG$129),"")</f>
        <v>64.808130820000002</v>
      </c>
      <c r="AH129">
        <f ca="1">IFERROR(IF(0=LEN(ReferenceData!$AH$129),"",ReferenceData!$AH$129),"")</f>
        <v>65.192345520000003</v>
      </c>
      <c r="AI129">
        <f ca="1">IFERROR(IF(0=LEN(ReferenceData!$AI$129),"",ReferenceData!$AI$129),"")</f>
        <v>54.882017900000001</v>
      </c>
      <c r="AJ129">
        <f ca="1">IFERROR(IF(0=LEN(ReferenceData!$AJ$129),"",ReferenceData!$AJ$129),"")</f>
        <v>59.301783620000002</v>
      </c>
      <c r="AK129">
        <f ca="1">IFERROR(IF(0=LEN(ReferenceData!$AK$129),"",ReferenceData!$AK$129),"")</f>
        <v>57.864333600000002</v>
      </c>
      <c r="AL129">
        <f ca="1">IFERROR(IF(0=LEN(ReferenceData!$AL$129),"",ReferenceData!$AL$129),"")</f>
        <v>55.928088170000002</v>
      </c>
      <c r="AM129">
        <f ca="1">IFERROR(IF(0=LEN(ReferenceData!$AM$129),"",ReferenceData!$AM$129),"")</f>
        <v>55.42179144</v>
      </c>
      <c r="AN129">
        <f ca="1">IFERROR(IF(0=LEN(ReferenceData!$AN$129),"",ReferenceData!$AN$129),"")</f>
        <v>54.37532616</v>
      </c>
      <c r="AO129">
        <f ca="1">IFERROR(IF(0=LEN(ReferenceData!$AO$129),"",ReferenceData!$AO$129),"")</f>
        <v>60.200125800000002</v>
      </c>
      <c r="AP129">
        <f ca="1">IFERROR(IF(0=LEN(ReferenceData!$AP$129),"",ReferenceData!$AP$129),"")</f>
        <v>56.083629420000001</v>
      </c>
      <c r="AQ129">
        <f ca="1">IFERROR(IF(0=LEN(ReferenceData!$AQ$129),"",ReferenceData!$AQ$129),"")</f>
        <v>52.06588696</v>
      </c>
      <c r="AR129">
        <f ca="1">IFERROR(IF(0=LEN(ReferenceData!$AR$129),"",ReferenceData!$AR$129),"")</f>
        <v>57.063342290000001</v>
      </c>
      <c r="AS129">
        <f ca="1">IFERROR(IF(0=LEN(ReferenceData!$AS$129),"",ReferenceData!$AS$129),"")</f>
        <v>58.37771489</v>
      </c>
      <c r="AT129">
        <f ca="1">IFERROR(IF(0=LEN(ReferenceData!$AT$129),"",ReferenceData!$AT$129),"")</f>
        <v>58.395825549999998</v>
      </c>
      <c r="AU129">
        <f ca="1">IFERROR(IF(0=LEN(ReferenceData!$AU$129),"",ReferenceData!$AU$129),"")</f>
        <v>68.158003960000002</v>
      </c>
      <c r="AV129">
        <f ca="1">IFERROR(IF(0=LEN(ReferenceData!$AV$129),"",ReferenceData!$AV$129),"")</f>
        <v>73.907515219999993</v>
      </c>
      <c r="AW129">
        <f ca="1">IFERROR(IF(0=LEN(ReferenceData!$AW$129),"",ReferenceData!$AW$129),"")</f>
        <v>70.607144259999998</v>
      </c>
      <c r="AX129">
        <f ca="1">IFERROR(IF(0=LEN(ReferenceData!$AX$129),"",ReferenceData!$AX$129),"")</f>
        <v>71.583951650000003</v>
      </c>
      <c r="AY129">
        <f ca="1">IFERROR(IF(0=LEN(ReferenceData!$AY$129),"",ReferenceData!$AY$129),"")</f>
        <v>67.003904570000003</v>
      </c>
      <c r="AZ129">
        <f ca="1">IFERROR(IF(0=LEN(ReferenceData!$AZ$129),"",ReferenceData!$AZ$129),"")</f>
        <v>61.328361690000001</v>
      </c>
      <c r="BA129">
        <f ca="1">IFERROR(IF(0=LEN(ReferenceData!$BA$129),"",ReferenceData!$BA$129),"")</f>
        <v>59.042556400000002</v>
      </c>
      <c r="BB129">
        <f ca="1">IFERROR(IF(0=LEN(ReferenceData!$BB$129),"",ReferenceData!$BB$129),"")</f>
        <v>58.422528489999998</v>
      </c>
      <c r="BC129">
        <f ca="1">IFERROR(IF(0=LEN(ReferenceData!$BC$129),"",ReferenceData!$BC$129),"")</f>
        <v>65.76373074</v>
      </c>
      <c r="BD129">
        <f ca="1">IFERROR(IF(0=LEN(ReferenceData!$BD$129),"",ReferenceData!$BD$129),"")</f>
        <v>58.709399249999997</v>
      </c>
      <c r="BE129">
        <f ca="1">IFERROR(IF(0=LEN(ReferenceData!$BE$129),"",ReferenceData!$BE$129),"")</f>
        <v>59.039573140000002</v>
      </c>
      <c r="BF129">
        <f ca="1">IFERROR(IF(0=LEN(ReferenceData!$BF$129),"",ReferenceData!$BF$129),"")</f>
        <v>56.642847279999998</v>
      </c>
      <c r="BG129">
        <f ca="1">IFERROR(IF(0=LEN(ReferenceData!$BG$129),"",ReferenceData!$BG$129),"")</f>
        <v>61.51990146</v>
      </c>
      <c r="BH129">
        <f ca="1">IFERROR(IF(0=LEN(ReferenceData!$BH$129),"",ReferenceData!$BH$129),"")</f>
        <v>58.564684059999998</v>
      </c>
      <c r="BI129">
        <f ca="1">IFERROR(IF(0=LEN(ReferenceData!$BI$129),"",ReferenceData!$BI$129),"")</f>
        <v>56.012064680000002</v>
      </c>
      <c r="BJ129">
        <f ca="1">IFERROR(IF(0=LEN(ReferenceData!$BJ$129),"",ReferenceData!$BJ$129),"")</f>
        <v>55.714920560000003</v>
      </c>
      <c r="BK129">
        <f ca="1">IFERROR(IF(0=LEN(ReferenceData!$BK$129),"",ReferenceData!$BK$129),"")</f>
        <v>56.168274420000003</v>
      </c>
      <c r="BL129">
        <f ca="1">IFERROR(IF(0=LEN(ReferenceData!$BL$129),"",ReferenceData!$BL$129),"")</f>
        <v>56.898079760000002</v>
      </c>
      <c r="BM129">
        <f ca="1">IFERROR(IF(0=LEN(ReferenceData!$BM$129),"",ReferenceData!$BM$129),"")</f>
        <v>57.98701209</v>
      </c>
    </row>
    <row r="130" spans="1:65">
      <c r="A130" t="str">
        <f>IFERROR(IF(0=LEN(ReferenceData!$A$130),"",ReferenceData!$A$130),"")</f>
        <v>资产回报率(NOI/总资产)(%)</v>
      </c>
      <c r="B130" t="str">
        <f>IFERROR(IF(0=LEN(ReferenceData!$B$130),"",ReferenceData!$B$130),"")</f>
        <v/>
      </c>
      <c r="C130" t="str">
        <f>IFERROR(IF(0=LEN(ReferenceData!$C$130),"",ReferenceData!$C$130),"")</f>
        <v/>
      </c>
      <c r="D130" t="str">
        <f>IFERROR(IF(0=LEN(ReferenceData!$D$130),"",ReferenceData!$D$130),"")</f>
        <v/>
      </c>
      <c r="E130" t="str">
        <f>IFERROR(IF(0=LEN(ReferenceData!$E$130),"",ReferenceData!$E$130),"")</f>
        <v>Median</v>
      </c>
      <c r="F130" t="str">
        <f ca="1">IFERROR(IF(0=LEN(ReferenceData!$F$130),"",ReferenceData!$F$130),"")</f>
        <v/>
      </c>
      <c r="G130">
        <f ca="1">IFERROR(IF(0=LEN(ReferenceData!$G$130),"",ReferenceData!$G$130),"")</f>
        <v>6.8323037415000005</v>
      </c>
      <c r="H130">
        <f ca="1">IFERROR(IF(0=LEN(ReferenceData!$H$130),"",ReferenceData!$H$130),"")</f>
        <v>6.4560312135000002</v>
      </c>
      <c r="I130">
        <f ca="1">IFERROR(IF(0=LEN(ReferenceData!$I$130),"",ReferenceData!$I$130),"")</f>
        <v>6.4388228420000004</v>
      </c>
      <c r="J130">
        <f ca="1">IFERROR(IF(0=LEN(ReferenceData!$J$130),"",ReferenceData!$J$130),"")</f>
        <v>6.5326304574999998</v>
      </c>
      <c r="K130">
        <f ca="1">IFERROR(IF(0=LEN(ReferenceData!$K$130),"",ReferenceData!$K$130),"")</f>
        <v>6.5336755284999999</v>
      </c>
      <c r="L130">
        <f ca="1">IFERROR(IF(0=LEN(ReferenceData!$L$130),"",ReferenceData!$L$130),"")</f>
        <v>6.4101821074999998</v>
      </c>
      <c r="M130">
        <f ca="1">IFERROR(IF(0=LEN(ReferenceData!$M$130),"",ReferenceData!$M$130),"")</f>
        <v>6.3986617570000002</v>
      </c>
      <c r="N130">
        <f ca="1">IFERROR(IF(0=LEN(ReferenceData!$N$130),"",ReferenceData!$N$130),"")</f>
        <v>6.7529091399999999</v>
      </c>
      <c r="O130">
        <f ca="1">IFERROR(IF(0=LEN(ReferenceData!$O$130),"",ReferenceData!$O$130),"")</f>
        <v>6.8918513089999998</v>
      </c>
      <c r="P130">
        <f ca="1">IFERROR(IF(0=LEN(ReferenceData!$P$130),"",ReferenceData!$P$130),"")</f>
        <v>6.4672812259999999</v>
      </c>
      <c r="Q130">
        <f ca="1">IFERROR(IF(0=LEN(ReferenceData!$Q$130),"",ReferenceData!$Q$130),"")</f>
        <v>6.4029064575000003</v>
      </c>
      <c r="R130">
        <f ca="1">IFERROR(IF(0=LEN(ReferenceData!$R$130),"",ReferenceData!$R$130),"")</f>
        <v>6.2546509320000006</v>
      </c>
      <c r="S130">
        <f ca="1">IFERROR(IF(0=LEN(ReferenceData!$S$130),"",ReferenceData!$S$130),"")</f>
        <v>6.3885648180000008</v>
      </c>
      <c r="T130">
        <f ca="1">IFERROR(IF(0=LEN(ReferenceData!$T$130),"",ReferenceData!$T$130),"")</f>
        <v>6.1418076404999997</v>
      </c>
      <c r="U130">
        <f ca="1">IFERROR(IF(0=LEN(ReferenceData!$U$130),"",ReferenceData!$U$130),"")</f>
        <v>6.1038573365000008</v>
      </c>
      <c r="V130">
        <f ca="1">IFERROR(IF(0=LEN(ReferenceData!$V$130),"",ReferenceData!$V$130),"")</f>
        <v>6.0080299964999995</v>
      </c>
      <c r="W130">
        <f ca="1">IFERROR(IF(0=LEN(ReferenceData!$W$130),"",ReferenceData!$W$130),"")</f>
        <v>6.3852716639999993</v>
      </c>
      <c r="X130">
        <f ca="1">IFERROR(IF(0=LEN(ReferenceData!$X$130),"",ReferenceData!$X$130),"")</f>
        <v>5.8262417615000004</v>
      </c>
      <c r="Y130">
        <f ca="1">IFERROR(IF(0=LEN(ReferenceData!$Y$130),"",ReferenceData!$Y$130),"")</f>
        <v>5.9134810585000004</v>
      </c>
      <c r="Z130">
        <f ca="1">IFERROR(IF(0=LEN(ReferenceData!$Z$130),"",ReferenceData!$Z$130),"")</f>
        <v>6.2872573680000006</v>
      </c>
      <c r="AA130">
        <f ca="1">IFERROR(IF(0=LEN(ReferenceData!$AA$130),"",ReferenceData!$AA$130),"")</f>
        <v>6.0321612165000005</v>
      </c>
      <c r="AB130">
        <f ca="1">IFERROR(IF(0=LEN(ReferenceData!$AB$130),"",ReferenceData!$AB$130),"")</f>
        <v>6.0158642609999999</v>
      </c>
      <c r="AC130">
        <f ca="1">IFERROR(IF(0=LEN(ReferenceData!$AC$130),"",ReferenceData!$AC$130),"")</f>
        <v>6.4100533635000003</v>
      </c>
      <c r="AD130">
        <f ca="1">IFERROR(IF(0=LEN(ReferenceData!$AD$130),"",ReferenceData!$AD$130),"")</f>
        <v>6.5863918510000001</v>
      </c>
      <c r="AE130">
        <f ca="1">IFERROR(IF(0=LEN(ReferenceData!$AE$130),"",ReferenceData!$AE$130),"")</f>
        <v>6.5262741625</v>
      </c>
      <c r="AF130">
        <f ca="1">IFERROR(IF(0=LEN(ReferenceData!$AF$130),"",ReferenceData!$AF$130),"")</f>
        <v>6.2343629400000005</v>
      </c>
      <c r="AG130">
        <f ca="1">IFERROR(IF(0=LEN(ReferenceData!$AG$130),"",ReferenceData!$AG$130),"")</f>
        <v>6.4801624899999997</v>
      </c>
      <c r="AH130">
        <f ca="1">IFERROR(IF(0=LEN(ReferenceData!$AH$130),"",ReferenceData!$AH$130),"")</f>
        <v>6.3248962965000004</v>
      </c>
      <c r="AI130">
        <f ca="1">IFERROR(IF(0=LEN(ReferenceData!$AI$130),"",ReferenceData!$AI$130),"")</f>
        <v>6.2586418790000007</v>
      </c>
      <c r="AJ130">
        <f ca="1">IFERROR(IF(0=LEN(ReferenceData!$AJ$130),"",ReferenceData!$AJ$130),"")</f>
        <v>5.9494875729999999</v>
      </c>
      <c r="AK130">
        <f ca="1">IFERROR(IF(0=LEN(ReferenceData!$AK$130),"",ReferenceData!$AK$130),"")</f>
        <v>6.1256972555000004</v>
      </c>
      <c r="AL130">
        <f ca="1">IFERROR(IF(0=LEN(ReferenceData!$AL$130),"",ReferenceData!$AL$130),"")</f>
        <v>6.3219106420000006</v>
      </c>
      <c r="AM130">
        <f ca="1">IFERROR(IF(0=LEN(ReferenceData!$AM$130),"",ReferenceData!$AM$130),"")</f>
        <v>6.4529172140000002</v>
      </c>
      <c r="AN130">
        <f ca="1">IFERROR(IF(0=LEN(ReferenceData!$AN$130),"",ReferenceData!$AN$130),"")</f>
        <v>6.0248419979999994</v>
      </c>
      <c r="AO130">
        <f ca="1">IFERROR(IF(0=LEN(ReferenceData!$AO$130),"",ReferenceData!$AO$130),"")</f>
        <v>6.4749396324999999</v>
      </c>
      <c r="AP130">
        <f ca="1">IFERROR(IF(0=LEN(ReferenceData!$AP$130),"",ReferenceData!$AP$130),"")</f>
        <v>6.5260126994999998</v>
      </c>
      <c r="AQ130">
        <f ca="1">IFERROR(IF(0=LEN(ReferenceData!$AQ$130),"",ReferenceData!$AQ$130),"")</f>
        <v>6.9281384859999999</v>
      </c>
      <c r="AR130">
        <f ca="1">IFERROR(IF(0=LEN(ReferenceData!$AR$130),"",ReferenceData!$AR$130),"")</f>
        <v>6.3818672425000003</v>
      </c>
      <c r="AS130">
        <f ca="1">IFERROR(IF(0=LEN(ReferenceData!$AS$130),"",ReferenceData!$AS$130),"")</f>
        <v>6.8254926820000001</v>
      </c>
      <c r="AT130">
        <f ca="1">IFERROR(IF(0=LEN(ReferenceData!$AT$130),"",ReferenceData!$AT$130),"")</f>
        <v>6.9200968679999999</v>
      </c>
      <c r="AU130">
        <f ca="1">IFERROR(IF(0=LEN(ReferenceData!$AU$130),"",ReferenceData!$AU$130),"")</f>
        <v>7.0459084545000001</v>
      </c>
      <c r="AV130">
        <f ca="1">IFERROR(IF(0=LEN(ReferenceData!$AV$130),"",ReferenceData!$AV$130),"")</f>
        <v>6.5167260084999992</v>
      </c>
      <c r="AW130">
        <f ca="1">IFERROR(IF(0=LEN(ReferenceData!$AW$130),"",ReferenceData!$AW$130),"")</f>
        <v>7.1483886215000005</v>
      </c>
      <c r="AX130">
        <f ca="1">IFERROR(IF(0=LEN(ReferenceData!$AX$130),"",ReferenceData!$AX$130),"")</f>
        <v>6.7917096150000003</v>
      </c>
      <c r="AY130">
        <f ca="1">IFERROR(IF(0=LEN(ReferenceData!$AY$130),"",ReferenceData!$AY$130),"")</f>
        <v>6.8080098710000003</v>
      </c>
      <c r="AZ130">
        <f ca="1">IFERROR(IF(0=LEN(ReferenceData!$AZ$130),"",ReferenceData!$AZ$130),"")</f>
        <v>6.8320173410000002</v>
      </c>
      <c r="BA130">
        <f ca="1">IFERROR(IF(0=LEN(ReferenceData!$BA$130),"",ReferenceData!$BA$130),"")</f>
        <v>6.7343895969999998</v>
      </c>
      <c r="BB130">
        <f ca="1">IFERROR(IF(0=LEN(ReferenceData!$BB$130),"",ReferenceData!$BB$130),"")</f>
        <v>7.2812469679999996</v>
      </c>
      <c r="BC130">
        <f ca="1">IFERROR(IF(0=LEN(ReferenceData!$BC$130),"",ReferenceData!$BC$130),"")</f>
        <v>7.1515339089999994</v>
      </c>
      <c r="BD130">
        <f ca="1">IFERROR(IF(0=LEN(ReferenceData!$BD$130),"",ReferenceData!$BD$130),"")</f>
        <v>7.0125382710000004</v>
      </c>
      <c r="BE130">
        <f ca="1">IFERROR(IF(0=LEN(ReferenceData!$BE$130),"",ReferenceData!$BE$130),"")</f>
        <v>7.3807821155000006</v>
      </c>
      <c r="BF130">
        <f ca="1">IFERROR(IF(0=LEN(ReferenceData!$BF$130),"",ReferenceData!$BF$130),"")</f>
        <v>7.2779356219999993</v>
      </c>
      <c r="BG130">
        <f ca="1">IFERROR(IF(0=LEN(ReferenceData!$BG$130),"",ReferenceData!$BG$130),"")</f>
        <v>7.1541626894999997</v>
      </c>
      <c r="BH130">
        <f ca="1">IFERROR(IF(0=LEN(ReferenceData!$BH$130),"",ReferenceData!$BH$130),"")</f>
        <v>7.4586882419999991</v>
      </c>
      <c r="BI130">
        <f ca="1">IFERROR(IF(0=LEN(ReferenceData!$BI$130),"",ReferenceData!$BI$130),"")</f>
        <v>7.5065786790000004</v>
      </c>
      <c r="BJ130">
        <f ca="1">IFERROR(IF(0=LEN(ReferenceData!$BJ$130),"",ReferenceData!$BJ$130),"")</f>
        <v>7.7495577109999996</v>
      </c>
      <c r="BK130">
        <f ca="1">IFERROR(IF(0=LEN(ReferenceData!$BK$130),"",ReferenceData!$BK$130),"")</f>
        <v>9.3448158570000004</v>
      </c>
      <c r="BL130">
        <f ca="1">IFERROR(IF(0=LEN(ReferenceData!$BL$130),"",ReferenceData!$BL$130),"")</f>
        <v>8.8891679579999998</v>
      </c>
      <c r="BM130">
        <f ca="1">IFERROR(IF(0=LEN(ReferenceData!$BM$130),"",ReferenceData!$BM$130),"")</f>
        <v>7.1787267019999996</v>
      </c>
    </row>
    <row r="131" spans="1:65">
      <c r="A131" t="str">
        <f>IFERROR(IF(0=LEN(ReferenceData!$A$131),"",ReferenceData!$A$131),"")</f>
        <v xml:space="preserve">    American Campus Communities In</v>
      </c>
      <c r="B131" t="str">
        <f>IFERROR(IF(0=LEN(ReferenceData!$B$131),"",ReferenceData!$B$131),"")</f>
        <v>ACC US Equity</v>
      </c>
      <c r="C131" t="str">
        <f>IFERROR(IF(0=LEN(ReferenceData!$C$131),"",ReferenceData!$C$131),"")</f>
        <v>RX902</v>
      </c>
      <c r="D131" t="str">
        <f>IFERROR(IF(0=LEN(ReferenceData!$D$131),"",ReferenceData!$D$131),"")</f>
        <v>ANN_NOI_GR_AST_NET_RTL_DEV_CTD_%</v>
      </c>
      <c r="E131" t="str">
        <f>IFERROR(IF(0=LEN(ReferenceData!$E$131),"",ReferenceData!$E$131),"")</f>
        <v>动态</v>
      </c>
      <c r="F131" t="str">
        <f ca="1">IFERROR(IF(0=LEN(ReferenceData!$F$131),"",ReferenceData!$F$131),"")</f>
        <v/>
      </c>
      <c r="G131">
        <f ca="1">IFERROR(IF(0=LEN(ReferenceData!$G$131),"",ReferenceData!$G$131),"")</f>
        <v>6.2500273079999999</v>
      </c>
      <c r="H131">
        <f ca="1">IFERROR(IF(0=LEN(ReferenceData!$H$131),"",ReferenceData!$H$131),"")</f>
        <v>4.3608034379999996</v>
      </c>
      <c r="I131">
        <f ca="1">IFERROR(IF(0=LEN(ReferenceData!$I$131),"",ReferenceData!$I$131),"")</f>
        <v>5.2145656210000002</v>
      </c>
      <c r="J131">
        <f ca="1">IFERROR(IF(0=LEN(ReferenceData!$J$131),"",ReferenceData!$J$131),"")</f>
        <v>2.8227985470000001</v>
      </c>
      <c r="K131">
        <f ca="1">IFERROR(IF(0=LEN(ReferenceData!$K$131),"",ReferenceData!$K$131),"")</f>
        <v>6.4728736639999997</v>
      </c>
      <c r="L131">
        <f ca="1">IFERROR(IF(0=LEN(ReferenceData!$L$131),"",ReferenceData!$L$131),"")</f>
        <v>4.7919931509999998</v>
      </c>
      <c r="M131">
        <f ca="1">IFERROR(IF(0=LEN(ReferenceData!$M$131),"",ReferenceData!$M$131),"")</f>
        <v>5.376958374</v>
      </c>
      <c r="N131">
        <f ca="1">IFERROR(IF(0=LEN(ReferenceData!$N$131),"",ReferenceData!$N$131),"")</f>
        <v>5.9259614010000004</v>
      </c>
      <c r="O131">
        <f ca="1">IFERROR(IF(0=LEN(ReferenceData!$O$131),"",ReferenceData!$O$131),"")</f>
        <v>6.356161953</v>
      </c>
      <c r="P131">
        <f ca="1">IFERROR(IF(0=LEN(ReferenceData!$P$131),"",ReferenceData!$P$131),"")</f>
        <v>4.3680881789999999</v>
      </c>
      <c r="Q131">
        <f ca="1">IFERROR(IF(0=LEN(ReferenceData!$Q$131),"",ReferenceData!$Q$131),"")</f>
        <v>5.5352076659999998</v>
      </c>
      <c r="R131">
        <f ca="1">IFERROR(IF(0=LEN(ReferenceData!$R$131),"",ReferenceData!$R$131),"")</f>
        <v>6.1715945740000002</v>
      </c>
      <c r="S131">
        <f ca="1">IFERROR(IF(0=LEN(ReferenceData!$S$131),"",ReferenceData!$S$131),"")</f>
        <v>6.3992087800000004</v>
      </c>
      <c r="T131">
        <f ca="1">IFERROR(IF(0=LEN(ReferenceData!$T$131),"",ReferenceData!$T$131),"")</f>
        <v>4.590857647</v>
      </c>
      <c r="U131">
        <f ca="1">IFERROR(IF(0=LEN(ReferenceData!$U$131),"",ReferenceData!$U$131),"")</f>
        <v>5.4809788829999997</v>
      </c>
      <c r="V131">
        <f ca="1">IFERROR(IF(0=LEN(ReferenceData!$V$131),"",ReferenceData!$V$131),"")</f>
        <v>6.209743918</v>
      </c>
      <c r="W131">
        <f ca="1">IFERROR(IF(0=LEN(ReferenceData!$W$131),"",ReferenceData!$W$131),"")</f>
        <v>6.255766618</v>
      </c>
      <c r="X131">
        <f ca="1">IFERROR(IF(0=LEN(ReferenceData!$X$131),"",ReferenceData!$X$131),"")</f>
        <v>4.4230965739999997</v>
      </c>
      <c r="Y131">
        <f ca="1">IFERROR(IF(0=LEN(ReferenceData!$Y$131),"",ReferenceData!$Y$131),"")</f>
        <v>5.3231713420000002</v>
      </c>
      <c r="Z131">
        <f ca="1">IFERROR(IF(0=LEN(ReferenceData!$Z$131),"",ReferenceData!$Z$131),"")</f>
        <v>6.1676899079999998</v>
      </c>
      <c r="AA131">
        <f ca="1">IFERROR(IF(0=LEN(ReferenceData!$AA$131),"",ReferenceData!$AA$131),"")</f>
        <v>5.6821906479999997</v>
      </c>
      <c r="AB131">
        <f ca="1">IFERROR(IF(0=LEN(ReferenceData!$AB$131),"",ReferenceData!$AB$131),"")</f>
        <v>4.072264348</v>
      </c>
      <c r="AC131">
        <f ca="1">IFERROR(IF(0=LEN(ReferenceData!$AC$131),"",ReferenceData!$AC$131),"")</f>
        <v>5.624412414</v>
      </c>
      <c r="AD131">
        <f ca="1">IFERROR(IF(0=LEN(ReferenceData!$AD$131),"",ReferenceData!$AD$131),"")</f>
        <v>6.3942696540000004</v>
      </c>
      <c r="AE131">
        <f ca="1">IFERROR(IF(0=LEN(ReferenceData!$AE$131),"",ReferenceData!$AE$131),"")</f>
        <v>6.2728524989999999</v>
      </c>
      <c r="AF131">
        <f ca="1">IFERROR(IF(0=LEN(ReferenceData!$AF$131),"",ReferenceData!$AF$131),"")</f>
        <v>5.0971198070000003</v>
      </c>
      <c r="AG131">
        <f ca="1">IFERROR(IF(0=LEN(ReferenceData!$AG$131),"",ReferenceData!$AG$131),"")</f>
        <v>6.1143492820000001</v>
      </c>
      <c r="AH131">
        <f ca="1">IFERROR(IF(0=LEN(ReferenceData!$AH$131),"",ReferenceData!$AH$131),"")</f>
        <v>6.70303147</v>
      </c>
      <c r="AI131">
        <f ca="1">IFERROR(IF(0=LEN(ReferenceData!$AI$131),"",ReferenceData!$AI$131),"")</f>
        <v>6.4360647489999998</v>
      </c>
      <c r="AJ131">
        <f ca="1">IFERROR(IF(0=LEN(ReferenceData!$AJ$131),"",ReferenceData!$AJ$131),"")</f>
        <v>4.6487674669999999</v>
      </c>
      <c r="AK131">
        <f ca="1">IFERROR(IF(0=LEN(ReferenceData!$AK$131),"",ReferenceData!$AK$131),"")</f>
        <v>6.0949082900000002</v>
      </c>
      <c r="AL131">
        <f ca="1">IFERROR(IF(0=LEN(ReferenceData!$AL$131),"",ReferenceData!$AL$131),"")</f>
        <v>6.738263796</v>
      </c>
      <c r="AM131">
        <f ca="1">IFERROR(IF(0=LEN(ReferenceData!$AM$131),"",ReferenceData!$AM$131),"")</f>
        <v>6.5764236560000002</v>
      </c>
      <c r="AN131">
        <f ca="1">IFERROR(IF(0=LEN(ReferenceData!$AN$131),"",ReferenceData!$AN$131),"")</f>
        <v>4.8664151569999996</v>
      </c>
      <c r="AO131">
        <f ca="1">IFERROR(IF(0=LEN(ReferenceData!$AO$131),"",ReferenceData!$AO$131),"")</f>
        <v>5.4457285510000002</v>
      </c>
      <c r="AP131">
        <f ca="1">IFERROR(IF(0=LEN(ReferenceData!$AP$131),"",ReferenceData!$AP$131),"")</f>
        <v>5.9673641450000003</v>
      </c>
      <c r="AQ131">
        <f ca="1">IFERROR(IF(0=LEN(ReferenceData!$AQ$131),"",ReferenceData!$AQ$131),"")</f>
        <v>0.536290826</v>
      </c>
      <c r="AR131">
        <f ca="1">IFERROR(IF(0=LEN(ReferenceData!$AR$131),"",ReferenceData!$AR$131),"")</f>
        <v>-5.3427268E-2</v>
      </c>
      <c r="AS131">
        <f ca="1">IFERROR(IF(0=LEN(ReferenceData!$AS$131),"",ReferenceData!$AS$131),"")</f>
        <v>2.09921E-2</v>
      </c>
      <c r="AT131">
        <f ca="1">IFERROR(IF(0=LEN(ReferenceData!$AT$131),"",ReferenceData!$AT$131),"")</f>
        <v>1.0499497419999999</v>
      </c>
      <c r="AU131">
        <f ca="1">IFERROR(IF(0=LEN(ReferenceData!$AU$131),"",ReferenceData!$AU$131),"")</f>
        <v>1.0468674650000001</v>
      </c>
      <c r="AV131">
        <f ca="1">IFERROR(IF(0=LEN(ReferenceData!$AV$131),"",ReferenceData!$AV$131),"")</f>
        <v>0.120788593</v>
      </c>
      <c r="AW131">
        <f ca="1">IFERROR(IF(0=LEN(ReferenceData!$AW$131),"",ReferenceData!$AW$131),"")</f>
        <v>-8.1405914999999995E-2</v>
      </c>
      <c r="AX131">
        <f ca="1">IFERROR(IF(0=LEN(ReferenceData!$AX$131),"",ReferenceData!$AX$131),"")</f>
        <v>1.19570876</v>
      </c>
      <c r="AY131">
        <f ca="1">IFERROR(IF(0=LEN(ReferenceData!$AY$131),"",ReferenceData!$AY$131),"")</f>
        <v>1.3206910409999999</v>
      </c>
      <c r="AZ131">
        <f ca="1">IFERROR(IF(0=LEN(ReferenceData!$AZ$131),"",ReferenceData!$AZ$131),"")</f>
        <v>0.15240552199999999</v>
      </c>
      <c r="BA131">
        <f ca="1">IFERROR(IF(0=LEN(ReferenceData!$BA$131),"",ReferenceData!$BA$131),"")</f>
        <v>2.4511050999999999E-2</v>
      </c>
      <c r="BB131">
        <f ca="1">IFERROR(IF(0=LEN(ReferenceData!$BB$131),"",ReferenceData!$BB$131),"")</f>
        <v>1.3351264869999999</v>
      </c>
      <c r="BC131" t="str">
        <f ca="1">IFERROR(IF(0=LEN(ReferenceData!$BC$131),"",ReferenceData!$BC$131),"")</f>
        <v/>
      </c>
      <c r="BD131" t="str">
        <f ca="1">IFERROR(IF(0=LEN(ReferenceData!$BD$131),"",ReferenceData!$BD$131),"")</f>
        <v/>
      </c>
      <c r="BE131" t="str">
        <f ca="1">IFERROR(IF(0=LEN(ReferenceData!$BE$131),"",ReferenceData!$BE$131),"")</f>
        <v/>
      </c>
      <c r="BF131" t="str">
        <f ca="1">IFERROR(IF(0=LEN(ReferenceData!$BF$131),"",ReferenceData!$BF$131),"")</f>
        <v/>
      </c>
      <c r="BG131" t="str">
        <f ca="1">IFERROR(IF(0=LEN(ReferenceData!$BG$131),"",ReferenceData!$BG$131),"")</f>
        <v/>
      </c>
      <c r="BH131" t="str">
        <f ca="1">IFERROR(IF(0=LEN(ReferenceData!$BH$131),"",ReferenceData!$BH$131),"")</f>
        <v/>
      </c>
      <c r="BI131" t="str">
        <f ca="1">IFERROR(IF(0=LEN(ReferenceData!$BI$131),"",ReferenceData!$BI$131),"")</f>
        <v/>
      </c>
      <c r="BJ131" t="str">
        <f ca="1">IFERROR(IF(0=LEN(ReferenceData!$BJ$131),"",ReferenceData!$BJ$131),"")</f>
        <v/>
      </c>
      <c r="BK131" t="str">
        <f ca="1">IFERROR(IF(0=LEN(ReferenceData!$BK$131),"",ReferenceData!$BK$131),"")</f>
        <v/>
      </c>
      <c r="BL131" t="str">
        <f ca="1">IFERROR(IF(0=LEN(ReferenceData!$BL$131),"",ReferenceData!$BL$131),"")</f>
        <v/>
      </c>
      <c r="BM131" t="str">
        <f ca="1">IFERROR(IF(0=LEN(ReferenceData!$BM$131),"",ReferenceData!$BM$131),"")</f>
        <v/>
      </c>
    </row>
    <row r="132" spans="1:65">
      <c r="A132" t="str">
        <f>IFERROR(IF(0=LEN(ReferenceData!$A$132),"",ReferenceData!$A$132),"")</f>
        <v xml:space="preserve">    AvalonBay Communities Inc</v>
      </c>
      <c r="B132" t="str">
        <f>IFERROR(IF(0=LEN(ReferenceData!$B$132),"",ReferenceData!$B$132),"")</f>
        <v>AVB US Equity</v>
      </c>
      <c r="C132" t="str">
        <f>IFERROR(IF(0=LEN(ReferenceData!$C$132),"",ReferenceData!$C$132),"")</f>
        <v>RX902</v>
      </c>
      <c r="D132" t="str">
        <f>IFERROR(IF(0=LEN(ReferenceData!$D$132),"",ReferenceData!$D$132),"")</f>
        <v>ANN_NOI_GR_AST_NET_RTL_DEV_CTD_%</v>
      </c>
      <c r="E132" t="str">
        <f>IFERROR(IF(0=LEN(ReferenceData!$E$132),"",ReferenceData!$E$132),"")</f>
        <v>动态</v>
      </c>
      <c r="F132" t="str">
        <f ca="1">IFERROR(IF(0=LEN(ReferenceData!$F$132),"",ReferenceData!$F$132),"")</f>
        <v/>
      </c>
      <c r="G132">
        <f ca="1">IFERROR(IF(0=LEN(ReferenceData!$G$132),"",ReferenceData!$G$132),"")</f>
        <v>6.9049007649999998</v>
      </c>
      <c r="H132">
        <f ca="1">IFERROR(IF(0=LEN(ReferenceData!$H$132),"",ReferenceData!$H$132),"")</f>
        <v>6.8037504000000002</v>
      </c>
      <c r="I132">
        <f ca="1">IFERROR(IF(0=LEN(ReferenceData!$I$132),"",ReferenceData!$I$132),"")</f>
        <v>6.7010897829999996</v>
      </c>
      <c r="J132">
        <f ca="1">IFERROR(IF(0=LEN(ReferenceData!$J$132),"",ReferenceData!$J$132),"")</f>
        <v>6.6434477120000004</v>
      </c>
      <c r="K132">
        <f ca="1">IFERROR(IF(0=LEN(ReferenceData!$K$132),"",ReferenceData!$K$132),"")</f>
        <v>6.743781137</v>
      </c>
      <c r="L132">
        <f ca="1">IFERROR(IF(0=LEN(ReferenceData!$L$132),"",ReferenceData!$L$132),"")</f>
        <v>6.604451192</v>
      </c>
      <c r="M132">
        <f ca="1">IFERROR(IF(0=LEN(ReferenceData!$M$132),"",ReferenceData!$M$132),"")</f>
        <v>6.64469829</v>
      </c>
      <c r="N132">
        <f ca="1">IFERROR(IF(0=LEN(ReferenceData!$N$132),"",ReferenceData!$N$132),"")</f>
        <v>7.0092080770000003</v>
      </c>
      <c r="O132">
        <f ca="1">IFERROR(IF(0=LEN(ReferenceData!$O$132),"",ReferenceData!$O$132),"")</f>
        <v>6.6247605150000002</v>
      </c>
      <c r="P132">
        <f ca="1">IFERROR(IF(0=LEN(ReferenceData!$P$132),"",ReferenceData!$P$132),"")</f>
        <v>6.462662216</v>
      </c>
      <c r="Q132">
        <f ca="1">IFERROR(IF(0=LEN(ReferenceData!$Q$132),"",ReferenceData!$Q$132),"")</f>
        <v>6.4702860979999999</v>
      </c>
      <c r="R132">
        <f ca="1">IFERROR(IF(0=LEN(ReferenceData!$R$132),"",ReferenceData!$R$132),"")</f>
        <v>6.141735122</v>
      </c>
      <c r="S132">
        <f ca="1">IFERROR(IF(0=LEN(ReferenceData!$S$132),"",ReferenceData!$S$132),"")</f>
        <v>6.3164471869999996</v>
      </c>
      <c r="T132">
        <f ca="1">IFERROR(IF(0=LEN(ReferenceData!$T$132),"",ReferenceData!$T$132),"")</f>
        <v>6.2813606460000004</v>
      </c>
      <c r="U132">
        <f ca="1">IFERROR(IF(0=LEN(ReferenceData!$U$132),"",ReferenceData!$U$132),"")</f>
        <v>6.1407216189999998</v>
      </c>
      <c r="V132">
        <f ca="1">IFERROR(IF(0=LEN(ReferenceData!$V$132),"",ReferenceData!$V$132),"")</f>
        <v>5.8063160749999998</v>
      </c>
      <c r="W132">
        <f ca="1">IFERROR(IF(0=LEN(ReferenceData!$W$132),"",ReferenceData!$W$132),"")</f>
        <v>5.877844906</v>
      </c>
      <c r="X132">
        <f ca="1">IFERROR(IF(0=LEN(ReferenceData!$X$132),"",ReferenceData!$X$132),"")</f>
        <v>5.8767506210000002</v>
      </c>
      <c r="Y132">
        <f ca="1">IFERROR(IF(0=LEN(ReferenceData!$Y$132),"",ReferenceData!$Y$132),"")</f>
        <v>5.9883513519999996</v>
      </c>
      <c r="Z132">
        <f ca="1">IFERROR(IF(0=LEN(ReferenceData!$Z$132),"",ReferenceData!$Z$132),"")</f>
        <v>4.7933450830000002</v>
      </c>
      <c r="AA132">
        <f ca="1">IFERROR(IF(0=LEN(ReferenceData!$AA$132),"",ReferenceData!$AA$132),"")</f>
        <v>5.4941493780000004</v>
      </c>
      <c r="AB132">
        <f ca="1">IFERROR(IF(0=LEN(ReferenceData!$AB$132),"",ReferenceData!$AB$132),"")</f>
        <v>6.4599646499999999</v>
      </c>
      <c r="AC132">
        <f ca="1">IFERROR(IF(0=LEN(ReferenceData!$AC$132),"",ReferenceData!$AC$132),"")</f>
        <v>6.6135391400000003</v>
      </c>
      <c r="AD132">
        <f ca="1">IFERROR(IF(0=LEN(ReferenceData!$AD$132),"",ReferenceData!$AD$132),"")</f>
        <v>6.5986988249999996</v>
      </c>
      <c r="AE132">
        <f ca="1">IFERROR(IF(0=LEN(ReferenceData!$AE$132),"",ReferenceData!$AE$132),"")</f>
        <v>6.4227158959999997</v>
      </c>
      <c r="AF132">
        <f ca="1">IFERROR(IF(0=LEN(ReferenceData!$AF$132),"",ReferenceData!$AF$132),"")</f>
        <v>6.2601472539999996</v>
      </c>
      <c r="AG132">
        <f ca="1">IFERROR(IF(0=LEN(ReferenceData!$AG$132),"",ReferenceData!$AG$132),"")</f>
        <v>6.5267365709999998</v>
      </c>
      <c r="AH132">
        <f ca="1">IFERROR(IF(0=LEN(ReferenceData!$AH$132),"",ReferenceData!$AH$132),"")</f>
        <v>6.1976837759999999</v>
      </c>
      <c r="AI132">
        <f ca="1">IFERROR(IF(0=LEN(ReferenceData!$AI$132),"",ReferenceData!$AI$132),"")</f>
        <v>6.2263889450000001</v>
      </c>
      <c r="AJ132">
        <f ca="1">IFERROR(IF(0=LEN(ReferenceData!$AJ$132),"",ReferenceData!$AJ$132),"")</f>
        <v>6.207452473</v>
      </c>
      <c r="AK132">
        <f ca="1">IFERROR(IF(0=LEN(ReferenceData!$AK$132),"",ReferenceData!$AK$132),"")</f>
        <v>6.0584278080000002</v>
      </c>
      <c r="AL132">
        <f ca="1">IFERROR(IF(0=LEN(ReferenceData!$AL$132),"",ReferenceData!$AL$132),"")</f>
        <v>6.0235046170000004</v>
      </c>
      <c r="AM132">
        <f ca="1">IFERROR(IF(0=LEN(ReferenceData!$AM$132),"",ReferenceData!$AM$132),"")</f>
        <v>6.0698505740000002</v>
      </c>
      <c r="AN132">
        <f ca="1">IFERROR(IF(0=LEN(ReferenceData!$AN$132),"",ReferenceData!$AN$132),"")</f>
        <v>5.809553749</v>
      </c>
      <c r="AO132">
        <f ca="1">IFERROR(IF(0=LEN(ReferenceData!$AO$132),"",ReferenceData!$AO$132),"")</f>
        <v>6.0604202149999997</v>
      </c>
      <c r="AP132">
        <f ca="1">IFERROR(IF(0=LEN(ReferenceData!$AP$132),"",ReferenceData!$AP$132),"")</f>
        <v>6.2981873769999996</v>
      </c>
      <c r="AQ132">
        <f ca="1">IFERROR(IF(0=LEN(ReferenceData!$AQ$132),"",ReferenceData!$AQ$132),"")</f>
        <v>6.9507788189999999</v>
      </c>
      <c r="AR132">
        <f ca="1">IFERROR(IF(0=LEN(ReferenceData!$AR$132),"",ReferenceData!$AR$132),"")</f>
        <v>6.7508931719999996</v>
      </c>
      <c r="AS132">
        <f ca="1">IFERROR(IF(0=LEN(ReferenceData!$AS$132),"",ReferenceData!$AS$132),"")</f>
        <v>6.970905267</v>
      </c>
      <c r="AT132">
        <f ca="1">IFERROR(IF(0=LEN(ReferenceData!$AT$132),"",ReferenceData!$AT$132),"")</f>
        <v>6.467064412</v>
      </c>
      <c r="AU132">
        <f ca="1">IFERROR(IF(0=LEN(ReferenceData!$AU$132),"",ReferenceData!$AU$132),"")</f>
        <v>6.637784044</v>
      </c>
      <c r="AV132">
        <f ca="1">IFERROR(IF(0=LEN(ReferenceData!$AV$132),"",ReferenceData!$AV$132),"")</f>
        <v>6.6113186839999996</v>
      </c>
      <c r="AW132">
        <f ca="1">IFERROR(IF(0=LEN(ReferenceData!$AW$132),"",ReferenceData!$AW$132),"")</f>
        <v>6.5653031759999996</v>
      </c>
      <c r="AX132">
        <f ca="1">IFERROR(IF(0=LEN(ReferenceData!$AX$132),"",ReferenceData!$AX$132),"")</f>
        <v>6.6130811390000002</v>
      </c>
      <c r="AY132">
        <f ca="1">IFERROR(IF(0=LEN(ReferenceData!$AY$132),"",ReferenceData!$AY$132),"")</f>
        <v>7.17195713</v>
      </c>
      <c r="AZ132">
        <f ca="1">IFERROR(IF(0=LEN(ReferenceData!$AZ$132),"",ReferenceData!$AZ$132),"")</f>
        <v>7.2082287799999998</v>
      </c>
      <c r="BA132">
        <f ca="1">IFERROR(IF(0=LEN(ReferenceData!$BA$132),"",ReferenceData!$BA$132),"")</f>
        <v>7.4996498999999996</v>
      </c>
      <c r="BB132">
        <f ca="1">IFERROR(IF(0=LEN(ReferenceData!$BB$132),"",ReferenceData!$BB$132),"")</f>
        <v>7.5283531149999998</v>
      </c>
      <c r="BC132">
        <f ca="1">IFERROR(IF(0=LEN(ReferenceData!$BC$132),"",ReferenceData!$BC$132),"")</f>
        <v>7.5803529110000003</v>
      </c>
      <c r="BD132">
        <f ca="1">IFERROR(IF(0=LEN(ReferenceData!$BD$132),"",ReferenceData!$BD$132),"")</f>
        <v>7.407654108</v>
      </c>
      <c r="BE132">
        <f ca="1">IFERROR(IF(0=LEN(ReferenceData!$BE$132),"",ReferenceData!$BE$132),"")</f>
        <v>7.364818895</v>
      </c>
      <c r="BF132">
        <f ca="1">IFERROR(IF(0=LEN(ReferenceData!$BF$132),"",ReferenceData!$BF$132),"")</f>
        <v>7.2244784329999998</v>
      </c>
      <c r="BG132">
        <f ca="1">IFERROR(IF(0=LEN(ReferenceData!$BG$132),"",ReferenceData!$BG$132),"")</f>
        <v>6.2000701449999998</v>
      </c>
      <c r="BH132">
        <f ca="1">IFERROR(IF(0=LEN(ReferenceData!$BH$132),"",ReferenceData!$BH$132),"")</f>
        <v>6.8736557879999998</v>
      </c>
      <c r="BI132">
        <f ca="1">IFERROR(IF(0=LEN(ReferenceData!$BI$132),"",ReferenceData!$BI$132),"")</f>
        <v>7.5065786790000004</v>
      </c>
      <c r="BJ132">
        <f ca="1">IFERROR(IF(0=LEN(ReferenceData!$BJ$132),"",ReferenceData!$BJ$132),"")</f>
        <v>7.2896673310000004</v>
      </c>
      <c r="BK132" t="str">
        <f ca="1">IFERROR(IF(0=LEN(ReferenceData!$BK$132),"",ReferenceData!$BK$132),"")</f>
        <v/>
      </c>
      <c r="BL132">
        <f ca="1">IFERROR(IF(0=LEN(ReferenceData!$BL$132),"",ReferenceData!$BL$132),"")</f>
        <v>7.0078499819999998</v>
      </c>
      <c r="BM132">
        <f ca="1">IFERROR(IF(0=LEN(ReferenceData!$BM$132),"",ReferenceData!$BM$132),"")</f>
        <v>7.1787267019999996</v>
      </c>
    </row>
    <row r="133" spans="1:65">
      <c r="A133" t="str">
        <f>IFERROR(IF(0=LEN(ReferenceData!$A$133),"",ReferenceData!$A$133),"")</f>
        <v xml:space="preserve">    Camden Property Trust</v>
      </c>
      <c r="B133" t="str">
        <f>IFERROR(IF(0=LEN(ReferenceData!$B$133),"",ReferenceData!$B$133),"")</f>
        <v>CPT US Equity</v>
      </c>
      <c r="C133" t="str">
        <f>IFERROR(IF(0=LEN(ReferenceData!$C$133),"",ReferenceData!$C$133),"")</f>
        <v>RX902</v>
      </c>
      <c r="D133" t="str">
        <f>IFERROR(IF(0=LEN(ReferenceData!$D$133),"",ReferenceData!$D$133),"")</f>
        <v>ANN_NOI_GR_AST_NET_RTL_DEV_CTD_%</v>
      </c>
      <c r="E133" t="str">
        <f>IFERROR(IF(0=LEN(ReferenceData!$E$133),"",ReferenceData!$E$133),"")</f>
        <v>动态</v>
      </c>
      <c r="F133" t="str">
        <f ca="1">IFERROR(IF(0=LEN(ReferenceData!$F$133),"",ReferenceData!$F$133),"")</f>
        <v/>
      </c>
      <c r="G133">
        <f ca="1">IFERROR(IF(0=LEN(ReferenceData!$G$133),"",ReferenceData!$G$133),"")</f>
        <v>7.1962585380000004</v>
      </c>
      <c r="H133">
        <f ca="1">IFERROR(IF(0=LEN(ReferenceData!$H$133),"",ReferenceData!$H$133),"")</f>
        <v>6.7828832500000003</v>
      </c>
      <c r="I133">
        <f ca="1">IFERROR(IF(0=LEN(ReferenceData!$I$133),"",ReferenceData!$I$133),"")</f>
        <v>7.3202600330000003</v>
      </c>
      <c r="J133">
        <f ca="1">IFERROR(IF(0=LEN(ReferenceData!$J$133),"",ReferenceData!$J$133),"")</f>
        <v>7.1019395540000003</v>
      </c>
      <c r="K133">
        <f ca="1">IFERROR(IF(0=LEN(ReferenceData!$K$133),"",ReferenceData!$K$133),"")</f>
        <v>7.2466967249999996</v>
      </c>
      <c r="L133">
        <f ca="1">IFERROR(IF(0=LEN(ReferenceData!$L$133),"",ReferenceData!$L$133),"")</f>
        <v>7.0656120700000002</v>
      </c>
      <c r="M133">
        <f ca="1">IFERROR(IF(0=LEN(ReferenceData!$M$133),"",ReferenceData!$M$133),"")</f>
        <v>7.0177198389999997</v>
      </c>
      <c r="N133">
        <f ca="1">IFERROR(IF(0=LEN(ReferenceData!$N$133),"",ReferenceData!$N$133),"")</f>
        <v>7.1278256769999997</v>
      </c>
      <c r="O133">
        <f ca="1">IFERROR(IF(0=LEN(ReferenceData!$O$133),"",ReferenceData!$O$133),"")</f>
        <v>7.1589421030000002</v>
      </c>
      <c r="P133">
        <f ca="1">IFERROR(IF(0=LEN(ReferenceData!$P$133),"",ReferenceData!$P$133),"")</f>
        <v>6.7399589630000003</v>
      </c>
      <c r="Q133">
        <f ca="1">IFERROR(IF(0=LEN(ReferenceData!$Q$133),"",ReferenceData!$Q$133),"")</f>
        <v>6.7508122620000002</v>
      </c>
      <c r="R133">
        <f ca="1">IFERROR(IF(0=LEN(ReferenceData!$R$133),"",ReferenceData!$R$133),"")</f>
        <v>6.9590023580000002</v>
      </c>
      <c r="S133">
        <f ca="1">IFERROR(IF(0=LEN(ReferenceData!$S$133),"",ReferenceData!$S$133),"")</f>
        <v>7.1968559560000003</v>
      </c>
      <c r="T133">
        <f ca="1">IFERROR(IF(0=LEN(ReferenceData!$T$133),"",ReferenceData!$T$133),"")</f>
        <v>6.9603241379999998</v>
      </c>
      <c r="U133">
        <f ca="1">IFERROR(IF(0=LEN(ReferenceData!$U$133),"",ReferenceData!$U$133),"")</f>
        <v>7.0302951260000004</v>
      </c>
      <c r="V133">
        <f ca="1">IFERROR(IF(0=LEN(ReferenceData!$V$133),"",ReferenceData!$V$133),"")</f>
        <v>7.1344418489999999</v>
      </c>
      <c r="W133">
        <f ca="1">IFERROR(IF(0=LEN(ReferenceData!$W$133),"",ReferenceData!$W$133),"")</f>
        <v>7.2809597330000004</v>
      </c>
      <c r="X133">
        <f ca="1">IFERROR(IF(0=LEN(ReferenceData!$X$133),"",ReferenceData!$X$133),"")</f>
        <v>6.9472881329999998</v>
      </c>
      <c r="Y133">
        <f ca="1">IFERROR(IF(0=LEN(ReferenceData!$Y$133),"",ReferenceData!$Y$133),"")</f>
        <v>6.9604568469999997</v>
      </c>
      <c r="Z133">
        <f ca="1">IFERROR(IF(0=LEN(ReferenceData!$Z$133),"",ReferenceData!$Z$133),"")</f>
        <v>7.1542408430000002</v>
      </c>
      <c r="AA133">
        <f ca="1">IFERROR(IF(0=LEN(ReferenceData!$AA$133),"",ReferenceData!$AA$133),"")</f>
        <v>6.8514968280000001</v>
      </c>
      <c r="AB133">
        <f ca="1">IFERROR(IF(0=LEN(ReferenceData!$AB$133),"",ReferenceData!$AB$133),"")</f>
        <v>7.1651611050000001</v>
      </c>
      <c r="AC133">
        <f ca="1">IFERROR(IF(0=LEN(ReferenceData!$AC$133),"",ReferenceData!$AC$133),"")</f>
        <v>6.6855674059999997</v>
      </c>
      <c r="AD133">
        <f ca="1">IFERROR(IF(0=LEN(ReferenceData!$AD$133),"",ReferenceData!$AD$133),"")</f>
        <v>6.5740848769999998</v>
      </c>
      <c r="AE133">
        <f ca="1">IFERROR(IF(0=LEN(ReferenceData!$AE$133),"",ReferenceData!$AE$133),"")</f>
        <v>6.6298324290000004</v>
      </c>
      <c r="AF133">
        <f ca="1">IFERROR(IF(0=LEN(ReferenceData!$AF$133),"",ReferenceData!$AF$133),"")</f>
        <v>6.5554370100000003</v>
      </c>
      <c r="AG133">
        <f ca="1">IFERROR(IF(0=LEN(ReferenceData!$AG$133),"",ReferenceData!$AG$133),"")</f>
        <v>6.7018666690000002</v>
      </c>
      <c r="AH133">
        <f ca="1">IFERROR(IF(0=LEN(ReferenceData!$AH$133),"",ReferenceData!$AH$133),"")</f>
        <v>6.4504139460000003</v>
      </c>
      <c r="AI133">
        <f ca="1">IFERROR(IF(0=LEN(ReferenceData!$AI$133),"",ReferenceData!$AI$133),"")</f>
        <v>6.2908948130000004</v>
      </c>
      <c r="AJ133">
        <f ca="1">IFERROR(IF(0=LEN(ReferenceData!$AJ$133),"",ReferenceData!$AJ$133),"")</f>
        <v>6.1754289849999999</v>
      </c>
      <c r="AK133">
        <f ca="1">IFERROR(IF(0=LEN(ReferenceData!$AK$133),"",ReferenceData!$AK$133),"")</f>
        <v>6.1458613069999997</v>
      </c>
      <c r="AL133">
        <f ca="1">IFERROR(IF(0=LEN(ReferenceData!$AL$133),"",ReferenceData!$AL$133),"")</f>
        <v>6.2346893940000001</v>
      </c>
      <c r="AM133">
        <f ca="1">IFERROR(IF(0=LEN(ReferenceData!$AM$133),"",ReferenceData!$AM$133),"")</f>
        <v>6.6024729659999997</v>
      </c>
      <c r="AN133">
        <f ca="1">IFERROR(IF(0=LEN(ReferenceData!$AN$133),"",ReferenceData!$AN$133),"")</f>
        <v>6.2800145990000003</v>
      </c>
      <c r="AO133">
        <f ca="1">IFERROR(IF(0=LEN(ReferenceData!$AO$133),"",ReferenceData!$AO$133),"")</f>
        <v>6.3933492740000002</v>
      </c>
      <c r="AP133">
        <f ca="1">IFERROR(IF(0=LEN(ReferenceData!$AP$133),"",ReferenceData!$AP$133),"")</f>
        <v>6.7538380220000001</v>
      </c>
      <c r="AQ133">
        <f ca="1">IFERROR(IF(0=LEN(ReferenceData!$AQ$133),"",ReferenceData!$AQ$133),"")</f>
        <v>6.9054981529999999</v>
      </c>
      <c r="AR133">
        <f ca="1">IFERROR(IF(0=LEN(ReferenceData!$AR$133),"",ReferenceData!$AR$133),"")</f>
        <v>6.4947700069999996</v>
      </c>
      <c r="AS133">
        <f ca="1">IFERROR(IF(0=LEN(ReferenceData!$AS$133),"",ReferenceData!$AS$133),"")</f>
        <v>6.6800800970000003</v>
      </c>
      <c r="AT133">
        <f ca="1">IFERROR(IF(0=LEN(ReferenceData!$AT$133),"",ReferenceData!$AT$133),"")</f>
        <v>6.5522722580000003</v>
      </c>
      <c r="AU133">
        <f ca="1">IFERROR(IF(0=LEN(ReferenceData!$AU$133),"",ReferenceData!$AU$133),"")</f>
        <v>6.6878121510000001</v>
      </c>
      <c r="AV133">
        <f ca="1">IFERROR(IF(0=LEN(ReferenceData!$AV$133),"",ReferenceData!$AV$133),"")</f>
        <v>6.4221333329999997</v>
      </c>
      <c r="AW133">
        <f ca="1">IFERROR(IF(0=LEN(ReferenceData!$AW$133),"",ReferenceData!$AW$133),"")</f>
        <v>6.6984636340000003</v>
      </c>
      <c r="AX133">
        <f ca="1">IFERROR(IF(0=LEN(ReferenceData!$AX$133),"",ReferenceData!$AX$133),"")</f>
        <v>6.7917096150000003</v>
      </c>
      <c r="AY133">
        <f ca="1">IFERROR(IF(0=LEN(ReferenceData!$AY$133),"",ReferenceData!$AY$133),"")</f>
        <v>6.6197449879999999</v>
      </c>
      <c r="AZ133">
        <f ca="1">IFERROR(IF(0=LEN(ReferenceData!$AZ$133),"",ReferenceData!$AZ$133),"")</f>
        <v>6.8320173410000002</v>
      </c>
      <c r="BA133">
        <f ca="1">IFERROR(IF(0=LEN(ReferenceData!$BA$133),"",ReferenceData!$BA$133),"")</f>
        <v>6.6043755409999996</v>
      </c>
      <c r="BB133">
        <f ca="1">IFERROR(IF(0=LEN(ReferenceData!$BB$133),"",ReferenceData!$BB$133),"")</f>
        <v>6.811391736</v>
      </c>
      <c r="BC133" t="str">
        <f ca="1">IFERROR(IF(0=LEN(ReferenceData!$BC$133),"",ReferenceData!$BC$133),"")</f>
        <v/>
      </c>
      <c r="BD133">
        <f ca="1">IFERROR(IF(0=LEN(ReferenceData!$BD$133),"",ReferenceData!$BD$133),"")</f>
        <v>6.4117920000000004E-3</v>
      </c>
      <c r="BE133" t="str">
        <f ca="1">IFERROR(IF(0=LEN(ReferenceData!$BE$133),"",ReferenceData!$BE$133),"")</f>
        <v/>
      </c>
      <c r="BF133" t="str">
        <f ca="1">IFERROR(IF(0=LEN(ReferenceData!$BF$133),"",ReferenceData!$BF$133),"")</f>
        <v/>
      </c>
      <c r="BG133" t="str">
        <f ca="1">IFERROR(IF(0=LEN(ReferenceData!$BG$133),"",ReferenceData!$BG$133),"")</f>
        <v/>
      </c>
      <c r="BH133" t="str">
        <f ca="1">IFERROR(IF(0=LEN(ReferenceData!$BH$133),"",ReferenceData!$BH$133),"")</f>
        <v/>
      </c>
      <c r="BI133" t="str">
        <f ca="1">IFERROR(IF(0=LEN(ReferenceData!$BI$133),"",ReferenceData!$BI$133),"")</f>
        <v/>
      </c>
      <c r="BJ133">
        <f ca="1">IFERROR(IF(0=LEN(ReferenceData!$BJ$133),"",ReferenceData!$BJ$133),"")</f>
        <v>7.7495577109999996</v>
      </c>
      <c r="BK133" t="str">
        <f ca="1">IFERROR(IF(0=LEN(ReferenceData!$BK$133),"",ReferenceData!$BK$133),"")</f>
        <v/>
      </c>
      <c r="BL133" t="str">
        <f ca="1">IFERROR(IF(0=LEN(ReferenceData!$BL$133),"",ReferenceData!$BL$133),"")</f>
        <v/>
      </c>
      <c r="BM133" t="str">
        <f ca="1">IFERROR(IF(0=LEN(ReferenceData!$BM$133),"",ReferenceData!$BM$133),"")</f>
        <v/>
      </c>
    </row>
    <row r="134" spans="1:65">
      <c r="A134" t="str">
        <f>IFERROR(IF(0=LEN(ReferenceData!$A$134),"",ReferenceData!$A$134),"")</f>
        <v xml:space="preserve">    Education Realty Trust Inc</v>
      </c>
      <c r="B134" t="str">
        <f>IFERROR(IF(0=LEN(ReferenceData!$B$134),"",ReferenceData!$B$134),"")</f>
        <v>EDR US Equity</v>
      </c>
      <c r="C134" t="str">
        <f>IFERROR(IF(0=LEN(ReferenceData!$C$134),"",ReferenceData!$C$134),"")</f>
        <v>RX902</v>
      </c>
      <c r="D134" t="str">
        <f>IFERROR(IF(0=LEN(ReferenceData!$D$134),"",ReferenceData!$D$134),"")</f>
        <v>ANN_NOI_GR_AST_NET_RTL_DEV_CTD_%</v>
      </c>
      <c r="E134" t="str">
        <f>IFERROR(IF(0=LEN(ReferenceData!$E$134),"",ReferenceData!$E$134),"")</f>
        <v>动态</v>
      </c>
      <c r="F134" t="str">
        <f ca="1">IFERROR(IF(0=LEN(ReferenceData!$F$134),"",ReferenceData!$F$134),"")</f>
        <v/>
      </c>
      <c r="G134">
        <f ca="1">IFERROR(IF(0=LEN(ReferenceData!$G$134),"",ReferenceData!$G$134),"")</f>
        <v>7.9224877979999997</v>
      </c>
      <c r="H134">
        <f ca="1">IFERROR(IF(0=LEN(ReferenceData!$H$134),"",ReferenceData!$H$134),"")</f>
        <v>4.6490884220000002</v>
      </c>
      <c r="I134">
        <f ca="1">IFERROR(IF(0=LEN(ReferenceData!$I$134),"",ReferenceData!$I$134),"")</f>
        <v>5.6701830900000001</v>
      </c>
      <c r="J134">
        <f ca="1">IFERROR(IF(0=LEN(ReferenceData!$J$134),"",ReferenceData!$J$134),"")</f>
        <v>7.6339560149999999</v>
      </c>
      <c r="K134">
        <f ca="1">IFERROR(IF(0=LEN(ReferenceData!$K$134),"",ReferenceData!$K$134),"")</f>
        <v>8.3993799340000006</v>
      </c>
      <c r="L134">
        <f ca="1">IFERROR(IF(0=LEN(ReferenceData!$L$134),"",ReferenceData!$L$134),"")</f>
        <v>4.7299506630000003</v>
      </c>
      <c r="M134">
        <f ca="1">IFERROR(IF(0=LEN(ReferenceData!$M$134),"",ReferenceData!$M$134),"")</f>
        <v>5.7611033090000001</v>
      </c>
      <c r="N134">
        <f ca="1">IFERROR(IF(0=LEN(ReferenceData!$N$134),"",ReferenceData!$N$134),"")</f>
        <v>8.2453920719999996</v>
      </c>
      <c r="O134">
        <f ca="1">IFERROR(IF(0=LEN(ReferenceData!$O$134),"",ReferenceData!$O$134),"")</f>
        <v>9.1815942499999998</v>
      </c>
      <c r="P134">
        <f ca="1">IFERROR(IF(0=LEN(ReferenceData!$P$134),"",ReferenceData!$P$134),"")</f>
        <v>4.7056759159999997</v>
      </c>
      <c r="Q134">
        <f ca="1">IFERROR(IF(0=LEN(ReferenceData!$Q$134),"",ReferenceData!$Q$134),"")</f>
        <v>6.5351008129999997</v>
      </c>
      <c r="R134">
        <f ca="1">IFERROR(IF(0=LEN(ReferenceData!$R$134),"",ReferenceData!$R$134),"")</f>
        <v>7.8267841090000001</v>
      </c>
      <c r="S134">
        <f ca="1">IFERROR(IF(0=LEN(ReferenceData!$S$134),"",ReferenceData!$S$134),"")</f>
        <v>8.6240234660000006</v>
      </c>
      <c r="T134">
        <f ca="1">IFERROR(IF(0=LEN(ReferenceData!$T$134),"",ReferenceData!$T$134),"")</f>
        <v>4.5754215340000002</v>
      </c>
      <c r="U134">
        <f ca="1">IFERROR(IF(0=LEN(ReferenceData!$U$134),"",ReferenceData!$U$134),"")</f>
        <v>6.0824214440000004</v>
      </c>
      <c r="V134">
        <f ca="1">IFERROR(IF(0=LEN(ReferenceData!$V$134),"",ReferenceData!$V$134),"")</f>
        <v>7.004580475</v>
      </c>
      <c r="W134">
        <f ca="1">IFERROR(IF(0=LEN(ReferenceData!$W$134),"",ReferenceData!$W$134),"")</f>
        <v>7.5911248540000003</v>
      </c>
      <c r="X134">
        <f ca="1">IFERROR(IF(0=LEN(ReferenceData!$X$134),"",ReferenceData!$X$134),"")</f>
        <v>4.0997298789999999</v>
      </c>
      <c r="Y134">
        <f ca="1">IFERROR(IF(0=LEN(ReferenceData!$Y$134),"",ReferenceData!$Y$134),"")</f>
        <v>5.5910150840000004</v>
      </c>
      <c r="Z134">
        <f ca="1">IFERROR(IF(0=LEN(ReferenceData!$Z$134),"",ReferenceData!$Z$134),"")</f>
        <v>6.4068248280000004</v>
      </c>
      <c r="AA134">
        <f ca="1">IFERROR(IF(0=LEN(ReferenceData!$AA$134),"",ReferenceData!$AA$134),"")</f>
        <v>6.7445366340000001</v>
      </c>
      <c r="AB134">
        <f ca="1">IFERROR(IF(0=LEN(ReferenceData!$AB$134),"",ReferenceData!$AB$134),"")</f>
        <v>3.492795852</v>
      </c>
      <c r="AC134">
        <f ca="1">IFERROR(IF(0=LEN(ReferenceData!$AC$134),"",ReferenceData!$AC$134),"")</f>
        <v>6.2703498370000004</v>
      </c>
      <c r="AD134">
        <f ca="1">IFERROR(IF(0=LEN(ReferenceData!$AD$134),"",ReferenceData!$AD$134),"")</f>
        <v>7.3523366330000002</v>
      </c>
      <c r="AE134">
        <f ca="1">IFERROR(IF(0=LEN(ReferenceData!$AE$134),"",ReferenceData!$AE$134),"")</f>
        <v>7.035729882</v>
      </c>
      <c r="AF134">
        <f ca="1">IFERROR(IF(0=LEN(ReferenceData!$AF$134),"",ReferenceData!$AF$134),"")</f>
        <v>3.6384642490000001</v>
      </c>
      <c r="AG134">
        <f ca="1">IFERROR(IF(0=LEN(ReferenceData!$AG$134),"",ReferenceData!$AG$134),"")</f>
        <v>7.0702415350000001</v>
      </c>
      <c r="AH134">
        <f ca="1">IFERROR(IF(0=LEN(ReferenceData!$AH$134),"",ReferenceData!$AH$134),"")</f>
        <v>7.349320037</v>
      </c>
      <c r="AI134">
        <f ca="1">IFERROR(IF(0=LEN(ReferenceData!$AI$134),"",ReferenceData!$AI$134),"")</f>
        <v>8.5220177009999993</v>
      </c>
      <c r="AJ134">
        <f ca="1">IFERROR(IF(0=LEN(ReferenceData!$AJ$134),"",ReferenceData!$AJ$134),"")</f>
        <v>4.0084908920000002</v>
      </c>
      <c r="AK134">
        <f ca="1">IFERROR(IF(0=LEN(ReferenceData!$AK$134),"",ReferenceData!$AK$134),"")</f>
        <v>7.3845687089999998</v>
      </c>
      <c r="AL134">
        <f ca="1">IFERROR(IF(0=LEN(ReferenceData!$AL$134),"",ReferenceData!$AL$134),"")</f>
        <v>7.4465970009999998</v>
      </c>
      <c r="AM134">
        <f ca="1">IFERROR(IF(0=LEN(ReferenceData!$AM$134),"",ReferenceData!$AM$134),"")</f>
        <v>9.2153619189999993</v>
      </c>
      <c r="AN134">
        <f ca="1">IFERROR(IF(0=LEN(ReferenceData!$AN$134),"",ReferenceData!$AN$134),"")</f>
        <v>3.637312954</v>
      </c>
      <c r="AO134">
        <f ca="1">IFERROR(IF(0=LEN(ReferenceData!$AO$134),"",ReferenceData!$AO$134),"")</f>
        <v>7.4658664359999998</v>
      </c>
      <c r="AP134">
        <f ca="1">IFERROR(IF(0=LEN(ReferenceData!$AP$134),"",ReferenceData!$AP$134),"")</f>
        <v>8.1519369600000005</v>
      </c>
      <c r="AQ134">
        <f ca="1">IFERROR(IF(0=LEN(ReferenceData!$AQ$134),"",ReferenceData!$AQ$134),"")</f>
        <v>8.8317707129999992</v>
      </c>
      <c r="AR134">
        <f ca="1">IFERROR(IF(0=LEN(ReferenceData!$AR$134),"",ReferenceData!$AR$134),"")</f>
        <v>4.315484315</v>
      </c>
      <c r="AS134">
        <f ca="1">IFERROR(IF(0=LEN(ReferenceData!$AS$134),"",ReferenceData!$AS$134),"")</f>
        <v>9.2677879450000002</v>
      </c>
      <c r="AT134">
        <f ca="1">IFERROR(IF(0=LEN(ReferenceData!$AT$134),"",ReferenceData!$AT$134),"")</f>
        <v>8.6397846489999992</v>
      </c>
      <c r="AU134">
        <f ca="1">IFERROR(IF(0=LEN(ReferenceData!$AU$134),"",ReferenceData!$AU$134),"")</f>
        <v>7.6975970780000003</v>
      </c>
      <c r="AV134">
        <f ca="1">IFERROR(IF(0=LEN(ReferenceData!$AV$134),"",ReferenceData!$AV$134),"")</f>
        <v>5.1318251540000004</v>
      </c>
      <c r="AW134">
        <f ca="1">IFERROR(IF(0=LEN(ReferenceData!$AW$134),"",ReferenceData!$AW$134),"")</f>
        <v>7.5983136089999999</v>
      </c>
      <c r="AX134">
        <f ca="1">IFERROR(IF(0=LEN(ReferenceData!$AX$134),"",ReferenceData!$AX$134),"")</f>
        <v>7.5666549620000003</v>
      </c>
      <c r="AY134">
        <f ca="1">IFERROR(IF(0=LEN(ReferenceData!$AY$134),"",ReferenceData!$AY$134),"")</f>
        <v>6.8080098710000003</v>
      </c>
      <c r="AZ134">
        <f ca="1">IFERROR(IF(0=LEN(ReferenceData!$AZ$134),"",ReferenceData!$AZ$134),"")</f>
        <v>4.4671425349999998</v>
      </c>
      <c r="BA134">
        <f ca="1">IFERROR(IF(0=LEN(ReferenceData!$BA$134),"",ReferenceData!$BA$134),"")</f>
        <v>6.7343895969999998</v>
      </c>
      <c r="BB134">
        <f ca="1">IFERROR(IF(0=LEN(ReferenceData!$BB$134),"",ReferenceData!$BB$134),"")</f>
        <v>7.8289421299999997</v>
      </c>
      <c r="BC134" t="str">
        <f ca="1">IFERROR(IF(0=LEN(ReferenceData!$BC$134),"",ReferenceData!$BC$134),"")</f>
        <v/>
      </c>
      <c r="BD134" t="str">
        <f ca="1">IFERROR(IF(0=LEN(ReferenceData!$BD$134),"",ReferenceData!$BD$134),"")</f>
        <v/>
      </c>
      <c r="BE134" t="str">
        <f ca="1">IFERROR(IF(0=LEN(ReferenceData!$BE$134),"",ReferenceData!$BE$134),"")</f>
        <v/>
      </c>
      <c r="BF134" t="str">
        <f ca="1">IFERROR(IF(0=LEN(ReferenceData!$BF$134),"",ReferenceData!$BF$134),"")</f>
        <v/>
      </c>
      <c r="BG134" t="str">
        <f ca="1">IFERROR(IF(0=LEN(ReferenceData!$BG$134),"",ReferenceData!$BG$134),"")</f>
        <v/>
      </c>
      <c r="BH134" t="str">
        <f ca="1">IFERROR(IF(0=LEN(ReferenceData!$BH$134),"",ReferenceData!$BH$134),"")</f>
        <v/>
      </c>
      <c r="BI134" t="str">
        <f ca="1">IFERROR(IF(0=LEN(ReferenceData!$BI$134),"",ReferenceData!$BI$134),"")</f>
        <v/>
      </c>
      <c r="BJ134" t="str">
        <f ca="1">IFERROR(IF(0=LEN(ReferenceData!$BJ$134),"",ReferenceData!$BJ$134),"")</f>
        <v/>
      </c>
      <c r="BK134" t="str">
        <f ca="1">IFERROR(IF(0=LEN(ReferenceData!$BK$134),"",ReferenceData!$BK$134),"")</f>
        <v/>
      </c>
      <c r="BL134" t="str">
        <f ca="1">IFERROR(IF(0=LEN(ReferenceData!$BL$134),"",ReferenceData!$BL$134),"")</f>
        <v/>
      </c>
      <c r="BM134" t="str">
        <f ca="1">IFERROR(IF(0=LEN(ReferenceData!$BM$134),"",ReferenceData!$BM$134),"")</f>
        <v/>
      </c>
    </row>
    <row r="135" spans="1:65">
      <c r="A135" t="str">
        <f>IFERROR(IF(0=LEN(ReferenceData!$A$135),"",ReferenceData!$A$135),"")</f>
        <v xml:space="preserve">    Equity Residential</v>
      </c>
      <c r="B135" t="str">
        <f>IFERROR(IF(0=LEN(ReferenceData!$B$135),"",ReferenceData!$B$135),"")</f>
        <v>EQR US Equity</v>
      </c>
      <c r="C135" t="str">
        <f>IFERROR(IF(0=LEN(ReferenceData!$C$135),"",ReferenceData!$C$135),"")</f>
        <v>RX902</v>
      </c>
      <c r="D135" t="str">
        <f>IFERROR(IF(0=LEN(ReferenceData!$D$135),"",ReferenceData!$D$135),"")</f>
        <v>ANN_NOI_GR_AST_NET_RTL_DEV_CTD_%</v>
      </c>
      <c r="E135" t="str">
        <f>IFERROR(IF(0=LEN(ReferenceData!$E$135),"",ReferenceData!$E$135),"")</f>
        <v>动态</v>
      </c>
      <c r="F135" t="str">
        <f ca="1">IFERROR(IF(0=LEN(ReferenceData!$F$135),"",ReferenceData!$F$135),"")</f>
        <v/>
      </c>
      <c r="G135">
        <f ca="1">IFERROR(IF(0=LEN(ReferenceData!$G$135),"",ReferenceData!$G$135),"")</f>
        <v>6.7597067180000003</v>
      </c>
      <c r="H135">
        <f ca="1">IFERROR(IF(0=LEN(ReferenceData!$H$135),"",ReferenceData!$H$135),"")</f>
        <v>6.5565816750000003</v>
      </c>
      <c r="I135">
        <f ca="1">IFERROR(IF(0=LEN(ReferenceData!$I$135),"",ReferenceData!$I$135),"")</f>
        <v>6.4691899849999999</v>
      </c>
      <c r="J135">
        <f ca="1">IFERROR(IF(0=LEN(ReferenceData!$J$135),"",ReferenceData!$J$135),"")</f>
        <v>6.4218132030000001</v>
      </c>
      <c r="K135">
        <f ca="1">IFERROR(IF(0=LEN(ReferenceData!$K$135),"",ReferenceData!$K$135),"")</f>
        <v>6.594477393</v>
      </c>
      <c r="L135">
        <f ca="1">IFERROR(IF(0=LEN(ReferenceData!$L$135),"",ReferenceData!$L$135),"")</f>
        <v>6.3312737209999996</v>
      </c>
      <c r="M135">
        <f ca="1">IFERROR(IF(0=LEN(ReferenceData!$M$135),"",ReferenceData!$M$135),"")</f>
        <v>6.394364564</v>
      </c>
      <c r="N135">
        <f ca="1">IFERROR(IF(0=LEN(ReferenceData!$N$135),"",ReferenceData!$N$135),"")</f>
        <v>6.4966102030000004</v>
      </c>
      <c r="O135">
        <f ca="1">IFERROR(IF(0=LEN(ReferenceData!$O$135),"",ReferenceData!$O$135),"")</f>
        <v>8.0327383290000007</v>
      </c>
      <c r="P135">
        <f ca="1">IFERROR(IF(0=LEN(ReferenceData!$P$135),"",ReferenceData!$P$135),"")</f>
        <v>6.4719002359999998</v>
      </c>
      <c r="Q135">
        <f ca="1">IFERROR(IF(0=LEN(ReferenceData!$Q$135),"",ReferenceData!$Q$135),"")</f>
        <v>6.3134745329999999</v>
      </c>
      <c r="R135">
        <f ca="1">IFERROR(IF(0=LEN(ReferenceData!$R$135),"",ReferenceData!$R$135),"")</f>
        <v>6.33770729</v>
      </c>
      <c r="S135">
        <f ca="1">IFERROR(IF(0=LEN(ReferenceData!$S$135),"",ReferenceData!$S$135),"")</f>
        <v>6.3779208560000002</v>
      </c>
      <c r="T135">
        <f ca="1">IFERROR(IF(0=LEN(ReferenceData!$T$135),"",ReferenceData!$T$135),"")</f>
        <v>6.2549461810000002</v>
      </c>
      <c r="U135">
        <f ca="1">IFERROR(IF(0=LEN(ReferenceData!$U$135),"",ReferenceData!$U$135),"")</f>
        <v>6.1185490720000004</v>
      </c>
      <c r="V135">
        <f ca="1">IFERROR(IF(0=LEN(ReferenceData!$V$135),"",ReferenceData!$V$135),"")</f>
        <v>5.751950291</v>
      </c>
      <c r="W135">
        <f ca="1">IFERROR(IF(0=LEN(ReferenceData!$W$135),"",ReferenceData!$W$135),"")</f>
        <v>6.0925132949999998</v>
      </c>
      <c r="X135">
        <f ca="1">IFERROR(IF(0=LEN(ReferenceData!$X$135),"",ReferenceData!$X$135),"")</f>
        <v>5.7681393869999997</v>
      </c>
      <c r="Y135">
        <f ca="1">IFERROR(IF(0=LEN(ReferenceData!$Y$135),"",ReferenceData!$Y$135),"")</f>
        <v>5.7406230750000002</v>
      </c>
      <c r="Z135">
        <f ca="1">IFERROR(IF(0=LEN(ReferenceData!$Z$135),"",ReferenceData!$Z$135),"")</f>
        <v>4.4838788669999996</v>
      </c>
      <c r="AA135">
        <f ca="1">IFERROR(IF(0=LEN(ReferenceData!$AA$135),"",ReferenceData!$AA$135),"")</f>
        <v>5.3825537219999999</v>
      </c>
      <c r="AB135">
        <f ca="1">IFERROR(IF(0=LEN(ReferenceData!$AB$135),"",ReferenceData!$AB$135),"")</f>
        <v>5.3905655540000001</v>
      </c>
      <c r="AC135">
        <f ca="1">IFERROR(IF(0=LEN(ReferenceData!$AC$135),"",ReferenceData!$AC$135),"")</f>
        <v>5.329481039</v>
      </c>
      <c r="AD135">
        <f ca="1">IFERROR(IF(0=LEN(ReferenceData!$AD$135),"",ReferenceData!$AD$135),"")</f>
        <v>5.2157021290000003</v>
      </c>
      <c r="AE135">
        <f ca="1">IFERROR(IF(0=LEN(ReferenceData!$AE$135),"",ReferenceData!$AE$135),"")</f>
        <v>6.0669603109999999</v>
      </c>
      <c r="AF135">
        <f ca="1">IFERROR(IF(0=LEN(ReferenceData!$AF$135),"",ReferenceData!$AF$135),"")</f>
        <v>6.2085786260000004</v>
      </c>
      <c r="AG135">
        <f ca="1">IFERROR(IF(0=LEN(ReferenceData!$AG$135),"",ReferenceData!$AG$135),"")</f>
        <v>6.0959759150000004</v>
      </c>
      <c r="AH135">
        <f ca="1">IFERROR(IF(0=LEN(ReferenceData!$AH$135),"",ReferenceData!$AH$135),"")</f>
        <v>5.5608047589999998</v>
      </c>
      <c r="AI135">
        <f ca="1">IFERROR(IF(0=LEN(ReferenceData!$AI$135),"",ReferenceData!$AI$135),"")</f>
        <v>6.1389901770000002</v>
      </c>
      <c r="AJ135">
        <f ca="1">IFERROR(IF(0=LEN(ReferenceData!$AJ$135),"",ReferenceData!$AJ$135),"")</f>
        <v>5.3401878629999997</v>
      </c>
      <c r="AK135">
        <f ca="1">IFERROR(IF(0=LEN(ReferenceData!$AK$135),"",ReferenceData!$AK$135),"")</f>
        <v>5.4960703479999999</v>
      </c>
      <c r="AL135">
        <f ca="1">IFERROR(IF(0=LEN(ReferenceData!$AL$135),"",ReferenceData!$AL$135),"")</f>
        <v>5.4653885349999998</v>
      </c>
      <c r="AM135">
        <f ca="1">IFERROR(IF(0=LEN(ReferenceData!$AM$135),"",ReferenceData!$AM$135),"")</f>
        <v>5.5951468249999996</v>
      </c>
      <c r="AN135">
        <f ca="1">IFERROR(IF(0=LEN(ReferenceData!$AN$135),"",ReferenceData!$AN$135),"")</f>
        <v>5.7615538229999999</v>
      </c>
      <c r="AO135">
        <f ca="1">IFERROR(IF(0=LEN(ReferenceData!$AO$135),"",ReferenceData!$AO$135),"")</f>
        <v>5.916473141</v>
      </c>
      <c r="AP135">
        <f ca="1">IFERROR(IF(0=LEN(ReferenceData!$AP$135),"",ReferenceData!$AP$135),"")</f>
        <v>5.7580753949999997</v>
      </c>
      <c r="AQ135">
        <f ca="1">IFERROR(IF(0=LEN(ReferenceData!$AQ$135),"",ReferenceData!$AQ$135),"")</f>
        <v>5.9071247050000002</v>
      </c>
      <c r="AR135">
        <f ca="1">IFERROR(IF(0=LEN(ReferenceData!$AR$135),"",ReferenceData!$AR$135),"")</f>
        <v>6.1244400179999996</v>
      </c>
      <c r="AS135">
        <f ca="1">IFERROR(IF(0=LEN(ReferenceData!$AS$135),"",ReferenceData!$AS$135),"")</f>
        <v>6.3669786940000002</v>
      </c>
      <c r="AT135">
        <f ca="1">IFERROR(IF(0=LEN(ReferenceData!$AT$135),"",ReferenceData!$AT$135),"")</f>
        <v>6.0862869469999996</v>
      </c>
      <c r="AU135">
        <f ca="1">IFERROR(IF(0=LEN(ReferenceData!$AU$135),"",ReferenceData!$AU$135),"")</f>
        <v>5.6180355549999996</v>
      </c>
      <c r="AV135">
        <f ca="1">IFERROR(IF(0=LEN(ReferenceData!$AV$135),"",ReferenceData!$AV$135),"")</f>
        <v>6.263796857</v>
      </c>
      <c r="AW135">
        <f ca="1">IFERROR(IF(0=LEN(ReferenceData!$AW$135),"",ReferenceData!$AW$135),"")</f>
        <v>6.1842846460000001</v>
      </c>
      <c r="AX135">
        <f ca="1">IFERROR(IF(0=LEN(ReferenceData!$AX$135),"",ReferenceData!$AX$135),"")</f>
        <v>5.8515221229999996</v>
      </c>
      <c r="AY135">
        <f ca="1">IFERROR(IF(0=LEN(ReferenceData!$AY$135),"",ReferenceData!$AY$135),"")</f>
        <v>3.922763658</v>
      </c>
      <c r="AZ135">
        <f ca="1">IFERROR(IF(0=LEN(ReferenceData!$AZ$135),"",ReferenceData!$AZ$135),"")</f>
        <v>6.6787733749999996</v>
      </c>
      <c r="BA135">
        <f ca="1">IFERROR(IF(0=LEN(ReferenceData!$BA$135),"",ReferenceData!$BA$135),"")</f>
        <v>6.7240298540000003</v>
      </c>
      <c r="BB135">
        <f ca="1">IFERROR(IF(0=LEN(ReferenceData!$BB$135),"",ReferenceData!$BB$135),"")</f>
        <v>6.2774998440000003</v>
      </c>
      <c r="BC135">
        <f ca="1">IFERROR(IF(0=LEN(ReferenceData!$BC$135),"",ReferenceData!$BC$135),"")</f>
        <v>5.1717928879999997</v>
      </c>
      <c r="BD135">
        <f ca="1">IFERROR(IF(0=LEN(ReferenceData!$BD$135),"",ReferenceData!$BD$135),"")</f>
        <v>5.824023146</v>
      </c>
      <c r="BE135">
        <f ca="1">IFERROR(IF(0=LEN(ReferenceData!$BE$135),"",ReferenceData!$BE$135),"")</f>
        <v>6.0459935590000002</v>
      </c>
      <c r="BF135">
        <f ca="1">IFERROR(IF(0=LEN(ReferenceData!$BF$135),"",ReferenceData!$BF$135),"")</f>
        <v>6.5248515789999999</v>
      </c>
      <c r="BG135" t="str">
        <f ca="1">IFERROR(IF(0=LEN(ReferenceData!$BG$135),"",ReferenceData!$BG$135),"")</f>
        <v/>
      </c>
      <c r="BH135" t="str">
        <f ca="1">IFERROR(IF(0=LEN(ReferenceData!$BH$135),"",ReferenceData!$BH$135),"")</f>
        <v/>
      </c>
      <c r="BI135">
        <f ca="1">IFERROR(IF(0=LEN(ReferenceData!$BI$135),"",ReferenceData!$BI$135),"")</f>
        <v>7.3870209229999997</v>
      </c>
      <c r="BJ135" t="str">
        <f ca="1">IFERROR(IF(0=LEN(ReferenceData!$BJ$135),"",ReferenceData!$BJ$135),"")</f>
        <v/>
      </c>
      <c r="BK135" t="str">
        <f ca="1">IFERROR(IF(0=LEN(ReferenceData!$BK$135),"",ReferenceData!$BK$135),"")</f>
        <v/>
      </c>
      <c r="BL135" t="str">
        <f ca="1">IFERROR(IF(0=LEN(ReferenceData!$BL$135),"",ReferenceData!$BL$135),"")</f>
        <v/>
      </c>
      <c r="BM135">
        <f ca="1">IFERROR(IF(0=LEN(ReferenceData!$BM$135),"",ReferenceData!$BM$135),"")</f>
        <v>7.1376410100000003</v>
      </c>
    </row>
    <row r="136" spans="1:65">
      <c r="A136" t="str">
        <f>IFERROR(IF(0=LEN(ReferenceData!$A$136),"",ReferenceData!$A$136),"")</f>
        <v xml:space="preserve">    Essex Property Trust Inc</v>
      </c>
      <c r="B136" t="str">
        <f>IFERROR(IF(0=LEN(ReferenceData!$B$136),"",ReferenceData!$B$136),"")</f>
        <v>ESS US Equity</v>
      </c>
      <c r="C136" t="str">
        <f>IFERROR(IF(0=LEN(ReferenceData!$C$136),"",ReferenceData!$C$136),"")</f>
        <v>RX902</v>
      </c>
      <c r="D136" t="str">
        <f>IFERROR(IF(0=LEN(ReferenceData!$D$136),"",ReferenceData!$D$136),"")</f>
        <v>ANN_NOI_GR_AST_NET_RTL_DEV_CTD_%</v>
      </c>
      <c r="E136" t="str">
        <f>IFERROR(IF(0=LEN(ReferenceData!$E$136),"",ReferenceData!$E$136),"")</f>
        <v>动态</v>
      </c>
      <c r="F136" t="str">
        <f ca="1">IFERROR(IF(0=LEN(ReferenceData!$F$136),"",ReferenceData!$F$136),"")</f>
        <v/>
      </c>
      <c r="G136">
        <f ca="1">IFERROR(IF(0=LEN(ReferenceData!$G$136),"",ReferenceData!$G$136),"")</f>
        <v>6.2571884200000003</v>
      </c>
      <c r="H136">
        <f ca="1">IFERROR(IF(0=LEN(ReferenceData!$H$136),"",ReferenceData!$H$136),"")</f>
        <v>6.2737003570000001</v>
      </c>
      <c r="I136">
        <f ca="1">IFERROR(IF(0=LEN(ReferenceData!$I$136),"",ReferenceData!$I$136),"")</f>
        <v>6.3348574329999998</v>
      </c>
      <c r="J136">
        <f ca="1">IFERROR(IF(0=LEN(ReferenceData!$J$136),"",ReferenceData!$J$136),"")</f>
        <v>6.2868705020000002</v>
      </c>
      <c r="K136">
        <f ca="1">IFERROR(IF(0=LEN(ReferenceData!$K$136),"",ReferenceData!$K$136),"")</f>
        <v>6.2745879709999999</v>
      </c>
      <c r="L136">
        <f ca="1">IFERROR(IF(0=LEN(ReferenceData!$L$136),"",ReferenceData!$L$136),"")</f>
        <v>6.304880657</v>
      </c>
      <c r="M136">
        <f ca="1">IFERROR(IF(0=LEN(ReferenceData!$M$136),"",ReferenceData!$M$136),"")</f>
        <v>6.2223232599999996</v>
      </c>
      <c r="N136">
        <f ca="1">IFERROR(IF(0=LEN(ReferenceData!$N$136),"",ReferenceData!$N$136),"")</f>
        <v>6.1671107169999999</v>
      </c>
      <c r="O136">
        <f ca="1">IFERROR(IF(0=LEN(ReferenceData!$O$136),"",ReferenceData!$O$136),"")</f>
        <v>6.2043478719999996</v>
      </c>
      <c r="P136">
        <f ca="1">IFERROR(IF(0=LEN(ReferenceData!$P$136),"",ReferenceData!$P$136),"")</f>
        <v>6.0098115099999996</v>
      </c>
      <c r="Q136">
        <f ca="1">IFERROR(IF(0=LEN(ReferenceData!$Q$136),"",ReferenceData!$Q$136),"")</f>
        <v>5.9120721830000003</v>
      </c>
      <c r="R136">
        <f ca="1">IFERROR(IF(0=LEN(ReferenceData!$R$136),"",ReferenceData!$R$136),"")</f>
        <v>5.6187454299999997</v>
      </c>
      <c r="S136">
        <f ca="1">IFERROR(IF(0=LEN(ReferenceData!$S$136),"",ReferenceData!$S$136),"")</f>
        <v>5.7489960309999999</v>
      </c>
      <c r="T136">
        <f ca="1">IFERROR(IF(0=LEN(ReferenceData!$T$136),"",ReferenceData!$T$136),"")</f>
        <v>5.4945920739999998</v>
      </c>
      <c r="U136">
        <f ca="1">IFERROR(IF(0=LEN(ReferenceData!$U$136),"",ReferenceData!$U$136),"")</f>
        <v>5.4470364580000004</v>
      </c>
      <c r="V136">
        <f ca="1">IFERROR(IF(0=LEN(ReferenceData!$V$136),"",ReferenceData!$V$136),"")</f>
        <v>5.3967847830000002</v>
      </c>
      <c r="W136">
        <f ca="1">IFERROR(IF(0=LEN(ReferenceData!$W$136),"",ReferenceData!$W$136),"")</f>
        <v>6.5147767099999996</v>
      </c>
      <c r="X136">
        <f ca="1">IFERROR(IF(0=LEN(ReferenceData!$X$136),"",ReferenceData!$X$136),"")</f>
        <v>6.4672982530000001</v>
      </c>
      <c r="Y136">
        <f ca="1">IFERROR(IF(0=LEN(ReferenceData!$Y$136),"",ReferenceData!$Y$136),"")</f>
        <v>6.4492723510000003</v>
      </c>
      <c r="Z136">
        <f ca="1">IFERROR(IF(0=LEN(ReferenceData!$Z$136),"",ReferenceData!$Z$136),"")</f>
        <v>6.5131477929999999</v>
      </c>
      <c r="AA136">
        <f ca="1">IFERROR(IF(0=LEN(ReferenceData!$AA$136),"",ReferenceData!$AA$136),"")</f>
        <v>6.3821317850000003</v>
      </c>
      <c r="AB136">
        <f ca="1">IFERROR(IF(0=LEN(ReferenceData!$AB$136),"",ReferenceData!$AB$136),"")</f>
        <v>6.4433312069999999</v>
      </c>
      <c r="AC136">
        <f ca="1">IFERROR(IF(0=LEN(ReferenceData!$AC$136),"",ReferenceData!$AC$136),"")</f>
        <v>6.5497568900000003</v>
      </c>
      <c r="AD136">
        <f ca="1">IFERROR(IF(0=LEN(ReferenceData!$AD$136),"",ReferenceData!$AD$136),"")</f>
        <v>6.844944913</v>
      </c>
      <c r="AE136">
        <f ca="1">IFERROR(IF(0=LEN(ReferenceData!$AE$136),"",ReferenceData!$AE$136),"")</f>
        <v>6.6509716579999996</v>
      </c>
      <c r="AF136">
        <f ca="1">IFERROR(IF(0=LEN(ReferenceData!$AF$136),"",ReferenceData!$AF$136),"")</f>
        <v>6.3803663559999997</v>
      </c>
      <c r="AG136">
        <f ca="1">IFERROR(IF(0=LEN(ReferenceData!$AG$136),"",ReferenceData!$AG$136),"")</f>
        <v>6.4335884090000004</v>
      </c>
      <c r="AH136">
        <f ca="1">IFERROR(IF(0=LEN(ReferenceData!$AH$136),"",ReferenceData!$AH$136),"")</f>
        <v>6.1469115800000003</v>
      </c>
      <c r="AI136">
        <f ca="1">IFERROR(IF(0=LEN(ReferenceData!$AI$136),"",ReferenceData!$AI$136),"")</f>
        <v>6.0120341310000001</v>
      </c>
      <c r="AJ136">
        <f ca="1">IFERROR(IF(0=LEN(ReferenceData!$AJ$136),"",ReferenceData!$AJ$136),"")</f>
        <v>6.0431126969999998</v>
      </c>
      <c r="AK136">
        <f ca="1">IFERROR(IF(0=LEN(ReferenceData!$AK$136),"",ReferenceData!$AK$136),"")</f>
        <v>6.224076825</v>
      </c>
      <c r="AL136">
        <f ca="1">IFERROR(IF(0=LEN(ReferenceData!$AL$136),"",ReferenceData!$AL$136),"")</f>
        <v>6.4091318900000003</v>
      </c>
      <c r="AM136">
        <f ca="1">IFERROR(IF(0=LEN(ReferenceData!$AM$136),"",ReferenceData!$AM$136),"")</f>
        <v>6.3294107720000001</v>
      </c>
      <c r="AN136">
        <f ca="1">IFERROR(IF(0=LEN(ReferenceData!$AN$136),"",ReferenceData!$AN$136),"")</f>
        <v>6.4786131810000001</v>
      </c>
      <c r="AO136">
        <f ca="1">IFERROR(IF(0=LEN(ReferenceData!$AO$136),"",ReferenceData!$AO$136),"")</f>
        <v>6.9829294979999998</v>
      </c>
      <c r="AP136">
        <f ca="1">IFERROR(IF(0=LEN(ReferenceData!$AP$136),"",ReferenceData!$AP$136),"")</f>
        <v>7.3962763689999997</v>
      </c>
      <c r="AQ136">
        <f ca="1">IFERROR(IF(0=LEN(ReferenceData!$AQ$136),"",ReferenceData!$AQ$136),"")</f>
        <v>7.3191866479999996</v>
      </c>
      <c r="AR136">
        <f ca="1">IFERROR(IF(0=LEN(ReferenceData!$AR$136),"",ReferenceData!$AR$136),"")</f>
        <v>7.2048414789999997</v>
      </c>
      <c r="AS136">
        <f ca="1">IFERROR(IF(0=LEN(ReferenceData!$AS$136),"",ReferenceData!$AS$136),"")</f>
        <v>7.3428861489999999</v>
      </c>
      <c r="AT136">
        <f ca="1">IFERROR(IF(0=LEN(ReferenceData!$AT$136),"",ReferenceData!$AT$136),"")</f>
        <v>7.5066627520000004</v>
      </c>
      <c r="AU136">
        <f ca="1">IFERROR(IF(0=LEN(ReferenceData!$AU$136),"",ReferenceData!$AU$136),"")</f>
        <v>7.4040047580000001</v>
      </c>
      <c r="AV136">
        <f ca="1">IFERROR(IF(0=LEN(ReferenceData!$AV$136),"",ReferenceData!$AV$136),"")</f>
        <v>7.3280092330000004</v>
      </c>
      <c r="AW136">
        <f ca="1">IFERROR(IF(0=LEN(ReferenceData!$AW$136),"",ReferenceData!$AW$136),"")</f>
        <v>7.6705037559999996</v>
      </c>
      <c r="AX136">
        <f ca="1">IFERROR(IF(0=LEN(ReferenceData!$AX$136),"",ReferenceData!$AX$136),"")</f>
        <v>7.8462284469999997</v>
      </c>
      <c r="AY136">
        <f ca="1">IFERROR(IF(0=LEN(ReferenceData!$AY$136),"",ReferenceData!$AY$136),"")</f>
        <v>7.887341127</v>
      </c>
      <c r="AZ136">
        <f ca="1">IFERROR(IF(0=LEN(ReferenceData!$AZ$136),"",ReferenceData!$AZ$136),"")</f>
        <v>7.8242951820000002</v>
      </c>
      <c r="BA136">
        <f ca="1">IFERROR(IF(0=LEN(ReferenceData!$BA$136),"",ReferenceData!$BA$136),"")</f>
        <v>8.0002950750000004</v>
      </c>
      <c r="BB136">
        <f ca="1">IFERROR(IF(0=LEN(ReferenceData!$BB$136),"",ReferenceData!$BB$136),"")</f>
        <v>7.8660258330000001</v>
      </c>
      <c r="BC136">
        <f ca="1">IFERROR(IF(0=LEN(ReferenceData!$BC$136),"",ReferenceData!$BC$136),"")</f>
        <v>6.9901452900000001</v>
      </c>
      <c r="BD136">
        <f ca="1">IFERROR(IF(0=LEN(ReferenceData!$BD$136),"",ReferenceData!$BD$136),"")</f>
        <v>8.1542478260000006</v>
      </c>
      <c r="BE136">
        <f ca="1">IFERROR(IF(0=LEN(ReferenceData!$BE$136),"",ReferenceData!$BE$136),"")</f>
        <v>8.0310309699999998</v>
      </c>
      <c r="BF136">
        <f ca="1">IFERROR(IF(0=LEN(ReferenceData!$BF$136),"",ReferenceData!$BF$136),"")</f>
        <v>7.9423771299999997</v>
      </c>
      <c r="BG136" t="str">
        <f ca="1">IFERROR(IF(0=LEN(ReferenceData!$BG$136),"",ReferenceData!$BG$136),"")</f>
        <v/>
      </c>
      <c r="BH136" t="str">
        <f ca="1">IFERROR(IF(0=LEN(ReferenceData!$BH$136),"",ReferenceData!$BH$136),"")</f>
        <v/>
      </c>
      <c r="BI136" t="str">
        <f ca="1">IFERROR(IF(0=LEN(ReferenceData!$BI$136),"",ReferenceData!$BI$136),"")</f>
        <v/>
      </c>
      <c r="BJ136" t="str">
        <f ca="1">IFERROR(IF(0=LEN(ReferenceData!$BJ$136),"",ReferenceData!$BJ$136),"")</f>
        <v/>
      </c>
      <c r="BK136" t="str">
        <f ca="1">IFERROR(IF(0=LEN(ReferenceData!$BK$136),"",ReferenceData!$BK$136),"")</f>
        <v/>
      </c>
      <c r="BL136">
        <f ca="1">IFERROR(IF(0=LEN(ReferenceData!$BL$136),"",ReferenceData!$BL$136),"")</f>
        <v>8.9899121540000007</v>
      </c>
      <c r="BM136" t="str">
        <f ca="1">IFERROR(IF(0=LEN(ReferenceData!$BM$136),"",ReferenceData!$BM$136),"")</f>
        <v/>
      </c>
    </row>
    <row r="137" spans="1:65">
      <c r="A137" t="str">
        <f>IFERROR(IF(0=LEN(ReferenceData!$A$137),"",ReferenceData!$A$137),"")</f>
        <v xml:space="preserve">    Mid-America Apartment Communit</v>
      </c>
      <c r="B137" t="str">
        <f>IFERROR(IF(0=LEN(ReferenceData!$B$137),"",ReferenceData!$B$137),"")</f>
        <v>MAA US Equity</v>
      </c>
      <c r="C137" t="str">
        <f>IFERROR(IF(0=LEN(ReferenceData!$C$137),"",ReferenceData!$C$137),"")</f>
        <v>RX902</v>
      </c>
      <c r="D137" t="str">
        <f>IFERROR(IF(0=LEN(ReferenceData!$D$137),"",ReferenceData!$D$137),"")</f>
        <v>ANN_NOI_GR_AST_NET_RTL_DEV_CTD_%</v>
      </c>
      <c r="E137" t="str">
        <f>IFERROR(IF(0=LEN(ReferenceData!$E$137),"",ReferenceData!$E$137),"")</f>
        <v>动态</v>
      </c>
      <c r="F137" t="str">
        <f ca="1">IFERROR(IF(0=LEN(ReferenceData!$F$137),"",ReferenceData!$F$137),"")</f>
        <v/>
      </c>
      <c r="G137">
        <f ca="1">IFERROR(IF(0=LEN(ReferenceData!$G$137),"",ReferenceData!$G$137),"")</f>
        <v>7.1475839519999997</v>
      </c>
      <c r="H137">
        <f ca="1">IFERROR(IF(0=LEN(ReferenceData!$H$137),"",ReferenceData!$H$137),"")</f>
        <v>6.9738098800000001</v>
      </c>
      <c r="I137">
        <f ca="1">IFERROR(IF(0=LEN(ReferenceData!$I$137),"",ReferenceData!$I$137),"")</f>
        <v>7.076684803</v>
      </c>
      <c r="J137">
        <f ca="1">IFERROR(IF(0=LEN(ReferenceData!$J$137),"",ReferenceData!$J$137),"")</f>
        <v>7.1317818290000004</v>
      </c>
      <c r="K137">
        <f ca="1">IFERROR(IF(0=LEN(ReferenceData!$K$137),"",ReferenceData!$K$137),"")</f>
        <v>5.8617123470000001</v>
      </c>
      <c r="L137">
        <f ca="1">IFERROR(IF(0=LEN(ReferenceData!$L$137),"",ReferenceData!$L$137),"")</f>
        <v>7.9540803840000001</v>
      </c>
      <c r="M137">
        <f ca="1">IFERROR(IF(0=LEN(ReferenceData!$M$137),"",ReferenceData!$M$137),"")</f>
        <v>7.9677845100000004</v>
      </c>
      <c r="N137">
        <f ca="1">IFERROR(IF(0=LEN(ReferenceData!$N$137),"",ReferenceData!$N$137),"")</f>
        <v>8.0235110079999998</v>
      </c>
      <c r="O137">
        <f ca="1">IFERROR(IF(0=LEN(ReferenceData!$O$137),"",ReferenceData!$O$137),"")</f>
        <v>7.9612501529999999</v>
      </c>
      <c r="P137">
        <f ca="1">IFERROR(IF(0=LEN(ReferenceData!$P$137),"",ReferenceData!$P$137),"")</f>
        <v>7.7324050529999999</v>
      </c>
      <c r="Q137">
        <f ca="1">IFERROR(IF(0=LEN(ReferenceData!$Q$137),"",ReferenceData!$Q$137),"")</f>
        <v>7.7258526160000001</v>
      </c>
      <c r="R137">
        <f ca="1">IFERROR(IF(0=LEN(ReferenceData!$R$137),"",ReferenceData!$R$137),"")</f>
        <v>7.8288154680000002</v>
      </c>
      <c r="S137">
        <f ca="1">IFERROR(IF(0=LEN(ReferenceData!$S$137),"",ReferenceData!$S$137),"")</f>
        <v>7.8433012089999998</v>
      </c>
      <c r="T137">
        <f ca="1">IFERROR(IF(0=LEN(ReferenceData!$T$137),"",ReferenceData!$T$137),"")</f>
        <v>7.8318623760000001</v>
      </c>
      <c r="U137">
        <f ca="1">IFERROR(IF(0=LEN(ReferenceData!$U$137),"",ReferenceData!$U$137),"")</f>
        <v>7.3291198660000001</v>
      </c>
      <c r="V137">
        <f ca="1">IFERROR(IF(0=LEN(ReferenceData!$V$137),"",ReferenceData!$V$137),"")</f>
        <v>7.4027884439999996</v>
      </c>
      <c r="W137">
        <f ca="1">IFERROR(IF(0=LEN(ReferenceData!$W$137),"",ReferenceData!$W$137),"")</f>
        <v>7.3313874290000003</v>
      </c>
      <c r="X137">
        <f ca="1">IFERROR(IF(0=LEN(ReferenceData!$X$137),"",ReferenceData!$X$137),"")</f>
        <v>7.9058267620000002</v>
      </c>
      <c r="Y137">
        <f ca="1">IFERROR(IF(0=LEN(ReferenceData!$Y$137),"",ReferenceData!$Y$137),"")</f>
        <v>8.4060341459999997</v>
      </c>
      <c r="Z137">
        <f ca="1">IFERROR(IF(0=LEN(ReferenceData!$Z$137),"",ReferenceData!$Z$137),"")</f>
        <v>8.3882134399999995</v>
      </c>
      <c r="AA137">
        <f ca="1">IFERROR(IF(0=LEN(ReferenceData!$AA$137),"",ReferenceData!$AA$137),"")</f>
        <v>8.4299145259999992</v>
      </c>
      <c r="AB137">
        <f ca="1">IFERROR(IF(0=LEN(ReferenceData!$AB$137),"",ReferenceData!$AB$137),"")</f>
        <v>7.9050431760000004</v>
      </c>
      <c r="AC137">
        <f ca="1">IFERROR(IF(0=LEN(ReferenceData!$AC$137),"",ReferenceData!$AC$137),"")</f>
        <v>8.1775497880000003</v>
      </c>
      <c r="AD137">
        <f ca="1">IFERROR(IF(0=LEN(ReferenceData!$AD$137),"",ReferenceData!$AD$137),"")</f>
        <v>7.9278198440000001</v>
      </c>
      <c r="AE137">
        <f ca="1">IFERROR(IF(0=LEN(ReferenceData!$AE$137),"",ReferenceData!$AE$137),"")</f>
        <v>7.8819263089999998</v>
      </c>
      <c r="AF137">
        <f ca="1">IFERROR(IF(0=LEN(ReferenceData!$AF$137),"",ReferenceData!$AF$137),"")</f>
        <v>7.7304705409999999</v>
      </c>
      <c r="AG137">
        <f ca="1">IFERROR(IF(0=LEN(ReferenceData!$AG$137),"",ReferenceData!$AG$137),"")</f>
        <v>7.7476233179999996</v>
      </c>
      <c r="AH137">
        <f ca="1">IFERROR(IF(0=LEN(ReferenceData!$AH$137),"",ReferenceData!$AH$137),"")</f>
        <v>7.8893882499999997</v>
      </c>
      <c r="AI137">
        <f ca="1">IFERROR(IF(0=LEN(ReferenceData!$AI$137),"",ReferenceData!$AI$137),"")</f>
        <v>7.1849959339999998</v>
      </c>
      <c r="AJ137">
        <f ca="1">IFERROR(IF(0=LEN(ReferenceData!$AJ$137),"",ReferenceData!$AJ$137),"")</f>
        <v>7.3460784610000003</v>
      </c>
      <c r="AK137">
        <f ca="1">IFERROR(IF(0=LEN(ReferenceData!$AK$137),"",ReferenceData!$AK$137),"")</f>
        <v>7.9145615640000004</v>
      </c>
      <c r="AL137">
        <f ca="1">IFERROR(IF(0=LEN(ReferenceData!$AL$137),"",ReferenceData!$AL$137),"")</f>
        <v>8.0584987750000003</v>
      </c>
      <c r="AM137">
        <f ca="1">IFERROR(IF(0=LEN(ReferenceData!$AM$137),"",ReferenceData!$AM$137),"")</f>
        <v>7.9379161580000002</v>
      </c>
      <c r="AN137">
        <f ca="1">IFERROR(IF(0=LEN(ReferenceData!$AN$137),"",ReferenceData!$AN$137),"")</f>
        <v>7.9393950489999998</v>
      </c>
      <c r="AO137">
        <f ca="1">IFERROR(IF(0=LEN(ReferenceData!$AO$137),"",ReferenceData!$AO$137),"")</f>
        <v>8.4582553259999997</v>
      </c>
      <c r="AP137">
        <f ca="1">IFERROR(IF(0=LEN(ReferenceData!$AP$137),"",ReferenceData!$AP$137),"")</f>
        <v>8.3932960219999995</v>
      </c>
      <c r="AQ137">
        <f ca="1">IFERROR(IF(0=LEN(ReferenceData!$AQ$137),"",ReferenceData!$AQ$137),"")</f>
        <v>8.4253532769999993</v>
      </c>
      <c r="AR137">
        <f ca="1">IFERROR(IF(0=LEN(ReferenceData!$AR$137),"",ReferenceData!$AR$137),"")</f>
        <v>8.0677982010000004</v>
      </c>
      <c r="AS137">
        <f ca="1">IFERROR(IF(0=LEN(ReferenceData!$AS$137),"",ReferenceData!$AS$137),"")</f>
        <v>8.6499806509999999</v>
      </c>
      <c r="AT137">
        <f ca="1">IFERROR(IF(0=LEN(ReferenceData!$AT$137),"",ReferenceData!$AT$137),"")</f>
        <v>8.9420379560000001</v>
      </c>
      <c r="AU137">
        <f ca="1">IFERROR(IF(0=LEN(ReferenceData!$AU$137),"",ReferenceData!$AU$137),"")</f>
        <v>8.4305133019999996</v>
      </c>
      <c r="AV137">
        <f ca="1">IFERROR(IF(0=LEN(ReferenceData!$AV$137),"",ReferenceData!$AV$137),"")</f>
        <v>8.8796566010000006</v>
      </c>
      <c r="AW137">
        <f ca="1">IFERROR(IF(0=LEN(ReferenceData!$AW$137),"",ReferenceData!$AW$137),"")</f>
        <v>8.6879829829999995</v>
      </c>
      <c r="AX137" t="str">
        <f ca="1">IFERROR(IF(0=LEN(ReferenceData!$AX$137),"",ReferenceData!$AX$137),"")</f>
        <v/>
      </c>
      <c r="AY137" t="str">
        <f ca="1">IFERROR(IF(0=LEN(ReferenceData!$AY$137),"",ReferenceData!$AY$137),"")</f>
        <v/>
      </c>
      <c r="AZ137" t="str">
        <f ca="1">IFERROR(IF(0=LEN(ReferenceData!$AZ$137),"",ReferenceData!$AZ$137),"")</f>
        <v/>
      </c>
      <c r="BA137" t="str">
        <f ca="1">IFERROR(IF(0=LEN(ReferenceData!$BA$137),"",ReferenceData!$BA$137),"")</f>
        <v/>
      </c>
      <c r="BB137" t="str">
        <f ca="1">IFERROR(IF(0=LEN(ReferenceData!$BB$137),"",ReferenceData!$BB$137),"")</f>
        <v/>
      </c>
      <c r="BC137" t="str">
        <f ca="1">IFERROR(IF(0=LEN(ReferenceData!$BC$137),"",ReferenceData!$BC$137),"")</f>
        <v/>
      </c>
      <c r="BD137" t="str">
        <f ca="1">IFERROR(IF(0=LEN(ReferenceData!$BD$137),"",ReferenceData!$BD$137),"")</f>
        <v/>
      </c>
      <c r="BE137" t="str">
        <f ca="1">IFERROR(IF(0=LEN(ReferenceData!$BE$137),"",ReferenceData!$BE$137),"")</f>
        <v/>
      </c>
      <c r="BF137" t="str">
        <f ca="1">IFERROR(IF(0=LEN(ReferenceData!$BF$137),"",ReferenceData!$BF$137),"")</f>
        <v/>
      </c>
      <c r="BG137" t="str">
        <f ca="1">IFERROR(IF(0=LEN(ReferenceData!$BG$137),"",ReferenceData!$BG$137),"")</f>
        <v/>
      </c>
      <c r="BH137" t="str">
        <f ca="1">IFERROR(IF(0=LEN(ReferenceData!$BH$137),"",ReferenceData!$BH$137),"")</f>
        <v/>
      </c>
      <c r="BI137" t="str">
        <f ca="1">IFERROR(IF(0=LEN(ReferenceData!$BI$137),"",ReferenceData!$BI$137),"")</f>
        <v/>
      </c>
      <c r="BJ137" t="str">
        <f ca="1">IFERROR(IF(0=LEN(ReferenceData!$BJ$137),"",ReferenceData!$BJ$137),"")</f>
        <v/>
      </c>
      <c r="BK137" t="str">
        <f ca="1">IFERROR(IF(0=LEN(ReferenceData!$BK$137),"",ReferenceData!$BK$137),"")</f>
        <v/>
      </c>
      <c r="BL137" t="str">
        <f ca="1">IFERROR(IF(0=LEN(ReferenceData!$BL$137),"",ReferenceData!$BL$137),"")</f>
        <v/>
      </c>
      <c r="BM137" t="str">
        <f ca="1">IFERROR(IF(0=LEN(ReferenceData!$BM$137),"",ReferenceData!$BM$137),"")</f>
        <v/>
      </c>
    </row>
    <row r="138" spans="1:65">
      <c r="A138" t="str">
        <f>IFERROR(IF(0=LEN(ReferenceData!$A$138),"",ReferenceData!$A$138),"")</f>
        <v xml:space="preserve">    UDR Inc</v>
      </c>
      <c r="B138" t="str">
        <f>IFERROR(IF(0=LEN(ReferenceData!$B$138),"",ReferenceData!$B$138),"")</f>
        <v>UDR US Equity</v>
      </c>
      <c r="C138" t="str">
        <f>IFERROR(IF(0=LEN(ReferenceData!$C$138),"",ReferenceData!$C$138),"")</f>
        <v>RX902</v>
      </c>
      <c r="D138" t="str">
        <f>IFERROR(IF(0=LEN(ReferenceData!$D$138),"",ReferenceData!$D$138),"")</f>
        <v>ANN_NOI_GR_AST_NET_RTL_DEV_CTD_%</v>
      </c>
      <c r="E138" t="str">
        <f>IFERROR(IF(0=LEN(ReferenceData!$E$138),"",ReferenceData!$E$138),"")</f>
        <v>动态</v>
      </c>
      <c r="F138" t="str">
        <f ca="1">IFERROR(IF(0=LEN(ReferenceData!$F$138),"",ReferenceData!$F$138),"")</f>
        <v/>
      </c>
      <c r="G138">
        <f ca="1">IFERROR(IF(0=LEN(ReferenceData!$G$138),"",ReferenceData!$G$138),"")</f>
        <v>6.4261362430000002</v>
      </c>
      <c r="H138">
        <f ca="1">IFERROR(IF(0=LEN(ReferenceData!$H$138),"",ReferenceData!$H$138),"")</f>
        <v>6.3554807520000001</v>
      </c>
      <c r="I138">
        <f ca="1">IFERROR(IF(0=LEN(ReferenceData!$I$138),"",ReferenceData!$I$138),"")</f>
        <v>6.4084556990000001</v>
      </c>
      <c r="J138">
        <f ca="1">IFERROR(IF(0=LEN(ReferenceData!$J$138),"",ReferenceData!$J$138),"")</f>
        <v>6.3733098720000001</v>
      </c>
      <c r="K138">
        <f ca="1">IFERROR(IF(0=LEN(ReferenceData!$K$138),"",ReferenceData!$K$138),"")</f>
        <v>6.4617771250000002</v>
      </c>
      <c r="L138">
        <f ca="1">IFERROR(IF(0=LEN(ReferenceData!$L$138),"",ReferenceData!$L$138),"")</f>
        <v>6.489090494</v>
      </c>
      <c r="M138">
        <f ca="1">IFERROR(IF(0=LEN(ReferenceData!$M$138),"",ReferenceData!$M$138),"")</f>
        <v>6.4029589500000004</v>
      </c>
      <c r="N138">
        <f ca="1">IFERROR(IF(0=LEN(ReferenceData!$N$138),"",ReferenceData!$N$138),"")</f>
        <v>6.3463911020000001</v>
      </c>
      <c r="O138">
        <f ca="1">IFERROR(IF(0=LEN(ReferenceData!$O$138),"",ReferenceData!$O$138),"")</f>
        <v>6.4519420580000002</v>
      </c>
      <c r="P138">
        <f ca="1">IFERROR(IF(0=LEN(ReferenceData!$P$138),"",ReferenceData!$P$138),"")</f>
        <v>6.4793854990000002</v>
      </c>
      <c r="Q138">
        <f ca="1">IFERROR(IF(0=LEN(ReferenceData!$Q$138),"",ReferenceData!$Q$138),"")</f>
        <v>6.3355268169999999</v>
      </c>
      <c r="R138">
        <f ca="1">IFERROR(IF(0=LEN(ReferenceData!$R$138),"",ReferenceData!$R$138),"")</f>
        <v>6.1222951649999997</v>
      </c>
      <c r="S138">
        <f ca="1">IFERROR(IF(0=LEN(ReferenceData!$S$138),"",ReferenceData!$S$138),"")</f>
        <v>6.217563556</v>
      </c>
      <c r="T138">
        <f ca="1">IFERROR(IF(0=LEN(ReferenceData!$T$138),"",ReferenceData!$T$138),"")</f>
        <v>6.0286691000000001</v>
      </c>
      <c r="U138">
        <f ca="1">IFERROR(IF(0=LEN(ReferenceData!$U$138),"",ReferenceData!$U$138),"")</f>
        <v>6.0891656010000004</v>
      </c>
      <c r="V138">
        <f ca="1">IFERROR(IF(0=LEN(ReferenceData!$V$138),"",ReferenceData!$V$138),"")</f>
        <v>5.8029403180000001</v>
      </c>
      <c r="W138">
        <f ca="1">IFERROR(IF(0=LEN(ReferenceData!$W$138),"",ReferenceData!$W$138),"")</f>
        <v>5.780472456</v>
      </c>
      <c r="X138">
        <f ca="1">IFERROR(IF(0=LEN(ReferenceData!$X$138),"",ReferenceData!$X$138),"")</f>
        <v>5.7757329019999997</v>
      </c>
      <c r="Y138">
        <f ca="1">IFERROR(IF(0=LEN(ReferenceData!$Y$138),"",ReferenceData!$Y$138),"")</f>
        <v>5.8386107650000003</v>
      </c>
      <c r="Z138">
        <f ca="1">IFERROR(IF(0=LEN(ReferenceData!$Z$138),"",ReferenceData!$Z$138),"")</f>
        <v>5.6339965809999999</v>
      </c>
      <c r="AA138">
        <f ca="1">IFERROR(IF(0=LEN(ReferenceData!$AA$138),"",ReferenceData!$AA$138),"")</f>
        <v>5.6460709429999998</v>
      </c>
      <c r="AB138">
        <f ca="1">IFERROR(IF(0=LEN(ReferenceData!$AB$138),"",ReferenceData!$AB$138),"")</f>
        <v>5.5883973149999999</v>
      </c>
      <c r="AC138">
        <f ca="1">IFERROR(IF(0=LEN(ReferenceData!$AC$138),"",ReferenceData!$AC$138),"")</f>
        <v>5.8983652879999999</v>
      </c>
      <c r="AD138">
        <f ca="1">IFERROR(IF(0=LEN(ReferenceData!$AD$138),"",ReferenceData!$AD$138),"")</f>
        <v>5.9377854360000004</v>
      </c>
      <c r="AE138">
        <f ca="1">IFERROR(IF(0=LEN(ReferenceData!$AE$138),"",ReferenceData!$AE$138),"")</f>
        <v>5.3687624610000002</v>
      </c>
      <c r="AF138">
        <f ca="1">IFERROR(IF(0=LEN(ReferenceData!$AF$138),"",ReferenceData!$AF$138),"")</f>
        <v>5.931490363</v>
      </c>
      <c r="AG138">
        <f ca="1">IFERROR(IF(0=LEN(ReferenceData!$AG$138),"",ReferenceData!$AG$138),"")</f>
        <v>6.1430521579999997</v>
      </c>
      <c r="AH138">
        <f ca="1">IFERROR(IF(0=LEN(ReferenceData!$AH$138),"",ReferenceData!$AH$138),"")</f>
        <v>6.1993786469999996</v>
      </c>
      <c r="AI138">
        <f ca="1">IFERROR(IF(0=LEN(ReferenceData!$AI$138),"",ReferenceData!$AI$138),"")</f>
        <v>6.1250586990000002</v>
      </c>
      <c r="AJ138">
        <f ca="1">IFERROR(IF(0=LEN(ReferenceData!$AJ$138),"",ReferenceData!$AJ$138),"")</f>
        <v>5.855862449</v>
      </c>
      <c r="AK138">
        <f ca="1">IFERROR(IF(0=LEN(ReferenceData!$AK$138),"",ReferenceData!$AK$138),"")</f>
        <v>6.1055332040000003</v>
      </c>
      <c r="AL138">
        <f ca="1">IFERROR(IF(0=LEN(ReferenceData!$AL$138),"",ReferenceData!$AL$138),"")</f>
        <v>6.0041875510000002</v>
      </c>
      <c r="AM138">
        <f ca="1">IFERROR(IF(0=LEN(ReferenceData!$AM$138),"",ReferenceData!$AM$138),"")</f>
        <v>6.1595474960000001</v>
      </c>
      <c r="AN138">
        <f ca="1">IFERROR(IF(0=LEN(ReferenceData!$AN$138),"",ReferenceData!$AN$138),"")</f>
        <v>6.2401302469999997</v>
      </c>
      <c r="AO138">
        <f ca="1">IFERROR(IF(0=LEN(ReferenceData!$AO$138),"",ReferenceData!$AO$138),"")</f>
        <v>6.5565299909999997</v>
      </c>
      <c r="AP138">
        <f ca="1">IFERROR(IF(0=LEN(ReferenceData!$AP$138),"",ReferenceData!$AP$138),"")</f>
        <v>6.2572794739999997</v>
      </c>
      <c r="AQ138">
        <f ca="1">IFERROR(IF(0=LEN(ReferenceData!$AQ$138),"",ReferenceData!$AQ$138),"")</f>
        <v>6.3740371900000001</v>
      </c>
      <c r="AR138">
        <f ca="1">IFERROR(IF(0=LEN(ReferenceData!$AR$138),"",ReferenceData!$AR$138),"")</f>
        <v>6.268964478</v>
      </c>
      <c r="AS138">
        <f ca="1">IFERROR(IF(0=LEN(ReferenceData!$AS$138),"",ReferenceData!$AS$138),"")</f>
        <v>6.2907319160000004</v>
      </c>
      <c r="AT138">
        <f ca="1">IFERROR(IF(0=LEN(ReferenceData!$AT$138),"",ReferenceData!$AT$138),"")</f>
        <v>7.2879214780000003</v>
      </c>
      <c r="AU138">
        <f ca="1">IFERROR(IF(0=LEN(ReferenceData!$AU$138),"",ReferenceData!$AU$138),"")</f>
        <v>8.5909858119999996</v>
      </c>
      <c r="AV138">
        <f ca="1">IFERROR(IF(0=LEN(ReferenceData!$AV$138),"",ReferenceData!$AV$138),"")</f>
        <v>8.0778654999999997</v>
      </c>
      <c r="AW138">
        <f ca="1">IFERROR(IF(0=LEN(ReferenceData!$AW$138),"",ReferenceData!$AW$138),"")</f>
        <v>7.863055889</v>
      </c>
      <c r="AX138">
        <f ca="1">IFERROR(IF(0=LEN(ReferenceData!$AX$138),"",ReferenceData!$AX$138),"")</f>
        <v>7.6704673740000002</v>
      </c>
      <c r="AY138">
        <f ca="1">IFERROR(IF(0=LEN(ReferenceData!$AY$138),"",ReferenceData!$AY$138),"")</f>
        <v>8.6815494789999992</v>
      </c>
      <c r="AZ138">
        <f ca="1">IFERROR(IF(0=LEN(ReferenceData!$AZ$138),"",ReferenceData!$AZ$138),"")</f>
        <v>8.0947696709999999</v>
      </c>
      <c r="BA138">
        <f ca="1">IFERROR(IF(0=LEN(ReferenceData!$BA$138),"",ReferenceData!$BA$138),"")</f>
        <v>7.9184888359999999</v>
      </c>
      <c r="BB138">
        <f ca="1">IFERROR(IF(0=LEN(ReferenceData!$BB$138),"",ReferenceData!$BB$138),"")</f>
        <v>7.2812469679999996</v>
      </c>
      <c r="BC138">
        <f ca="1">IFERROR(IF(0=LEN(ReferenceData!$BC$138),"",ReferenceData!$BC$138),"")</f>
        <v>7.3129225279999996</v>
      </c>
      <c r="BD138">
        <f ca="1">IFERROR(IF(0=LEN(ReferenceData!$BD$138),"",ReferenceData!$BD$138),"")</f>
        <v>7.0125382710000004</v>
      </c>
      <c r="BE138">
        <f ca="1">IFERROR(IF(0=LEN(ReferenceData!$BE$138),"",ReferenceData!$BE$138),"")</f>
        <v>7.3967453360000004</v>
      </c>
      <c r="BF138">
        <f ca="1">IFERROR(IF(0=LEN(ReferenceData!$BF$138),"",ReferenceData!$BF$138),"")</f>
        <v>7.3313928109999997</v>
      </c>
      <c r="BG138">
        <f ca="1">IFERROR(IF(0=LEN(ReferenceData!$BG$138),"",ReferenceData!$BG$138),"")</f>
        <v>8.1082552339999996</v>
      </c>
      <c r="BH138">
        <f ca="1">IFERROR(IF(0=LEN(ReferenceData!$BH$138),"",ReferenceData!$BH$138),"")</f>
        <v>8.0437206959999994</v>
      </c>
      <c r="BI138">
        <f ca="1">IFERROR(IF(0=LEN(ReferenceData!$BI$138),"",ReferenceData!$BI$138),"")</f>
        <v>8.543193939</v>
      </c>
      <c r="BJ138">
        <f ca="1">IFERROR(IF(0=LEN(ReferenceData!$BJ$138),"",ReferenceData!$BJ$138),"")</f>
        <v>8.5527524570000004</v>
      </c>
      <c r="BK138">
        <f ca="1">IFERROR(IF(0=LEN(ReferenceData!$BK$138),"",ReferenceData!$BK$138),"")</f>
        <v>9.3448158570000004</v>
      </c>
      <c r="BL138">
        <f ca="1">IFERROR(IF(0=LEN(ReferenceData!$BL$138),"",ReferenceData!$BL$138),"")</f>
        <v>8.8891679579999998</v>
      </c>
      <c r="BM138">
        <f ca="1">IFERROR(IF(0=LEN(ReferenceData!$BM$138),"",ReferenceData!$BM$138),"")</f>
        <v>8.9680916330000002</v>
      </c>
    </row>
    <row r="139" spans="1:65">
      <c r="A139" t="str">
        <f>IFERROR(IF(0=LEN(ReferenceData!$A$139),"",ReferenceData!$A$139),"")</f>
        <v>EBITDA/房地产资产(%)</v>
      </c>
      <c r="B139" t="str">
        <f>IFERROR(IF(0=LEN(ReferenceData!$B$139),"",ReferenceData!$B$139),"")</f>
        <v/>
      </c>
      <c r="C139" t="str">
        <f>IFERROR(IF(0=LEN(ReferenceData!$C$139),"",ReferenceData!$C$139),"")</f>
        <v/>
      </c>
      <c r="D139" t="str">
        <f>IFERROR(IF(0=LEN(ReferenceData!$D$139),"",ReferenceData!$D$139),"")</f>
        <v/>
      </c>
      <c r="E139" t="str">
        <f>IFERROR(IF(0=LEN(ReferenceData!$E$139),"",ReferenceData!$E$139),"")</f>
        <v>Median</v>
      </c>
      <c r="F139" t="str">
        <f ca="1">IFERROR(IF(0=LEN(ReferenceData!$F$139),"",ReferenceData!$F$139),"")</f>
        <v/>
      </c>
      <c r="G139">
        <f ca="1">IFERROR(IF(0=LEN(ReferenceData!$G$139),"",ReferenceData!$G$139),"")</f>
        <v>2.0244028224999999</v>
      </c>
      <c r="H139">
        <f ca="1">IFERROR(IF(0=LEN(ReferenceData!$H$139),"",ReferenceData!$H$139),"")</f>
        <v>1.939956843</v>
      </c>
      <c r="I139">
        <f ca="1">IFERROR(IF(0=LEN(ReferenceData!$I$139),"",ReferenceData!$I$139),"")</f>
        <v>1.915291442</v>
      </c>
      <c r="J139">
        <f ca="1">IFERROR(IF(0=LEN(ReferenceData!$J$139),"",ReferenceData!$J$139),"")</f>
        <v>1.8430797215000001</v>
      </c>
      <c r="K139">
        <f ca="1">IFERROR(IF(0=LEN(ReferenceData!$K$139),"",ReferenceData!$K$139),"")</f>
        <v>1.9151708269999999</v>
      </c>
      <c r="L139">
        <f ca="1">IFERROR(IF(0=LEN(ReferenceData!$L$139),"",ReferenceData!$L$139),"")</f>
        <v>1.932732082</v>
      </c>
      <c r="M139">
        <f ca="1">IFERROR(IF(0=LEN(ReferenceData!$M$139),"",ReferenceData!$M$139),"")</f>
        <v>1.9010578919999999</v>
      </c>
      <c r="N139">
        <f ca="1">IFERROR(IF(0=LEN(ReferenceData!$N$139),"",ReferenceData!$N$139),"")</f>
        <v>1.9514319090000001</v>
      </c>
      <c r="O139">
        <f ca="1">IFERROR(IF(0=LEN(ReferenceData!$O$139),"",ReferenceData!$O$139),"")</f>
        <v>1.9382226265</v>
      </c>
      <c r="P139">
        <f ca="1">IFERROR(IF(0=LEN(ReferenceData!$P$139),"",ReferenceData!$P$139),"")</f>
        <v>1.7872719239999999</v>
      </c>
      <c r="Q139">
        <f ca="1">IFERROR(IF(0=LEN(ReferenceData!$Q$139),"",ReferenceData!$Q$139),"")</f>
        <v>1.9272754599999999</v>
      </c>
      <c r="R139">
        <f ca="1">IFERROR(IF(0=LEN(ReferenceData!$R$139),"",ReferenceData!$R$139),"")</f>
        <v>1.8376684905</v>
      </c>
      <c r="S139">
        <f ca="1">IFERROR(IF(0=LEN(ReferenceData!$S$139),"",ReferenceData!$S$139),"")</f>
        <v>1.939632998</v>
      </c>
      <c r="T139">
        <f ca="1">IFERROR(IF(0=LEN(ReferenceData!$T$139),"",ReferenceData!$T$139),"")</f>
        <v>1.8390995489999999</v>
      </c>
      <c r="U139">
        <f ca="1">IFERROR(IF(0=LEN(ReferenceData!$U$139),"",ReferenceData!$U$139),"")</f>
        <v>1.757747578</v>
      </c>
      <c r="V139">
        <f ca="1">IFERROR(IF(0=LEN(ReferenceData!$V$139),"",ReferenceData!$V$139),"")</f>
        <v>1.7394047095</v>
      </c>
      <c r="W139">
        <f ca="1">IFERROR(IF(0=LEN(ReferenceData!$W$139),"",ReferenceData!$W$139),"")</f>
        <v>1.7836198225</v>
      </c>
      <c r="X139">
        <f ca="1">IFERROR(IF(0=LEN(ReferenceData!$X$139),"",ReferenceData!$X$139),"")</f>
        <v>1.8152564524999999</v>
      </c>
      <c r="Y139">
        <f ca="1">IFERROR(IF(0=LEN(ReferenceData!$Y$139),"",ReferenceData!$Y$139),"")</f>
        <v>1.7732804959999999</v>
      </c>
      <c r="Z139">
        <f ca="1">IFERROR(IF(0=LEN(ReferenceData!$Z$139),"",ReferenceData!$Z$139),"")</f>
        <v>1.741518589</v>
      </c>
      <c r="AA139">
        <f ca="1">IFERROR(IF(0=LEN(ReferenceData!$AA$139),"",ReferenceData!$AA$139),"")</f>
        <v>1.92418624</v>
      </c>
      <c r="AB139">
        <f ca="1">IFERROR(IF(0=LEN(ReferenceData!$AB$139),"",ReferenceData!$AB$139),"")</f>
        <v>1.8872988625</v>
      </c>
      <c r="AC139">
        <f ca="1">IFERROR(IF(0=LEN(ReferenceData!$AC$139),"",ReferenceData!$AC$139),"")</f>
        <v>1.9298879520000001</v>
      </c>
      <c r="AD139">
        <f ca="1">IFERROR(IF(0=LEN(ReferenceData!$AD$139),"",ReferenceData!$AD$139),"")</f>
        <v>1.931688699</v>
      </c>
      <c r="AE139">
        <f ca="1">IFERROR(IF(0=LEN(ReferenceData!$AE$139),"",ReferenceData!$AE$139),"")</f>
        <v>1.9606149755</v>
      </c>
      <c r="AF139">
        <f ca="1">IFERROR(IF(0=LEN(ReferenceData!$AF$139),"",ReferenceData!$AF$139),"")</f>
        <v>1.7875643450000001</v>
      </c>
      <c r="AG139">
        <f ca="1">IFERROR(IF(0=LEN(ReferenceData!$AG$139),"",ReferenceData!$AG$139),"")</f>
        <v>1.9743607125</v>
      </c>
      <c r="AH139">
        <f ca="1">IFERROR(IF(0=LEN(ReferenceData!$AH$139),"",ReferenceData!$AH$139),"")</f>
        <v>1.8751962289999999</v>
      </c>
      <c r="AI139">
        <f ca="1">IFERROR(IF(0=LEN(ReferenceData!$AI$139),"",ReferenceData!$AI$139),"")</f>
        <v>1.860278882</v>
      </c>
      <c r="AJ139">
        <f ca="1">IFERROR(IF(0=LEN(ReferenceData!$AJ$139),"",ReferenceData!$AJ$139),"")</f>
        <v>1.764704118</v>
      </c>
      <c r="AK139">
        <f ca="1">IFERROR(IF(0=LEN(ReferenceData!$AK$139),"",ReferenceData!$AK$139),"")</f>
        <v>1.8010126339999999</v>
      </c>
      <c r="AL139">
        <f ca="1">IFERROR(IF(0=LEN(ReferenceData!$AL$139),"",ReferenceData!$AL$139),"")</f>
        <v>1.7437275830000001</v>
      </c>
      <c r="AM139">
        <f ca="1">IFERROR(IF(0=LEN(ReferenceData!$AM$139),"",ReferenceData!$AM$139),"")</f>
        <v>1.890031056</v>
      </c>
      <c r="AN139">
        <f ca="1">IFERROR(IF(0=LEN(ReferenceData!$AN$139),"",ReferenceData!$AN$139),"")</f>
        <v>1.6782909770000001</v>
      </c>
      <c r="AO139">
        <f ca="1">IFERROR(IF(0=LEN(ReferenceData!$AO$139),"",ReferenceData!$AO$139),"")</f>
        <v>1.826488578</v>
      </c>
      <c r="AP139">
        <f ca="1">IFERROR(IF(0=LEN(ReferenceData!$AP$139),"",ReferenceData!$AP$139),"")</f>
        <v>1.8279569179999999</v>
      </c>
      <c r="AQ139">
        <f ca="1">IFERROR(IF(0=LEN(ReferenceData!$AQ$139),"",ReferenceData!$AQ$139),"")</f>
        <v>2.0899875344999996</v>
      </c>
      <c r="AR139">
        <f ca="1">IFERROR(IF(0=LEN(ReferenceData!$AR$139),"",ReferenceData!$AR$139),"")</f>
        <v>1.8068318720000001</v>
      </c>
      <c r="AS139">
        <f ca="1">IFERROR(IF(0=LEN(ReferenceData!$AS$139),"",ReferenceData!$AS$139),"")</f>
        <v>1.9252516664999999</v>
      </c>
      <c r="AT139">
        <f ca="1">IFERROR(IF(0=LEN(ReferenceData!$AT$139),"",ReferenceData!$AT$139),"")</f>
        <v>1.921205029</v>
      </c>
      <c r="AU139">
        <f ca="1">IFERROR(IF(0=LEN(ReferenceData!$AU$139),"",ReferenceData!$AU$139),"")</f>
        <v>2.0058066600000002</v>
      </c>
      <c r="AV139">
        <f ca="1">IFERROR(IF(0=LEN(ReferenceData!$AV$139),"",ReferenceData!$AV$139),"")</f>
        <v>1.9188052870000001</v>
      </c>
      <c r="AW139">
        <f ca="1">IFERROR(IF(0=LEN(ReferenceData!$AW$139),"",ReferenceData!$AW$139),"")</f>
        <v>1.8688277520000001</v>
      </c>
      <c r="AX139">
        <f ca="1">IFERROR(IF(0=LEN(ReferenceData!$AX$139),"",ReferenceData!$AX$139),"")</f>
        <v>1.909894703</v>
      </c>
      <c r="AY139">
        <f ca="1">IFERROR(IF(0=LEN(ReferenceData!$AY$139),"",ReferenceData!$AY$139),"")</f>
        <v>1.9327311890000001</v>
      </c>
      <c r="AZ139">
        <f ca="1">IFERROR(IF(0=LEN(ReferenceData!$AZ$139),"",ReferenceData!$AZ$139),"")</f>
        <v>1.987201062</v>
      </c>
      <c r="BA139">
        <f ca="1">IFERROR(IF(0=LEN(ReferenceData!$BA$139),"",ReferenceData!$BA$139),"")</f>
        <v>2.027785819</v>
      </c>
      <c r="BB139">
        <f ca="1">IFERROR(IF(0=LEN(ReferenceData!$BB$139),"",ReferenceData!$BB$139),"")</f>
        <v>2.0549805380000001</v>
      </c>
      <c r="BC139">
        <f ca="1">IFERROR(IF(0=LEN(ReferenceData!$BC$139),"",ReferenceData!$BC$139),"")</f>
        <v>2.15381483</v>
      </c>
      <c r="BD139">
        <f ca="1">IFERROR(IF(0=LEN(ReferenceData!$BD$139),"",ReferenceData!$BD$139),"")</f>
        <v>1.9779998605</v>
      </c>
      <c r="BE139">
        <f ca="1">IFERROR(IF(0=LEN(ReferenceData!$BE$139),"",ReferenceData!$BE$139),"")</f>
        <v>1.9818426309999999</v>
      </c>
      <c r="BF139">
        <f ca="1">IFERROR(IF(0=LEN(ReferenceData!$BF$139),"",ReferenceData!$BF$139),"")</f>
        <v>2.0261164809999999</v>
      </c>
      <c r="BG139">
        <f ca="1">IFERROR(IF(0=LEN(ReferenceData!$BG$139),"",ReferenceData!$BG$139),"")</f>
        <v>2.1825218660000001</v>
      </c>
      <c r="BH139">
        <f ca="1">IFERROR(IF(0=LEN(ReferenceData!$BH$139),"",ReferenceData!$BH$139),"")</f>
        <v>2.1981669199999998</v>
      </c>
      <c r="BI139">
        <f ca="1">IFERROR(IF(0=LEN(ReferenceData!$BI$139),"",ReferenceData!$BI$139),"")</f>
        <v>2.168481409</v>
      </c>
      <c r="BJ139">
        <f ca="1">IFERROR(IF(0=LEN(ReferenceData!$BJ$139),"",ReferenceData!$BJ$139),"")</f>
        <v>2.4179553399999998</v>
      </c>
      <c r="BK139">
        <f ca="1">IFERROR(IF(0=LEN(ReferenceData!$BK$139),"",ReferenceData!$BK$139),"")</f>
        <v>2.3288719679999996</v>
      </c>
      <c r="BL139">
        <f ca="1">IFERROR(IF(0=LEN(ReferenceData!$BL$139),"",ReferenceData!$BL$139),"")</f>
        <v>2.3307758014999997</v>
      </c>
      <c r="BM139">
        <f ca="1">IFERROR(IF(0=LEN(ReferenceData!$BM$139),"",ReferenceData!$BM$139),"")</f>
        <v>2.4160309545</v>
      </c>
    </row>
    <row r="140" spans="1:65">
      <c r="A140" t="str">
        <f>IFERROR(IF(0=LEN(ReferenceData!$A$140),"",ReferenceData!$A$140),"")</f>
        <v xml:space="preserve">    American Campus Communities In</v>
      </c>
      <c r="B140" t="str">
        <f>IFERROR(IF(0=LEN(ReferenceData!$B$140),"",ReferenceData!$B$140),"")</f>
        <v>ACC US Equity</v>
      </c>
      <c r="C140" t="str">
        <f>IFERROR(IF(0=LEN(ReferenceData!$C$140),"",ReferenceData!$C$140),"")</f>
        <v>RR553</v>
      </c>
      <c r="D140" t="str">
        <f>IFERROR(IF(0=LEN(ReferenceData!$D$140),"",ReferenceData!$D$140),"")</f>
        <v>EBITDA_RE_ASSET</v>
      </c>
      <c r="E140" t="str">
        <f>IFERROR(IF(0=LEN(ReferenceData!$E$140),"",ReferenceData!$E$140),"")</f>
        <v>动态</v>
      </c>
      <c r="F140" t="str">
        <f ca="1">IFERROR(IF(0=LEN(ReferenceData!$F$140),"",ReferenceData!$F$140),"")</f>
        <v/>
      </c>
      <c r="G140">
        <f ca="1">IFERROR(IF(0=LEN(ReferenceData!$G$140),"",ReferenceData!$G$140),"")</f>
        <v>1.97021877</v>
      </c>
      <c r="H140">
        <f ca="1">IFERROR(IF(0=LEN(ReferenceData!$H$140),"",ReferenceData!$H$140),"")</f>
        <v>1.240313107</v>
      </c>
      <c r="I140">
        <f ca="1">IFERROR(IF(0=LEN(ReferenceData!$I$140),"",ReferenceData!$I$140),"")</f>
        <v>1.1642154680000001</v>
      </c>
      <c r="J140">
        <f ca="1">IFERROR(IF(0=LEN(ReferenceData!$J$140),"",ReferenceData!$J$140),"")</f>
        <v>1.7968772399999999</v>
      </c>
      <c r="K140">
        <f ca="1">IFERROR(IF(0=LEN(ReferenceData!$K$140),"",ReferenceData!$K$140),"")</f>
        <v>1.871108478</v>
      </c>
      <c r="L140">
        <f ca="1">IFERROR(IF(0=LEN(ReferenceData!$L$140),"",ReferenceData!$L$140),"")</f>
        <v>1.371424236</v>
      </c>
      <c r="M140">
        <f ca="1">IFERROR(IF(0=LEN(ReferenceData!$M$140),"",ReferenceData!$M$140),"")</f>
        <v>1.597647692</v>
      </c>
      <c r="N140">
        <f ca="1">IFERROR(IF(0=LEN(ReferenceData!$N$140),"",ReferenceData!$N$140),"")</f>
        <v>1.885032295</v>
      </c>
      <c r="O140">
        <f ca="1">IFERROR(IF(0=LEN(ReferenceData!$O$140),"",ReferenceData!$O$140),"")</f>
        <v>1.9127506240000001</v>
      </c>
      <c r="P140">
        <f ca="1">IFERROR(IF(0=LEN(ReferenceData!$P$140),"",ReferenceData!$P$140),"")</f>
        <v>1.25773527</v>
      </c>
      <c r="Q140">
        <f ca="1">IFERROR(IF(0=LEN(ReferenceData!$Q$140),"",ReferenceData!$Q$140),"")</f>
        <v>1.5674041729999999</v>
      </c>
      <c r="R140">
        <f ca="1">IFERROR(IF(0=LEN(ReferenceData!$R$140),"",ReferenceData!$R$140),"")</f>
        <v>1.818911728</v>
      </c>
      <c r="S140">
        <f ca="1">IFERROR(IF(0=LEN(ReferenceData!$S$140),"",ReferenceData!$S$140),"")</f>
        <v>1.8804994500000001</v>
      </c>
      <c r="T140">
        <f ca="1">IFERROR(IF(0=LEN(ReferenceData!$T$140),"",ReferenceData!$T$140),"")</f>
        <v>1.298732027</v>
      </c>
      <c r="U140">
        <f ca="1">IFERROR(IF(0=LEN(ReferenceData!$U$140),"",ReferenceData!$U$140),"")</f>
        <v>1.558543338</v>
      </c>
      <c r="V140">
        <f ca="1">IFERROR(IF(0=LEN(ReferenceData!$V$140),"",ReferenceData!$V$140),"")</f>
        <v>1.8073189869999999</v>
      </c>
      <c r="W140">
        <f ca="1">IFERROR(IF(0=LEN(ReferenceData!$W$140),"",ReferenceData!$W$140),"")</f>
        <v>1.823062862</v>
      </c>
      <c r="X140">
        <f ca="1">IFERROR(IF(0=LEN(ReferenceData!$X$140),"",ReferenceData!$X$140),"")</f>
        <v>1.190282965</v>
      </c>
      <c r="Y140">
        <f ca="1">IFERROR(IF(0=LEN(ReferenceData!$Y$140),"",ReferenceData!$Y$140),"")</f>
        <v>1.462909743</v>
      </c>
      <c r="Z140">
        <f ca="1">IFERROR(IF(0=LEN(ReferenceData!$Z$140),"",ReferenceData!$Z$140),"")</f>
        <v>1.7788267550000001</v>
      </c>
      <c r="AA140">
        <f ca="1">IFERROR(IF(0=LEN(ReferenceData!$AA$140),"",ReferenceData!$AA$140),"")</f>
        <v>1.5665318509999999</v>
      </c>
      <c r="AB140">
        <f ca="1">IFERROR(IF(0=LEN(ReferenceData!$AB$140),"",ReferenceData!$AB$140),"")</f>
        <v>1.0407849039999999</v>
      </c>
      <c r="AC140">
        <f ca="1">IFERROR(IF(0=LEN(ReferenceData!$AC$140),"",ReferenceData!$AC$140),"")</f>
        <v>1.5723878870000001</v>
      </c>
      <c r="AD140">
        <f ca="1">IFERROR(IF(0=LEN(ReferenceData!$AD$140),"",ReferenceData!$AD$140),"")</f>
        <v>1.921712278</v>
      </c>
      <c r="AE140">
        <f ca="1">IFERROR(IF(0=LEN(ReferenceData!$AE$140),"",ReferenceData!$AE$140),"")</f>
        <v>1.8902703320000001</v>
      </c>
      <c r="AF140">
        <f ca="1">IFERROR(IF(0=LEN(ReferenceData!$AF$140),"",ReferenceData!$AF$140),"")</f>
        <v>1.47797011</v>
      </c>
      <c r="AG140">
        <f ca="1">IFERROR(IF(0=LEN(ReferenceData!$AG$140),"",ReferenceData!$AG$140),"")</f>
        <v>1.73068014</v>
      </c>
      <c r="AH140">
        <f ca="1">IFERROR(IF(0=LEN(ReferenceData!$AH$140),"",ReferenceData!$AH$140),"")</f>
        <v>2.1637685310000001</v>
      </c>
      <c r="AI140">
        <f ca="1">IFERROR(IF(0=LEN(ReferenceData!$AI$140),"",ReferenceData!$AI$140),"")</f>
        <v>1.9800667380000001</v>
      </c>
      <c r="AJ140">
        <f ca="1">IFERROR(IF(0=LEN(ReferenceData!$AJ$140),"",ReferenceData!$AJ$140),"")</f>
        <v>1.5363279030000001</v>
      </c>
      <c r="AK140">
        <f ca="1">IFERROR(IF(0=LEN(ReferenceData!$AK$140),"",ReferenceData!$AK$140),"")</f>
        <v>1.7114680849999999</v>
      </c>
      <c r="AL140">
        <f ca="1">IFERROR(IF(0=LEN(ReferenceData!$AL$140),"",ReferenceData!$AL$140),"")</f>
        <v>2.0063174670000001</v>
      </c>
      <c r="AM140">
        <f ca="1">IFERROR(IF(0=LEN(ReferenceData!$AM$140),"",ReferenceData!$AM$140),"")</f>
        <v>2.075447214</v>
      </c>
      <c r="AN140">
        <f ca="1">IFERROR(IF(0=LEN(ReferenceData!$AN$140),"",ReferenceData!$AN$140),"")</f>
        <v>1.453451984</v>
      </c>
      <c r="AO140">
        <f ca="1">IFERROR(IF(0=LEN(ReferenceData!$AO$140),"",ReferenceData!$AO$140),"")</f>
        <v>1.498113051</v>
      </c>
      <c r="AP140">
        <f ca="1">IFERROR(IF(0=LEN(ReferenceData!$AP$140),"",ReferenceData!$AP$140),"")</f>
        <v>1.815911906</v>
      </c>
      <c r="AQ140">
        <f ca="1">IFERROR(IF(0=LEN(ReferenceData!$AQ$140),"",ReferenceData!$AQ$140),"")</f>
        <v>1.766518249</v>
      </c>
      <c r="AR140">
        <f ca="1">IFERROR(IF(0=LEN(ReferenceData!$AR$140),"",ReferenceData!$AR$140),"")</f>
        <v>1.1228635849999999</v>
      </c>
      <c r="AS140">
        <f ca="1">IFERROR(IF(0=LEN(ReferenceData!$AS$140),"",ReferenceData!$AS$140),"")</f>
        <v>0.88448783099999995</v>
      </c>
      <c r="AT140">
        <f ca="1">IFERROR(IF(0=LEN(ReferenceData!$AT$140),"",ReferenceData!$AT$140),"")</f>
        <v>1.9402740979999999</v>
      </c>
      <c r="AU140">
        <f ca="1">IFERROR(IF(0=LEN(ReferenceData!$AU$140),"",ReferenceData!$AU$140),"")</f>
        <v>2.163011156</v>
      </c>
      <c r="AV140">
        <f ca="1">IFERROR(IF(0=LEN(ReferenceData!$AV$140),"",ReferenceData!$AV$140),"")</f>
        <v>1.4071189930000001</v>
      </c>
      <c r="AW140">
        <f ca="1">IFERROR(IF(0=LEN(ReferenceData!$AW$140),"",ReferenceData!$AW$140),"")</f>
        <v>1.519357351</v>
      </c>
      <c r="AX140">
        <f ca="1">IFERROR(IF(0=LEN(ReferenceData!$AX$140),"",ReferenceData!$AX$140),"")</f>
        <v>0.96715170399999995</v>
      </c>
      <c r="AY140">
        <f ca="1">IFERROR(IF(0=LEN(ReferenceData!$AY$140),"",ReferenceData!$AY$140),"")</f>
        <v>2.3561231569999999</v>
      </c>
      <c r="AZ140">
        <f ca="1">IFERROR(IF(0=LEN(ReferenceData!$AZ$140),"",ReferenceData!$AZ$140),"")</f>
        <v>1.5867315820000001</v>
      </c>
      <c r="BA140">
        <f ca="1">IFERROR(IF(0=LEN(ReferenceData!$BA$140),"",ReferenceData!$BA$140),"")</f>
        <v>1.5145492739999999</v>
      </c>
      <c r="BB140">
        <f ca="1">IFERROR(IF(0=LEN(ReferenceData!$BB$140),"",ReferenceData!$BB$140),"")</f>
        <v>1.8559337389999999</v>
      </c>
      <c r="BC140">
        <f ca="1">IFERROR(IF(0=LEN(ReferenceData!$BC$140),"",ReferenceData!$BC$140),"")</f>
        <v>2.321355343</v>
      </c>
      <c r="BD140">
        <f ca="1">IFERROR(IF(0=LEN(ReferenceData!$BD$140),"",ReferenceData!$BD$140),"")</f>
        <v>1.6768336109999999</v>
      </c>
      <c r="BE140">
        <f ca="1">IFERROR(IF(0=LEN(ReferenceData!$BE$140),"",ReferenceData!$BE$140),"")</f>
        <v>1.570135823</v>
      </c>
      <c r="BF140">
        <f ca="1">IFERROR(IF(0=LEN(ReferenceData!$BF$140),"",ReferenceData!$BF$140),"")</f>
        <v>2.0955599939999998</v>
      </c>
      <c r="BG140">
        <f ca="1">IFERROR(IF(0=LEN(ReferenceData!$BG$140),"",ReferenceData!$BG$140),"")</f>
        <v>2.6084096400000001</v>
      </c>
      <c r="BH140">
        <f ca="1">IFERROR(IF(0=LEN(ReferenceData!$BH$140),"",ReferenceData!$BH$140),"")</f>
        <v>0.93427097400000003</v>
      </c>
      <c r="BI140">
        <f ca="1">IFERROR(IF(0=LEN(ReferenceData!$BI$140),"",ReferenceData!$BI$140),"")</f>
        <v>1.7625996399999999</v>
      </c>
      <c r="BJ140">
        <f ca="1">IFERROR(IF(0=LEN(ReferenceData!$BJ$140),"",ReferenceData!$BJ$140),"")</f>
        <v>2.695672193</v>
      </c>
      <c r="BK140" t="str">
        <f ca="1">IFERROR(IF(0=LEN(ReferenceData!$BK$140),"",ReferenceData!$BK$140),"")</f>
        <v/>
      </c>
      <c r="BL140" t="str">
        <f ca="1">IFERROR(IF(0=LEN(ReferenceData!$BL$140),"",ReferenceData!$BL$140),"")</f>
        <v/>
      </c>
      <c r="BM140" t="str">
        <f ca="1">IFERROR(IF(0=LEN(ReferenceData!$BM$140),"",ReferenceData!$BM$140),"")</f>
        <v/>
      </c>
    </row>
    <row r="141" spans="1:65">
      <c r="A141" t="str">
        <f>IFERROR(IF(0=LEN(ReferenceData!$A$141),"",ReferenceData!$A$141),"")</f>
        <v xml:space="preserve">    AvalonBay Communities Inc</v>
      </c>
      <c r="B141" t="str">
        <f>IFERROR(IF(0=LEN(ReferenceData!$B$141),"",ReferenceData!$B$141),"")</f>
        <v>AVB US Equity</v>
      </c>
      <c r="C141" t="str">
        <f>IFERROR(IF(0=LEN(ReferenceData!$C$141),"",ReferenceData!$C$141),"")</f>
        <v>RR553</v>
      </c>
      <c r="D141" t="str">
        <f>IFERROR(IF(0=LEN(ReferenceData!$D$141),"",ReferenceData!$D$141),"")</f>
        <v>EBITDA_RE_ASSET</v>
      </c>
      <c r="E141" t="str">
        <f>IFERROR(IF(0=LEN(ReferenceData!$E$141),"",ReferenceData!$E$141),"")</f>
        <v>动态</v>
      </c>
      <c r="F141" t="str">
        <f ca="1">IFERROR(IF(0=LEN(ReferenceData!$F$141),"",ReferenceData!$F$141),"")</f>
        <v/>
      </c>
      <c r="G141">
        <f ca="1">IFERROR(IF(0=LEN(ReferenceData!$G$141),"",ReferenceData!$G$141),"")</f>
        <v>2.1491432929999998</v>
      </c>
      <c r="H141">
        <f ca="1">IFERROR(IF(0=LEN(ReferenceData!$H$141),"",ReferenceData!$H$141),"")</f>
        <v>1.9928209859999999</v>
      </c>
      <c r="I141">
        <f ca="1">IFERROR(IF(0=LEN(ReferenceData!$I$141),"",ReferenceData!$I$141),"")</f>
        <v>1.940158818</v>
      </c>
      <c r="J141">
        <f ca="1">IFERROR(IF(0=LEN(ReferenceData!$J$141),"",ReferenceData!$J$141),"")</f>
        <v>1.8592726589999999</v>
      </c>
      <c r="K141">
        <f ca="1">IFERROR(IF(0=LEN(ReferenceData!$K$141),"",ReferenceData!$K$141),"")</f>
        <v>1.9592331759999999</v>
      </c>
      <c r="L141">
        <f ca="1">IFERROR(IF(0=LEN(ReferenceData!$L$141),"",ReferenceData!$L$141),"")</f>
        <v>1.896682671</v>
      </c>
      <c r="M141">
        <f ca="1">IFERROR(IF(0=LEN(ReferenceData!$M$141),"",ReferenceData!$M$141),"")</f>
        <v>1.905537115</v>
      </c>
      <c r="N141">
        <f ca="1">IFERROR(IF(0=LEN(ReferenceData!$N$141),"",ReferenceData!$N$141),"")</f>
        <v>1.9955988309999999</v>
      </c>
      <c r="O141">
        <f ca="1">IFERROR(IF(0=LEN(ReferenceData!$O$141),"",ReferenceData!$O$141),"")</f>
        <v>1.91383524</v>
      </c>
      <c r="P141">
        <f ca="1">IFERROR(IF(0=LEN(ReferenceData!$P$141),"",ReferenceData!$P$141),"")</f>
        <v>1.784147433</v>
      </c>
      <c r="Q141">
        <f ca="1">IFERROR(IF(0=LEN(ReferenceData!$Q$141),"",ReferenceData!$Q$141),"")</f>
        <v>1.9724355689999999</v>
      </c>
      <c r="R141">
        <f ca="1">IFERROR(IF(0=LEN(ReferenceData!$R$141),"",ReferenceData!$R$141),"")</f>
        <v>1.693488382</v>
      </c>
      <c r="S141">
        <f ca="1">IFERROR(IF(0=LEN(ReferenceData!$S$141),"",ReferenceData!$S$141),"")</f>
        <v>1.827898088</v>
      </c>
      <c r="T141">
        <f ca="1">IFERROR(IF(0=LEN(ReferenceData!$T$141),"",ReferenceData!$T$141),"")</f>
        <v>1.8390995489999999</v>
      </c>
      <c r="U141">
        <f ca="1">IFERROR(IF(0=LEN(ReferenceData!$U$141),"",ReferenceData!$U$141),"")</f>
        <v>1.757747578</v>
      </c>
      <c r="V141">
        <f ca="1">IFERROR(IF(0=LEN(ReferenceData!$V$141),"",ReferenceData!$V$141),"")</f>
        <v>1.668912285</v>
      </c>
      <c r="W141">
        <f ca="1">IFERROR(IF(0=LEN(ReferenceData!$W$141),"",ReferenceData!$W$141),"")</f>
        <v>1.7307241470000001</v>
      </c>
      <c r="X141">
        <f ca="1">IFERROR(IF(0=LEN(ReferenceData!$X$141),"",ReferenceData!$X$141),"")</f>
        <v>1.612331899</v>
      </c>
      <c r="Y141">
        <f ca="1">IFERROR(IF(0=LEN(ReferenceData!$Y$141),"",ReferenceData!$Y$141),"")</f>
        <v>1.679594762</v>
      </c>
      <c r="Z141">
        <f ca="1">IFERROR(IF(0=LEN(ReferenceData!$Z$141),"",ReferenceData!$Z$141),"")</f>
        <v>1.055173642</v>
      </c>
      <c r="AA141">
        <f ca="1">IFERROR(IF(0=LEN(ReferenceData!$AA$141),"",ReferenceData!$AA$141),"")</f>
        <v>1.8855120379999999</v>
      </c>
      <c r="AB141">
        <f ca="1">IFERROR(IF(0=LEN(ReferenceData!$AB$141),"",ReferenceData!$AB$141),"")</f>
        <v>2.081839569</v>
      </c>
      <c r="AC141">
        <f ca="1">IFERROR(IF(0=LEN(ReferenceData!$AC$141),"",ReferenceData!$AC$141),"")</f>
        <v>2.0055744369999999</v>
      </c>
      <c r="AD141">
        <f ca="1">IFERROR(IF(0=LEN(ReferenceData!$AD$141),"",ReferenceData!$AD$141),"")</f>
        <v>1.9416651199999999</v>
      </c>
      <c r="AE141">
        <f ca="1">IFERROR(IF(0=LEN(ReferenceData!$AE$141),"",ReferenceData!$AE$141),"")</f>
        <v>1.8938936070000001</v>
      </c>
      <c r="AF141">
        <f ca="1">IFERROR(IF(0=LEN(ReferenceData!$AF$141),"",ReferenceData!$AF$141),"")</f>
        <v>1.7956392940000001</v>
      </c>
      <c r="AG141">
        <f ca="1">IFERROR(IF(0=LEN(ReferenceData!$AG$141),"",ReferenceData!$AG$141),"")</f>
        <v>1.990348011</v>
      </c>
      <c r="AH141">
        <f ca="1">IFERROR(IF(0=LEN(ReferenceData!$AH$141),"",ReferenceData!$AH$141),"")</f>
        <v>1.871659293</v>
      </c>
      <c r="AI141">
        <f ca="1">IFERROR(IF(0=LEN(ReferenceData!$AI$141),"",ReferenceData!$AI$141),"")</f>
        <v>1.917189638</v>
      </c>
      <c r="AJ141">
        <f ca="1">IFERROR(IF(0=LEN(ReferenceData!$AJ$141),"",ReferenceData!$AJ$141),"")</f>
        <v>1.8309764829999999</v>
      </c>
      <c r="AK141">
        <f ca="1">IFERROR(IF(0=LEN(ReferenceData!$AK$141),"",ReferenceData!$AK$141),"")</f>
        <v>1.8899878130000001</v>
      </c>
      <c r="AL141">
        <f ca="1">IFERROR(IF(0=LEN(ReferenceData!$AL$141),"",ReferenceData!$AL$141),"")</f>
        <v>1.7083207490000001</v>
      </c>
      <c r="AM141">
        <f ca="1">IFERROR(IF(0=LEN(ReferenceData!$AM$141),"",ReferenceData!$AM$141),"")</f>
        <v>1.6318336689999999</v>
      </c>
      <c r="AN141">
        <f ca="1">IFERROR(IF(0=LEN(ReferenceData!$AN$141),"",ReferenceData!$AN$141),"")</f>
        <v>1.6782909770000001</v>
      </c>
      <c r="AO141">
        <f ca="1">IFERROR(IF(0=LEN(ReferenceData!$AO$141),"",ReferenceData!$AO$141),"")</f>
        <v>1.535601142</v>
      </c>
      <c r="AP141">
        <f ca="1">IFERROR(IF(0=LEN(ReferenceData!$AP$141),"",ReferenceData!$AP$141),"")</f>
        <v>1.7487380450000001</v>
      </c>
      <c r="AQ141">
        <f ca="1">IFERROR(IF(0=LEN(ReferenceData!$AQ$141),"",ReferenceData!$AQ$141),"")</f>
        <v>0.73707248299999995</v>
      </c>
      <c r="AR141">
        <f ca="1">IFERROR(IF(0=LEN(ReferenceData!$AR$141),"",ReferenceData!$AR$141),"")</f>
        <v>2.7886679729999999</v>
      </c>
      <c r="AS141">
        <f ca="1">IFERROR(IF(0=LEN(ReferenceData!$AS$141),"",ReferenceData!$AS$141),"")</f>
        <v>1.8660406439999999</v>
      </c>
      <c r="AT141">
        <f ca="1">IFERROR(IF(0=LEN(ReferenceData!$AT$141),"",ReferenceData!$AT$141),"")</f>
        <v>1.8433925600000001</v>
      </c>
      <c r="AU141">
        <f ca="1">IFERROR(IF(0=LEN(ReferenceData!$AU$141),"",ReferenceData!$AU$141),"")</f>
        <v>1.871153133</v>
      </c>
      <c r="AV141">
        <f ca="1">IFERROR(IF(0=LEN(ReferenceData!$AV$141),"",ReferenceData!$AV$141),"")</f>
        <v>1.9188052870000001</v>
      </c>
      <c r="AW141">
        <f ca="1">IFERROR(IF(0=LEN(ReferenceData!$AW$141),"",ReferenceData!$AW$141),"")</f>
        <v>1.8688277520000001</v>
      </c>
      <c r="AX141">
        <f ca="1">IFERROR(IF(0=LEN(ReferenceData!$AX$141),"",ReferenceData!$AX$141),"")</f>
        <v>2.0191070949999999</v>
      </c>
      <c r="AY141">
        <f ca="1">IFERROR(IF(0=LEN(ReferenceData!$AY$141),"",ReferenceData!$AY$141),"")</f>
        <v>1.9989965940000001</v>
      </c>
      <c r="AZ141">
        <f ca="1">IFERROR(IF(0=LEN(ReferenceData!$AZ$141),"",ReferenceData!$AZ$141),"")</f>
        <v>2.080736243</v>
      </c>
      <c r="BA141">
        <f ca="1">IFERROR(IF(0=LEN(ReferenceData!$BA$141),"",ReferenceData!$BA$141),"")</f>
        <v>2.027785819</v>
      </c>
      <c r="BB141">
        <f ca="1">IFERROR(IF(0=LEN(ReferenceData!$BB$141),"",ReferenceData!$BB$141),"")</f>
        <v>2.120897432</v>
      </c>
      <c r="BC141">
        <f ca="1">IFERROR(IF(0=LEN(ReferenceData!$BC$141),"",ReferenceData!$BC$141),"")</f>
        <v>1.9862743169999999</v>
      </c>
      <c r="BD141">
        <f ca="1">IFERROR(IF(0=LEN(ReferenceData!$BD$141),"",ReferenceData!$BD$141),"")</f>
        <v>2.0268807529999999</v>
      </c>
      <c r="BE141">
        <f ca="1">IFERROR(IF(0=LEN(ReferenceData!$BE$141),"",ReferenceData!$BE$141),"")</f>
        <v>2.01092352</v>
      </c>
      <c r="BF141">
        <f ca="1">IFERROR(IF(0=LEN(ReferenceData!$BF$141),"",ReferenceData!$BF$141),"")</f>
        <v>1.9768893089999999</v>
      </c>
      <c r="BG141">
        <f ca="1">IFERROR(IF(0=LEN(ReferenceData!$BG$141),"",ReferenceData!$BG$141),"")</f>
        <v>1.733674798</v>
      </c>
      <c r="BH141">
        <f ca="1">IFERROR(IF(0=LEN(ReferenceData!$BH$141),"",ReferenceData!$BH$141),"")</f>
        <v>1.966879804</v>
      </c>
      <c r="BI141">
        <f ca="1">IFERROR(IF(0=LEN(ReferenceData!$BI$141),"",ReferenceData!$BI$141),"")</f>
        <v>1.9542590520000001</v>
      </c>
      <c r="BJ141">
        <f ca="1">IFERROR(IF(0=LEN(ReferenceData!$BJ$141),"",ReferenceData!$BJ$141),"")</f>
        <v>1.9079230279999999</v>
      </c>
      <c r="BK141">
        <f ca="1">IFERROR(IF(0=LEN(ReferenceData!$BK$141),"",ReferenceData!$BK$141),"")</f>
        <v>1.9072519269999999</v>
      </c>
      <c r="BL141">
        <f ca="1">IFERROR(IF(0=LEN(ReferenceData!$BL$141),"",ReferenceData!$BL$141),"")</f>
        <v>1.894632111</v>
      </c>
      <c r="BM141">
        <f ca="1">IFERROR(IF(0=LEN(ReferenceData!$BM$141),"",ReferenceData!$BM$141),"")</f>
        <v>1.900919231</v>
      </c>
    </row>
    <row r="142" spans="1:65">
      <c r="A142" t="str">
        <f>IFERROR(IF(0=LEN(ReferenceData!$A$142),"",ReferenceData!$A$142),"")</f>
        <v xml:space="preserve">    Camden Property Trust</v>
      </c>
      <c r="B142" t="str">
        <f>IFERROR(IF(0=LEN(ReferenceData!$B$142),"",ReferenceData!$B$142),"")</f>
        <v>CPT US Equity</v>
      </c>
      <c r="C142" t="str">
        <f>IFERROR(IF(0=LEN(ReferenceData!$C$142),"",ReferenceData!$C$142),"")</f>
        <v>RR553</v>
      </c>
      <c r="D142" t="str">
        <f>IFERROR(IF(0=LEN(ReferenceData!$D$142),"",ReferenceData!$D$142),"")</f>
        <v>EBITDA_RE_ASSET</v>
      </c>
      <c r="E142" t="str">
        <f>IFERROR(IF(0=LEN(ReferenceData!$E$142),"",ReferenceData!$E$142),"")</f>
        <v>动态</v>
      </c>
      <c r="F142" t="str">
        <f ca="1">IFERROR(IF(0=LEN(ReferenceData!$F$142),"",ReferenceData!$F$142),"")</f>
        <v/>
      </c>
      <c r="G142">
        <f ca="1">IFERROR(IF(0=LEN(ReferenceData!$G$142),"",ReferenceData!$G$142),"")</f>
        <v>2.3579210069999998</v>
      </c>
      <c r="H142">
        <f ca="1">IFERROR(IF(0=LEN(ReferenceData!$H$142),"",ReferenceData!$H$142),"")</f>
        <v>2.190109299</v>
      </c>
      <c r="I142">
        <f ca="1">IFERROR(IF(0=LEN(ReferenceData!$I$142),"",ReferenceData!$I$142),"")</f>
        <v>2.2341746339999999</v>
      </c>
      <c r="J142">
        <f ca="1">IFERROR(IF(0=LEN(ReferenceData!$J$142),"",ReferenceData!$J$142),"")</f>
        <v>2.1963722529999998</v>
      </c>
      <c r="K142">
        <f ca="1">IFERROR(IF(0=LEN(ReferenceData!$K$142),"",ReferenceData!$K$142),"")</f>
        <v>2.2761683220000002</v>
      </c>
      <c r="L142">
        <f ca="1">IFERROR(IF(0=LEN(ReferenceData!$L$142),"",ReferenceData!$L$142),"")</f>
        <v>2.2589882970000001</v>
      </c>
      <c r="M142">
        <f ca="1">IFERROR(IF(0=LEN(ReferenceData!$M$142),"",ReferenceData!$M$142),"")</f>
        <v>2.2252608010000001</v>
      </c>
      <c r="N142">
        <f ca="1">IFERROR(IF(0=LEN(ReferenceData!$N$142),"",ReferenceData!$N$142),"")</f>
        <v>2.154190303</v>
      </c>
      <c r="O142">
        <f ca="1">IFERROR(IF(0=LEN(ReferenceData!$O$142),"",ReferenceData!$O$142),"")</f>
        <v>1.9626100129999999</v>
      </c>
      <c r="P142">
        <f ca="1">IFERROR(IF(0=LEN(ReferenceData!$P$142),"",ReferenceData!$P$142),"")</f>
        <v>2.191746486</v>
      </c>
      <c r="Q142">
        <f ca="1">IFERROR(IF(0=LEN(ReferenceData!$Q$142),"",ReferenceData!$Q$142),"")</f>
        <v>1.922321215</v>
      </c>
      <c r="R142">
        <f ca="1">IFERROR(IF(0=LEN(ReferenceData!$R$142),"",ReferenceData!$R$142),"")</f>
        <v>2.1183736039999999</v>
      </c>
      <c r="S142">
        <f ca="1">IFERROR(IF(0=LEN(ReferenceData!$S$142),"",ReferenceData!$S$142),"")</f>
        <v>2.0071399560000001</v>
      </c>
      <c r="T142">
        <f ca="1">IFERROR(IF(0=LEN(ReferenceData!$T$142),"",ReferenceData!$T$142),"")</f>
        <v>2.1013063500000002</v>
      </c>
      <c r="U142">
        <f ca="1">IFERROR(IF(0=LEN(ReferenceData!$U$142),"",ReferenceData!$U$142),"")</f>
        <v>2.0606095280000001</v>
      </c>
      <c r="V142">
        <f ca="1">IFERROR(IF(0=LEN(ReferenceData!$V$142),"",ReferenceData!$V$142),"")</f>
        <v>2.1360453700000002</v>
      </c>
      <c r="W142">
        <f ca="1">IFERROR(IF(0=LEN(ReferenceData!$W$142),"",ReferenceData!$W$142),"")</f>
        <v>2.1901893079999999</v>
      </c>
      <c r="X142">
        <f ca="1">IFERROR(IF(0=LEN(ReferenceData!$X$142),"",ReferenceData!$X$142),"")</f>
        <v>2.1139127329999998</v>
      </c>
      <c r="Y142">
        <f ca="1">IFERROR(IF(0=LEN(ReferenceData!$Y$142),"",ReferenceData!$Y$142),"")</f>
        <v>2.0477553570000002</v>
      </c>
      <c r="Z142">
        <f ca="1">IFERROR(IF(0=LEN(ReferenceData!$Z$142),"",ReferenceData!$Z$142),"")</f>
        <v>2.0798736099999999</v>
      </c>
      <c r="AA142">
        <f ca="1">IFERROR(IF(0=LEN(ReferenceData!$AA$142),"",ReferenceData!$AA$142),"")</f>
        <v>2.0456490340000002</v>
      </c>
      <c r="AB142">
        <f ca="1">IFERROR(IF(0=LEN(ReferenceData!$AB$142),"",ReferenceData!$AB$142),"")</f>
        <v>2.0509540830000001</v>
      </c>
      <c r="AC142">
        <f ca="1">IFERROR(IF(0=LEN(ReferenceData!$AC$142),"",ReferenceData!$AC$142),"")</f>
        <v>2.0340633609999998</v>
      </c>
      <c r="AD142">
        <f ca="1">IFERROR(IF(0=LEN(ReferenceData!$AD$142),"",ReferenceData!$AD$142),"")</f>
        <v>1.9840817129999999</v>
      </c>
      <c r="AE142">
        <f ca="1">IFERROR(IF(0=LEN(ReferenceData!$AE$142),"",ReferenceData!$AE$142),"")</f>
        <v>2.0312822609999999</v>
      </c>
      <c r="AF142">
        <f ca="1">IFERROR(IF(0=LEN(ReferenceData!$AF$142),"",ReferenceData!$AF$142),"")</f>
        <v>1.9820954200000001</v>
      </c>
      <c r="AG142">
        <f ca="1">IFERROR(IF(0=LEN(ReferenceData!$AG$142),"",ReferenceData!$AG$142),"")</f>
        <v>1.9700173860000001</v>
      </c>
      <c r="AH142">
        <f ca="1">IFERROR(IF(0=LEN(ReferenceData!$AH$142),"",ReferenceData!$AH$142),"")</f>
        <v>1.8751962289999999</v>
      </c>
      <c r="AI142">
        <f ca="1">IFERROR(IF(0=LEN(ReferenceData!$AI$142),"",ReferenceData!$AI$142),"")</f>
        <v>1.860278882</v>
      </c>
      <c r="AJ142">
        <f ca="1">IFERROR(IF(0=LEN(ReferenceData!$AJ$142),"",ReferenceData!$AJ$142),"")</f>
        <v>1.8217992430000001</v>
      </c>
      <c r="AK142">
        <f ca="1">IFERROR(IF(0=LEN(ReferenceData!$AK$142),"",ReferenceData!$AK$142),"")</f>
        <v>1.8010126339999999</v>
      </c>
      <c r="AL142">
        <f ca="1">IFERROR(IF(0=LEN(ReferenceData!$AL$142),"",ReferenceData!$AL$142),"")</f>
        <v>1.7437275830000001</v>
      </c>
      <c r="AM142">
        <f ca="1">IFERROR(IF(0=LEN(ReferenceData!$AM$142),"",ReferenceData!$AM$142),"")</f>
        <v>-0.101136789</v>
      </c>
      <c r="AN142">
        <f ca="1">IFERROR(IF(0=LEN(ReferenceData!$AN$142),"",ReferenceData!$AN$142),"")</f>
        <v>1.772232714</v>
      </c>
      <c r="AO142">
        <f ca="1">IFERROR(IF(0=LEN(ReferenceData!$AO$142),"",ReferenceData!$AO$142),"")</f>
        <v>1.826488578</v>
      </c>
      <c r="AP142">
        <f ca="1">IFERROR(IF(0=LEN(ReferenceData!$AP$142),"",ReferenceData!$AP$142),"")</f>
        <v>1.8279569179999999</v>
      </c>
      <c r="AQ142">
        <f ca="1">IFERROR(IF(0=LEN(ReferenceData!$AQ$142),"",ReferenceData!$AQ$142),"")</f>
        <v>1.8080934369999999</v>
      </c>
      <c r="AR142">
        <f ca="1">IFERROR(IF(0=LEN(ReferenceData!$AR$142),"",ReferenceData!$AR$142),"")</f>
        <v>1.7485085520000001</v>
      </c>
      <c r="AS142">
        <f ca="1">IFERROR(IF(0=LEN(ReferenceData!$AS$142),"",ReferenceData!$AS$142),"")</f>
        <v>1.7659830439999999</v>
      </c>
      <c r="AT142">
        <f ca="1">IFERROR(IF(0=LEN(ReferenceData!$AT$142),"",ReferenceData!$AT$142),"")</f>
        <v>1.7437217819999999</v>
      </c>
      <c r="AU142">
        <f ca="1">IFERROR(IF(0=LEN(ReferenceData!$AU$142),"",ReferenceData!$AU$142),"")</f>
        <v>1.2971559239999999</v>
      </c>
      <c r="AV142">
        <f ca="1">IFERROR(IF(0=LEN(ReferenceData!$AV$142),"",ReferenceData!$AV$142),"")</f>
        <v>1.8010903170000001</v>
      </c>
      <c r="AW142">
        <f ca="1">IFERROR(IF(0=LEN(ReferenceData!$AW$142),"",ReferenceData!$AW$142),"")</f>
        <v>1.853883146</v>
      </c>
      <c r="AX142">
        <f ca="1">IFERROR(IF(0=LEN(ReferenceData!$AX$142),"",ReferenceData!$AX$142),"")</f>
        <v>1.855356453</v>
      </c>
      <c r="AY142">
        <f ca="1">IFERROR(IF(0=LEN(ReferenceData!$AY$142),"",ReferenceData!$AY$142),"")</f>
        <v>1.8664657840000001</v>
      </c>
      <c r="AZ142">
        <f ca="1">IFERROR(IF(0=LEN(ReferenceData!$AZ$142),"",ReferenceData!$AZ$142),"")</f>
        <v>1.987201062</v>
      </c>
      <c r="BA142">
        <f ca="1">IFERROR(IF(0=LEN(ReferenceData!$BA$142),"",ReferenceData!$BA$142),"")</f>
        <v>1.8822244969999999</v>
      </c>
      <c r="BB142">
        <f ca="1">IFERROR(IF(0=LEN(ReferenceData!$BB$142),"",ReferenceData!$BB$142),"")</f>
        <v>1.8766605700000001</v>
      </c>
      <c r="BC142">
        <f ca="1">IFERROR(IF(0=LEN(ReferenceData!$BC$142),"",ReferenceData!$BC$142),"")</f>
        <v>1.819652244</v>
      </c>
      <c r="BD142">
        <f ca="1">IFERROR(IF(0=LEN(ReferenceData!$BD$142),"",ReferenceData!$BD$142),"")</f>
        <v>1.7842091710000001</v>
      </c>
      <c r="BE142">
        <f ca="1">IFERROR(IF(0=LEN(ReferenceData!$BE$142),"",ReferenceData!$BE$142),"")</f>
        <v>1.804699657</v>
      </c>
      <c r="BF142">
        <f ca="1">IFERROR(IF(0=LEN(ReferenceData!$BF$142),"",ReferenceData!$BF$142),"")</f>
        <v>1.7287365219999999</v>
      </c>
      <c r="BG142">
        <f ca="1">IFERROR(IF(0=LEN(ReferenceData!$BG$142),"",ReferenceData!$BG$142),"")</f>
        <v>2.2662609109999998</v>
      </c>
      <c r="BH142">
        <f ca="1">IFERROR(IF(0=LEN(ReferenceData!$BH$142),"",ReferenceData!$BH$142),"")</f>
        <v>2.2758496130000001</v>
      </c>
      <c r="BI142">
        <f ca="1">IFERROR(IF(0=LEN(ReferenceData!$BI$142),"",ReferenceData!$BI$142),"")</f>
        <v>2.2229307280000001</v>
      </c>
      <c r="BJ142">
        <f ca="1">IFERROR(IF(0=LEN(ReferenceData!$BJ$142),"",ReferenceData!$BJ$142),"")</f>
        <v>2.4179553399999998</v>
      </c>
      <c r="BK142">
        <f ca="1">IFERROR(IF(0=LEN(ReferenceData!$BK$142),"",ReferenceData!$BK$142),"")</f>
        <v>2.3836998669999998</v>
      </c>
      <c r="BL142">
        <f ca="1">IFERROR(IF(0=LEN(ReferenceData!$BL$142),"",ReferenceData!$BL$142),"")</f>
        <v>2.1884410870000002</v>
      </c>
      <c r="BM142">
        <f ca="1">IFERROR(IF(0=LEN(ReferenceData!$BM$142),"",ReferenceData!$BM$142),"")</f>
        <v>2.0865982019999998</v>
      </c>
    </row>
    <row r="143" spans="1:65">
      <c r="A143" t="str">
        <f>IFERROR(IF(0=LEN(ReferenceData!$A$143),"",ReferenceData!$A$143),"")</f>
        <v xml:space="preserve">    Education Realty Trust Inc</v>
      </c>
      <c r="B143" t="str">
        <f>IFERROR(IF(0=LEN(ReferenceData!$B$143),"",ReferenceData!$B$143),"")</f>
        <v>EDR US Equity</v>
      </c>
      <c r="C143" t="str">
        <f>IFERROR(IF(0=LEN(ReferenceData!$C$143),"",ReferenceData!$C$143),"")</f>
        <v>RR553</v>
      </c>
      <c r="D143" t="str">
        <f>IFERROR(IF(0=LEN(ReferenceData!$D$143),"",ReferenceData!$D$143),"")</f>
        <v>EBITDA_RE_ASSET</v>
      </c>
      <c r="E143" t="str">
        <f>IFERROR(IF(0=LEN(ReferenceData!$E$143),"",ReferenceData!$E$143),"")</f>
        <v>动态</v>
      </c>
      <c r="F143" t="str">
        <f ca="1">IFERROR(IF(0=LEN(ReferenceData!$F$143),"",ReferenceData!$F$143),"")</f>
        <v/>
      </c>
      <c r="G143">
        <f ca="1">IFERROR(IF(0=LEN(ReferenceData!$G$143),"",ReferenceData!$G$143),"")</f>
        <v>1.8781719619999999</v>
      </c>
      <c r="H143">
        <f ca="1">IFERROR(IF(0=LEN(ReferenceData!$H$143),"",ReferenceData!$H$143),"")</f>
        <v>0.93913868899999997</v>
      </c>
      <c r="I143">
        <f ca="1">IFERROR(IF(0=LEN(ReferenceData!$I$143),"",ReferenceData!$I$143),"")</f>
        <v>1.2293815699999999</v>
      </c>
      <c r="J143">
        <f ca="1">IFERROR(IF(0=LEN(ReferenceData!$J$143),"",ReferenceData!$J$143),"")</f>
        <v>1.698014879</v>
      </c>
      <c r="K143">
        <f ca="1">IFERROR(IF(0=LEN(ReferenceData!$K$143),"",ReferenceData!$K$143),"")</f>
        <v>1.692059014</v>
      </c>
      <c r="L143">
        <f ca="1">IFERROR(IF(0=LEN(ReferenceData!$L$143),"",ReferenceData!$L$143),"")</f>
        <v>1.0302621750000001</v>
      </c>
      <c r="M143">
        <f ca="1">IFERROR(IF(0=LEN(ReferenceData!$M$143),"",ReferenceData!$M$143),"")</f>
        <v>1.320970693</v>
      </c>
      <c r="N143">
        <f ca="1">IFERROR(IF(0=LEN(ReferenceData!$N$143),"",ReferenceData!$N$143),"")</f>
        <v>1.9555152920000001</v>
      </c>
      <c r="O143">
        <f ca="1">IFERROR(IF(0=LEN(ReferenceData!$O$143),"",ReferenceData!$O$143),"")</f>
        <v>2.0204323710000001</v>
      </c>
      <c r="P143">
        <f ca="1">IFERROR(IF(0=LEN(ReferenceData!$P$143),"",ReferenceData!$P$143),"")</f>
        <v>1.082693272</v>
      </c>
      <c r="Q143">
        <f ca="1">IFERROR(IF(0=LEN(ReferenceData!$Q$143),"",ReferenceData!$Q$143),"")</f>
        <v>1.3913061</v>
      </c>
      <c r="R143">
        <f ca="1">IFERROR(IF(0=LEN(ReferenceData!$R$143),"",ReferenceData!$R$143),"")</f>
        <v>1.7021910609999999</v>
      </c>
      <c r="S143">
        <f ca="1">IFERROR(IF(0=LEN(ReferenceData!$S$143),"",ReferenceData!$S$143),"")</f>
        <v>1.9659232170000001</v>
      </c>
      <c r="T143">
        <f ca="1">IFERROR(IF(0=LEN(ReferenceData!$T$143),"",ReferenceData!$T$143),"")</f>
        <v>0.95608194700000004</v>
      </c>
      <c r="U143">
        <f ca="1">IFERROR(IF(0=LEN(ReferenceData!$U$143),"",ReferenceData!$U$143),"")</f>
        <v>0.68234496300000003</v>
      </c>
      <c r="V143">
        <f ca="1">IFERROR(IF(0=LEN(ReferenceData!$V$143),"",ReferenceData!$V$143),"")</f>
        <v>1.4388512630000001</v>
      </c>
      <c r="W143">
        <f ca="1">IFERROR(IF(0=LEN(ReferenceData!$W$143),"",ReferenceData!$W$143),"")</f>
        <v>1.7116052820000001</v>
      </c>
      <c r="X143">
        <f ca="1">IFERROR(IF(0=LEN(ReferenceData!$X$143),"",ReferenceData!$X$143),"")</f>
        <v>0.78168834099999995</v>
      </c>
      <c r="Y143">
        <f ca="1">IFERROR(IF(0=LEN(ReferenceData!$Y$143),"",ReferenceData!$Y$143),"")</f>
        <v>1.1527665499999999</v>
      </c>
      <c r="Z143">
        <f ca="1">IFERROR(IF(0=LEN(ReferenceData!$Z$143),"",ReferenceData!$Z$143),"")</f>
        <v>1.412101136</v>
      </c>
      <c r="AA143">
        <f ca="1">IFERROR(IF(0=LEN(ReferenceData!$AA$143),"",ReferenceData!$AA$143),"")</f>
        <v>1.326155916</v>
      </c>
      <c r="AB143">
        <f ca="1">IFERROR(IF(0=LEN(ReferenceData!$AB$143),"",ReferenceData!$AB$143),"")</f>
        <v>0.61835764199999999</v>
      </c>
      <c r="AC143">
        <f ca="1">IFERROR(IF(0=LEN(ReferenceData!$AC$143),"",ReferenceData!$AC$143),"")</f>
        <v>1.1725853420000001</v>
      </c>
      <c r="AD143">
        <f ca="1">IFERROR(IF(0=LEN(ReferenceData!$AD$143),"",ReferenceData!$AD$143),"")</f>
        <v>1.5763146029999999</v>
      </c>
      <c r="AE143">
        <f ca="1">IFERROR(IF(0=LEN(ReferenceData!$AE$143),"",ReferenceData!$AE$143),"")</f>
        <v>1.6620369370000001</v>
      </c>
      <c r="AF143">
        <f ca="1">IFERROR(IF(0=LEN(ReferenceData!$AF$143),"",ReferenceData!$AF$143),"")</f>
        <v>0.72043896299999999</v>
      </c>
      <c r="AG143">
        <f ca="1">IFERROR(IF(0=LEN(ReferenceData!$AG$143),"",ReferenceData!$AG$143),"")</f>
        <v>1.5340554230000001</v>
      </c>
      <c r="AH143">
        <f ca="1">IFERROR(IF(0=LEN(ReferenceData!$AH$143),"",ReferenceData!$AH$143),"")</f>
        <v>1.880678004</v>
      </c>
      <c r="AI143">
        <f ca="1">IFERROR(IF(0=LEN(ReferenceData!$AI$143),"",ReferenceData!$AI$143),"")</f>
        <v>1.515190496</v>
      </c>
      <c r="AJ143">
        <f ca="1">IFERROR(IF(0=LEN(ReferenceData!$AJ$143),"",ReferenceData!$AJ$143),"")</f>
        <v>0.85572074799999998</v>
      </c>
      <c r="AK143">
        <f ca="1">IFERROR(IF(0=LEN(ReferenceData!$AK$143),"",ReferenceData!$AK$143),"")</f>
        <v>1.166145902</v>
      </c>
      <c r="AL143">
        <f ca="1">IFERROR(IF(0=LEN(ReferenceData!$AL$143),"",ReferenceData!$AL$143),"")</f>
        <v>1.667868192</v>
      </c>
      <c r="AM143">
        <f ca="1">IFERROR(IF(0=LEN(ReferenceData!$AM$143),"",ReferenceData!$AM$143),"")</f>
        <v>1.8957339660000001</v>
      </c>
      <c r="AN143">
        <f ca="1">IFERROR(IF(0=LEN(ReferenceData!$AN$143),"",ReferenceData!$AN$143),"")</f>
        <v>0.88244030900000003</v>
      </c>
      <c r="AO143">
        <f ca="1">IFERROR(IF(0=LEN(ReferenceData!$AO$143),"",ReferenceData!$AO$143),"")</f>
        <v>1.74896819</v>
      </c>
      <c r="AP143">
        <f ca="1">IFERROR(IF(0=LEN(ReferenceData!$AP$143),"",ReferenceData!$AP$143),"")</f>
        <v>1.9448266809999999</v>
      </c>
      <c r="AQ143">
        <f ca="1">IFERROR(IF(0=LEN(ReferenceData!$AQ$143),"",ReferenceData!$AQ$143),"")</f>
        <v>2.1793716889999999</v>
      </c>
      <c r="AR143">
        <f ca="1">IFERROR(IF(0=LEN(ReferenceData!$AR$143),"",ReferenceData!$AR$143),"")</f>
        <v>0.93386946599999998</v>
      </c>
      <c r="AS143">
        <f ca="1">IFERROR(IF(0=LEN(ReferenceData!$AS$143),"",ReferenceData!$AS$143),"")</f>
        <v>2.2920158800000001</v>
      </c>
      <c r="AT143">
        <f ca="1">IFERROR(IF(0=LEN(ReferenceData!$AT$143),"",ReferenceData!$AT$143),"")</f>
        <v>2.0482422840000001</v>
      </c>
      <c r="AU143">
        <f ca="1">IFERROR(IF(0=LEN(ReferenceData!$AU$143),"",ReferenceData!$AU$143),"")</f>
        <v>1.9170740209999999</v>
      </c>
      <c r="AV143">
        <f ca="1">IFERROR(IF(0=LEN(ReferenceData!$AV$143),"",ReferenceData!$AV$143),"")</f>
        <v>1.1586389189999999</v>
      </c>
      <c r="AW143">
        <f ca="1">IFERROR(IF(0=LEN(ReferenceData!$AW$143),"",ReferenceData!$AW$143),"")</f>
        <v>1.830802161</v>
      </c>
      <c r="AX143">
        <f ca="1">IFERROR(IF(0=LEN(ReferenceData!$AX$143),"",ReferenceData!$AX$143),"")</f>
        <v>1.8593500730000001</v>
      </c>
      <c r="AY143">
        <f ca="1">IFERROR(IF(0=LEN(ReferenceData!$AY$143),"",ReferenceData!$AY$143),"")</f>
        <v>1.8256733919999999</v>
      </c>
      <c r="AZ143">
        <f ca="1">IFERROR(IF(0=LEN(ReferenceData!$AZ$143),"",ReferenceData!$AZ$143),"")</f>
        <v>1.0880944379999999</v>
      </c>
      <c r="BA143">
        <f ca="1">IFERROR(IF(0=LEN(ReferenceData!$BA$143),"",ReferenceData!$BA$143),"")</f>
        <v>1.6452499220000001</v>
      </c>
      <c r="BB143">
        <f ca="1">IFERROR(IF(0=LEN(ReferenceData!$BB$143),"",ReferenceData!$BB$143),"")</f>
        <v>1.8735630210000001</v>
      </c>
      <c r="BC143">
        <f ca="1">IFERROR(IF(0=LEN(ReferenceData!$BC$143),"",ReferenceData!$BC$143),"")</f>
        <v>1.870766913</v>
      </c>
      <c r="BD143">
        <f ca="1">IFERROR(IF(0=LEN(ReferenceData!$BD$143),"",ReferenceData!$BD$143),"")</f>
        <v>0.96950825299999999</v>
      </c>
      <c r="BE143">
        <f ca="1">IFERROR(IF(0=LEN(ReferenceData!$BE$143),"",ReferenceData!$BE$143),"")</f>
        <v>1.4477224829999999</v>
      </c>
      <c r="BF143">
        <f ca="1">IFERROR(IF(0=LEN(ReferenceData!$BF$143),"",ReferenceData!$BF$143),"")</f>
        <v>0.60985737500000003</v>
      </c>
      <c r="BG143" t="str">
        <f ca="1">IFERROR(IF(0=LEN(ReferenceData!$BG$143),"",ReferenceData!$BG$143),"")</f>
        <v/>
      </c>
      <c r="BH143" t="str">
        <f ca="1">IFERROR(IF(0=LEN(ReferenceData!$BH$143),"",ReferenceData!$BH$143),"")</f>
        <v/>
      </c>
      <c r="BI143" t="str">
        <f ca="1">IFERROR(IF(0=LEN(ReferenceData!$BI$143),"",ReferenceData!$BI$143),"")</f>
        <v/>
      </c>
      <c r="BJ143" t="str">
        <f ca="1">IFERROR(IF(0=LEN(ReferenceData!$BJ$143),"",ReferenceData!$BJ$143),"")</f>
        <v/>
      </c>
      <c r="BK143" t="str">
        <f ca="1">IFERROR(IF(0=LEN(ReferenceData!$BK$143),"",ReferenceData!$BK$143),"")</f>
        <v/>
      </c>
      <c r="BL143" t="str">
        <f ca="1">IFERROR(IF(0=LEN(ReferenceData!$BL$143),"",ReferenceData!$BL$143),"")</f>
        <v/>
      </c>
      <c r="BM143" t="str">
        <f ca="1">IFERROR(IF(0=LEN(ReferenceData!$BM$143),"",ReferenceData!$BM$143),"")</f>
        <v/>
      </c>
    </row>
    <row r="144" spans="1:65">
      <c r="A144" t="str">
        <f>IFERROR(IF(0=LEN(ReferenceData!$A$144),"",ReferenceData!$A$144),"")</f>
        <v xml:space="preserve">    Equity Residential</v>
      </c>
      <c r="B144" t="str">
        <f>IFERROR(IF(0=LEN(ReferenceData!$B$144),"",ReferenceData!$B$144),"")</f>
        <v>EQR US Equity</v>
      </c>
      <c r="C144" t="str">
        <f>IFERROR(IF(0=LEN(ReferenceData!$C$144),"",ReferenceData!$C$144),"")</f>
        <v>RR553</v>
      </c>
      <c r="D144" t="str">
        <f>IFERROR(IF(0=LEN(ReferenceData!$D$144),"",ReferenceData!$D$144),"")</f>
        <v>EBITDA_RE_ASSET</v>
      </c>
      <c r="E144" t="str">
        <f>IFERROR(IF(0=LEN(ReferenceData!$E$144),"",ReferenceData!$E$144),"")</f>
        <v>动态</v>
      </c>
      <c r="F144" t="str">
        <f ca="1">IFERROR(IF(0=LEN(ReferenceData!$F$144),"",ReferenceData!$F$144),"")</f>
        <v/>
      </c>
      <c r="G144">
        <f ca="1">IFERROR(IF(0=LEN(ReferenceData!$G$144),"",ReferenceData!$G$144),"")</f>
        <v>2.0785868750000001</v>
      </c>
      <c r="H144">
        <f ca="1">IFERROR(IF(0=LEN(ReferenceData!$H$144),"",ReferenceData!$H$144),"")</f>
        <v>1.9986544610000001</v>
      </c>
      <c r="I144">
        <f ca="1">IFERROR(IF(0=LEN(ReferenceData!$I$144),"",ReferenceData!$I$144),"")</f>
        <v>1.9685873810000001</v>
      </c>
      <c r="J144">
        <f ca="1">IFERROR(IF(0=LEN(ReferenceData!$J$144),"",ReferenceData!$J$144),"")</f>
        <v>1.920110854</v>
      </c>
      <c r="K144">
        <f ca="1">IFERROR(IF(0=LEN(ReferenceData!$K$144),"",ReferenceData!$K$144),"")</f>
        <v>2.0030541400000001</v>
      </c>
      <c r="L144">
        <f ca="1">IFERROR(IF(0=LEN(ReferenceData!$L$144),"",ReferenceData!$L$144),"")</f>
        <v>1.931257314</v>
      </c>
      <c r="M144">
        <f ca="1">IFERROR(IF(0=LEN(ReferenceData!$M$144),"",ReferenceData!$M$144),"")</f>
        <v>1.8965786689999999</v>
      </c>
      <c r="N144">
        <f ca="1">IFERROR(IF(0=LEN(ReferenceData!$N$144),"",ReferenceData!$N$144),"")</f>
        <v>1.9315174989999999</v>
      </c>
      <c r="O144">
        <f ca="1">IFERROR(IF(0=LEN(ReferenceData!$O$144),"",ReferenceData!$O$144),"")</f>
        <v>2.0817509150000002</v>
      </c>
      <c r="P144">
        <f ca="1">IFERROR(IF(0=LEN(ReferenceData!$P$144),"",ReferenceData!$P$144),"")</f>
        <v>2.0363733079999999</v>
      </c>
      <c r="Q144">
        <f ca="1">IFERROR(IF(0=LEN(ReferenceData!$Q$144),"",ReferenceData!$Q$144),"")</f>
        <v>1.971272819</v>
      </c>
      <c r="R144">
        <f ca="1">IFERROR(IF(0=LEN(ReferenceData!$R$144),"",ReferenceData!$R$144),"")</f>
        <v>1.8564252530000001</v>
      </c>
      <c r="S144">
        <f ca="1">IFERROR(IF(0=LEN(ReferenceData!$S$144),"",ReferenceData!$S$144),"")</f>
        <v>1.9888435710000001</v>
      </c>
      <c r="T144">
        <f ca="1">IFERROR(IF(0=LEN(ReferenceData!$T$144),"",ReferenceData!$T$144),"")</f>
        <v>1.941108251</v>
      </c>
      <c r="U144">
        <f ca="1">IFERROR(IF(0=LEN(ReferenceData!$U$144),"",ReferenceData!$U$144),"")</f>
        <v>1.8784904870000001</v>
      </c>
      <c r="V144">
        <f ca="1">IFERROR(IF(0=LEN(ReferenceData!$V$144),"",ReferenceData!$V$144),"")</f>
        <v>1.729359648</v>
      </c>
      <c r="W144">
        <f ca="1">IFERROR(IF(0=LEN(ReferenceData!$W$144),"",ReferenceData!$W$144),"")</f>
        <v>1.8294303590000001</v>
      </c>
      <c r="X144">
        <f ca="1">IFERROR(IF(0=LEN(ReferenceData!$X$144),"",ReferenceData!$X$144),"")</f>
        <v>1.802087269</v>
      </c>
      <c r="Y144">
        <f ca="1">IFERROR(IF(0=LEN(ReferenceData!$Y$144),"",ReferenceData!$Y$144),"")</f>
        <v>1.7470091459999999</v>
      </c>
      <c r="Z144">
        <f ca="1">IFERROR(IF(0=LEN(ReferenceData!$Z$144),"",ReferenceData!$Z$144),"")</f>
        <v>1.403714175</v>
      </c>
      <c r="AA144">
        <f ca="1">IFERROR(IF(0=LEN(ReferenceData!$AA$144),"",ReferenceData!$AA$144),"")</f>
        <v>1.962860442</v>
      </c>
      <c r="AB144">
        <f ca="1">IFERROR(IF(0=LEN(ReferenceData!$AB$144),"",ReferenceData!$AB$144),"")</f>
        <v>1.914004786</v>
      </c>
      <c r="AC144">
        <f ca="1">IFERROR(IF(0=LEN(ReferenceData!$AC$144),"",ReferenceData!$AC$144),"")</f>
        <v>1.854201467</v>
      </c>
      <c r="AD144">
        <f ca="1">IFERROR(IF(0=LEN(ReferenceData!$AD$144),"",ReferenceData!$AD$144),"")</f>
        <v>1.8220966599999999</v>
      </c>
      <c r="AE144">
        <f ca="1">IFERROR(IF(0=LEN(ReferenceData!$AE$144),"",ReferenceData!$AE$144),"")</f>
        <v>2.0273363440000001</v>
      </c>
      <c r="AF144">
        <f ca="1">IFERROR(IF(0=LEN(ReferenceData!$AF$144),"",ReferenceData!$AF$144),"")</f>
        <v>2.0487367270000001</v>
      </c>
      <c r="AG144">
        <f ca="1">IFERROR(IF(0=LEN(ReferenceData!$AG$144),"",ReferenceData!$AG$144),"")</f>
        <v>1.9787040389999999</v>
      </c>
      <c r="AH144">
        <f ca="1">IFERROR(IF(0=LEN(ReferenceData!$AH$144),"",ReferenceData!$AH$144),"")</f>
        <v>1.867816543</v>
      </c>
      <c r="AI144">
        <f ca="1">IFERROR(IF(0=LEN(ReferenceData!$AI$144),"",ReferenceData!$AI$144),"")</f>
        <v>1.6150968029999999</v>
      </c>
      <c r="AJ144">
        <f ca="1">IFERROR(IF(0=LEN(ReferenceData!$AJ$144),"",ReferenceData!$AJ$144),"")</f>
        <v>1.7753818939999999</v>
      </c>
      <c r="AK144">
        <f ca="1">IFERROR(IF(0=LEN(ReferenceData!$AK$144),"",ReferenceData!$AK$144),"")</f>
        <v>1.802685885</v>
      </c>
      <c r="AL144">
        <f ca="1">IFERROR(IF(0=LEN(ReferenceData!$AL$144),"",ReferenceData!$AL$144),"")</f>
        <v>1.7439882680000001</v>
      </c>
      <c r="AM144">
        <f ca="1">IFERROR(IF(0=LEN(ReferenceData!$AM$144),"",ReferenceData!$AM$144),"")</f>
        <v>1.890031056</v>
      </c>
      <c r="AN144">
        <f ca="1">IFERROR(IF(0=LEN(ReferenceData!$AN$144),"",ReferenceData!$AN$144),"")</f>
        <v>1.9065103189999999</v>
      </c>
      <c r="AO144">
        <f ca="1">IFERROR(IF(0=LEN(ReferenceData!$AO$144),"",ReferenceData!$AO$144),"")</f>
        <v>1.8713258159999999</v>
      </c>
      <c r="AP144">
        <f ca="1">IFERROR(IF(0=LEN(ReferenceData!$AP$144),"",ReferenceData!$AP$144),"")</f>
        <v>1.881678212</v>
      </c>
      <c r="AQ144">
        <f ca="1">IFERROR(IF(0=LEN(ReferenceData!$AQ$144),"",ReferenceData!$AQ$144),"")</f>
        <v>2.0006033799999998</v>
      </c>
      <c r="AR144">
        <f ca="1">IFERROR(IF(0=LEN(ReferenceData!$AR$144),"",ReferenceData!$AR$144),"")</f>
        <v>1.984523273</v>
      </c>
      <c r="AS144">
        <f ca="1">IFERROR(IF(0=LEN(ReferenceData!$AS$144),"",ReferenceData!$AS$144),"")</f>
        <v>1.9844626889999999</v>
      </c>
      <c r="AT144">
        <f ca="1">IFERROR(IF(0=LEN(ReferenceData!$AT$144),"",ReferenceData!$AT$144),"")</f>
        <v>1.9021359600000001</v>
      </c>
      <c r="AU144">
        <f ca="1">IFERROR(IF(0=LEN(ReferenceData!$AU$144),"",ReferenceData!$AU$144),"")</f>
        <v>2.094539299</v>
      </c>
      <c r="AV144">
        <f ca="1">IFERROR(IF(0=LEN(ReferenceData!$AV$144),"",ReferenceData!$AV$144),"")</f>
        <v>1.9500332810000001</v>
      </c>
      <c r="AW144">
        <f ca="1">IFERROR(IF(0=LEN(ReferenceData!$AW$144),"",ReferenceData!$AW$144),"")</f>
        <v>1.9503920699999999</v>
      </c>
      <c r="AX144">
        <f ca="1">IFERROR(IF(0=LEN(ReferenceData!$AX$144),"",ReferenceData!$AX$144),"")</f>
        <v>1.8650363400000001</v>
      </c>
      <c r="AY144">
        <f ca="1">IFERROR(IF(0=LEN(ReferenceData!$AY$144),"",ReferenceData!$AY$144),"")</f>
        <v>1.7603607139999999</v>
      </c>
      <c r="AZ144">
        <f ca="1">IFERROR(IF(0=LEN(ReferenceData!$AZ$144),"",ReferenceData!$AZ$144),"")</f>
        <v>1.947140742</v>
      </c>
      <c r="BA144">
        <f ca="1">IFERROR(IF(0=LEN(ReferenceData!$BA$144),"",ReferenceData!$BA$144),"")</f>
        <v>2.0660578809999999</v>
      </c>
      <c r="BB144">
        <f ca="1">IFERROR(IF(0=LEN(ReferenceData!$BB$144),"",ReferenceData!$BB$144),"")</f>
        <v>1.989063644</v>
      </c>
      <c r="BC144">
        <f ca="1">IFERROR(IF(0=LEN(ReferenceData!$BC$144),"",ReferenceData!$BC$144),"")</f>
        <v>1.69237617</v>
      </c>
      <c r="BD144">
        <f ca="1">IFERROR(IF(0=LEN(ReferenceData!$BD$144),"",ReferenceData!$BD$144),"")</f>
        <v>1.929118968</v>
      </c>
      <c r="BE144">
        <f ca="1">IFERROR(IF(0=LEN(ReferenceData!$BE$144),"",ReferenceData!$BE$144),"")</f>
        <v>1.9818426309999999</v>
      </c>
      <c r="BF144">
        <f ca="1">IFERROR(IF(0=LEN(ReferenceData!$BF$144),"",ReferenceData!$BF$144),"")</f>
        <v>2.0261164809999999</v>
      </c>
      <c r="BG144">
        <f ca="1">IFERROR(IF(0=LEN(ReferenceData!$BG$144),"",ReferenceData!$BG$144),"")</f>
        <v>1.9651254810000001</v>
      </c>
      <c r="BH144">
        <f ca="1">IFERROR(IF(0=LEN(ReferenceData!$BH$144),"",ReferenceData!$BH$144),"")</f>
        <v>1.9834099030000001</v>
      </c>
      <c r="BI144">
        <f ca="1">IFERROR(IF(0=LEN(ReferenceData!$BI$144),"",ReferenceData!$BI$144),"")</f>
        <v>1.2491783510000001</v>
      </c>
      <c r="BJ144">
        <f ca="1">IFERROR(IF(0=LEN(ReferenceData!$BJ$144),"",ReferenceData!$BJ$144),"")</f>
        <v>2.1494362119999999</v>
      </c>
      <c r="BK144">
        <f ca="1">IFERROR(IF(0=LEN(ReferenceData!$BK$144),"",ReferenceData!$BK$144),"")</f>
        <v>1.9939753140000001</v>
      </c>
      <c r="BL144">
        <f ca="1">IFERROR(IF(0=LEN(ReferenceData!$BL$144),"",ReferenceData!$BL$144),"")</f>
        <v>2.3554774369999998</v>
      </c>
      <c r="BM144">
        <f ca="1">IFERROR(IF(0=LEN(ReferenceData!$BM$144),"",ReferenceData!$BM$144),"")</f>
        <v>2.3617390930000002</v>
      </c>
    </row>
    <row r="145" spans="1:65">
      <c r="A145" t="str">
        <f>IFERROR(IF(0=LEN(ReferenceData!$A$145),"",ReferenceData!$A$145),"")</f>
        <v xml:space="preserve">    Essex Property Trust Inc</v>
      </c>
      <c r="B145" t="str">
        <f>IFERROR(IF(0=LEN(ReferenceData!$B$145),"",ReferenceData!$B$145),"")</f>
        <v>ESS US Equity</v>
      </c>
      <c r="C145" t="str">
        <f>IFERROR(IF(0=LEN(ReferenceData!$C$145),"",ReferenceData!$C$145),"")</f>
        <v>RR553</v>
      </c>
      <c r="D145" t="str">
        <f>IFERROR(IF(0=LEN(ReferenceData!$D$145),"",ReferenceData!$D$145),"")</f>
        <v>EBITDA_RE_ASSET</v>
      </c>
      <c r="E145" t="str">
        <f>IFERROR(IF(0=LEN(ReferenceData!$E$145),"",ReferenceData!$E$145),"")</f>
        <v>动态</v>
      </c>
      <c r="F145" t="str">
        <f ca="1">IFERROR(IF(0=LEN(ReferenceData!$F$145),"",ReferenceData!$F$145),"")</f>
        <v/>
      </c>
      <c r="G145">
        <f ca="1">IFERROR(IF(0=LEN(ReferenceData!$G$145),"",ReferenceData!$G$145),"")</f>
        <v>1.9315251200000001</v>
      </c>
      <c r="H145">
        <f ca="1">IFERROR(IF(0=LEN(ReferenceData!$H$145),"",ReferenceData!$H$145),"")</f>
        <v>1.877514232</v>
      </c>
      <c r="I145">
        <f ca="1">IFERROR(IF(0=LEN(ReferenceData!$I$145),"",ReferenceData!$I$145),"")</f>
        <v>1.890424066</v>
      </c>
      <c r="J145">
        <f ca="1">IFERROR(IF(0=LEN(ReferenceData!$J$145),"",ReferenceData!$J$145),"")</f>
        <v>1.821755958</v>
      </c>
      <c r="K145">
        <f ca="1">IFERROR(IF(0=LEN(ReferenceData!$K$145),"",ReferenceData!$K$145),"")</f>
        <v>1.832755216</v>
      </c>
      <c r="L145">
        <f ca="1">IFERROR(IF(0=LEN(ReferenceData!$L$145),"",ReferenceData!$L$145),"")</f>
        <v>1.93420685</v>
      </c>
      <c r="M145">
        <f ca="1">IFERROR(IF(0=LEN(ReferenceData!$M$145),"",ReferenceData!$M$145),"")</f>
        <v>1.7448010700000001</v>
      </c>
      <c r="N145">
        <f ca="1">IFERROR(IF(0=LEN(ReferenceData!$N$145),"",ReferenceData!$N$145),"")</f>
        <v>1.7945088220000001</v>
      </c>
      <c r="O145">
        <f ca="1">IFERROR(IF(0=LEN(ReferenceData!$O$145),"",ReferenceData!$O$145),"")</f>
        <v>1.7826667329999999</v>
      </c>
      <c r="P145">
        <f ca="1">IFERROR(IF(0=LEN(ReferenceData!$P$145),"",ReferenceData!$P$145),"")</f>
        <v>1.7872719239999999</v>
      </c>
      <c r="Q145">
        <f ca="1">IFERROR(IF(0=LEN(ReferenceData!$Q$145),"",ReferenceData!$Q$145),"")</f>
        <v>1.610802243</v>
      </c>
      <c r="R145">
        <f ca="1">IFERROR(IF(0=LEN(ReferenceData!$R$145),"",ReferenceData!$R$145),"")</f>
        <v>1.513976048</v>
      </c>
      <c r="S145">
        <f ca="1">IFERROR(IF(0=LEN(ReferenceData!$S$145),"",ReferenceData!$S$145),"")</f>
        <v>1.512060814</v>
      </c>
      <c r="T145">
        <f ca="1">IFERROR(IF(0=LEN(ReferenceData!$T$145),"",ReferenceData!$T$145),"")</f>
        <v>1.520812939</v>
      </c>
      <c r="U145">
        <f ca="1">IFERROR(IF(0=LEN(ReferenceData!$U$145),"",ReferenceData!$U$145),"")</f>
        <v>1.2291724040000001</v>
      </c>
      <c r="V145">
        <f ca="1">IFERROR(IF(0=LEN(ReferenceData!$V$145),"",ReferenceData!$V$145),"")</f>
        <v>1.3726248679999999</v>
      </c>
      <c r="W145">
        <f ca="1">IFERROR(IF(0=LEN(ReferenceData!$W$145),"",ReferenceData!$W$145),"")</f>
        <v>2.1510268739999998</v>
      </c>
      <c r="X145">
        <f ca="1">IFERROR(IF(0=LEN(ReferenceData!$X$145),"",ReferenceData!$X$145),"")</f>
        <v>1.9050142489999999</v>
      </c>
      <c r="Y145">
        <f ca="1">IFERROR(IF(0=LEN(ReferenceData!$Y$145),"",ReferenceData!$Y$145),"")</f>
        <v>2.0336964719999999</v>
      </c>
      <c r="Z145">
        <f ca="1">IFERROR(IF(0=LEN(ReferenceData!$Z$145),"",ReferenceData!$Z$145),"")</f>
        <v>2.0339571649999999</v>
      </c>
      <c r="AA145">
        <f ca="1">IFERROR(IF(0=LEN(ReferenceData!$AA$145),"",ReferenceData!$AA$145),"")</f>
        <v>2.1751035220000001</v>
      </c>
      <c r="AB145">
        <f ca="1">IFERROR(IF(0=LEN(ReferenceData!$AB$145),"",ReferenceData!$AB$145),"")</f>
        <v>1.860592939</v>
      </c>
      <c r="AC145">
        <f ca="1">IFERROR(IF(0=LEN(ReferenceData!$AC$145),"",ReferenceData!$AC$145),"")</f>
        <v>2.0630435989999998</v>
      </c>
      <c r="AD145">
        <f ca="1">IFERROR(IF(0=LEN(ReferenceData!$AD$145),"",ReferenceData!$AD$145),"")</f>
        <v>2.154327152</v>
      </c>
      <c r="AE145">
        <f ca="1">IFERROR(IF(0=LEN(ReferenceData!$AE$145),"",ReferenceData!$AE$145),"")</f>
        <v>2.3040833279999999</v>
      </c>
      <c r="AF145">
        <f ca="1">IFERROR(IF(0=LEN(ReferenceData!$AF$145),"",ReferenceData!$AF$145),"")</f>
        <v>1.779489396</v>
      </c>
      <c r="AG145">
        <f ca="1">IFERROR(IF(0=LEN(ReferenceData!$AG$145),"",ReferenceData!$AG$145),"")</f>
        <v>1.987515023</v>
      </c>
      <c r="AH145">
        <f ca="1">IFERROR(IF(0=LEN(ReferenceData!$AH$145),"",ReferenceData!$AH$145),"")</f>
        <v>1.956359738</v>
      </c>
      <c r="AI145">
        <f ca="1">IFERROR(IF(0=LEN(ReferenceData!$AI$145),"",ReferenceData!$AI$145),"")</f>
        <v>1.873409538</v>
      </c>
      <c r="AJ145">
        <f ca="1">IFERROR(IF(0=LEN(ReferenceData!$AJ$145),"",ReferenceData!$AJ$145),"")</f>
        <v>1.764704118</v>
      </c>
      <c r="AK145">
        <f ca="1">IFERROR(IF(0=LEN(ReferenceData!$AK$145),"",ReferenceData!$AK$145),"")</f>
        <v>1.8693027179999999</v>
      </c>
      <c r="AL145">
        <f ca="1">IFERROR(IF(0=LEN(ReferenceData!$AL$145),"",ReferenceData!$AL$145),"")</f>
        <v>1.968533994</v>
      </c>
      <c r="AM145">
        <f ca="1">IFERROR(IF(0=LEN(ReferenceData!$AM$145),"",ReferenceData!$AM$145),"")</f>
        <v>2.085161839</v>
      </c>
      <c r="AN145">
        <f ca="1">IFERROR(IF(0=LEN(ReferenceData!$AN$145),"",ReferenceData!$AN$145),"")</f>
        <v>1.612000653</v>
      </c>
      <c r="AO145">
        <f ca="1">IFERROR(IF(0=LEN(ReferenceData!$AO$145),"",ReferenceData!$AO$145),"")</f>
        <v>2.1248380130000002</v>
      </c>
      <c r="AP145">
        <f ca="1">IFERROR(IF(0=LEN(ReferenceData!$AP$145),"",ReferenceData!$AP$145),"")</f>
        <v>1.9874564640000001</v>
      </c>
      <c r="AQ145">
        <f ca="1">IFERROR(IF(0=LEN(ReferenceData!$AQ$145),"",ReferenceData!$AQ$145),"")</f>
        <v>2.1986035660000001</v>
      </c>
      <c r="AR145" t="str">
        <f ca="1">IFERROR(IF(0=LEN(ReferenceData!$AR$145),"",ReferenceData!$AR$145),"")</f>
        <v/>
      </c>
      <c r="AS145">
        <f ca="1">IFERROR(IF(0=LEN(ReferenceData!$AS$145),"",ReferenceData!$AS$145),"")</f>
        <v>2.0731081730000001</v>
      </c>
      <c r="AT145">
        <f ca="1">IFERROR(IF(0=LEN(ReferenceData!$AT$145),"",ReferenceData!$AT$145),"")</f>
        <v>2.1869894319999998</v>
      </c>
      <c r="AU145">
        <f ca="1">IFERROR(IF(0=LEN(ReferenceData!$AU$145),"",ReferenceData!$AU$145),"")</f>
        <v>3.7630337649999999</v>
      </c>
      <c r="AV145" t="str">
        <f ca="1">IFERROR(IF(0=LEN(ReferenceData!$AV$145),"",ReferenceData!$AV$145),"")</f>
        <v/>
      </c>
      <c r="AW145" t="str">
        <f ca="1">IFERROR(IF(0=LEN(ReferenceData!$AW$145),"",ReferenceData!$AW$145),"")</f>
        <v/>
      </c>
      <c r="AX145">
        <f ca="1">IFERROR(IF(0=LEN(ReferenceData!$AX$145),"",ReferenceData!$AX$145),"")</f>
        <v>2.3003810919999998</v>
      </c>
      <c r="AY145">
        <f ca="1">IFERROR(IF(0=LEN(ReferenceData!$AY$145),"",ReferenceData!$AY$145),"")</f>
        <v>4.8061845060000001</v>
      </c>
      <c r="AZ145" t="str">
        <f ca="1">IFERROR(IF(0=LEN(ReferenceData!$AZ$145),"",ReferenceData!$AZ$145),"")</f>
        <v/>
      </c>
      <c r="BA145" t="str">
        <f ca="1">IFERROR(IF(0=LEN(ReferenceData!$BA$145),"",ReferenceData!$BA$145),"")</f>
        <v/>
      </c>
      <c r="BB145">
        <f ca="1">IFERROR(IF(0=LEN(ReferenceData!$BB$145),"",ReferenceData!$BB$145),"")</f>
        <v>2.2705188660000002</v>
      </c>
      <c r="BC145">
        <f ca="1">IFERROR(IF(0=LEN(ReferenceData!$BC$145),"",ReferenceData!$BC$145),"")</f>
        <v>3.8292139270000001</v>
      </c>
      <c r="BD145">
        <f ca="1">IFERROR(IF(0=LEN(ReferenceData!$BD$145),"",ReferenceData!$BD$145),"")</f>
        <v>2.4860749059999998</v>
      </c>
      <c r="BE145" t="str">
        <f ca="1">IFERROR(IF(0=LEN(ReferenceData!$BE$145),"",ReferenceData!$BE$145),"")</f>
        <v/>
      </c>
      <c r="BF145" t="str">
        <f ca="1">IFERROR(IF(0=LEN(ReferenceData!$BF$145),"",ReferenceData!$BF$145),"")</f>
        <v/>
      </c>
      <c r="BG145">
        <f ca="1">IFERROR(IF(0=LEN(ReferenceData!$BG$145),"",ReferenceData!$BG$145),"")</f>
        <v>2.1825218660000001</v>
      </c>
      <c r="BH145">
        <f ca="1">IFERROR(IF(0=LEN(ReferenceData!$BH$145),"",ReferenceData!$BH$145),"")</f>
        <v>2.6816240040000001</v>
      </c>
      <c r="BI145">
        <f ca="1">IFERROR(IF(0=LEN(ReferenceData!$BI$145),"",ReferenceData!$BI$145),"")</f>
        <v>2.168481409</v>
      </c>
      <c r="BJ145">
        <f ca="1">IFERROR(IF(0=LEN(ReferenceData!$BJ$145),"",ReferenceData!$BJ$145),"")</f>
        <v>2.1610457580000002</v>
      </c>
      <c r="BK145">
        <f ca="1">IFERROR(IF(0=LEN(ReferenceData!$BK$145),"",ReferenceData!$BK$145),"")</f>
        <v>2.2740440689999999</v>
      </c>
      <c r="BL145">
        <f ca="1">IFERROR(IF(0=LEN(ReferenceData!$BL$145),"",ReferenceData!$BL$145),"")</f>
        <v>2.6367365779999998</v>
      </c>
      <c r="BM145">
        <f ca="1">IFERROR(IF(0=LEN(ReferenceData!$BM$145),"",ReferenceData!$BM$145),"")</f>
        <v>2.6732614560000001</v>
      </c>
    </row>
    <row r="146" spans="1:65">
      <c r="A146" t="str">
        <f>IFERROR(IF(0=LEN(ReferenceData!$A$146),"",ReferenceData!$A$146),"")</f>
        <v xml:space="preserve">    Mid-America Apartment Communit</v>
      </c>
      <c r="B146" t="str">
        <f>IFERROR(IF(0=LEN(ReferenceData!$B$146),"",ReferenceData!$B$146),"")</f>
        <v>MAA US Equity</v>
      </c>
      <c r="C146" t="str">
        <f>IFERROR(IF(0=LEN(ReferenceData!$C$146),"",ReferenceData!$C$146),"")</f>
        <v>RR553</v>
      </c>
      <c r="D146" t="str">
        <f>IFERROR(IF(0=LEN(ReferenceData!$D$146),"",ReferenceData!$D$146),"")</f>
        <v>EBITDA_RE_ASSET</v>
      </c>
      <c r="E146" t="str">
        <f>IFERROR(IF(0=LEN(ReferenceData!$E$146),"",ReferenceData!$E$146),"")</f>
        <v>动态</v>
      </c>
      <c r="F146" t="str">
        <f ca="1">IFERROR(IF(0=LEN(ReferenceData!$F$146),"",ReferenceData!$F$146),"")</f>
        <v/>
      </c>
      <c r="G146">
        <f ca="1">IFERROR(IF(0=LEN(ReferenceData!$G$146),"",ReferenceData!$G$146),"")</f>
        <v>1.9185531709999999</v>
      </c>
      <c r="H146">
        <f ca="1">IFERROR(IF(0=LEN(ReferenceData!$H$146),"",ReferenceData!$H$146),"")</f>
        <v>1.8870927</v>
      </c>
      <c r="I146">
        <f ca="1">IFERROR(IF(0=LEN(ReferenceData!$I$146),"",ReferenceData!$I$146),"")</f>
        <v>1.8807197980000001</v>
      </c>
      <c r="J146">
        <f ca="1">IFERROR(IF(0=LEN(ReferenceData!$J$146),"",ReferenceData!$J$146),"")</f>
        <v>1.826886784</v>
      </c>
      <c r="K146">
        <f ca="1">IFERROR(IF(0=LEN(ReferenceData!$K$146),"",ReferenceData!$K$146),"")</f>
        <v>1.2328487159999999</v>
      </c>
      <c r="L146">
        <f ca="1">IFERROR(IF(0=LEN(ReferenceData!$L$146),"",ReferenceData!$L$146),"")</f>
        <v>2.2300738440000001</v>
      </c>
      <c r="M146">
        <f ca="1">IFERROR(IF(0=LEN(ReferenceData!$M$146),"",ReferenceData!$M$146),"")</f>
        <v>2.274626875</v>
      </c>
      <c r="N146">
        <f ca="1">IFERROR(IF(0=LEN(ReferenceData!$N$146),"",ReferenceData!$N$146),"")</f>
        <v>2.261672956</v>
      </c>
      <c r="O146">
        <f ca="1">IFERROR(IF(0=LEN(ReferenceData!$O$146),"",ReferenceData!$O$146),"")</f>
        <v>2.2166997149999998</v>
      </c>
      <c r="P146">
        <f ca="1">IFERROR(IF(0=LEN(ReferenceData!$P$146),"",ReferenceData!$P$146),"")</f>
        <v>2.1782243480000001</v>
      </c>
      <c r="Q146">
        <f ca="1">IFERROR(IF(0=LEN(ReferenceData!$Q$146),"",ReferenceData!$Q$146),"")</f>
        <v>2.1952377269999999</v>
      </c>
      <c r="R146">
        <f ca="1">IFERROR(IF(0=LEN(ReferenceData!$R$146),"",ReferenceData!$R$146),"")</f>
        <v>2.1883252670000002</v>
      </c>
      <c r="S146">
        <f ca="1">IFERROR(IF(0=LEN(ReferenceData!$S$146),"",ReferenceData!$S$146),"")</f>
        <v>2.0488665340000001</v>
      </c>
      <c r="T146">
        <f ca="1">IFERROR(IF(0=LEN(ReferenceData!$T$146),"",ReferenceData!$T$146),"")</f>
        <v>2.0755182849999998</v>
      </c>
      <c r="U146">
        <f ca="1">IFERROR(IF(0=LEN(ReferenceData!$U$146),"",ReferenceData!$U$146),"")</f>
        <v>1.95512398</v>
      </c>
      <c r="V146">
        <f ca="1">IFERROR(IF(0=LEN(ReferenceData!$V$146),"",ReferenceData!$V$146),"")</f>
        <v>2.0002809340000001</v>
      </c>
      <c r="W146">
        <f ca="1">IFERROR(IF(0=LEN(ReferenceData!$W$146),"",ReferenceData!$W$146),"")</f>
        <v>1.6212948060000001</v>
      </c>
      <c r="X146">
        <f ca="1">IFERROR(IF(0=LEN(ReferenceData!$X$146),"",ReferenceData!$X$146),"")</f>
        <v>2.43508353</v>
      </c>
      <c r="Y146">
        <f ca="1">IFERROR(IF(0=LEN(ReferenceData!$Y$146),"",ReferenceData!$Y$146),"")</f>
        <v>2.39976235</v>
      </c>
      <c r="Z146">
        <f ca="1">IFERROR(IF(0=LEN(ReferenceData!$Z$146),"",ReferenceData!$Z$146),"")</f>
        <v>2.6169710670000002</v>
      </c>
      <c r="AA146">
        <f ca="1">IFERROR(IF(0=LEN(ReferenceData!$AA$146),"",ReferenceData!$AA$146),"")</f>
        <v>2.5861604979999999</v>
      </c>
      <c r="AB146">
        <f ca="1">IFERROR(IF(0=LEN(ReferenceData!$AB$146),"",ReferenceData!$AB$146),"")</f>
        <v>2.3698793820000001</v>
      </c>
      <c r="AC146">
        <f ca="1">IFERROR(IF(0=LEN(ReferenceData!$AC$146),"",ReferenceData!$AC$146),"")</f>
        <v>2.4976326599999998</v>
      </c>
      <c r="AD146">
        <f ca="1">IFERROR(IF(0=LEN(ReferenceData!$AD$146),"",ReferenceData!$AD$146),"")</f>
        <v>2.5446941070000002</v>
      </c>
      <c r="AE146">
        <f ca="1">IFERROR(IF(0=LEN(ReferenceData!$AE$146),"",ReferenceData!$AE$146),"")</f>
        <v>2.3964356910000002</v>
      </c>
      <c r="AF146">
        <f ca="1">IFERROR(IF(0=LEN(ReferenceData!$AF$146),"",ReferenceData!$AF$146),"")</f>
        <v>2.3586766309999998</v>
      </c>
      <c r="AG146">
        <f ca="1">IFERROR(IF(0=LEN(ReferenceData!$AG$146),"",ReferenceData!$AG$146),"")</f>
        <v>2.2591288409999999</v>
      </c>
      <c r="AH146" t="str">
        <f ca="1">IFERROR(IF(0=LEN(ReferenceData!$AH$146),"",ReferenceData!$AH$146),"")</f>
        <v/>
      </c>
      <c r="AI146" t="str">
        <f ca="1">IFERROR(IF(0=LEN(ReferenceData!$AI$146),"",ReferenceData!$AI$146),"")</f>
        <v/>
      </c>
      <c r="AJ146" t="str">
        <f ca="1">IFERROR(IF(0=LEN(ReferenceData!$AJ$146),"",ReferenceData!$AJ$146),"")</f>
        <v/>
      </c>
      <c r="AK146" t="str">
        <f ca="1">IFERROR(IF(0=LEN(ReferenceData!$AK$146),"",ReferenceData!$AK$146),"")</f>
        <v/>
      </c>
      <c r="AL146" t="str">
        <f ca="1">IFERROR(IF(0=LEN(ReferenceData!$AL$146),"",ReferenceData!$AL$146),"")</f>
        <v/>
      </c>
      <c r="AM146" t="str">
        <f ca="1">IFERROR(IF(0=LEN(ReferenceData!$AM$146),"",ReferenceData!$AM$146),"")</f>
        <v/>
      </c>
      <c r="AN146" t="str">
        <f ca="1">IFERROR(IF(0=LEN(ReferenceData!$AN$146),"",ReferenceData!$AN$146),"")</f>
        <v/>
      </c>
      <c r="AO146" t="str">
        <f ca="1">IFERROR(IF(0=LEN(ReferenceData!$AO$146),"",ReferenceData!$AO$146),"")</f>
        <v/>
      </c>
      <c r="AP146" t="str">
        <f ca="1">IFERROR(IF(0=LEN(ReferenceData!$AP$146),"",ReferenceData!$AP$146),"")</f>
        <v/>
      </c>
      <c r="AQ146">
        <f ca="1">IFERROR(IF(0=LEN(ReferenceData!$AQ$146),"",ReferenceData!$AQ$146),"")</f>
        <v>2.6439356329999999</v>
      </c>
      <c r="AR146">
        <f ca="1">IFERROR(IF(0=LEN(ReferenceData!$AR$146),"",ReferenceData!$AR$146),"")</f>
        <v>2.482351564</v>
      </c>
      <c r="AS146">
        <f ca="1">IFERROR(IF(0=LEN(ReferenceData!$AS$146),"",ReferenceData!$AS$146),"")</f>
        <v>2.5997163150000002</v>
      </c>
      <c r="AT146">
        <f ca="1">IFERROR(IF(0=LEN(ReferenceData!$AT$146),"",ReferenceData!$AT$146),"")</f>
        <v>2.7219538609999998</v>
      </c>
      <c r="AU146">
        <f ca="1">IFERROR(IF(0=LEN(ReferenceData!$AU$146),"",ReferenceData!$AU$146),"")</f>
        <v>2.812293489</v>
      </c>
      <c r="AV146">
        <f ca="1">IFERROR(IF(0=LEN(ReferenceData!$AV$146),"",ReferenceData!$AV$146),"")</f>
        <v>2.6031044639999998</v>
      </c>
      <c r="AW146">
        <f ca="1">IFERROR(IF(0=LEN(ReferenceData!$AW$146),"",ReferenceData!$AW$146),"")</f>
        <v>2.6076188660000001</v>
      </c>
      <c r="AX146">
        <f ca="1">IFERROR(IF(0=LEN(ReferenceData!$AX$146),"",ReferenceData!$AX$146),"")</f>
        <v>2.6341945299999998</v>
      </c>
      <c r="AY146">
        <f ca="1">IFERROR(IF(0=LEN(ReferenceData!$AY$146),"",ReferenceData!$AY$146),"")</f>
        <v>2.5936501029999999</v>
      </c>
      <c r="AZ146">
        <f ca="1">IFERROR(IF(0=LEN(ReferenceData!$AZ$146),"",ReferenceData!$AZ$146),"")</f>
        <v>2.5308500390000002</v>
      </c>
      <c r="BA146">
        <f ca="1">IFERROR(IF(0=LEN(ReferenceData!$BA$146),"",ReferenceData!$BA$146),"")</f>
        <v>2.6710860809999999</v>
      </c>
      <c r="BB146">
        <f ca="1">IFERROR(IF(0=LEN(ReferenceData!$BB$146),"",ReferenceData!$BB$146),"")</f>
        <v>2.647217859</v>
      </c>
      <c r="BC146">
        <f ca="1">IFERROR(IF(0=LEN(ReferenceData!$BC$146),"",ReferenceData!$BC$146),"")</f>
        <v>2.6675689220000001</v>
      </c>
      <c r="BD146">
        <f ca="1">IFERROR(IF(0=LEN(ReferenceData!$BD$146),"",ReferenceData!$BD$146),"")</f>
        <v>2.4967113900000002</v>
      </c>
      <c r="BE146">
        <f ca="1">IFERROR(IF(0=LEN(ReferenceData!$BE$146),"",ReferenceData!$BE$146),"")</f>
        <v>2.5469760589999999</v>
      </c>
      <c r="BF146">
        <f ca="1">IFERROR(IF(0=LEN(ReferenceData!$BF$146),"",ReferenceData!$BF$146),"")</f>
        <v>2.4472775269999998</v>
      </c>
      <c r="BG146">
        <f ca="1">IFERROR(IF(0=LEN(ReferenceData!$BG$146),"",ReferenceData!$BG$146),"")</f>
        <v>2.436449965</v>
      </c>
      <c r="BH146">
        <f ca="1">IFERROR(IF(0=LEN(ReferenceData!$BH$146),"",ReferenceData!$BH$146),"")</f>
        <v>2.4698220260000001</v>
      </c>
      <c r="BI146">
        <f ca="1">IFERROR(IF(0=LEN(ReferenceData!$BI$146),"",ReferenceData!$BI$146),"")</f>
        <v>2.4618478000000001</v>
      </c>
      <c r="BJ146">
        <f ca="1">IFERROR(IF(0=LEN(ReferenceData!$BJ$146),"",ReferenceData!$BJ$146),"")</f>
        <v>2.4956714949999999</v>
      </c>
      <c r="BK146">
        <f ca="1">IFERROR(IF(0=LEN(ReferenceData!$BK$146),"",ReferenceData!$BK$146),"")</f>
        <v>2.4305969310000002</v>
      </c>
      <c r="BL146">
        <f ca="1">IFERROR(IF(0=LEN(ReferenceData!$BL$146),"",ReferenceData!$BL$146),"")</f>
        <v>2.3060741660000001</v>
      </c>
      <c r="BM146">
        <f ca="1">IFERROR(IF(0=LEN(ReferenceData!$BM$146),"",ReferenceData!$BM$146),"")</f>
        <v>2.586842818</v>
      </c>
    </row>
    <row r="147" spans="1:65">
      <c r="A147" t="str">
        <f>IFERROR(IF(0=LEN(ReferenceData!$A$147),"",ReferenceData!$A$147),"")</f>
        <v xml:space="preserve">    UDR Inc</v>
      </c>
      <c r="B147" t="str">
        <f>IFERROR(IF(0=LEN(ReferenceData!$B$147),"",ReferenceData!$B$147),"")</f>
        <v>UDR US Equity</v>
      </c>
      <c r="C147" t="str">
        <f>IFERROR(IF(0=LEN(ReferenceData!$C$147),"",ReferenceData!$C$147),"")</f>
        <v>RR553</v>
      </c>
      <c r="D147" t="str">
        <f>IFERROR(IF(0=LEN(ReferenceData!$D$147),"",ReferenceData!$D$147),"")</f>
        <v>EBITDA_RE_ASSET</v>
      </c>
      <c r="E147" t="str">
        <f>IFERROR(IF(0=LEN(ReferenceData!$E$147),"",ReferenceData!$E$147),"")</f>
        <v>动态</v>
      </c>
      <c r="F147" t="str">
        <f ca="1">IFERROR(IF(0=LEN(ReferenceData!$F$147),"",ReferenceData!$F$147),"")</f>
        <v/>
      </c>
      <c r="G147">
        <f ca="1">IFERROR(IF(0=LEN(ReferenceData!$G$147),"",ReferenceData!$G$147),"")</f>
        <v>2.0868449400000002</v>
      </c>
      <c r="H147">
        <f ca="1">IFERROR(IF(0=LEN(ReferenceData!$H$147),"",ReferenceData!$H$147),"")</f>
        <v>2.0265178389999998</v>
      </c>
      <c r="I147">
        <f ca="1">IFERROR(IF(0=LEN(ReferenceData!$I$147),"",ReferenceData!$I$147),"")</f>
        <v>2.0508717870000002</v>
      </c>
      <c r="J147">
        <f ca="1">IFERROR(IF(0=LEN(ReferenceData!$J$147),"",ReferenceData!$J$147),"")</f>
        <v>2.0020556100000002</v>
      </c>
      <c r="K147">
        <f ca="1">IFERROR(IF(0=LEN(ReferenceData!$K$147),"",ReferenceData!$K$147),"")</f>
        <v>2.0305366419999999</v>
      </c>
      <c r="L147">
        <f ca="1">IFERROR(IF(0=LEN(ReferenceData!$L$147),"",ReferenceData!$L$147),"")</f>
        <v>2.0636160860000001</v>
      </c>
      <c r="M147">
        <f ca="1">IFERROR(IF(0=LEN(ReferenceData!$M$147),"",ReferenceData!$M$147),"")</f>
        <v>2.0083289820000001</v>
      </c>
      <c r="N147">
        <f ca="1">IFERROR(IF(0=LEN(ReferenceData!$N$147),"",ReferenceData!$N$147),"")</f>
        <v>1.9473485260000001</v>
      </c>
      <c r="O147">
        <f ca="1">IFERROR(IF(0=LEN(ReferenceData!$O$147),"",ReferenceData!$O$147),"")</f>
        <v>1.888557971</v>
      </c>
      <c r="P147" t="str">
        <f ca="1">IFERROR(IF(0=LEN(ReferenceData!$P$147),"",ReferenceData!$P$147),"")</f>
        <v/>
      </c>
      <c r="Q147">
        <f ca="1">IFERROR(IF(0=LEN(ReferenceData!$Q$147),"",ReferenceData!$Q$147),"")</f>
        <v>1.9322297049999999</v>
      </c>
      <c r="R147">
        <f ca="1">IFERROR(IF(0=LEN(ReferenceData!$R$147),"",ReferenceData!$R$147),"")</f>
        <v>2.0217769489999999</v>
      </c>
      <c r="S147">
        <f ca="1">IFERROR(IF(0=LEN(ReferenceData!$S$147),"",ReferenceData!$S$147),"")</f>
        <v>1.9133427789999999</v>
      </c>
      <c r="T147" t="str">
        <f ca="1">IFERROR(IF(0=LEN(ReferenceData!$T$147),"",ReferenceData!$T$147),"")</f>
        <v/>
      </c>
      <c r="U147" t="str">
        <f ca="1">IFERROR(IF(0=LEN(ReferenceData!$U$147),"",ReferenceData!$U$147),"")</f>
        <v/>
      </c>
      <c r="V147">
        <f ca="1">IFERROR(IF(0=LEN(ReferenceData!$V$147),"",ReferenceData!$V$147),"")</f>
        <v>1.7494497710000001</v>
      </c>
      <c r="W147">
        <f ca="1">IFERROR(IF(0=LEN(ReferenceData!$W$147),"",ReferenceData!$W$147),"")</f>
        <v>1.7441767829999999</v>
      </c>
      <c r="X147">
        <f ca="1">IFERROR(IF(0=LEN(ReferenceData!$X$147),"",ReferenceData!$X$147),"")</f>
        <v>1.828425636</v>
      </c>
      <c r="Y147">
        <f ca="1">IFERROR(IF(0=LEN(ReferenceData!$Y$147),"",ReferenceData!$Y$147),"")</f>
        <v>1.799551846</v>
      </c>
      <c r="Z147">
        <f ca="1">IFERROR(IF(0=LEN(ReferenceData!$Z$147),"",ReferenceData!$Z$147),"")</f>
        <v>1.7042104229999999</v>
      </c>
      <c r="AA147">
        <f ca="1">IFERROR(IF(0=LEN(ReferenceData!$AA$147),"",ReferenceData!$AA$147),"")</f>
        <v>1.517747543</v>
      </c>
      <c r="AB147">
        <f ca="1">IFERROR(IF(0=LEN(ReferenceData!$AB$147),"",ReferenceData!$AB$147),"")</f>
        <v>1.640448533</v>
      </c>
      <c r="AC147">
        <f ca="1">IFERROR(IF(0=LEN(ReferenceData!$AC$147),"",ReferenceData!$AC$147),"")</f>
        <v>1.5229408419999999</v>
      </c>
      <c r="AD147">
        <f ca="1">IFERROR(IF(0=LEN(ReferenceData!$AD$147),"",ReferenceData!$AD$147),"")</f>
        <v>1.640693561</v>
      </c>
      <c r="AE147">
        <f ca="1">IFERROR(IF(0=LEN(ReferenceData!$AE$147),"",ReferenceData!$AE$147),"")</f>
        <v>1.597791996</v>
      </c>
      <c r="AF147">
        <f ca="1">IFERROR(IF(0=LEN(ReferenceData!$AF$147),"",ReferenceData!$AF$147),"")</f>
        <v>1.6663896499999999</v>
      </c>
      <c r="AG147">
        <f ca="1">IFERROR(IF(0=LEN(ReferenceData!$AG$147),"",ReferenceData!$AG$147),"")</f>
        <v>1.6851194700000001</v>
      </c>
      <c r="AH147">
        <f ca="1">IFERROR(IF(0=LEN(ReferenceData!$AH$147),"",ReferenceData!$AH$147),"")</f>
        <v>1.732259183</v>
      </c>
      <c r="AI147">
        <f ca="1">IFERROR(IF(0=LEN(ReferenceData!$AI$147),"",ReferenceData!$AI$147),"")</f>
        <v>1.549173736</v>
      </c>
      <c r="AJ147">
        <f ca="1">IFERROR(IF(0=LEN(ReferenceData!$AJ$147),"",ReferenceData!$AJ$147),"")</f>
        <v>1.6990933589999999</v>
      </c>
      <c r="AK147">
        <f ca="1">IFERROR(IF(0=LEN(ReferenceData!$AK$147),"",ReferenceData!$AK$147),"")</f>
        <v>1.741418586</v>
      </c>
      <c r="AL147">
        <f ca="1">IFERROR(IF(0=LEN(ReferenceData!$AL$147),"",ReferenceData!$AL$147),"")</f>
        <v>1.6535074729999999</v>
      </c>
      <c r="AM147">
        <f ca="1">IFERROR(IF(0=LEN(ReferenceData!$AM$147),"",ReferenceData!$AM$147),"")</f>
        <v>1.6629827829999999</v>
      </c>
      <c r="AN147">
        <f ca="1">IFERROR(IF(0=LEN(ReferenceData!$AN$147),"",ReferenceData!$AN$147),"")</f>
        <v>1.698799706</v>
      </c>
      <c r="AO147">
        <f ca="1">IFERROR(IF(0=LEN(ReferenceData!$AO$147),"",ReferenceData!$AO$147),"")</f>
        <v>1.944004351</v>
      </c>
      <c r="AP147">
        <f ca="1">IFERROR(IF(0=LEN(ReferenceData!$AP$147),"",ReferenceData!$AP$147),"")</f>
        <v>1.7419079449999999</v>
      </c>
      <c r="AQ147">
        <f ca="1">IFERROR(IF(0=LEN(ReferenceData!$AQ$147),"",ReferenceData!$AQ$147),"")</f>
        <v>2.949419298</v>
      </c>
      <c r="AR147">
        <f ca="1">IFERROR(IF(0=LEN(ReferenceData!$AR$147),"",ReferenceData!$AR$147),"")</f>
        <v>1.8068318720000001</v>
      </c>
      <c r="AS147">
        <f ca="1">IFERROR(IF(0=LEN(ReferenceData!$AS$147),"",ReferenceData!$AS$147),"")</f>
        <v>1.826060915</v>
      </c>
      <c r="AT147">
        <f ca="1">IFERROR(IF(0=LEN(ReferenceData!$AT$147),"",ReferenceData!$AT$147),"")</f>
        <v>1.680245617</v>
      </c>
      <c r="AU147">
        <f ca="1">IFERROR(IF(0=LEN(ReferenceData!$AU$147),"",ReferenceData!$AU$147),"")</f>
        <v>1.8734336119999999</v>
      </c>
      <c r="AV147">
        <f ca="1">IFERROR(IF(0=LEN(ReferenceData!$AV$147),"",ReferenceData!$AV$147),"")</f>
        <v>2.1771843799999999</v>
      </c>
      <c r="AW147">
        <f ca="1">IFERROR(IF(0=LEN(ReferenceData!$AW$147),"",ReferenceData!$AW$147),"")</f>
        <v>1.920230401</v>
      </c>
      <c r="AX147">
        <f ca="1">IFERROR(IF(0=LEN(ReferenceData!$AX$147),"",ReferenceData!$AX$147),"")</f>
        <v>1.9547530660000001</v>
      </c>
      <c r="AY147">
        <f ca="1">IFERROR(IF(0=LEN(ReferenceData!$AY$147),"",ReferenceData!$AY$147),"")</f>
        <v>1.7674341469999999</v>
      </c>
      <c r="AZ147">
        <f ca="1">IFERROR(IF(0=LEN(ReferenceData!$AZ$147),"",ReferenceData!$AZ$147),"")</f>
        <v>2.307990835</v>
      </c>
      <c r="BA147">
        <f ca="1">IFERROR(IF(0=LEN(ReferenceData!$BA$147),"",ReferenceData!$BA$147),"")</f>
        <v>2.1195630539999999</v>
      </c>
      <c r="BB147">
        <f ca="1">IFERROR(IF(0=LEN(ReferenceData!$BB$147),"",ReferenceData!$BB$147),"")</f>
        <v>2.2120397380000001</v>
      </c>
      <c r="BC147">
        <f ca="1">IFERROR(IF(0=LEN(ReferenceData!$BC$147),"",ReferenceData!$BC$147),"")</f>
        <v>2.392666277</v>
      </c>
      <c r="BD147">
        <f ca="1">IFERROR(IF(0=LEN(ReferenceData!$BD$147),"",ReferenceData!$BD$147),"")</f>
        <v>2.1372654190000002</v>
      </c>
      <c r="BE147">
        <f ca="1">IFERROR(IF(0=LEN(ReferenceData!$BE$147),"",ReferenceData!$BE$147),"")</f>
        <v>2.175677801</v>
      </c>
      <c r="BF147">
        <f ca="1">IFERROR(IF(0=LEN(ReferenceData!$BF$147),"",ReferenceData!$BF$147),"")</f>
        <v>2.1051079079999999</v>
      </c>
      <c r="BG147">
        <f ca="1">IFERROR(IF(0=LEN(ReferenceData!$BG$147),"",ReferenceData!$BG$147),"")</f>
        <v>1.7195068840000001</v>
      </c>
      <c r="BH147">
        <f ca="1">IFERROR(IF(0=LEN(ReferenceData!$BH$147),"",ReferenceData!$BH$147),"")</f>
        <v>2.1981669199999998</v>
      </c>
      <c r="BI147">
        <f ca="1">IFERROR(IF(0=LEN(ReferenceData!$BI$147),"",ReferenceData!$BI$147),"")</f>
        <v>2.47060849</v>
      </c>
      <c r="BJ147">
        <f ca="1">IFERROR(IF(0=LEN(ReferenceData!$BJ$147),"",ReferenceData!$BJ$147),"")</f>
        <v>2.4529196400000002</v>
      </c>
      <c r="BK147">
        <f ca="1">IFERROR(IF(0=LEN(ReferenceData!$BK$147),"",ReferenceData!$BK$147),"")</f>
        <v>2.4541758539999998</v>
      </c>
      <c r="BL147">
        <f ca="1">IFERROR(IF(0=LEN(ReferenceData!$BL$147),"",ReferenceData!$BL$147),"")</f>
        <v>2.4365185</v>
      </c>
      <c r="BM147">
        <f ca="1">IFERROR(IF(0=LEN(ReferenceData!$BM$147),"",ReferenceData!$BM$147),"")</f>
        <v>2.4703228159999999</v>
      </c>
    </row>
    <row r="148" spans="1:65">
      <c r="A148" t="str">
        <f>IFERROR(IF(0=LEN(ReferenceData!$A$148),"",ReferenceData!$A$148),"")</f>
        <v>FFO/资产(%)</v>
      </c>
      <c r="B148" t="str">
        <f>IFERROR(IF(0=LEN(ReferenceData!$B$148),"",ReferenceData!$B$148),"")</f>
        <v/>
      </c>
      <c r="C148" t="str">
        <f>IFERROR(IF(0=LEN(ReferenceData!$C$148),"",ReferenceData!$C$148),"")</f>
        <v/>
      </c>
      <c r="D148" t="str">
        <f>IFERROR(IF(0=LEN(ReferenceData!$D$148),"",ReferenceData!$D$148),"")</f>
        <v/>
      </c>
      <c r="E148" t="str">
        <f>IFERROR(IF(0=LEN(ReferenceData!$E$148),"",ReferenceData!$E$148),"")</f>
        <v>Median</v>
      </c>
      <c r="F148" t="str">
        <f ca="1">IFERROR(IF(0=LEN(ReferenceData!$F$148),"",ReferenceData!$F$148),"")</f>
        <v/>
      </c>
      <c r="G148">
        <f ca="1">IFERROR(IF(0=LEN(ReferenceData!$G$148),"",ReferenceData!$G$148),"")</f>
        <v>6.4213206165000001</v>
      </c>
      <c r="H148">
        <f ca="1">IFERROR(IF(0=LEN(ReferenceData!$H$148),"",ReferenceData!$H$148),"")</f>
        <v>6.6686908384999999</v>
      </c>
      <c r="I148">
        <f ca="1">IFERROR(IF(0=LEN(ReferenceData!$I$148),"",ReferenceData!$I$148),"")</f>
        <v>6.4224745199999997</v>
      </c>
      <c r="J148">
        <f ca="1">IFERROR(IF(0=LEN(ReferenceData!$J$148),"",ReferenceData!$J$148),"")</f>
        <v>6.3094537339999999</v>
      </c>
      <c r="K148">
        <f ca="1">IFERROR(IF(0=LEN(ReferenceData!$K$148),"",ReferenceData!$K$148),"")</f>
        <v>5.838948104</v>
      </c>
      <c r="L148">
        <f ca="1">IFERROR(IF(0=LEN(ReferenceData!$L$148),"",ReferenceData!$L$148),"")</f>
        <v>6.4921013300000006</v>
      </c>
      <c r="M148">
        <f ca="1">IFERROR(IF(0=LEN(ReferenceData!$M$148),"",ReferenceData!$M$148),"")</f>
        <v>6.3876901855000003</v>
      </c>
      <c r="N148">
        <f ca="1">IFERROR(IF(0=LEN(ReferenceData!$N$148),"",ReferenceData!$N$148),"")</f>
        <v>6.2124381104999999</v>
      </c>
      <c r="O148">
        <f ca="1">IFERROR(IF(0=LEN(ReferenceData!$O$148),"",ReferenceData!$O$148),"")</f>
        <v>6.1758210849999999</v>
      </c>
      <c r="P148">
        <f ca="1">IFERROR(IF(0=LEN(ReferenceData!$P$148),"",ReferenceData!$P$148),"")</f>
        <v>6.2248316685000002</v>
      </c>
      <c r="Q148">
        <f ca="1">IFERROR(IF(0=LEN(ReferenceData!$Q$148),"",ReferenceData!$Q$148),"")</f>
        <v>5.7049710449999997</v>
      </c>
      <c r="R148">
        <f ca="1">IFERROR(IF(0=LEN(ReferenceData!$R$148),"",ReferenceData!$R$148),"")</f>
        <v>6.094723289</v>
      </c>
      <c r="S148">
        <f ca="1">IFERROR(IF(0=LEN(ReferenceData!$S$148),"",ReferenceData!$S$148),"")</f>
        <v>5.7339363270000003</v>
      </c>
      <c r="T148">
        <f ca="1">IFERROR(IF(0=LEN(ReferenceData!$T$148),"",ReferenceData!$T$148),"")</f>
        <v>4.9893767689999997</v>
      </c>
      <c r="U148">
        <f ca="1">IFERROR(IF(0=LEN(ReferenceData!$U$148),"",ReferenceData!$U$148),"")</f>
        <v>4.7843039679999997</v>
      </c>
      <c r="V148">
        <f ca="1">IFERROR(IF(0=LEN(ReferenceData!$V$148),"",ReferenceData!$V$148),"")</f>
        <v>5.2124732950000006</v>
      </c>
      <c r="W148">
        <f ca="1">IFERROR(IF(0=LEN(ReferenceData!$W$148),"",ReferenceData!$W$148),"")</f>
        <v>5.3172576740000004</v>
      </c>
      <c r="X148">
        <f ca="1">IFERROR(IF(0=LEN(ReferenceData!$X$148),"",ReferenceData!$X$148),"")</f>
        <v>5.3391545019999995</v>
      </c>
      <c r="Y148">
        <f ca="1">IFERROR(IF(0=LEN(ReferenceData!$Y$148),"",ReferenceData!$Y$148),"")</f>
        <v>5.3166613555</v>
      </c>
      <c r="Z148">
        <f ca="1">IFERROR(IF(0=LEN(ReferenceData!$Z$148),"",ReferenceData!$Z$148),"")</f>
        <v>4.9724768534999999</v>
      </c>
      <c r="AA148">
        <f ca="1">IFERROR(IF(0=LEN(ReferenceData!$AA$148),"",ReferenceData!$AA$148),"")</f>
        <v>6.0375304075000003</v>
      </c>
      <c r="AB148">
        <f ca="1">IFERROR(IF(0=LEN(ReferenceData!$AB$148),"",ReferenceData!$AB$148),"")</f>
        <v>5.8037969030000003</v>
      </c>
      <c r="AC148">
        <f ca="1">IFERROR(IF(0=LEN(ReferenceData!$AC$148),"",ReferenceData!$AC$148),"")</f>
        <v>5.4775624760000001</v>
      </c>
      <c r="AD148">
        <f ca="1">IFERROR(IF(0=LEN(ReferenceData!$AD$148),"",ReferenceData!$AD$148),"")</f>
        <v>4.9991110619999999</v>
      </c>
      <c r="AE148">
        <f ca="1">IFERROR(IF(0=LEN(ReferenceData!$AE$148),"",ReferenceData!$AE$148),"")</f>
        <v>4.8945389349999999</v>
      </c>
      <c r="AF148">
        <f ca="1">IFERROR(IF(0=LEN(ReferenceData!$AF$148),"",ReferenceData!$AF$148),"")</f>
        <v>4.8411100620000003</v>
      </c>
      <c r="AG148">
        <f ca="1">IFERROR(IF(0=LEN(ReferenceData!$AG$148),"",ReferenceData!$AG$148),"")</f>
        <v>4.7182250039999998</v>
      </c>
      <c r="AH148">
        <f ca="1">IFERROR(IF(0=LEN(ReferenceData!$AH$148),"",ReferenceData!$AH$148),"")</f>
        <v>4.8150848929999999</v>
      </c>
      <c r="AI148">
        <f ca="1">IFERROR(IF(0=LEN(ReferenceData!$AI$148),"",ReferenceData!$AI$148),"")</f>
        <v>4.3369957340000003</v>
      </c>
      <c r="AJ148">
        <f ca="1">IFERROR(IF(0=LEN(ReferenceData!$AJ$148),"",ReferenceData!$AJ$148),"")</f>
        <v>3.9786489319999996</v>
      </c>
      <c r="AK148">
        <f ca="1">IFERROR(IF(0=LEN(ReferenceData!$AK$148),"",ReferenceData!$AK$148),"")</f>
        <v>3.8610473169999997</v>
      </c>
      <c r="AL148">
        <f ca="1">IFERROR(IF(0=LEN(ReferenceData!$AL$148),"",ReferenceData!$AL$148),"")</f>
        <v>3.7673246494999999</v>
      </c>
      <c r="AM148">
        <f ca="1">IFERROR(IF(0=LEN(ReferenceData!$AM$148),"",ReferenceData!$AM$148),"")</f>
        <v>3.8841114155000001</v>
      </c>
      <c r="AN148">
        <f ca="1">IFERROR(IF(0=LEN(ReferenceData!$AN$148),"",ReferenceData!$AN$148),"")</f>
        <v>3.8393756845000002</v>
      </c>
      <c r="AO148">
        <f ca="1">IFERROR(IF(0=LEN(ReferenceData!$AO$148),"",ReferenceData!$AO$148),"")</f>
        <v>4.1707148714999995</v>
      </c>
      <c r="AP148">
        <f ca="1">IFERROR(IF(0=LEN(ReferenceData!$AP$148),"",ReferenceData!$AP$148),"")</f>
        <v>4.1373763139999999</v>
      </c>
      <c r="AQ148">
        <f ca="1">IFERROR(IF(0=LEN(ReferenceData!$AQ$148),"",ReferenceData!$AQ$148),"")</f>
        <v>4.1245670895000002</v>
      </c>
      <c r="AR148">
        <f ca="1">IFERROR(IF(0=LEN(ReferenceData!$AR$148),"",ReferenceData!$AR$148),"")</f>
        <v>4.7310465305000005</v>
      </c>
      <c r="AS148">
        <f ca="1">IFERROR(IF(0=LEN(ReferenceData!$AS$148),"",ReferenceData!$AS$148),"")</f>
        <v>4.7873198260000001</v>
      </c>
      <c r="AT148">
        <f ca="1">IFERROR(IF(0=LEN(ReferenceData!$AT$148),"",ReferenceData!$AT$148),"")</f>
        <v>5.0999459960000006</v>
      </c>
      <c r="AU148">
        <f ca="1">IFERROR(IF(0=LEN(ReferenceData!$AU$148),"",ReferenceData!$AU$148),"")</f>
        <v>5.1758812899999995</v>
      </c>
      <c r="AV148">
        <f ca="1">IFERROR(IF(0=LEN(ReferenceData!$AV$148),"",ReferenceData!$AV$148),"")</f>
        <v>5.2296682004999999</v>
      </c>
      <c r="AW148">
        <f ca="1">IFERROR(IF(0=LEN(ReferenceData!$AW$148),"",ReferenceData!$AW$148),"")</f>
        <v>5.3069659575000001</v>
      </c>
      <c r="AX148">
        <f ca="1">IFERROR(IF(0=LEN(ReferenceData!$AX$148),"",ReferenceData!$AX$148),"")</f>
        <v>5.3380226774999997</v>
      </c>
      <c r="AY148">
        <f ca="1">IFERROR(IF(0=LEN(ReferenceData!$AY$148),"",ReferenceData!$AY$148),"")</f>
        <v>5.4290412075000001</v>
      </c>
      <c r="AZ148">
        <f ca="1">IFERROR(IF(0=LEN(ReferenceData!$AZ$148),"",ReferenceData!$AZ$148),"")</f>
        <v>5.3396794500000002</v>
      </c>
      <c r="BA148">
        <f ca="1">IFERROR(IF(0=LEN(ReferenceData!$BA$148),"",ReferenceData!$BA$148),"")</f>
        <v>5.3038853945</v>
      </c>
      <c r="BB148">
        <f ca="1">IFERROR(IF(0=LEN(ReferenceData!$BB$148),"",ReferenceData!$BB$148),"")</f>
        <v>5.2147300669999996</v>
      </c>
      <c r="BC148">
        <f ca="1">IFERROR(IF(0=LEN(ReferenceData!$BC$148),"",ReferenceData!$BC$148),"")</f>
        <v>5.6826580719999997</v>
      </c>
      <c r="BD148">
        <f ca="1">IFERROR(IF(0=LEN(ReferenceData!$BD$148),"",ReferenceData!$BD$148),"")</f>
        <v>5.6100953020000004</v>
      </c>
      <c r="BE148">
        <f ca="1">IFERROR(IF(0=LEN(ReferenceData!$BE$148),"",ReferenceData!$BE$148),"")</f>
        <v>5.6571556110000003</v>
      </c>
      <c r="BF148">
        <f ca="1">IFERROR(IF(0=LEN(ReferenceData!$BF$148),"",ReferenceData!$BF$148),"")</f>
        <v>5.3612878730000002</v>
      </c>
      <c r="BG148">
        <f ca="1">IFERROR(IF(0=LEN(ReferenceData!$BG$148),"",ReferenceData!$BG$148),"")</f>
        <v>5.3707933820000004</v>
      </c>
      <c r="BH148">
        <f ca="1">IFERROR(IF(0=LEN(ReferenceData!$BH$148),"",ReferenceData!$BH$148),"")</f>
        <v>5.5456147869999999</v>
      </c>
      <c r="BI148">
        <f ca="1">IFERROR(IF(0=LEN(ReferenceData!$BI$148),"",ReferenceData!$BI$148),"")</f>
        <v>5.3905166800000002</v>
      </c>
      <c r="BJ148">
        <f ca="1">IFERROR(IF(0=LEN(ReferenceData!$BJ$148),"",ReferenceData!$BJ$148),"")</f>
        <v>5.4337503119999999</v>
      </c>
      <c r="BK148">
        <f ca="1">IFERROR(IF(0=LEN(ReferenceData!$BK$148),"",ReferenceData!$BK$148),"")</f>
        <v>5.296198381</v>
      </c>
      <c r="BL148">
        <f ca="1">IFERROR(IF(0=LEN(ReferenceData!$BL$148),"",ReferenceData!$BL$148),"")</f>
        <v>5.6853127885000001</v>
      </c>
      <c r="BM148">
        <f ca="1">IFERROR(IF(0=LEN(ReferenceData!$BM$148),"",ReferenceData!$BM$148),"")</f>
        <v>5.6638778355000001</v>
      </c>
    </row>
    <row r="149" spans="1:65">
      <c r="A149" t="str">
        <f>IFERROR(IF(0=LEN(ReferenceData!$A$149),"",ReferenceData!$A$149),"")</f>
        <v xml:space="preserve">    American Campus Communities In</v>
      </c>
      <c r="B149" t="str">
        <f>IFERROR(IF(0=LEN(ReferenceData!$B$149),"",ReferenceData!$B$149),"")</f>
        <v>ACC US Equity</v>
      </c>
      <c r="C149" t="str">
        <f>IFERROR(IF(0=LEN(ReferenceData!$C$149),"",ReferenceData!$C$149),"")</f>
        <v>RR554</v>
      </c>
      <c r="D149" t="str">
        <f>IFERROR(IF(0=LEN(ReferenceData!$D$149),"",ReferenceData!$D$149),"")</f>
        <v>FFO_RE_ASSET</v>
      </c>
      <c r="E149" t="str">
        <f>IFERROR(IF(0=LEN(ReferenceData!$E$149),"",ReferenceData!$E$149),"")</f>
        <v>动态</v>
      </c>
      <c r="F149" t="str">
        <f ca="1">IFERROR(IF(0=LEN(ReferenceData!$F$149),"",ReferenceData!$F$149),"")</f>
        <v/>
      </c>
      <c r="G149">
        <f ca="1">IFERROR(IF(0=LEN(ReferenceData!$G$149),"",ReferenceData!$G$149),"")</f>
        <v>5.2584813549999998</v>
      </c>
      <c r="H149">
        <f ca="1">IFERROR(IF(0=LEN(ReferenceData!$H$149),"",ReferenceData!$H$149),"")</f>
        <v>4.7473090469999999</v>
      </c>
      <c r="I149">
        <f ca="1">IFERROR(IF(0=LEN(ReferenceData!$I$149),"",ReferenceData!$I$149),"")</f>
        <v>5.0194717720000002</v>
      </c>
      <c r="J149">
        <f ca="1">IFERROR(IF(0=LEN(ReferenceData!$J$149),"",ReferenceData!$J$149),"")</f>
        <v>5.2450956819999996</v>
      </c>
      <c r="K149">
        <f ca="1">IFERROR(IF(0=LEN(ReferenceData!$K$149),"",ReferenceData!$K$149),"")</f>
        <v>5.2221884599999999</v>
      </c>
      <c r="L149">
        <f ca="1">IFERROR(IF(0=LEN(ReferenceData!$L$149),"",ReferenceData!$L$149),"")</f>
        <v>5.1428176490000004</v>
      </c>
      <c r="M149">
        <f ca="1">IFERROR(IF(0=LEN(ReferenceData!$M$149),"",ReferenceData!$M$149),"")</f>
        <v>5.0402498629999997</v>
      </c>
      <c r="N149">
        <f ca="1">IFERROR(IF(0=LEN(ReferenceData!$N$149),"",ReferenceData!$N$149),"")</f>
        <v>4.938293679</v>
      </c>
      <c r="O149">
        <f ca="1">IFERROR(IF(0=LEN(ReferenceData!$O$149),"",ReferenceData!$O$149),"")</f>
        <v>4.8453957880000003</v>
      </c>
      <c r="P149">
        <f ca="1">IFERROR(IF(0=LEN(ReferenceData!$P$149),"",ReferenceData!$P$149),"")</f>
        <v>4.8170325390000004</v>
      </c>
      <c r="Q149">
        <f ca="1">IFERROR(IF(0=LEN(ReferenceData!$Q$149),"",ReferenceData!$Q$149),"")</f>
        <v>4.8564591830000001</v>
      </c>
      <c r="R149">
        <f ca="1">IFERROR(IF(0=LEN(ReferenceData!$R$149),"",ReferenceData!$R$149),"")</f>
        <v>4.8399718979999999</v>
      </c>
      <c r="S149">
        <f ca="1">IFERROR(IF(0=LEN(ReferenceData!$S$149),"",ReferenceData!$S$149),"")</f>
        <v>4.7913627940000003</v>
      </c>
      <c r="T149">
        <f ca="1">IFERROR(IF(0=LEN(ReferenceData!$T$149),"",ReferenceData!$T$149),"")</f>
        <v>4.817564698</v>
      </c>
      <c r="U149">
        <f ca="1">IFERROR(IF(0=LEN(ReferenceData!$U$149),"",ReferenceData!$U$149),"")</f>
        <v>4.7622506859999998</v>
      </c>
      <c r="V149">
        <f ca="1">IFERROR(IF(0=LEN(ReferenceData!$V$149),"",ReferenceData!$V$149),"")</f>
        <v>4.6968439440000003</v>
      </c>
      <c r="W149">
        <f ca="1">IFERROR(IF(0=LEN(ReferenceData!$W$149),"",ReferenceData!$W$149),"")</f>
        <v>4.6355992610000003</v>
      </c>
      <c r="X149">
        <f ca="1">IFERROR(IF(0=LEN(ReferenceData!$X$149),"",ReferenceData!$X$149),"")</f>
        <v>4.8812093279999997</v>
      </c>
      <c r="Y149">
        <f ca="1">IFERROR(IF(0=LEN(ReferenceData!$Y$149),"",ReferenceData!$Y$149),"")</f>
        <v>5.2110366819999996</v>
      </c>
      <c r="Z149">
        <f ca="1">IFERROR(IF(0=LEN(ReferenceData!$Z$149),"",ReferenceData!$Z$149),"")</f>
        <v>4.8691975559999996</v>
      </c>
      <c r="AA149">
        <f ca="1">IFERROR(IF(0=LEN(ReferenceData!$AA$149),"",ReferenceData!$AA$149),"")</f>
        <v>4.3444607319999999</v>
      </c>
      <c r="AB149">
        <f ca="1">IFERROR(IF(0=LEN(ReferenceData!$AB$149),"",ReferenceData!$AB$149),"")</f>
        <v>4.5241659309999998</v>
      </c>
      <c r="AC149">
        <f ca="1">IFERROR(IF(0=LEN(ReferenceData!$AC$149),"",ReferenceData!$AC$149),"")</f>
        <v>5.1884279190000004</v>
      </c>
      <c r="AD149">
        <f ca="1">IFERROR(IF(0=LEN(ReferenceData!$AD$149),"",ReferenceData!$AD$149),"")</f>
        <v>5.0386314959999998</v>
      </c>
      <c r="AE149">
        <f ca="1">IFERROR(IF(0=LEN(ReferenceData!$AE$149),"",ReferenceData!$AE$149),"")</f>
        <v>4.9751247520000002</v>
      </c>
      <c r="AF149">
        <f ca="1">IFERROR(IF(0=LEN(ReferenceData!$AF$149),"",ReferenceData!$AF$149),"")</f>
        <v>5.1930000999999999</v>
      </c>
      <c r="AG149">
        <f ca="1">IFERROR(IF(0=LEN(ReferenceData!$AG$149),"",ReferenceData!$AG$149),"")</f>
        <v>5.6687171330000004</v>
      </c>
      <c r="AH149">
        <f ca="1">IFERROR(IF(0=LEN(ReferenceData!$AH$149),"",ReferenceData!$AH$149),"")</f>
        <v>5.148832445</v>
      </c>
      <c r="AI149">
        <f ca="1">IFERROR(IF(0=LEN(ReferenceData!$AI$149),"",ReferenceData!$AI$149),"")</f>
        <v>4.2516151439999996</v>
      </c>
      <c r="AJ149">
        <f ca="1">IFERROR(IF(0=LEN(ReferenceData!$AJ$149),"",ReferenceData!$AJ$149),"")</f>
        <v>3.913937717</v>
      </c>
      <c r="AK149">
        <f ca="1">IFERROR(IF(0=LEN(ReferenceData!$AK$149),"",ReferenceData!$AK$149),"")</f>
        <v>3.7318985659999999</v>
      </c>
      <c r="AL149">
        <f ca="1">IFERROR(IF(0=LEN(ReferenceData!$AL$149),"",ReferenceData!$AL$149),"")</f>
        <v>3.581137145</v>
      </c>
      <c r="AM149">
        <f ca="1">IFERROR(IF(0=LEN(ReferenceData!$AM$149),"",ReferenceData!$AM$149),"")</f>
        <v>3.6274942320000001</v>
      </c>
      <c r="AN149">
        <f ca="1">IFERROR(IF(0=LEN(ReferenceData!$AN$149),"",ReferenceData!$AN$149),"")</f>
        <v>3.170866583</v>
      </c>
      <c r="AO149">
        <f ca="1">IFERROR(IF(0=LEN(ReferenceData!$AO$149),"",ReferenceData!$AO$149),"")</f>
        <v>2.786533634</v>
      </c>
      <c r="AP149">
        <f ca="1">IFERROR(IF(0=LEN(ReferenceData!$AP$149),"",ReferenceData!$AP$149),"")</f>
        <v>3.3277746499999998</v>
      </c>
      <c r="AQ149">
        <f ca="1">IFERROR(IF(0=LEN(ReferenceData!$AQ$149),"",ReferenceData!$AQ$149),"")</f>
        <v>2.9109567890000001</v>
      </c>
      <c r="AR149">
        <f ca="1">IFERROR(IF(0=LEN(ReferenceData!$AR$149),"",ReferenceData!$AR$149),"")</f>
        <v>2.7978806920000001</v>
      </c>
      <c r="AS149">
        <f ca="1">IFERROR(IF(0=LEN(ReferenceData!$AS$149),"",ReferenceData!$AS$149),"")</f>
        <v>2.8227369339999999</v>
      </c>
      <c r="AT149">
        <f ca="1">IFERROR(IF(0=LEN(ReferenceData!$AT$149),"",ReferenceData!$AT$149),"")</f>
        <v>3.9973403529999998</v>
      </c>
      <c r="AU149">
        <f ca="1">IFERROR(IF(0=LEN(ReferenceData!$AU$149),"",ReferenceData!$AU$149),"")</f>
        <v>3.1708929600000002</v>
      </c>
      <c r="AV149">
        <f ca="1">IFERROR(IF(0=LEN(ReferenceData!$AV$149),"",ReferenceData!$AV$149),"")</f>
        <v>2.9649515019999999</v>
      </c>
      <c r="AW149">
        <f ca="1">IFERROR(IF(0=LEN(ReferenceData!$AW$149),"",ReferenceData!$AW$149),"")</f>
        <v>3.0340124770000001</v>
      </c>
      <c r="AX149">
        <f ca="1">IFERROR(IF(0=LEN(ReferenceData!$AX$149),"",ReferenceData!$AX$149),"")</f>
        <v>2.8692671000000001</v>
      </c>
      <c r="AY149">
        <f ca="1">IFERROR(IF(0=LEN(ReferenceData!$AY$149),"",ReferenceData!$AY$149),"")</f>
        <v>4.8792410310000003</v>
      </c>
      <c r="AZ149">
        <f ca="1">IFERROR(IF(0=LEN(ReferenceData!$AZ$149),"",ReferenceData!$AZ$149),"")</f>
        <v>3.922633619</v>
      </c>
      <c r="BA149">
        <f ca="1">IFERROR(IF(0=LEN(ReferenceData!$BA$149),"",ReferenceData!$BA$149),"")</f>
        <v>3.812519006</v>
      </c>
      <c r="BB149">
        <f ca="1">IFERROR(IF(0=LEN(ReferenceData!$BB$149),"",ReferenceData!$BB$149),"")</f>
        <v>3.5590189680000002</v>
      </c>
      <c r="BC149">
        <f ca="1">IFERROR(IF(0=LEN(ReferenceData!$BC$149),"",ReferenceData!$BC$149),"")</f>
        <v>4.3774209949999996</v>
      </c>
      <c r="BD149">
        <f ca="1">IFERROR(IF(0=LEN(ReferenceData!$BD$149),"",ReferenceData!$BD$149),"")</f>
        <v>4.3466337749999999</v>
      </c>
      <c r="BE149">
        <f ca="1">IFERROR(IF(0=LEN(ReferenceData!$BE$149),"",ReferenceData!$BE$149),"")</f>
        <v>2.9227210690000001</v>
      </c>
      <c r="BF149">
        <f ca="1">IFERROR(IF(0=LEN(ReferenceData!$BF$149),"",ReferenceData!$BF$149),"")</f>
        <v>2.7138439860000001</v>
      </c>
      <c r="BG149" t="str">
        <f ca="1">IFERROR(IF(0=LEN(ReferenceData!$BG$149),"",ReferenceData!$BG$149),"")</f>
        <v/>
      </c>
      <c r="BH149" t="str">
        <f ca="1">IFERROR(IF(0=LEN(ReferenceData!$BH$149),"",ReferenceData!$BH$149),"")</f>
        <v/>
      </c>
      <c r="BI149" t="str">
        <f ca="1">IFERROR(IF(0=LEN(ReferenceData!$BI$149),"",ReferenceData!$BI$149),"")</f>
        <v/>
      </c>
      <c r="BJ149" t="str">
        <f ca="1">IFERROR(IF(0=LEN(ReferenceData!$BJ$149),"",ReferenceData!$BJ$149),"")</f>
        <v/>
      </c>
      <c r="BK149" t="str">
        <f ca="1">IFERROR(IF(0=LEN(ReferenceData!$BK$149),"",ReferenceData!$BK$149),"")</f>
        <v/>
      </c>
      <c r="BL149" t="str">
        <f ca="1">IFERROR(IF(0=LEN(ReferenceData!$BL$149),"",ReferenceData!$BL$149),"")</f>
        <v/>
      </c>
      <c r="BM149" t="str">
        <f ca="1">IFERROR(IF(0=LEN(ReferenceData!$BM$149),"",ReferenceData!$BM$149),"")</f>
        <v/>
      </c>
    </row>
    <row r="150" spans="1:65">
      <c r="A150" t="str">
        <f>IFERROR(IF(0=LEN(ReferenceData!$A$150),"",ReferenceData!$A$150),"")</f>
        <v xml:space="preserve">    AvalonBay Communities Inc</v>
      </c>
      <c r="B150" t="str">
        <f>IFERROR(IF(0=LEN(ReferenceData!$B$150),"",ReferenceData!$B$150),"")</f>
        <v>AVB US Equity</v>
      </c>
      <c r="C150" t="str">
        <f>IFERROR(IF(0=LEN(ReferenceData!$C$150),"",ReferenceData!$C$150),"")</f>
        <v>RR554</v>
      </c>
      <c r="D150" t="str">
        <f>IFERROR(IF(0=LEN(ReferenceData!$D$150),"",ReferenceData!$D$150),"")</f>
        <v>FFO_RE_ASSET</v>
      </c>
      <c r="E150" t="str">
        <f>IFERROR(IF(0=LEN(ReferenceData!$E$150),"",ReferenceData!$E$150),"")</f>
        <v>动态</v>
      </c>
      <c r="F150" t="str">
        <f ca="1">IFERROR(IF(0=LEN(ReferenceData!$F$150),"",ReferenceData!$F$150),"")</f>
        <v/>
      </c>
      <c r="G150">
        <f ca="1">IFERROR(IF(0=LEN(ReferenceData!$G$150),"",ReferenceData!$G$150),"")</f>
        <v>6.6528728460000002</v>
      </c>
      <c r="H150">
        <f ca="1">IFERROR(IF(0=LEN(ReferenceData!$H$150),"",ReferenceData!$H$150),"")</f>
        <v>6.6614385570000003</v>
      </c>
      <c r="I150">
        <f ca="1">IFERROR(IF(0=LEN(ReferenceData!$I$150),"",ReferenceData!$I$150),"")</f>
        <v>6.5639297030000003</v>
      </c>
      <c r="J150">
        <f ca="1">IFERROR(IF(0=LEN(ReferenceData!$J$150),"",ReferenceData!$J$150),"")</f>
        <v>6.7056905149999997</v>
      </c>
      <c r="K150">
        <f ca="1">IFERROR(IF(0=LEN(ReferenceData!$K$150),"",ReferenceData!$K$150),"")</f>
        <v>6.807627267</v>
      </c>
      <c r="L150">
        <f ca="1">IFERROR(IF(0=LEN(ReferenceData!$L$150),"",ReferenceData!$L$150),"")</f>
        <v>6.7527599970000001</v>
      </c>
      <c r="M150">
        <f ca="1">IFERROR(IF(0=LEN(ReferenceData!$M$150),"",ReferenceData!$M$150),"")</f>
        <v>6.7353720519999998</v>
      </c>
      <c r="N150">
        <f ca="1">IFERROR(IF(0=LEN(ReferenceData!$N$150),"",ReferenceData!$N$150),"")</f>
        <v>6.9514859590000002</v>
      </c>
      <c r="O150">
        <f ca="1">IFERROR(IF(0=LEN(ReferenceData!$O$150),"",ReferenceData!$O$150),"")</f>
        <v>6.9001066250000003</v>
      </c>
      <c r="P150">
        <f ca="1">IFERROR(IF(0=LEN(ReferenceData!$P$150),"",ReferenceData!$P$150),"")</f>
        <v>6.7318698469999996</v>
      </c>
      <c r="Q150">
        <f ca="1">IFERROR(IF(0=LEN(ReferenceData!$Q$150),"",ReferenceData!$Q$150),"")</f>
        <v>6.8902287329999998</v>
      </c>
      <c r="R150">
        <f ca="1">IFERROR(IF(0=LEN(ReferenceData!$R$150),"",ReferenceData!$R$150),"")</f>
        <v>6.4938863509999996</v>
      </c>
      <c r="S150">
        <f ca="1">IFERROR(IF(0=LEN(ReferenceData!$S$150),"",ReferenceData!$S$150),"")</f>
        <v>6.3643971300000004</v>
      </c>
      <c r="T150">
        <f ca="1">IFERROR(IF(0=LEN(ReferenceData!$T$150),"",ReferenceData!$T$150),"")</f>
        <v>6.1555036449999996</v>
      </c>
      <c r="U150">
        <f ca="1">IFERROR(IF(0=LEN(ReferenceData!$U$150),"",ReferenceData!$U$150),"")</f>
        <v>5.349923521</v>
      </c>
      <c r="V150">
        <f ca="1">IFERROR(IF(0=LEN(ReferenceData!$V$150),"",ReferenceData!$V$150),"")</f>
        <v>5.2214518520000004</v>
      </c>
      <c r="W150">
        <f ca="1">IFERROR(IF(0=LEN(ReferenceData!$W$150),"",ReferenceData!$W$150),"")</f>
        <v>5.6395821699999997</v>
      </c>
      <c r="X150">
        <f ca="1">IFERROR(IF(0=LEN(ReferenceData!$X$150),"",ReferenceData!$X$150),"")</f>
        <v>5.1046684579999999</v>
      </c>
      <c r="Y150">
        <f ca="1">IFERROR(IF(0=LEN(ReferenceData!$Y$150),"",ReferenceData!$Y$150),"")</f>
        <v>5.0825033199999998</v>
      </c>
      <c r="Z150">
        <f ca="1">IFERROR(IF(0=LEN(ReferenceData!$Z$150),"",ReferenceData!$Z$150),"")</f>
        <v>4.4630390819999999</v>
      </c>
      <c r="AA150">
        <f ca="1">IFERROR(IF(0=LEN(ReferenceData!$AA$150),"",ReferenceData!$AA$150),"")</f>
        <v>6.6316012610000001</v>
      </c>
      <c r="AB150">
        <f ca="1">IFERROR(IF(0=LEN(ReferenceData!$AB$150),"",ReferenceData!$AB$150),"")</f>
        <v>6.5155785750000001</v>
      </c>
      <c r="AC150">
        <f ca="1">IFERROR(IF(0=LEN(ReferenceData!$AC$150),"",ReferenceData!$AC$150),"")</f>
        <v>6.2583004559999997</v>
      </c>
      <c r="AD150">
        <f ca="1">IFERROR(IF(0=LEN(ReferenceData!$AD$150),"",ReferenceData!$AD$150),"")</f>
        <v>5.9801799779999998</v>
      </c>
      <c r="AE150">
        <f ca="1">IFERROR(IF(0=LEN(ReferenceData!$AE$150),"",ReferenceData!$AE$150),"")</f>
        <v>5.6597313280000003</v>
      </c>
      <c r="AF150">
        <f ca="1">IFERROR(IF(0=LEN(ReferenceData!$AF$150),"",ReferenceData!$AF$150),"")</f>
        <v>5.3633555399999997</v>
      </c>
      <c r="AG150">
        <f ca="1">IFERROR(IF(0=LEN(ReferenceData!$AG$150),"",ReferenceData!$AG$150),"")</f>
        <v>5.130714523</v>
      </c>
      <c r="AH150">
        <f ca="1">IFERROR(IF(0=LEN(ReferenceData!$AH$150),"",ReferenceData!$AH$150),"")</f>
        <v>5.0137715350000001</v>
      </c>
      <c r="AI150">
        <f ca="1">IFERROR(IF(0=LEN(ReferenceData!$AI$150),"",ReferenceData!$AI$150),"")</f>
        <v>4.8386874190000002</v>
      </c>
      <c r="AJ150">
        <f ca="1">IFERROR(IF(0=LEN(ReferenceData!$AJ$150),"",ReferenceData!$AJ$150),"")</f>
        <v>4.3656772930000001</v>
      </c>
      <c r="AK150">
        <f ca="1">IFERROR(IF(0=LEN(ReferenceData!$AK$150),"",ReferenceData!$AK$150),"")</f>
        <v>4.4567137370000003</v>
      </c>
      <c r="AL150">
        <f ca="1">IFERROR(IF(0=LEN(ReferenceData!$AL$150),"",ReferenceData!$AL$150),"")</f>
        <v>4.2441524309999998</v>
      </c>
      <c r="AM150">
        <f ca="1">IFERROR(IF(0=LEN(ReferenceData!$AM$150),"",ReferenceData!$AM$150),"")</f>
        <v>4.6021454029999997</v>
      </c>
      <c r="AN150">
        <f ca="1">IFERROR(IF(0=LEN(ReferenceData!$AN$150),"",ReferenceData!$AN$150),"")</f>
        <v>4.1988321170000003</v>
      </c>
      <c r="AO150">
        <f ca="1">IFERROR(IF(0=LEN(ReferenceData!$AO$150),"",ReferenceData!$AO$150),"")</f>
        <v>4.3731919430000001</v>
      </c>
      <c r="AP150">
        <f ca="1">IFERROR(IF(0=LEN(ReferenceData!$AP$150),"",ReferenceData!$AP$150),"")</f>
        <v>4.8195118680000002</v>
      </c>
      <c r="AQ150">
        <f ca="1">IFERROR(IF(0=LEN(ReferenceData!$AQ$150),"",ReferenceData!$AQ$150),"")</f>
        <v>4.8384142649999999</v>
      </c>
      <c r="AR150">
        <f ca="1">IFERROR(IF(0=LEN(ReferenceData!$AR$150),"",ReferenceData!$AR$150),"")</f>
        <v>5.9727107249999998</v>
      </c>
      <c r="AS150">
        <f ca="1">IFERROR(IF(0=LEN(ReferenceData!$AS$150),"",ReferenceData!$AS$150),"")</f>
        <v>6.0029562580000002</v>
      </c>
      <c r="AT150">
        <f ca="1">IFERROR(IF(0=LEN(ReferenceData!$AT$150),"",ReferenceData!$AT$150),"")</f>
        <v>6.0918120699999996</v>
      </c>
      <c r="AU150">
        <f ca="1">IFERROR(IF(0=LEN(ReferenceData!$AU$150),"",ReferenceData!$AU$150),"")</f>
        <v>6.1815590489999996</v>
      </c>
      <c r="AV150">
        <f ca="1">IFERROR(IF(0=LEN(ReferenceData!$AV$150),"",ReferenceData!$AV$150),"")</f>
        <v>6.2482231779999999</v>
      </c>
      <c r="AW150">
        <f ca="1">IFERROR(IF(0=LEN(ReferenceData!$AW$150),"",ReferenceData!$AW$150),"")</f>
        <v>6.1845705820000001</v>
      </c>
      <c r="AX150">
        <f ca="1">IFERROR(IF(0=LEN(ReferenceData!$AX$150),"",ReferenceData!$AX$150),"")</f>
        <v>6.0403988179999999</v>
      </c>
      <c r="AY150">
        <f ca="1">IFERROR(IF(0=LEN(ReferenceData!$AY$150),"",ReferenceData!$AY$150),"")</f>
        <v>6.0754119979999999</v>
      </c>
      <c r="AZ150">
        <f ca="1">IFERROR(IF(0=LEN(ReferenceData!$AZ$150),"",ReferenceData!$AZ$150),"")</f>
        <v>6.1006494250000003</v>
      </c>
      <c r="BA150">
        <f ca="1">IFERROR(IF(0=LEN(ReferenceData!$BA$150),"",ReferenceData!$BA$150),"")</f>
        <v>5.9077939099999996</v>
      </c>
      <c r="BB150">
        <f ca="1">IFERROR(IF(0=LEN(ReferenceData!$BB$150),"",ReferenceData!$BB$150),"")</f>
        <v>5.9640350350000002</v>
      </c>
      <c r="BC150">
        <f ca="1">IFERROR(IF(0=LEN(ReferenceData!$BC$150),"",ReferenceData!$BC$150),"")</f>
        <v>5.68839966</v>
      </c>
      <c r="BD150">
        <f ca="1">IFERROR(IF(0=LEN(ReferenceData!$BD$150),"",ReferenceData!$BD$150),"")</f>
        <v>5.6100953020000004</v>
      </c>
      <c r="BE150">
        <f ca="1">IFERROR(IF(0=LEN(ReferenceData!$BE$150),"",ReferenceData!$BE$150),"")</f>
        <v>5.5348423220000003</v>
      </c>
      <c r="BF150">
        <f ca="1">IFERROR(IF(0=LEN(ReferenceData!$BF$150),"",ReferenceData!$BF$150),"")</f>
        <v>5.3612878730000002</v>
      </c>
      <c r="BG150">
        <f ca="1">IFERROR(IF(0=LEN(ReferenceData!$BG$150),"",ReferenceData!$BG$150),"")</f>
        <v>5.0789275299999996</v>
      </c>
      <c r="BH150">
        <f ca="1">IFERROR(IF(0=LEN(ReferenceData!$BH$150),"",ReferenceData!$BH$150),"")</f>
        <v>4.923083063</v>
      </c>
      <c r="BI150">
        <f ca="1">IFERROR(IF(0=LEN(ReferenceData!$BI$150),"",ReferenceData!$BI$150),"")</f>
        <v>4.8108290880000002</v>
      </c>
      <c r="BJ150">
        <f ca="1">IFERROR(IF(0=LEN(ReferenceData!$BJ$150),"",ReferenceData!$BJ$150),"")</f>
        <v>4.7578520810000002</v>
      </c>
      <c r="BK150">
        <f ca="1">IFERROR(IF(0=LEN(ReferenceData!$BK$150),"",ReferenceData!$BK$150),"")</f>
        <v>4.778192089</v>
      </c>
      <c r="BL150">
        <f ca="1">IFERROR(IF(0=LEN(ReferenceData!$BL$150),"",ReferenceData!$BL$150),"")</f>
        <v>4.6429662690000004</v>
      </c>
      <c r="BM150">
        <f ca="1">IFERROR(IF(0=LEN(ReferenceData!$BM$150),"",ReferenceData!$BM$150),"")</f>
        <v>4.8035249929999999</v>
      </c>
    </row>
    <row r="151" spans="1:65">
      <c r="A151" t="str">
        <f>IFERROR(IF(0=LEN(ReferenceData!$A$151),"",ReferenceData!$A$151),"")</f>
        <v xml:space="preserve">    Camden Property Trust</v>
      </c>
      <c r="B151" t="str">
        <f>IFERROR(IF(0=LEN(ReferenceData!$B$151),"",ReferenceData!$B$151),"")</f>
        <v>CPT US Equity</v>
      </c>
      <c r="C151" t="str">
        <f>IFERROR(IF(0=LEN(ReferenceData!$C$151),"",ReferenceData!$C$151),"")</f>
        <v>RR554</v>
      </c>
      <c r="D151" t="str">
        <f>IFERROR(IF(0=LEN(ReferenceData!$D$151),"",ReferenceData!$D$151),"")</f>
        <v>FFO_RE_ASSET</v>
      </c>
      <c r="E151" t="str">
        <f>IFERROR(IF(0=LEN(ReferenceData!$E$151),"",ReferenceData!$E$151),"")</f>
        <v>动态</v>
      </c>
      <c r="F151" t="str">
        <f ca="1">IFERROR(IF(0=LEN(ReferenceData!$F$151),"",ReferenceData!$F$151),"")</f>
        <v/>
      </c>
      <c r="G151">
        <f ca="1">IFERROR(IF(0=LEN(ReferenceData!$G$151),"",ReferenceData!$G$151),"")</f>
        <v>7.6461521640000001</v>
      </c>
      <c r="H151">
        <f ca="1">IFERROR(IF(0=LEN(ReferenceData!$H$151),"",ReferenceData!$H$151),"")</f>
        <v>7.4817588150000001</v>
      </c>
      <c r="I151">
        <f ca="1">IFERROR(IF(0=LEN(ReferenceData!$I$151),"",ReferenceData!$I$151),"")</f>
        <v>7.4556433750000002</v>
      </c>
      <c r="J151">
        <f ca="1">IFERROR(IF(0=LEN(ReferenceData!$J$151),"",ReferenceData!$J$151),"")</f>
        <v>7.444219479</v>
      </c>
      <c r="K151">
        <f ca="1">IFERROR(IF(0=LEN(ReferenceData!$K$151),"",ReferenceData!$K$151),"")</f>
        <v>7.6269289760000003</v>
      </c>
      <c r="L151">
        <f ca="1">IFERROR(IF(0=LEN(ReferenceData!$L$151),"",ReferenceData!$L$151),"")</f>
        <v>7.5699212039999999</v>
      </c>
      <c r="M151">
        <f ca="1">IFERROR(IF(0=LEN(ReferenceData!$M$151),"",ReferenceData!$M$151),"")</f>
        <v>7.5369945459999999</v>
      </c>
      <c r="N151">
        <f ca="1">IFERROR(IF(0=LEN(ReferenceData!$N$151),"",ReferenceData!$N$151),"")</f>
        <v>7.4696664610000001</v>
      </c>
      <c r="O151">
        <f ca="1">IFERROR(IF(0=LEN(ReferenceData!$O$151),"",ReferenceData!$O$151),"")</f>
        <v>7.2976853930000001</v>
      </c>
      <c r="P151">
        <f ca="1">IFERROR(IF(0=LEN(ReferenceData!$P$151),"",ReferenceData!$P$151),"")</f>
        <v>6.850685414</v>
      </c>
      <c r="Q151">
        <f ca="1">IFERROR(IF(0=LEN(ReferenceData!$Q$151),"",ReferenceData!$Q$151),"")</f>
        <v>6.799176031</v>
      </c>
      <c r="R151">
        <f ca="1">IFERROR(IF(0=LEN(ReferenceData!$R$151),"",ReferenceData!$R$151),"")</f>
        <v>6.7724932869999996</v>
      </c>
      <c r="S151">
        <f ca="1">IFERROR(IF(0=LEN(ReferenceData!$S$151),"",ReferenceData!$S$151),"")</f>
        <v>6.7569782439999999</v>
      </c>
      <c r="T151">
        <f ca="1">IFERROR(IF(0=LEN(ReferenceData!$T$151),"",ReferenceData!$T$151),"")</f>
        <v>6.9195752119999998</v>
      </c>
      <c r="U151">
        <f ca="1">IFERROR(IF(0=LEN(ReferenceData!$U$151),"",ReferenceData!$U$151),"")</f>
        <v>6.9082677449999998</v>
      </c>
      <c r="V151">
        <f ca="1">IFERROR(IF(0=LEN(ReferenceData!$V$151),"",ReferenceData!$V$151),"")</f>
        <v>7.0312270950000002</v>
      </c>
      <c r="W151">
        <f ca="1">IFERROR(IF(0=LEN(ReferenceData!$W$151),"",ReferenceData!$W$151),"")</f>
        <v>6.903387049</v>
      </c>
      <c r="X151">
        <f ca="1">IFERROR(IF(0=LEN(ReferenceData!$X$151),"",ReferenceData!$X$151),"")</f>
        <v>6.805839078</v>
      </c>
      <c r="Y151">
        <f ca="1">IFERROR(IF(0=LEN(ReferenceData!$Y$151),"",ReferenceData!$Y$151),"")</f>
        <v>6.7282597969999998</v>
      </c>
      <c r="Z151">
        <f ca="1">IFERROR(IF(0=LEN(ReferenceData!$Z$151),"",ReferenceData!$Z$151),"")</f>
        <v>6.6168210490000003</v>
      </c>
      <c r="AA151">
        <f ca="1">IFERROR(IF(0=LEN(ReferenceData!$AA$151),"",ReferenceData!$AA$151),"")</f>
        <v>6.5063729700000001</v>
      </c>
      <c r="AB151">
        <f ca="1">IFERROR(IF(0=LEN(ReferenceData!$AB$151),"",ReferenceData!$AB$151),"")</f>
        <v>6.1482206140000004</v>
      </c>
      <c r="AC151">
        <f ca="1">IFERROR(IF(0=LEN(ReferenceData!$AC$151),"",ReferenceData!$AC$151),"")</f>
        <v>5.7666970329999998</v>
      </c>
      <c r="AD151">
        <f ca="1">IFERROR(IF(0=LEN(ReferenceData!$AD$151),"",ReferenceData!$AD$151),"")</f>
        <v>4.8331897420000001</v>
      </c>
      <c r="AE151">
        <f ca="1">IFERROR(IF(0=LEN(ReferenceData!$AE$151),"",ReferenceData!$AE$151),"")</f>
        <v>4.7075227359999996</v>
      </c>
      <c r="AF151">
        <f ca="1">IFERROR(IF(0=LEN(ReferenceData!$AF$151),"",ReferenceData!$AF$151),"")</f>
        <v>4.4892200239999998</v>
      </c>
      <c r="AG151">
        <f ca="1">IFERROR(IF(0=LEN(ReferenceData!$AG$151),"",ReferenceData!$AG$151),"")</f>
        <v>4.2481577609999999</v>
      </c>
      <c r="AH151">
        <f ca="1">IFERROR(IF(0=LEN(ReferenceData!$AH$151),"",ReferenceData!$AH$151),"")</f>
        <v>4.6163982509999997</v>
      </c>
      <c r="AI151">
        <f ca="1">IFERROR(IF(0=LEN(ReferenceData!$AI$151),"",ReferenceData!$AI$151),"")</f>
        <v>4.422376324</v>
      </c>
      <c r="AJ151">
        <f ca="1">IFERROR(IF(0=LEN(ReferenceData!$AJ$151),"",ReferenceData!$AJ$151),"")</f>
        <v>2.3432502899999998</v>
      </c>
      <c r="AK151">
        <f ca="1">IFERROR(IF(0=LEN(ReferenceData!$AK$151),"",ReferenceData!$AK$151),"")</f>
        <v>2.383469872</v>
      </c>
      <c r="AL151">
        <f ca="1">IFERROR(IF(0=LEN(ReferenceData!$AL$151),"",ReferenceData!$AL$151),"")</f>
        <v>2.3640916060000001</v>
      </c>
      <c r="AM151">
        <f ca="1">IFERROR(IF(0=LEN(ReferenceData!$AM$151),"",ReferenceData!$AM$151),"")</f>
        <v>2.4488931350000001</v>
      </c>
      <c r="AN151">
        <f ca="1">IFERROR(IF(0=LEN(ReferenceData!$AN$151),"",ReferenceData!$AN$151),"")</f>
        <v>3.4151055690000001</v>
      </c>
      <c r="AO151">
        <f ca="1">IFERROR(IF(0=LEN(ReferenceData!$AO$151),"",ReferenceData!$AO$151),"")</f>
        <v>3.4719273369999999</v>
      </c>
      <c r="AP151">
        <f ca="1">IFERROR(IF(0=LEN(ReferenceData!$AP$151),"",ReferenceData!$AP$151),"")</f>
        <v>3.6402732339999999</v>
      </c>
      <c r="AQ151">
        <f ca="1">IFERROR(IF(0=LEN(ReferenceData!$AQ$151),"",ReferenceData!$AQ$151),"")</f>
        <v>3.6475324549999999</v>
      </c>
      <c r="AR151">
        <f ca="1">IFERROR(IF(0=LEN(ReferenceData!$AR$151),"",ReferenceData!$AR$151),"")</f>
        <v>4.6161235730000003</v>
      </c>
      <c r="AS151">
        <f ca="1">IFERROR(IF(0=LEN(ReferenceData!$AS$151),"",ReferenceData!$AS$151),"")</f>
        <v>4.6905027209999997</v>
      </c>
      <c r="AT151">
        <f ca="1">IFERROR(IF(0=LEN(ReferenceData!$AT$151),"",ReferenceData!$AT$151),"")</f>
        <v>4.8321847660000001</v>
      </c>
      <c r="AU151">
        <f ca="1">IFERROR(IF(0=LEN(ReferenceData!$AU$151),"",ReferenceData!$AU$151),"")</f>
        <v>4.9898715620000003</v>
      </c>
      <c r="AV151">
        <f ca="1">IFERROR(IF(0=LEN(ReferenceData!$AV$151),"",ReferenceData!$AV$151),"")</f>
        <v>4.9278970150000001</v>
      </c>
      <c r="AW151">
        <f ca="1">IFERROR(IF(0=LEN(ReferenceData!$AW$151),"",ReferenceData!$AW$151),"")</f>
        <v>5.3679114720000003</v>
      </c>
      <c r="AX151">
        <f ca="1">IFERROR(IF(0=LEN(ReferenceData!$AX$151),"",ReferenceData!$AX$151),"")</f>
        <v>5.3774557280000002</v>
      </c>
      <c r="AY151">
        <f ca="1">IFERROR(IF(0=LEN(ReferenceData!$AY$151),"",ReferenceData!$AY$151),"")</f>
        <v>5.4471245340000003</v>
      </c>
      <c r="AZ151">
        <f ca="1">IFERROR(IF(0=LEN(ReferenceData!$AZ$151),"",ReferenceData!$AZ$151),"")</f>
        <v>5.3367374229999998</v>
      </c>
      <c r="BA151">
        <f ca="1">IFERROR(IF(0=LEN(ReferenceData!$BA$151),"",ReferenceData!$BA$151),"")</f>
        <v>4.521725773</v>
      </c>
      <c r="BB151">
        <f ca="1">IFERROR(IF(0=LEN(ReferenceData!$BB$151),"",ReferenceData!$BB$151),"")</f>
        <v>4.3870481549999996</v>
      </c>
      <c r="BC151">
        <f ca="1">IFERROR(IF(0=LEN(ReferenceData!$BC$151),"",ReferenceData!$BC$151),"")</f>
        <v>5.6826580719999997</v>
      </c>
      <c r="BD151">
        <f ca="1">IFERROR(IF(0=LEN(ReferenceData!$BD$151),"",ReferenceData!$BD$151),"")</f>
        <v>5.3472322659999998</v>
      </c>
      <c r="BE151">
        <f ca="1">IFERROR(IF(0=LEN(ReferenceData!$BE$151),"",ReferenceData!$BE$151),"")</f>
        <v>5.0605005570000001</v>
      </c>
      <c r="BF151">
        <f ca="1">IFERROR(IF(0=LEN(ReferenceData!$BF$151),"",ReferenceData!$BF$151),"")</f>
        <v>4.7150381509999999</v>
      </c>
      <c r="BG151">
        <f ca="1">IFERROR(IF(0=LEN(ReferenceData!$BG$151),"",ReferenceData!$BG$151),"")</f>
        <v>5.6626592340000004</v>
      </c>
      <c r="BH151">
        <f ca="1">IFERROR(IF(0=LEN(ReferenceData!$BH$151),"",ReferenceData!$BH$151),"")</f>
        <v>5.5456147869999999</v>
      </c>
      <c r="BI151">
        <f ca="1">IFERROR(IF(0=LEN(ReferenceData!$BI$151),"",ReferenceData!$BI$151),"")</f>
        <v>5.5086138250000003</v>
      </c>
      <c r="BJ151">
        <f ca="1">IFERROR(IF(0=LEN(ReferenceData!$BJ$151),"",ReferenceData!$BJ$151),"")</f>
        <v>5.4337503119999999</v>
      </c>
      <c r="BK151">
        <f ca="1">IFERROR(IF(0=LEN(ReferenceData!$BK$151),"",ReferenceData!$BK$151),"")</f>
        <v>5.296198381</v>
      </c>
      <c r="BL151">
        <f ca="1">IFERROR(IF(0=LEN(ReferenceData!$BL$151),"",ReferenceData!$BL$151),"")</f>
        <v>5.3036422520000004</v>
      </c>
      <c r="BM151">
        <f ca="1">IFERROR(IF(0=LEN(ReferenceData!$BM$151),"",ReferenceData!$BM$151),"")</f>
        <v>5.4749505300000001</v>
      </c>
    </row>
    <row r="152" spans="1:65">
      <c r="A152" t="str">
        <f>IFERROR(IF(0=LEN(ReferenceData!$A$152),"",ReferenceData!$A$152),"")</f>
        <v xml:space="preserve">    Education Realty Trust Inc</v>
      </c>
      <c r="B152" t="str">
        <f>IFERROR(IF(0=LEN(ReferenceData!$B$152),"",ReferenceData!$B$152),"")</f>
        <v>EDR US Equity</v>
      </c>
      <c r="C152" t="str">
        <f>IFERROR(IF(0=LEN(ReferenceData!$C$152),"",ReferenceData!$C$152),"")</f>
        <v>RR554</v>
      </c>
      <c r="D152" t="str">
        <f>IFERROR(IF(0=LEN(ReferenceData!$D$152),"",ReferenceData!$D$152),"")</f>
        <v>FFO_RE_ASSET</v>
      </c>
      <c r="E152" t="str">
        <f>IFERROR(IF(0=LEN(ReferenceData!$E$152),"",ReferenceData!$E$152),"")</f>
        <v>动态</v>
      </c>
      <c r="F152" t="str">
        <f ca="1">IFERROR(IF(0=LEN(ReferenceData!$F$152),"",ReferenceData!$F$152),"")</f>
        <v/>
      </c>
      <c r="G152">
        <f ca="1">IFERROR(IF(0=LEN(ReferenceData!$G$152),"",ReferenceData!$G$152),"")</f>
        <v>5.3741638219999999</v>
      </c>
      <c r="H152">
        <f ca="1">IFERROR(IF(0=LEN(ReferenceData!$H$152),"",ReferenceData!$H$152),"")</f>
        <v>5.2672082830000004</v>
      </c>
      <c r="I152">
        <f ca="1">IFERROR(IF(0=LEN(ReferenceData!$I$152),"",ReferenceData!$I$152),"")</f>
        <v>5.3711000589999998</v>
      </c>
      <c r="J152">
        <f ca="1">IFERROR(IF(0=LEN(ReferenceData!$J$152),"",ReferenceData!$J$152),"")</f>
        <v>5.5314343340000001</v>
      </c>
      <c r="K152">
        <f ca="1">IFERROR(IF(0=LEN(ReferenceData!$K$152),"",ReferenceData!$K$152),"")</f>
        <v>4.9364445520000002</v>
      </c>
      <c r="L152">
        <f ca="1">IFERROR(IF(0=LEN(ReferenceData!$L$152),"",ReferenceData!$L$152),"")</f>
        <v>4.6835123340000004</v>
      </c>
      <c r="M152">
        <f ca="1">IFERROR(IF(0=LEN(ReferenceData!$M$152),"",ReferenceData!$M$152),"")</f>
        <v>4.6493978460000003</v>
      </c>
      <c r="N152">
        <f ca="1">IFERROR(IF(0=LEN(ReferenceData!$N$152),"",ReferenceData!$N$152),"")</f>
        <v>4.6679849190000002</v>
      </c>
      <c r="O152">
        <f ca="1">IFERROR(IF(0=LEN(ReferenceData!$O$152),"",ReferenceData!$O$152),"")</f>
        <v>4.7802638560000004</v>
      </c>
      <c r="P152">
        <f ca="1">IFERROR(IF(0=LEN(ReferenceData!$P$152),"",ReferenceData!$P$152),"")</f>
        <v>4.4576924440000001</v>
      </c>
      <c r="Q152">
        <f ca="1">IFERROR(IF(0=LEN(ReferenceData!$Q$152),"",ReferenceData!$Q$152),"")</f>
        <v>5.1777619130000003</v>
      </c>
      <c r="R152">
        <f ca="1">IFERROR(IF(0=LEN(ReferenceData!$R$152),"",ReferenceData!$R$152),"")</f>
        <v>5.1067396809999996</v>
      </c>
      <c r="S152">
        <f ca="1">IFERROR(IF(0=LEN(ReferenceData!$S$152),"",ReferenceData!$S$152),"")</f>
        <v>4.8062973309999997</v>
      </c>
      <c r="T152">
        <f ca="1">IFERROR(IF(0=LEN(ReferenceData!$T$152),"",ReferenceData!$T$152),"")</f>
        <v>4.665707533</v>
      </c>
      <c r="U152">
        <f ca="1">IFERROR(IF(0=LEN(ReferenceData!$U$152),"",ReferenceData!$U$152),"")</f>
        <v>4.1897573570000004</v>
      </c>
      <c r="V152">
        <f ca="1">IFERROR(IF(0=LEN(ReferenceData!$V$152),"",ReferenceData!$V$152),"")</f>
        <v>4.0753875610000003</v>
      </c>
      <c r="W152">
        <f ca="1">IFERROR(IF(0=LEN(ReferenceData!$W$152),"",ReferenceData!$W$152),"")</f>
        <v>3.9816419550000002</v>
      </c>
      <c r="X152">
        <f ca="1">IFERROR(IF(0=LEN(ReferenceData!$X$152),"",ReferenceData!$X$152),"")</f>
        <v>4.0071577789999999</v>
      </c>
      <c r="Y152">
        <f ca="1">IFERROR(IF(0=LEN(ReferenceData!$Y$152),"",ReferenceData!$Y$152),"")</f>
        <v>4.0560546469999998</v>
      </c>
      <c r="Z152">
        <f ca="1">IFERROR(IF(0=LEN(ReferenceData!$Z$152),"",ReferenceData!$Z$152),"")</f>
        <v>4.0155146730000002</v>
      </c>
      <c r="AA152">
        <f ca="1">IFERROR(IF(0=LEN(ReferenceData!$AA$152),"",ReferenceData!$AA$152),"")</f>
        <v>3.8417080619999999</v>
      </c>
      <c r="AB152">
        <f ca="1">IFERROR(IF(0=LEN(ReferenceData!$AB$152),"",ReferenceData!$AB$152),"")</f>
        <v>4.0342683560000001</v>
      </c>
      <c r="AC152">
        <f ca="1">IFERROR(IF(0=LEN(ReferenceData!$AC$152),"",ReferenceData!$AC$152),"")</f>
        <v>3.837474507</v>
      </c>
      <c r="AD152">
        <f ca="1">IFERROR(IF(0=LEN(ReferenceData!$AD$152),"",ReferenceData!$AD$152),"")</f>
        <v>3.54597929</v>
      </c>
      <c r="AE152">
        <f ca="1">IFERROR(IF(0=LEN(ReferenceData!$AE$152),"",ReferenceData!$AE$152),"")</f>
        <v>3.1006298189999999</v>
      </c>
      <c r="AF152">
        <f ca="1">IFERROR(IF(0=LEN(ReferenceData!$AF$152),"",ReferenceData!$AF$152),"")</f>
        <v>2.6430587459999999</v>
      </c>
      <c r="AG152">
        <f ca="1">IFERROR(IF(0=LEN(ReferenceData!$AG$152),"",ReferenceData!$AG$152),"")</f>
        <v>-1.9130793239999999</v>
      </c>
      <c r="AH152">
        <f ca="1">IFERROR(IF(0=LEN(ReferenceData!$AH$152),"",ReferenceData!$AH$152),"")</f>
        <v>-1.8617612079999999</v>
      </c>
      <c r="AI152">
        <f ca="1">IFERROR(IF(0=LEN(ReferenceData!$AI$152),"",ReferenceData!$AI$152),"")</f>
        <v>-1.7021335259999999</v>
      </c>
      <c r="AJ152">
        <f ca="1">IFERROR(IF(0=LEN(ReferenceData!$AJ$152),"",ReferenceData!$AJ$152),"")</f>
        <v>-1.4441924239999999</v>
      </c>
      <c r="AK152">
        <f ca="1">IFERROR(IF(0=LEN(ReferenceData!$AK$152),"",ReferenceData!$AK$152),"")</f>
        <v>2.8844793009999998</v>
      </c>
      <c r="AL152">
        <f ca="1">IFERROR(IF(0=LEN(ReferenceData!$AL$152),"",ReferenceData!$AL$152),"")</f>
        <v>2.940160643</v>
      </c>
      <c r="AM152">
        <f ca="1">IFERROR(IF(0=LEN(ReferenceData!$AM$152),"",ReferenceData!$AM$152),"")</f>
        <v>2.9403448870000002</v>
      </c>
      <c r="AN152">
        <f ca="1">IFERROR(IF(0=LEN(ReferenceData!$AN$152),"",ReferenceData!$AN$152),"")</f>
        <v>2.2998154890000002</v>
      </c>
      <c r="AO152">
        <f ca="1">IFERROR(IF(0=LEN(ReferenceData!$AO$152),"",ReferenceData!$AO$152),"")</f>
        <v>2.2972478789999999</v>
      </c>
      <c r="AP152">
        <f ca="1">IFERROR(IF(0=LEN(ReferenceData!$AP$152),"",ReferenceData!$AP$152),"")</f>
        <v>2.76435597</v>
      </c>
      <c r="AQ152">
        <f ca="1">IFERROR(IF(0=LEN(ReferenceData!$AQ$152),"",ReferenceData!$AQ$152),"")</f>
        <v>2.9357084969999998</v>
      </c>
      <c r="AR152">
        <f ca="1">IFERROR(IF(0=LEN(ReferenceData!$AR$152),"",ReferenceData!$AR$152),"")</f>
        <v>3.825118571</v>
      </c>
      <c r="AS152">
        <f ca="1">IFERROR(IF(0=LEN(ReferenceData!$AS$152),"",ReferenceData!$AS$152),"")</f>
        <v>4.1436413810000001</v>
      </c>
      <c r="AT152">
        <f ca="1">IFERROR(IF(0=LEN(ReferenceData!$AT$152),"",ReferenceData!$AT$152),"")</f>
        <v>3.4939044560000001</v>
      </c>
      <c r="AU152">
        <f ca="1">IFERROR(IF(0=LEN(ReferenceData!$AU$152),"",ReferenceData!$AU$152),"")</f>
        <v>3.352701218</v>
      </c>
      <c r="AV152">
        <f ca="1">IFERROR(IF(0=LEN(ReferenceData!$AV$152),"",ReferenceData!$AV$152),"")</f>
        <v>3.1788348470000001</v>
      </c>
      <c r="AW152">
        <f ca="1">IFERROR(IF(0=LEN(ReferenceData!$AW$152),"",ReferenceData!$AW$152),"")</f>
        <v>2.9795315200000001</v>
      </c>
      <c r="AX152">
        <f ca="1">IFERROR(IF(0=LEN(ReferenceData!$AX$152),"",ReferenceData!$AX$152),"")</f>
        <v>2.8470377450000002</v>
      </c>
      <c r="AY152">
        <f ca="1">IFERROR(IF(0=LEN(ReferenceData!$AY$152),"",ReferenceData!$AY$152),"")</f>
        <v>3.249493449</v>
      </c>
      <c r="AZ152">
        <f ca="1">IFERROR(IF(0=LEN(ReferenceData!$AZ$152),"",ReferenceData!$AZ$152),"")</f>
        <v>3.1459580140000001</v>
      </c>
      <c r="BA152">
        <f ca="1">IFERROR(IF(0=LEN(ReferenceData!$BA$152),"",ReferenceData!$BA$152),"")</f>
        <v>3.222221217</v>
      </c>
      <c r="BB152" t="str">
        <f ca="1">IFERROR(IF(0=LEN(ReferenceData!$BB$152),"",ReferenceData!$BB$152),"")</f>
        <v/>
      </c>
      <c r="BC152" t="str">
        <f ca="1">IFERROR(IF(0=LEN(ReferenceData!$BC$152),"",ReferenceData!$BC$152),"")</f>
        <v/>
      </c>
      <c r="BD152" t="str">
        <f ca="1">IFERROR(IF(0=LEN(ReferenceData!$BD$152),"",ReferenceData!$BD$152),"")</f>
        <v/>
      </c>
      <c r="BE152" t="str">
        <f ca="1">IFERROR(IF(0=LEN(ReferenceData!$BE$152),"",ReferenceData!$BE$152),"")</f>
        <v/>
      </c>
      <c r="BF152" t="str">
        <f ca="1">IFERROR(IF(0=LEN(ReferenceData!$BF$152),"",ReferenceData!$BF$152),"")</f>
        <v/>
      </c>
      <c r="BG152" t="str">
        <f ca="1">IFERROR(IF(0=LEN(ReferenceData!$BG$152),"",ReferenceData!$BG$152),"")</f>
        <v/>
      </c>
      <c r="BH152" t="str">
        <f ca="1">IFERROR(IF(0=LEN(ReferenceData!$BH$152),"",ReferenceData!$BH$152),"")</f>
        <v/>
      </c>
      <c r="BI152" t="str">
        <f ca="1">IFERROR(IF(0=LEN(ReferenceData!$BI$152),"",ReferenceData!$BI$152),"")</f>
        <v/>
      </c>
      <c r="BJ152" t="str">
        <f ca="1">IFERROR(IF(0=LEN(ReferenceData!$BJ$152),"",ReferenceData!$BJ$152),"")</f>
        <v/>
      </c>
      <c r="BK152" t="str">
        <f ca="1">IFERROR(IF(0=LEN(ReferenceData!$BK$152),"",ReferenceData!$BK$152),"")</f>
        <v/>
      </c>
      <c r="BL152" t="str">
        <f ca="1">IFERROR(IF(0=LEN(ReferenceData!$BL$152),"",ReferenceData!$BL$152),"")</f>
        <v/>
      </c>
      <c r="BM152" t="str">
        <f ca="1">IFERROR(IF(0=LEN(ReferenceData!$BM$152),"",ReferenceData!$BM$152),"")</f>
        <v/>
      </c>
    </row>
    <row r="153" spans="1:65">
      <c r="A153" t="str">
        <f>IFERROR(IF(0=LEN(ReferenceData!$A$153),"",ReferenceData!$A$153),"")</f>
        <v xml:space="preserve">    Equity Residential</v>
      </c>
      <c r="B153" t="str">
        <f>IFERROR(IF(0=LEN(ReferenceData!$B$153),"",ReferenceData!$B$153),"")</f>
        <v>EQR US Equity</v>
      </c>
      <c r="C153" t="str">
        <f>IFERROR(IF(0=LEN(ReferenceData!$C$153),"",ReferenceData!$C$153),"")</f>
        <v>RR554</v>
      </c>
      <c r="D153" t="str">
        <f>IFERROR(IF(0=LEN(ReferenceData!$D$153),"",ReferenceData!$D$153),"")</f>
        <v>FFO_RE_ASSET</v>
      </c>
      <c r="E153" t="str">
        <f>IFERROR(IF(0=LEN(ReferenceData!$E$153),"",ReferenceData!$E$153),"")</f>
        <v>动态</v>
      </c>
      <c r="F153" t="str">
        <f ca="1">IFERROR(IF(0=LEN(ReferenceData!$F$153),"",ReferenceData!$F$153),"")</f>
        <v/>
      </c>
      <c r="G153">
        <f ca="1">IFERROR(IF(0=LEN(ReferenceData!$G$153),"",ReferenceData!$G$153),"")</f>
        <v>6.0048617340000003</v>
      </c>
      <c r="H153">
        <f ca="1">IFERROR(IF(0=LEN(ReferenceData!$H$153),"",ReferenceData!$H$153),"")</f>
        <v>5.9373607469999996</v>
      </c>
      <c r="I153">
        <f ca="1">IFERROR(IF(0=LEN(ReferenceData!$I$153),"",ReferenceData!$I$153),"")</f>
        <v>5.9080877010000004</v>
      </c>
      <c r="J153">
        <f ca="1">IFERROR(IF(0=LEN(ReferenceData!$J$153),"",ReferenceData!$J$153),"")</f>
        <v>6.1393713510000003</v>
      </c>
      <c r="K153">
        <f ca="1">IFERROR(IF(0=LEN(ReferenceData!$K$153),"",ReferenceData!$K$153),"")</f>
        <v>5.2732588680000001</v>
      </c>
      <c r="L153">
        <f ca="1">IFERROR(IF(0=LEN(ReferenceData!$L$153),"",ReferenceData!$L$153),"")</f>
        <v>5.5071847219999999</v>
      </c>
      <c r="M153">
        <f ca="1">IFERROR(IF(0=LEN(ReferenceData!$M$153),"",ReferenceData!$M$153),"")</f>
        <v>5.6654356019999996</v>
      </c>
      <c r="N153">
        <f ca="1">IFERROR(IF(0=LEN(ReferenceData!$N$153),"",ReferenceData!$N$153),"")</f>
        <v>5.6616109410000002</v>
      </c>
      <c r="O153">
        <f ca="1">IFERROR(IF(0=LEN(ReferenceData!$O$153),"",ReferenceData!$O$153),"")</f>
        <v>5.8999878639999999</v>
      </c>
      <c r="P153">
        <f ca="1">IFERROR(IF(0=LEN(ReferenceData!$P$153),"",ReferenceData!$P$153),"")</f>
        <v>5.81965048</v>
      </c>
      <c r="Q153">
        <f ca="1">IFERROR(IF(0=LEN(ReferenceData!$Q$153),"",ReferenceData!$Q$153),"")</f>
        <v>5.7049710449999997</v>
      </c>
      <c r="R153">
        <f ca="1">IFERROR(IF(0=LEN(ReferenceData!$R$153),"",ReferenceData!$R$153),"")</f>
        <v>5.4963404000000002</v>
      </c>
      <c r="S153">
        <f ca="1">IFERROR(IF(0=LEN(ReferenceData!$S$153),"",ReferenceData!$S$153),"")</f>
        <v>5.3500492599999996</v>
      </c>
      <c r="T153">
        <f ca="1">IFERROR(IF(0=LEN(ReferenceData!$T$153),"",ReferenceData!$T$153),"")</f>
        <v>4.9893767689999997</v>
      </c>
      <c r="U153">
        <f ca="1">IFERROR(IF(0=LEN(ReferenceData!$U$153),"",ReferenceData!$U$153),"")</f>
        <v>4.7843039679999997</v>
      </c>
      <c r="V153">
        <f ca="1">IFERROR(IF(0=LEN(ReferenceData!$V$153),"",ReferenceData!$V$153),"")</f>
        <v>4.6649715260000004</v>
      </c>
      <c r="W153">
        <f ca="1">IFERROR(IF(0=LEN(ReferenceData!$W$153),"",ReferenceData!$W$153),"")</f>
        <v>4.5574069789999996</v>
      </c>
      <c r="X153">
        <f ca="1">IFERROR(IF(0=LEN(ReferenceData!$X$153),"",ReferenceData!$X$153),"")</f>
        <v>4.8211071820000004</v>
      </c>
      <c r="Y153">
        <f ca="1">IFERROR(IF(0=LEN(ReferenceData!$Y$153),"",ReferenceData!$Y$153),"")</f>
        <v>4.9061364989999996</v>
      </c>
      <c r="Z153">
        <f ca="1">IFERROR(IF(0=LEN(ReferenceData!$Z$153),"",ReferenceData!$Z$153),"")</f>
        <v>4.5316642419999997</v>
      </c>
      <c r="AA153">
        <f ca="1">IFERROR(IF(0=LEN(ReferenceData!$AA$153),"",ReferenceData!$AA$153),"")</f>
        <v>6.2086200009999999</v>
      </c>
      <c r="AB153">
        <f ca="1">IFERROR(IF(0=LEN(ReferenceData!$AB$153),"",ReferenceData!$AB$153),"")</f>
        <v>5.6408074800000003</v>
      </c>
      <c r="AC153">
        <f ca="1">IFERROR(IF(0=LEN(ReferenceData!$AC$153),"",ReferenceData!$AC$153),"")</f>
        <v>5.0215541830000001</v>
      </c>
      <c r="AD153">
        <f ca="1">IFERROR(IF(0=LEN(ReferenceData!$AD$153),"",ReferenceData!$AD$153),"")</f>
        <v>4.9216389129999998</v>
      </c>
      <c r="AE153">
        <f ca="1">IFERROR(IF(0=LEN(ReferenceData!$AE$153),"",ReferenceData!$AE$153),"")</f>
        <v>4.8139531179999997</v>
      </c>
      <c r="AF153">
        <f ca="1">IFERROR(IF(0=LEN(ReferenceData!$AF$153),"",ReferenceData!$AF$153),"")</f>
        <v>4.4515437110000002</v>
      </c>
      <c r="AG153">
        <f ca="1">IFERROR(IF(0=LEN(ReferenceData!$AG$153),"",ReferenceData!$AG$153),"")</f>
        <v>4.3057354849999996</v>
      </c>
      <c r="AH153">
        <f ca="1">IFERROR(IF(0=LEN(ReferenceData!$AH$153),"",ReferenceData!$AH$153),"")</f>
        <v>4.2901082989999999</v>
      </c>
      <c r="AI153">
        <f ca="1">IFERROR(IF(0=LEN(ReferenceData!$AI$153),"",ReferenceData!$AI$153),"")</f>
        <v>4.1570675269999997</v>
      </c>
      <c r="AJ153">
        <f ca="1">IFERROR(IF(0=LEN(ReferenceData!$AJ$153),"",ReferenceData!$AJ$153),"")</f>
        <v>4.0433601469999996</v>
      </c>
      <c r="AK153">
        <f ca="1">IFERROR(IF(0=LEN(ReferenceData!$AK$153),"",ReferenceData!$AK$153),"")</f>
        <v>3.9901960679999999</v>
      </c>
      <c r="AL153">
        <f ca="1">IFERROR(IF(0=LEN(ReferenceData!$AL$153),"",ReferenceData!$AL$153),"")</f>
        <v>3.9535121539999998</v>
      </c>
      <c r="AM153">
        <f ca="1">IFERROR(IF(0=LEN(ReferenceData!$AM$153),"",ReferenceData!$AM$153),"")</f>
        <v>4.140728599</v>
      </c>
      <c r="AN153">
        <f ca="1">IFERROR(IF(0=LEN(ReferenceData!$AN$153),"",ReferenceData!$AN$153),"")</f>
        <v>3.809272843</v>
      </c>
      <c r="AO153">
        <f ca="1">IFERROR(IF(0=LEN(ReferenceData!$AO$153),"",ReferenceData!$AO$153),"")</f>
        <v>3.9682377999999998</v>
      </c>
      <c r="AP153">
        <f ca="1">IFERROR(IF(0=LEN(ReferenceData!$AP$153),"",ReferenceData!$AP$153),"")</f>
        <v>4.0913091220000002</v>
      </c>
      <c r="AQ153">
        <f ca="1">IFERROR(IF(0=LEN(ReferenceData!$AQ$153),"",ReferenceData!$AQ$153),"")</f>
        <v>4.081460506</v>
      </c>
      <c r="AR153">
        <f ca="1">IFERROR(IF(0=LEN(ReferenceData!$AR$153),"",ReferenceData!$AR$153),"")</f>
        <v>4.8459694879999997</v>
      </c>
      <c r="AS153">
        <f ca="1">IFERROR(IF(0=LEN(ReferenceData!$AS$153),"",ReferenceData!$AS$153),"")</f>
        <v>4.7309897919999999</v>
      </c>
      <c r="AT153">
        <f ca="1">IFERROR(IF(0=LEN(ReferenceData!$AT$153),"",ReferenceData!$AT$153),"")</f>
        <v>4.8151475919999998</v>
      </c>
      <c r="AU153">
        <f ca="1">IFERROR(IF(0=LEN(ReferenceData!$AU$153),"",ReferenceData!$AU$153),"")</f>
        <v>4.925599601</v>
      </c>
      <c r="AV153">
        <f ca="1">IFERROR(IF(0=LEN(ReferenceData!$AV$153),"",ReferenceData!$AV$153),"")</f>
        <v>4.6193172249999996</v>
      </c>
      <c r="AW153">
        <f ca="1">IFERROR(IF(0=LEN(ReferenceData!$AW$153),"",ReferenceData!$AW$153),"")</f>
        <v>4.861379189</v>
      </c>
      <c r="AX153">
        <f ca="1">IFERROR(IF(0=LEN(ReferenceData!$AX$153),"",ReferenceData!$AX$153),"")</f>
        <v>5.0149094930000002</v>
      </c>
      <c r="AY153">
        <f ca="1">IFERROR(IF(0=LEN(ReferenceData!$AY$153),"",ReferenceData!$AY$153),"")</f>
        <v>5.1303272040000003</v>
      </c>
      <c r="AZ153">
        <f ca="1">IFERROR(IF(0=LEN(ReferenceData!$AZ$153),"",ReferenceData!$AZ$153),"")</f>
        <v>5.6723261340000004</v>
      </c>
      <c r="BA153">
        <f ca="1">IFERROR(IF(0=LEN(ReferenceData!$BA$153),"",ReferenceData!$BA$153),"")</f>
        <v>5.63882423</v>
      </c>
      <c r="BB153">
        <f ca="1">IFERROR(IF(0=LEN(ReferenceData!$BB$153),"",ReferenceData!$BB$153),"")</f>
        <v>5.6195201499999996</v>
      </c>
      <c r="BC153">
        <f ca="1">IFERROR(IF(0=LEN(ReferenceData!$BC$153),"",ReferenceData!$BC$153),"")</f>
        <v>6.0417837179999996</v>
      </c>
      <c r="BD153">
        <f ca="1">IFERROR(IF(0=LEN(ReferenceData!$BD$153),"",ReferenceData!$BD$153),"")</f>
        <v>6.1042704690000003</v>
      </c>
      <c r="BE153">
        <f ca="1">IFERROR(IF(0=LEN(ReferenceData!$BE$153),"",ReferenceData!$BE$153),"")</f>
        <v>5.9584333330000003</v>
      </c>
      <c r="BF153">
        <f ca="1">IFERROR(IF(0=LEN(ReferenceData!$BF$153),"",ReferenceData!$BF$153),"")</f>
        <v>4.719293103</v>
      </c>
      <c r="BG153">
        <f ca="1">IFERROR(IF(0=LEN(ReferenceData!$BG$153),"",ReferenceData!$BG$153),"")</f>
        <v>4.2723899080000001</v>
      </c>
      <c r="BH153" t="str">
        <f ca="1">IFERROR(IF(0=LEN(ReferenceData!$BH$153),"",ReferenceData!$BH$153),"")</f>
        <v/>
      </c>
      <c r="BI153" t="str">
        <f ca="1">IFERROR(IF(0=LEN(ReferenceData!$BI$153),"",ReferenceData!$BI$153),"")</f>
        <v/>
      </c>
      <c r="BJ153" t="str">
        <f ca="1">IFERROR(IF(0=LEN(ReferenceData!$BJ$153),"",ReferenceData!$BJ$153),"")</f>
        <v/>
      </c>
      <c r="BK153" t="str">
        <f ca="1">IFERROR(IF(0=LEN(ReferenceData!$BK$153),"",ReferenceData!$BK$153),"")</f>
        <v/>
      </c>
      <c r="BL153">
        <f ca="1">IFERROR(IF(0=LEN(ReferenceData!$BL$153),"",ReferenceData!$BL$153),"")</f>
        <v>6.0752670120000003</v>
      </c>
      <c r="BM153">
        <f ca="1">IFERROR(IF(0=LEN(ReferenceData!$BM$153),"",ReferenceData!$BM$153),"")</f>
        <v>6.0202993019999997</v>
      </c>
    </row>
    <row r="154" spans="1:65">
      <c r="A154" t="str">
        <f>IFERROR(IF(0=LEN(ReferenceData!$A$154),"",ReferenceData!$A$154),"")</f>
        <v xml:space="preserve">    Essex Property Trust Inc</v>
      </c>
      <c r="B154" t="str">
        <f>IFERROR(IF(0=LEN(ReferenceData!$B$154),"",ReferenceData!$B$154),"")</f>
        <v>ESS US Equity</v>
      </c>
      <c r="C154" t="str">
        <f>IFERROR(IF(0=LEN(ReferenceData!$C$154),"",ReferenceData!$C$154),"")</f>
        <v>RR554</v>
      </c>
      <c r="D154" t="str">
        <f>IFERROR(IF(0=LEN(ReferenceData!$D$154),"",ReferenceData!$D$154),"")</f>
        <v>FFO_RE_ASSET</v>
      </c>
      <c r="E154" t="str">
        <f>IFERROR(IF(0=LEN(ReferenceData!$E$154),"",ReferenceData!$E$154),"")</f>
        <v>动态</v>
      </c>
      <c r="F154" t="str">
        <f ca="1">IFERROR(IF(0=LEN(ReferenceData!$F$154),"",ReferenceData!$F$154),"")</f>
        <v/>
      </c>
      <c r="G154">
        <f ca="1">IFERROR(IF(0=LEN(ReferenceData!$G$154),"",ReferenceData!$G$154),"")</f>
        <v>6.7530430140000002</v>
      </c>
      <c r="H154">
        <f ca="1">IFERROR(IF(0=LEN(ReferenceData!$H$154),"",ReferenceData!$H$154),"")</f>
        <v>6.6759431200000003</v>
      </c>
      <c r="I154">
        <f ca="1">IFERROR(IF(0=LEN(ReferenceData!$I$154),"",ReferenceData!$I$154),"")</f>
        <v>6.5893914650000003</v>
      </c>
      <c r="J154">
        <f ca="1">IFERROR(IF(0=LEN(ReferenceData!$J$154),"",ReferenceData!$J$154),"")</f>
        <v>6.4795361170000003</v>
      </c>
      <c r="K154">
        <f ca="1">IFERROR(IF(0=LEN(ReferenceData!$K$154),"",ReferenceData!$K$154),"")</f>
        <v>6.4046373399999998</v>
      </c>
      <c r="L154">
        <f ca="1">IFERROR(IF(0=LEN(ReferenceData!$L$154),"",ReferenceData!$L$154),"")</f>
        <v>6.2314426630000002</v>
      </c>
      <c r="M154">
        <f ca="1">IFERROR(IF(0=LEN(ReferenceData!$M$154),"",ReferenceData!$M$154),"")</f>
        <v>6.040008319</v>
      </c>
      <c r="N154">
        <f ca="1">IFERROR(IF(0=LEN(ReferenceData!$N$154),"",ReferenceData!$N$154),"")</f>
        <v>5.8225416379999997</v>
      </c>
      <c r="O154">
        <f ca="1">IFERROR(IF(0=LEN(ReferenceData!$O$154),"",ReferenceData!$O$154),"")</f>
        <v>5.7026694280000001</v>
      </c>
      <c r="P154">
        <f ca="1">IFERROR(IF(0=LEN(ReferenceData!$P$154),"",ReferenceData!$P$154),"")</f>
        <v>5.481291068</v>
      </c>
      <c r="Q154">
        <f ca="1">IFERROR(IF(0=LEN(ReferenceData!$Q$154),"",ReferenceData!$Q$154),"")</f>
        <v>5.234546355</v>
      </c>
      <c r="R154">
        <f ca="1">IFERROR(IF(0=LEN(ReferenceData!$R$154),"",ReferenceData!$R$154),"")</f>
        <v>6.094723289</v>
      </c>
      <c r="S154">
        <f ca="1">IFERROR(IF(0=LEN(ReferenceData!$S$154),"",ReferenceData!$S$154),"")</f>
        <v>5.7339363270000003</v>
      </c>
      <c r="T154">
        <f ca="1">IFERROR(IF(0=LEN(ReferenceData!$T$154),"",ReferenceData!$T$154),"")</f>
        <v>4.7772247649999997</v>
      </c>
      <c r="U154">
        <f ca="1">IFERROR(IF(0=LEN(ReferenceData!$U$154),"",ReferenceData!$U$154),"")</f>
        <v>4.0849941960000002</v>
      </c>
      <c r="V154">
        <f ca="1">IFERROR(IF(0=LEN(ReferenceData!$V$154),"",ReferenceData!$V$154),"")</f>
        <v>5.2034947379999998</v>
      </c>
      <c r="W154">
        <f ca="1">IFERROR(IF(0=LEN(ReferenceData!$W$154),"",ReferenceData!$W$154),"")</f>
        <v>6.2177302980000002</v>
      </c>
      <c r="X154">
        <f ca="1">IFERROR(IF(0=LEN(ReferenceData!$X$154),"",ReferenceData!$X$154),"")</f>
        <v>6.4576112229999998</v>
      </c>
      <c r="Y154">
        <f ca="1">IFERROR(IF(0=LEN(ReferenceData!$Y$154),"",ReferenceData!$Y$154),"")</f>
        <v>6.2460003159999999</v>
      </c>
      <c r="Z154">
        <f ca="1">IFERROR(IF(0=LEN(ReferenceData!$Z$154),"",ReferenceData!$Z$154),"")</f>
        <v>6.223327426</v>
      </c>
      <c r="AA154">
        <f ca="1">IFERROR(IF(0=LEN(ReferenceData!$AA$154),"",ReferenceData!$AA$154),"")</f>
        <v>5.8664408139999997</v>
      </c>
      <c r="AB154">
        <f ca="1">IFERROR(IF(0=LEN(ReferenceData!$AB$154),"",ReferenceData!$AB$154),"")</f>
        <v>5.9667863260000003</v>
      </c>
      <c r="AC154">
        <f ca="1">IFERROR(IF(0=LEN(ReferenceData!$AC$154),"",ReferenceData!$AC$154),"")</f>
        <v>5.819238747</v>
      </c>
      <c r="AD154">
        <f ca="1">IFERROR(IF(0=LEN(ReferenceData!$AD$154),"",ReferenceData!$AD$154),"")</f>
        <v>5.6026826339999998</v>
      </c>
      <c r="AE154">
        <f ca="1">IFERROR(IF(0=LEN(ReferenceData!$AE$154),"",ReferenceData!$AE$154),"")</f>
        <v>5.3639536149999998</v>
      </c>
      <c r="AF154">
        <f ca="1">IFERROR(IF(0=LEN(ReferenceData!$AF$154),"",ReferenceData!$AF$154),"")</f>
        <v>5.2837664459999996</v>
      </c>
      <c r="AG154">
        <f ca="1">IFERROR(IF(0=LEN(ReferenceData!$AG$154),"",ReferenceData!$AG$154),"")</f>
        <v>5.1676776809999998</v>
      </c>
      <c r="AH154">
        <f ca="1">IFERROR(IF(0=LEN(ReferenceData!$AH$154),"",ReferenceData!$AH$154),"")</f>
        <v>5.1598239340000003</v>
      </c>
      <c r="AI154">
        <f ca="1">IFERROR(IF(0=LEN(ReferenceData!$AI$154),"",ReferenceData!$AI$154),"")</f>
        <v>5.1855994140000004</v>
      </c>
      <c r="AJ154">
        <f ca="1">IFERROR(IF(0=LEN(ReferenceData!$AJ$154),"",ReferenceData!$AJ$154),"")</f>
        <v>5.1800064389999996</v>
      </c>
      <c r="AK154">
        <f ca="1">IFERROR(IF(0=LEN(ReferenceData!$AK$154),"",ReferenceData!$AK$154),"")</f>
        <v>5.6683417220000001</v>
      </c>
      <c r="AL154">
        <f ca="1">IFERROR(IF(0=LEN(ReferenceData!$AL$154),"",ReferenceData!$AL$154),"")</f>
        <v>5.6814972619999997</v>
      </c>
      <c r="AM154">
        <f ca="1">IFERROR(IF(0=LEN(ReferenceData!$AM$154),"",ReferenceData!$AM$154),"")</f>
        <v>6.5899788160000004</v>
      </c>
      <c r="AN154">
        <f ca="1">IFERROR(IF(0=LEN(ReferenceData!$AN$154),"",ReferenceData!$AN$154),"")</f>
        <v>6.9337252889999998</v>
      </c>
      <c r="AO154">
        <f ca="1">IFERROR(IF(0=LEN(ReferenceData!$AO$154),"",ReferenceData!$AO$154),"")</f>
        <v>6.6467146860000001</v>
      </c>
      <c r="AP154">
        <f ca="1">IFERROR(IF(0=LEN(ReferenceData!$AP$154),"",ReferenceData!$AP$154),"")</f>
        <v>6.6019165989999999</v>
      </c>
      <c r="AQ154">
        <f ca="1">IFERROR(IF(0=LEN(ReferenceData!$AQ$154),"",ReferenceData!$AQ$154),"")</f>
        <v>5.697284647</v>
      </c>
      <c r="AR154">
        <f ca="1">IFERROR(IF(0=LEN(ReferenceData!$AR$154),"",ReferenceData!$AR$154),"")</f>
        <v>5.4588394679999999</v>
      </c>
      <c r="AS154">
        <f ca="1">IFERROR(IF(0=LEN(ReferenceData!$AS$154),"",ReferenceData!$AS$154),"")</f>
        <v>5.464172112</v>
      </c>
      <c r="AT154">
        <f ca="1">IFERROR(IF(0=LEN(ReferenceData!$AT$154),"",ReferenceData!$AT$154),"")</f>
        <v>5.626596589</v>
      </c>
      <c r="AU154">
        <f ca="1">IFERROR(IF(0=LEN(ReferenceData!$AU$154),"",ReferenceData!$AU$154),"")</f>
        <v>5.7701925809999999</v>
      </c>
      <c r="AV154">
        <f ca="1">IFERROR(IF(0=LEN(ReferenceData!$AV$154),"",ReferenceData!$AV$154),"")</f>
        <v>5.7214228110000001</v>
      </c>
      <c r="AW154">
        <f ca="1">IFERROR(IF(0=LEN(ReferenceData!$AW$154),"",ReferenceData!$AW$154),"")</f>
        <v>5.8746815689999998</v>
      </c>
      <c r="AX154">
        <f ca="1">IFERROR(IF(0=LEN(ReferenceData!$AX$154),"",ReferenceData!$AX$154),"")</f>
        <v>6.1963600620000001</v>
      </c>
      <c r="AY154">
        <f ca="1">IFERROR(IF(0=LEN(ReferenceData!$AY$154),"",ReferenceData!$AY$154),"")</f>
        <v>5.7049281220000001</v>
      </c>
      <c r="AZ154">
        <f ca="1">IFERROR(IF(0=LEN(ReferenceData!$AZ$154),"",ReferenceData!$AZ$154),"")</f>
        <v>5.2799619780000002</v>
      </c>
      <c r="BA154">
        <f ca="1">IFERROR(IF(0=LEN(ReferenceData!$BA$154),"",ReferenceData!$BA$154),"")</f>
        <v>5.2880697830000001</v>
      </c>
      <c r="BB154">
        <f ca="1">IFERROR(IF(0=LEN(ReferenceData!$BB$154),"",ReferenceData!$BB$154),"")</f>
        <v>4.8837132790000002</v>
      </c>
      <c r="BC154">
        <f ca="1">IFERROR(IF(0=LEN(ReferenceData!$BC$154),"",ReferenceData!$BC$154),"")</f>
        <v>5.1818102670000004</v>
      </c>
      <c r="BD154">
        <f ca="1">IFERROR(IF(0=LEN(ReferenceData!$BD$154),"",ReferenceData!$BD$154),"")</f>
        <v>5.6109241010000002</v>
      </c>
      <c r="BE154">
        <f ca="1">IFERROR(IF(0=LEN(ReferenceData!$BE$154),"",ReferenceData!$BE$154),"")</f>
        <v>5.8419253080000004</v>
      </c>
      <c r="BF154">
        <f ca="1">IFERROR(IF(0=LEN(ReferenceData!$BF$154),"",ReferenceData!$BF$154),"")</f>
        <v>5.7968838859999998</v>
      </c>
      <c r="BG154">
        <f ca="1">IFERROR(IF(0=LEN(ReferenceData!$BG$154),"",ReferenceData!$BG$154),"")</f>
        <v>5.7391493049999998</v>
      </c>
      <c r="BH154">
        <f ca="1">IFERROR(IF(0=LEN(ReferenceData!$BH$154),"",ReferenceData!$BH$154),"")</f>
        <v>5.9581901330000004</v>
      </c>
      <c r="BI154">
        <f ca="1">IFERROR(IF(0=LEN(ReferenceData!$BI$154),"",ReferenceData!$BI$154),"")</f>
        <v>5.3905166800000002</v>
      </c>
      <c r="BJ154">
        <f ca="1">IFERROR(IF(0=LEN(ReferenceData!$BJ$154),"",ReferenceData!$BJ$154),"")</f>
        <v>5.5641608739999997</v>
      </c>
      <c r="BK154">
        <f ca="1">IFERROR(IF(0=LEN(ReferenceData!$BK$154),"",ReferenceData!$BK$154),"")</f>
        <v>5.7647188920000003</v>
      </c>
      <c r="BL154">
        <f ca="1">IFERROR(IF(0=LEN(ReferenceData!$BL$154),"",ReferenceData!$BL$154),"")</f>
        <v>6.8780689930000003</v>
      </c>
      <c r="BM154">
        <f ca="1">IFERROR(IF(0=LEN(ReferenceData!$BM$154),"",ReferenceData!$BM$154),"")</f>
        <v>6.6824603060000003</v>
      </c>
    </row>
    <row r="155" spans="1:65">
      <c r="A155" t="str">
        <f>IFERROR(IF(0=LEN(ReferenceData!$A$155),"",ReferenceData!$A$155),"")</f>
        <v xml:space="preserve">    Mid-America Apartment Communit</v>
      </c>
      <c r="B155" t="str">
        <f>IFERROR(IF(0=LEN(ReferenceData!$B$155),"",ReferenceData!$B$155),"")</f>
        <v>MAA US Equity</v>
      </c>
      <c r="C155" t="str">
        <f>IFERROR(IF(0=LEN(ReferenceData!$C$155),"",ReferenceData!$C$155),"")</f>
        <v>RR554</v>
      </c>
      <c r="D155" t="str">
        <f>IFERROR(IF(0=LEN(ReferenceData!$D$155),"",ReferenceData!$D$155),"")</f>
        <v>FFO_RE_ASSET</v>
      </c>
      <c r="E155" t="str">
        <f>IFERROR(IF(0=LEN(ReferenceData!$E$155),"",ReferenceData!$E$155),"")</f>
        <v>动态</v>
      </c>
      <c r="F155" t="str">
        <f ca="1">IFERROR(IF(0=LEN(ReferenceData!$F$155),"",ReferenceData!$F$155),"")</f>
        <v/>
      </c>
      <c r="G155">
        <f ca="1">IFERROR(IF(0=LEN(ReferenceData!$G$155),"",ReferenceData!$G$155),"")</f>
        <v>6.189768387</v>
      </c>
      <c r="H155">
        <f ca="1">IFERROR(IF(0=LEN(ReferenceData!$H$155),"",ReferenceData!$H$155),"")</f>
        <v>6.9485761689999999</v>
      </c>
      <c r="I155">
        <f ca="1">IFERROR(IF(0=LEN(ReferenceData!$I$155),"",ReferenceData!$I$155),"")</f>
        <v>6.281019337</v>
      </c>
      <c r="J155">
        <f ca="1">IFERROR(IF(0=LEN(ReferenceData!$J$155),"",ReferenceData!$J$155),"")</f>
        <v>5.7028072300000003</v>
      </c>
      <c r="K155">
        <f ca="1">IFERROR(IF(0=LEN(ReferenceData!$K$155),"",ReferenceData!$K$155),"")</f>
        <v>5.1315520489999997</v>
      </c>
      <c r="L155">
        <f ca="1">IFERROR(IF(0=LEN(ReferenceData!$L$155),"",ReferenceData!$L$155),"")</f>
        <v>7.1122131419999999</v>
      </c>
      <c r="M155">
        <f ca="1">IFERROR(IF(0=LEN(ReferenceData!$M$155),"",ReferenceData!$M$155),"")</f>
        <v>7.1016464480000003</v>
      </c>
      <c r="N155">
        <f ca="1">IFERROR(IF(0=LEN(ReferenceData!$N$155),"",ReferenceData!$N$155),"")</f>
        <v>7.0291106169999997</v>
      </c>
      <c r="O155">
        <f ca="1">IFERROR(IF(0=LEN(ReferenceData!$O$155),"",ReferenceData!$O$155),"")</f>
        <v>6.7438468790000003</v>
      </c>
      <c r="P155">
        <f ca="1">IFERROR(IF(0=LEN(ReferenceData!$P$155),"",ReferenceData!$P$155),"")</f>
        <v>6.688585819</v>
      </c>
      <c r="Q155">
        <f ca="1">IFERROR(IF(0=LEN(ReferenceData!$Q$155),"",ReferenceData!$Q$155),"")</f>
        <v>6.5207959999999998</v>
      </c>
      <c r="R155">
        <f ca="1">IFERROR(IF(0=LEN(ReferenceData!$R$155),"",ReferenceData!$R$155),"")</f>
        <v>6.3506125430000004</v>
      </c>
      <c r="S155">
        <f ca="1">IFERROR(IF(0=LEN(ReferenceData!$S$155),"",ReferenceData!$S$155),"")</f>
        <v>6.0976876759999996</v>
      </c>
      <c r="T155">
        <f ca="1">IFERROR(IF(0=LEN(ReferenceData!$T$155),"",ReferenceData!$T$155),"")</f>
        <v>8.0436139369999999</v>
      </c>
      <c r="U155">
        <f ca="1">IFERROR(IF(0=LEN(ReferenceData!$U$155),"",ReferenceData!$U$155),"")</f>
        <v>6.8128468050000004</v>
      </c>
      <c r="V155">
        <f ca="1">IFERROR(IF(0=LEN(ReferenceData!$V$155),"",ReferenceData!$V$155),"")</f>
        <v>5.9189264000000001</v>
      </c>
      <c r="W155">
        <f ca="1">IFERROR(IF(0=LEN(ReferenceData!$W$155),"",ReferenceData!$W$155),"")</f>
        <v>4.9949331780000001</v>
      </c>
      <c r="X155">
        <f ca="1">IFERROR(IF(0=LEN(ReferenceData!$X$155),"",ReferenceData!$X$155),"")</f>
        <v>7.7284430610000001</v>
      </c>
      <c r="Y155">
        <f ca="1">IFERROR(IF(0=LEN(ReferenceData!$Y$155),"",ReferenceData!$Y$155),"")</f>
        <v>7.8849307609999997</v>
      </c>
      <c r="Z155">
        <f ca="1">IFERROR(IF(0=LEN(ReferenceData!$Z$155),"",ReferenceData!$Z$155),"")</f>
        <v>7.9898939039999997</v>
      </c>
      <c r="AA155">
        <f ca="1">IFERROR(IF(0=LEN(ReferenceData!$AA$155),"",ReferenceData!$AA$155),"")</f>
        <v>7.6714982909999998</v>
      </c>
      <c r="AB155">
        <f ca="1">IFERROR(IF(0=LEN(ReferenceData!$AB$155),"",ReferenceData!$AB$155),"")</f>
        <v>7.3983276890000003</v>
      </c>
      <c r="AC155">
        <f ca="1">IFERROR(IF(0=LEN(ReferenceData!$AC$155),"",ReferenceData!$AC$155),"")</f>
        <v>7.4193073280000004</v>
      </c>
      <c r="AD155">
        <f ca="1">IFERROR(IF(0=LEN(ReferenceData!$AD$155),"",ReferenceData!$AD$155),"")</f>
        <v>7.2886683190000001</v>
      </c>
      <c r="AE155">
        <f ca="1">IFERROR(IF(0=LEN(ReferenceData!$AE$155),"",ReferenceData!$AE$155),"")</f>
        <v>6.898494006</v>
      </c>
      <c r="AF155">
        <f ca="1">IFERROR(IF(0=LEN(ReferenceData!$AF$155),"",ReferenceData!$AF$155),"")</f>
        <v>6.7506347870000001</v>
      </c>
      <c r="AG155">
        <f ca="1">IFERROR(IF(0=LEN(ReferenceData!$AG$155),"",ReferenceData!$AG$155),"")</f>
        <v>6.5734732070000002</v>
      </c>
      <c r="AH155">
        <f ca="1">IFERROR(IF(0=LEN(ReferenceData!$AH$155),"",ReferenceData!$AH$155),"")</f>
        <v>6.4094487830000002</v>
      </c>
      <c r="AI155">
        <f ca="1">IFERROR(IF(0=LEN(ReferenceData!$AI$155),"",ReferenceData!$AI$155),"")</f>
        <v>6.0680038429999996</v>
      </c>
      <c r="AJ155">
        <f ca="1">IFERROR(IF(0=LEN(ReferenceData!$AJ$155),"",ReferenceData!$AJ$155),"")</f>
        <v>5.9963071990000003</v>
      </c>
      <c r="AK155">
        <f ca="1">IFERROR(IF(0=LEN(ReferenceData!$AK$155),"",ReferenceData!$AK$155),"")</f>
        <v>5.9989982839999998</v>
      </c>
      <c r="AL155">
        <f ca="1">IFERROR(IF(0=LEN(ReferenceData!$AL$155),"",ReferenceData!$AL$155),"")</f>
        <v>6.2789453550000003</v>
      </c>
      <c r="AM155">
        <f ca="1">IFERROR(IF(0=LEN(ReferenceData!$AM$155),"",ReferenceData!$AM$155),"")</f>
        <v>6.1620704010000003</v>
      </c>
      <c r="AN155">
        <f ca="1">IFERROR(IF(0=LEN(ReferenceData!$AN$155),"",ReferenceData!$AN$155),"")</f>
        <v>6.2781130120000004</v>
      </c>
      <c r="AO155">
        <f ca="1">IFERROR(IF(0=LEN(ReferenceData!$AO$155),"",ReferenceData!$AO$155),"")</f>
        <v>6.3483722020000002</v>
      </c>
      <c r="AP155">
        <f ca="1">IFERROR(IF(0=LEN(ReferenceData!$AP$155),"",ReferenceData!$AP$155),"")</f>
        <v>6.3145390690000003</v>
      </c>
      <c r="AQ155">
        <f ca="1">IFERROR(IF(0=LEN(ReferenceData!$AQ$155),"",ReferenceData!$AQ$155),"")</f>
        <v>6.1451603690000001</v>
      </c>
      <c r="AR155">
        <f ca="1">IFERROR(IF(0=LEN(ReferenceData!$AR$155),"",ReferenceData!$AR$155),"")</f>
        <v>5.7862966179999997</v>
      </c>
      <c r="AS155">
        <f ca="1">IFERROR(IF(0=LEN(ReferenceData!$AS$155),"",ReferenceData!$AS$155),"")</f>
        <v>5.899041746</v>
      </c>
      <c r="AT155">
        <f ca="1">IFERROR(IF(0=LEN(ReferenceData!$AT$155),"",ReferenceData!$AT$155),"")</f>
        <v>5.7598544169999997</v>
      </c>
      <c r="AU155">
        <f ca="1">IFERROR(IF(0=LEN(ReferenceData!$AU$155),"",ReferenceData!$AU$155),"")</f>
        <v>5.610585199</v>
      </c>
      <c r="AV155">
        <f ca="1">IFERROR(IF(0=LEN(ReferenceData!$AV$155),"",ReferenceData!$AV$155),"")</f>
        <v>5.6695379050000003</v>
      </c>
      <c r="AW155">
        <f ca="1">IFERROR(IF(0=LEN(ReferenceData!$AW$155),"",ReferenceData!$AW$155),"")</f>
        <v>5.6642858</v>
      </c>
      <c r="AX155">
        <f ca="1">IFERROR(IF(0=LEN(ReferenceData!$AX$155),"",ReferenceData!$AX$155),"")</f>
        <v>5.6502680830000003</v>
      </c>
      <c r="AY155">
        <f ca="1">IFERROR(IF(0=LEN(ReferenceData!$AY$155),"",ReferenceData!$AY$155),"")</f>
        <v>5.4843846899999997</v>
      </c>
      <c r="AZ155">
        <f ca="1">IFERROR(IF(0=LEN(ReferenceData!$AZ$155),"",ReferenceData!$AZ$155),"")</f>
        <v>5.3426214769999998</v>
      </c>
      <c r="BA155">
        <f ca="1">IFERROR(IF(0=LEN(ReferenceData!$BA$155),"",ReferenceData!$BA$155),"")</f>
        <v>5.3197010059999998</v>
      </c>
      <c r="BB155">
        <f ca="1">IFERROR(IF(0=LEN(ReferenceData!$BB$155),"",ReferenceData!$BB$155),"")</f>
        <v>5.2147300669999996</v>
      </c>
      <c r="BC155">
        <f ca="1">IFERROR(IF(0=LEN(ReferenceData!$BC$155),"",ReferenceData!$BC$155),"")</f>
        <v>6.4745587980000003</v>
      </c>
      <c r="BD155">
        <f ca="1">IFERROR(IF(0=LEN(ReferenceData!$BD$155),"",ReferenceData!$BD$155),"")</f>
        <v>6.4918357430000002</v>
      </c>
      <c r="BE155">
        <f ca="1">IFERROR(IF(0=LEN(ReferenceData!$BE$155),"",ReferenceData!$BE$155),"")</f>
        <v>6.5208932559999999</v>
      </c>
      <c r="BF155">
        <f ca="1">IFERROR(IF(0=LEN(ReferenceData!$BF$155),"",ReferenceData!$BF$155),"")</f>
        <v>6.2658903180000003</v>
      </c>
      <c r="BG155">
        <f ca="1">IFERROR(IF(0=LEN(ReferenceData!$BG$155),"",ReferenceData!$BG$155),"")</f>
        <v>4.9807934500000002</v>
      </c>
      <c r="BH155">
        <f ca="1">IFERROR(IF(0=LEN(ReferenceData!$BH$155),"",ReferenceData!$BH$155),"")</f>
        <v>5.0964028560000001</v>
      </c>
      <c r="BI155">
        <f ca="1">IFERROR(IF(0=LEN(ReferenceData!$BI$155),"",ReferenceData!$BI$155),"")</f>
        <v>4.6844876529999997</v>
      </c>
      <c r="BJ155">
        <f ca="1">IFERROR(IF(0=LEN(ReferenceData!$BJ$155),"",ReferenceData!$BJ$155),"")</f>
        <v>4.520885088</v>
      </c>
      <c r="BK155">
        <f ca="1">IFERROR(IF(0=LEN(ReferenceData!$BK$155),"",ReferenceData!$BK$155),"")</f>
        <v>4.3526283079999999</v>
      </c>
      <c r="BL155">
        <f ca="1">IFERROR(IF(0=LEN(ReferenceData!$BL$155),"",ReferenceData!$BL$155),"")</f>
        <v>3.860019195</v>
      </c>
      <c r="BM155">
        <f ca="1">IFERROR(IF(0=LEN(ReferenceData!$BM$155),"",ReferenceData!$BM$155),"")</f>
        <v>4.5588730279999998</v>
      </c>
    </row>
    <row r="156" spans="1:65">
      <c r="A156" t="str">
        <f>IFERROR(IF(0=LEN(ReferenceData!$A$156),"",ReferenceData!$A$156),"")</f>
        <v xml:space="preserve">    UDR Inc</v>
      </c>
      <c r="B156" t="str">
        <f>IFERROR(IF(0=LEN(ReferenceData!$B$156),"",ReferenceData!$B$156),"")</f>
        <v>UDR US Equity</v>
      </c>
      <c r="C156" t="str">
        <f>IFERROR(IF(0=LEN(ReferenceData!$C$156),"",ReferenceData!$C$156),"")</f>
        <v>RR554</v>
      </c>
      <c r="D156" t="str">
        <f>IFERROR(IF(0=LEN(ReferenceData!$D$156),"",ReferenceData!$D$156),"")</f>
        <v>FFO_RE_ASSET</v>
      </c>
      <c r="E156" t="str">
        <f>IFERROR(IF(0=LEN(ReferenceData!$E$156),"",ReferenceData!$E$156),"")</f>
        <v>动态</v>
      </c>
      <c r="F156" t="str">
        <f ca="1">IFERROR(IF(0=LEN(ReferenceData!$F$156),"",ReferenceData!$F$156),"")</f>
        <v/>
      </c>
      <c r="G156">
        <f ca="1">IFERROR(IF(0=LEN(ReferenceData!$G$156),"",ReferenceData!$G$156),"")</f>
        <v>7.1745852680000004</v>
      </c>
      <c r="H156">
        <f ca="1">IFERROR(IF(0=LEN(ReferenceData!$H$156),"",ReferenceData!$H$156),"")</f>
        <v>7.2401316930000004</v>
      </c>
      <c r="I156">
        <f ca="1">IFERROR(IF(0=LEN(ReferenceData!$I$156),"",ReferenceData!$I$156),"")</f>
        <v>7.219321699</v>
      </c>
      <c r="J156">
        <f ca="1">IFERROR(IF(0=LEN(ReferenceData!$J$156),"",ReferenceData!$J$156),"")</f>
        <v>7.1696007550000003</v>
      </c>
      <c r="K156">
        <f ca="1">IFERROR(IF(0=LEN(ReferenceData!$K$156),"",ReferenceData!$K$156),"")</f>
        <v>7.0596481100000004</v>
      </c>
      <c r="L156">
        <f ca="1">IFERROR(IF(0=LEN(ReferenceData!$L$156),"",ReferenceData!$L$156),"")</f>
        <v>7.2037791699999998</v>
      </c>
      <c r="M156">
        <f ca="1">IFERROR(IF(0=LEN(ReferenceData!$M$156),"",ReferenceData!$M$156),"")</f>
        <v>6.8702664220000003</v>
      </c>
      <c r="N156">
        <f ca="1">IFERROR(IF(0=LEN(ReferenceData!$N$156),"",ReferenceData!$N$156),"")</f>
        <v>6.6023345830000002</v>
      </c>
      <c r="O156">
        <f ca="1">IFERROR(IF(0=LEN(ReferenceData!$O$156),"",ReferenceData!$O$156),"")</f>
        <v>6.451654306</v>
      </c>
      <c r="P156">
        <f ca="1">IFERROR(IF(0=LEN(ReferenceData!$P$156),"",ReferenceData!$P$156),"")</f>
        <v>6.6300128569999996</v>
      </c>
      <c r="Q156" t="str">
        <f ca="1">IFERROR(IF(0=LEN(ReferenceData!$Q$156),"",ReferenceData!$Q$156),"")</f>
        <v/>
      </c>
      <c r="R156" t="str">
        <f ca="1">IFERROR(IF(0=LEN(ReferenceData!$R$156),"",ReferenceData!$R$156),"")</f>
        <v/>
      </c>
      <c r="S156" t="str">
        <f ca="1">IFERROR(IF(0=LEN(ReferenceData!$S$156),"",ReferenceData!$S$156),"")</f>
        <v/>
      </c>
      <c r="T156" t="str">
        <f ca="1">IFERROR(IF(0=LEN(ReferenceData!$T$156),"",ReferenceData!$T$156),"")</f>
        <v/>
      </c>
      <c r="U156" t="str">
        <f ca="1">IFERROR(IF(0=LEN(ReferenceData!$U$156),"",ReferenceData!$U$156),"")</f>
        <v/>
      </c>
      <c r="V156">
        <f ca="1">IFERROR(IF(0=LEN(ReferenceData!$V$156),"",ReferenceData!$V$156),"")</f>
        <v>5.7481942720000001</v>
      </c>
      <c r="W156">
        <f ca="1">IFERROR(IF(0=LEN(ReferenceData!$W$156),"",ReferenceData!$W$156),"")</f>
        <v>5.7379465679999999</v>
      </c>
      <c r="X156">
        <f ca="1">IFERROR(IF(0=LEN(ReferenceData!$X$156),"",ReferenceData!$X$156),"")</f>
        <v>5.573640546</v>
      </c>
      <c r="Y156">
        <f ca="1">IFERROR(IF(0=LEN(ReferenceData!$Y$156),"",ReferenceData!$Y$156),"")</f>
        <v>5.4222860290000003</v>
      </c>
      <c r="Z156">
        <f ca="1">IFERROR(IF(0=LEN(ReferenceData!$Z$156),"",ReferenceData!$Z$156),"")</f>
        <v>5.0757561510000002</v>
      </c>
      <c r="AA156">
        <f ca="1">IFERROR(IF(0=LEN(ReferenceData!$AA$156),"",ReferenceData!$AA$156),"")</f>
        <v>5.0701953990000002</v>
      </c>
      <c r="AB156">
        <f ca="1">IFERROR(IF(0=LEN(ReferenceData!$AB$156),"",ReferenceData!$AB$156),"")</f>
        <v>4.9949639819999998</v>
      </c>
      <c r="AC156">
        <f ca="1">IFERROR(IF(0=LEN(ReferenceData!$AC$156),"",ReferenceData!$AC$156),"")</f>
        <v>5.1399089370000004</v>
      </c>
      <c r="AD156">
        <f ca="1">IFERROR(IF(0=LEN(ReferenceData!$AD$156),"",ReferenceData!$AD$156),"")</f>
        <v>4.9595906279999999</v>
      </c>
      <c r="AE156">
        <f ca="1">IFERROR(IF(0=LEN(ReferenceData!$AE$156),"",ReferenceData!$AE$156),"")</f>
        <v>4.5998612190000001</v>
      </c>
      <c r="AF156">
        <f ca="1">IFERROR(IF(0=LEN(ReferenceData!$AF$156),"",ReferenceData!$AF$156),"")</f>
        <v>4.12070618</v>
      </c>
      <c r="AG156">
        <f ca="1">IFERROR(IF(0=LEN(ReferenceData!$AG$156),"",ReferenceData!$AG$156),"")</f>
        <v>4.1088912349999998</v>
      </c>
      <c r="AH156">
        <f ca="1">IFERROR(IF(0=LEN(ReferenceData!$AH$156),"",ReferenceData!$AH$156),"")</f>
        <v>3.9138228499999999</v>
      </c>
      <c r="AI156">
        <f ca="1">IFERROR(IF(0=LEN(ReferenceData!$AI$156),"",ReferenceData!$AI$156),"")</f>
        <v>3.694716713</v>
      </c>
      <c r="AJ156">
        <f ca="1">IFERROR(IF(0=LEN(ReferenceData!$AJ$156),"",ReferenceData!$AJ$156),"")</f>
        <v>3.6005805469999999</v>
      </c>
      <c r="AK156">
        <f ca="1">IFERROR(IF(0=LEN(ReferenceData!$AK$156),"",ReferenceData!$AK$156),"")</f>
        <v>3.376102666</v>
      </c>
      <c r="AL156">
        <f ca="1">IFERROR(IF(0=LEN(ReferenceData!$AL$156),"",ReferenceData!$AL$156),"")</f>
        <v>3.4671239639999998</v>
      </c>
      <c r="AM156">
        <f ca="1">IFERROR(IF(0=LEN(ReferenceData!$AM$156),"",ReferenceData!$AM$156),"")</f>
        <v>3.6237489300000001</v>
      </c>
      <c r="AN156">
        <f ca="1">IFERROR(IF(0=LEN(ReferenceData!$AN$156),"",ReferenceData!$AN$156),"")</f>
        <v>3.869478526</v>
      </c>
      <c r="AO156">
        <f ca="1">IFERROR(IF(0=LEN(ReferenceData!$AO$156),"",ReferenceData!$AO$156),"")</f>
        <v>4.3756365070000003</v>
      </c>
      <c r="AP156">
        <f ca="1">IFERROR(IF(0=LEN(ReferenceData!$AP$156),"",ReferenceData!$AP$156),"")</f>
        <v>4.1834435059999997</v>
      </c>
      <c r="AQ156">
        <f ca="1">IFERROR(IF(0=LEN(ReferenceData!$AQ$156),"",ReferenceData!$AQ$156),"")</f>
        <v>4.1676736730000004</v>
      </c>
      <c r="AR156">
        <f ca="1">IFERROR(IF(0=LEN(ReferenceData!$AR$156),"",ReferenceData!$AR$156),"")</f>
        <v>4.3223787710000003</v>
      </c>
      <c r="AS156">
        <f ca="1">IFERROR(IF(0=LEN(ReferenceData!$AS$156),"",ReferenceData!$AS$156),"")</f>
        <v>4.8436498600000002</v>
      </c>
      <c r="AT156">
        <f ca="1">IFERROR(IF(0=LEN(ReferenceData!$AT$156),"",ReferenceData!$AT$156),"")</f>
        <v>5.3677072260000003</v>
      </c>
      <c r="AU156">
        <f ca="1">IFERROR(IF(0=LEN(ReferenceData!$AU$156),"",ReferenceData!$AU$156),"")</f>
        <v>5.3618910179999997</v>
      </c>
      <c r="AV156">
        <f ca="1">IFERROR(IF(0=LEN(ReferenceData!$AV$156),"",ReferenceData!$AV$156),"")</f>
        <v>5.5314393859999997</v>
      </c>
      <c r="AW156">
        <f ca="1">IFERROR(IF(0=LEN(ReferenceData!$AW$156),"",ReferenceData!$AW$156),"")</f>
        <v>5.2460204429999999</v>
      </c>
      <c r="AX156">
        <f ca="1">IFERROR(IF(0=LEN(ReferenceData!$AX$156),"",ReferenceData!$AX$156),"")</f>
        <v>5.2985896270000001</v>
      </c>
      <c r="AY156">
        <f ca="1">IFERROR(IF(0=LEN(ReferenceData!$AY$156),"",ReferenceData!$AY$156),"")</f>
        <v>5.4109578809999999</v>
      </c>
      <c r="AZ156">
        <f ca="1">IFERROR(IF(0=LEN(ReferenceData!$AZ$156),"",ReferenceData!$AZ$156),"")</f>
        <v>5.594152791</v>
      </c>
      <c r="BA156">
        <f ca="1">IFERROR(IF(0=LEN(ReferenceData!$BA$156),"",ReferenceData!$BA$156),"")</f>
        <v>5.615483974</v>
      </c>
      <c r="BB156">
        <f ca="1">IFERROR(IF(0=LEN(ReferenceData!$BB$156),"",ReferenceData!$BB$156),"")</f>
        <v>5.6471655070000004</v>
      </c>
      <c r="BC156">
        <f ca="1">IFERROR(IF(0=LEN(ReferenceData!$BC$156),"",ReferenceData!$BC$156),"")</f>
        <v>5.5664267040000004</v>
      </c>
      <c r="BD156">
        <f ca="1">IFERROR(IF(0=LEN(ReferenceData!$BD$156),"",ReferenceData!$BD$156),"")</f>
        <v>5.5951358329999996</v>
      </c>
      <c r="BE156">
        <f ca="1">IFERROR(IF(0=LEN(ReferenceData!$BE$156),"",ReferenceData!$BE$156),"")</f>
        <v>5.6571556110000003</v>
      </c>
      <c r="BF156">
        <f ca="1">IFERROR(IF(0=LEN(ReferenceData!$BF$156),"",ReferenceData!$BF$156),"")</f>
        <v>5.6596675019999996</v>
      </c>
      <c r="BG156">
        <f ca="1">IFERROR(IF(0=LEN(ReferenceData!$BG$156),"",ReferenceData!$BG$156),"")</f>
        <v>5.6732239330000001</v>
      </c>
      <c r="BH156">
        <f ca="1">IFERROR(IF(0=LEN(ReferenceData!$BH$156),"",ReferenceData!$BH$156),"")</f>
        <v>6.0453706</v>
      </c>
      <c r="BI156">
        <f ca="1">IFERROR(IF(0=LEN(ReferenceData!$BI$156),"",ReferenceData!$BI$156),"")</f>
        <v>6.2476342169999999</v>
      </c>
      <c r="BJ156">
        <f ca="1">IFERROR(IF(0=LEN(ReferenceData!$BJ$156),"",ReferenceData!$BJ$156),"")</f>
        <v>6.3546166309999998</v>
      </c>
      <c r="BK156">
        <f ca="1">IFERROR(IF(0=LEN(ReferenceData!$BK$156),"",ReferenceData!$BK$156),"")</f>
        <v>6.2202505620000004</v>
      </c>
      <c r="BL156">
        <f ca="1">IFERROR(IF(0=LEN(ReferenceData!$BL$156),"",ReferenceData!$BL$156),"")</f>
        <v>6.0669833249999998</v>
      </c>
      <c r="BM156">
        <f ca="1">IFERROR(IF(0=LEN(ReferenceData!$BM$156),"",ReferenceData!$BM$156),"")</f>
        <v>5.8528051410000002</v>
      </c>
    </row>
    <row r="157" spans="1:65">
      <c r="A157" t="str">
        <f>IFERROR(IF(0=LEN(ReferenceData!$A$157),"",ReferenceData!$A$157),"")</f>
        <v>债务/EBITDA</v>
      </c>
      <c r="B157" t="str">
        <f>IFERROR(IF(0=LEN(ReferenceData!$B$157),"",ReferenceData!$B$157),"")</f>
        <v/>
      </c>
      <c r="C157" t="str">
        <f>IFERROR(IF(0=LEN(ReferenceData!$C$157),"",ReferenceData!$C$157),"")</f>
        <v/>
      </c>
      <c r="D157" t="str">
        <f>IFERROR(IF(0=LEN(ReferenceData!$D$157),"",ReferenceData!$D$157),"")</f>
        <v/>
      </c>
      <c r="E157" t="str">
        <f>IFERROR(IF(0=LEN(ReferenceData!$E$157),"",ReferenceData!$E$157),"")</f>
        <v>Median</v>
      </c>
      <c r="F157" t="str">
        <f ca="1">IFERROR(IF(0=LEN(ReferenceData!$F$157),"",ReferenceData!$F$157),"")</f>
        <v/>
      </c>
      <c r="G157">
        <f ca="1">IFERROR(IF(0=LEN(ReferenceData!$G$157),"",ReferenceData!$G$157),"")</f>
        <v>5.7531839214999998</v>
      </c>
      <c r="H157">
        <f ca="1">IFERROR(IF(0=LEN(ReferenceData!$H$157),"",ReferenceData!$H$157),"")</f>
        <v>5.7501379299999993</v>
      </c>
      <c r="I157">
        <f ca="1">IFERROR(IF(0=LEN(ReferenceData!$I$157),"",ReferenceData!$I$157),"")</f>
        <v>5.8169721775000003</v>
      </c>
      <c r="J157">
        <f ca="1">IFERROR(IF(0=LEN(ReferenceData!$J$157),"",ReferenceData!$J$157),"")</f>
        <v>5.7748873475</v>
      </c>
      <c r="K157">
        <f ca="1">IFERROR(IF(0=LEN(ReferenceData!$K$157),"",ReferenceData!$K$157),"")</f>
        <v>5.5968368174999998</v>
      </c>
      <c r="L157">
        <f ca="1">IFERROR(IF(0=LEN(ReferenceData!$L$157),"",ReferenceData!$L$157),"")</f>
        <v>5.4944152175000003</v>
      </c>
      <c r="M157">
        <f ca="1">IFERROR(IF(0=LEN(ReferenceData!$M$157),"",ReferenceData!$M$157),"")</f>
        <v>5.6516346100000003</v>
      </c>
      <c r="N157">
        <f ca="1">IFERROR(IF(0=LEN(ReferenceData!$N$157),"",ReferenceData!$N$157),"")</f>
        <v>5.8354692779999997</v>
      </c>
      <c r="O157">
        <f ca="1">IFERROR(IF(0=LEN(ReferenceData!$O$157),"",ReferenceData!$O$157),"")</f>
        <v>6.0142381475000004</v>
      </c>
      <c r="P157">
        <f ca="1">IFERROR(IF(0=LEN(ReferenceData!$P$157),"",ReferenceData!$P$157),"")</f>
        <v>6.4123000764999993</v>
      </c>
      <c r="Q157">
        <f ca="1">IFERROR(IF(0=LEN(ReferenceData!$Q$157),"",ReferenceData!$Q$157),"")</f>
        <v>6.5581675515000004</v>
      </c>
      <c r="R157">
        <f ca="1">IFERROR(IF(0=LEN(ReferenceData!$R$157),"",ReferenceData!$R$157),"")</f>
        <v>6.6458595870000003</v>
      </c>
      <c r="S157">
        <f ca="1">IFERROR(IF(0=LEN(ReferenceData!$S$157),"",ReferenceData!$S$157),"")</f>
        <v>6.9374678825</v>
      </c>
      <c r="T157">
        <f ca="1">IFERROR(IF(0=LEN(ReferenceData!$T$157),"",ReferenceData!$T$157),"")</f>
        <v>7.2228836034999997</v>
      </c>
      <c r="U157">
        <f ca="1">IFERROR(IF(0=LEN(ReferenceData!$U$157),"",ReferenceData!$U$157),"")</f>
        <v>7.9872455630000001</v>
      </c>
      <c r="V157">
        <f ca="1">IFERROR(IF(0=LEN(ReferenceData!$V$157),"",ReferenceData!$V$157),"")</f>
        <v>7.7101471979999996</v>
      </c>
      <c r="W157">
        <f ca="1">IFERROR(IF(0=LEN(ReferenceData!$W$157),"",ReferenceData!$W$157),"")</f>
        <v>7.6293855955000005</v>
      </c>
      <c r="X157">
        <f ca="1">IFERROR(IF(0=LEN(ReferenceData!$X$157),"",ReferenceData!$X$157),"")</f>
        <v>7.7070284725000002</v>
      </c>
      <c r="Y157">
        <f ca="1">IFERROR(IF(0=LEN(ReferenceData!$Y$157),"",ReferenceData!$Y$157),"")</f>
        <v>7.9682624900000008</v>
      </c>
      <c r="Z157">
        <f ca="1">IFERROR(IF(0=LEN(ReferenceData!$Z$157),"",ReferenceData!$Z$157),"")</f>
        <v>8.5870974069999999</v>
      </c>
      <c r="AA157">
        <f ca="1">IFERROR(IF(0=LEN(ReferenceData!$AA$157),"",ReferenceData!$AA$157),"")</f>
        <v>7.5233504495000005</v>
      </c>
      <c r="AB157">
        <f ca="1">IFERROR(IF(0=LEN(ReferenceData!$AB$157),"",ReferenceData!$AB$157),"")</f>
        <v>7.2614420249999991</v>
      </c>
      <c r="AC157">
        <f ca="1">IFERROR(IF(0=LEN(ReferenceData!$AC$157),"",ReferenceData!$AC$157),"")</f>
        <v>7.5214837980000002</v>
      </c>
      <c r="AD157">
        <f ca="1">IFERROR(IF(0=LEN(ReferenceData!$AD$157),"",ReferenceData!$AD$157),"")</f>
        <v>7.4338190040000001</v>
      </c>
      <c r="AE157">
        <f ca="1">IFERROR(IF(0=LEN(ReferenceData!$AE$157),"",ReferenceData!$AE$157),"")</f>
        <v>7.8769527159999999</v>
      </c>
      <c r="AF157">
        <f ca="1">IFERROR(IF(0=LEN(ReferenceData!$AF$157),"",ReferenceData!$AF$157),"")</f>
        <v>7.6641923199999997</v>
      </c>
      <c r="AG157">
        <f ca="1">IFERROR(IF(0=LEN(ReferenceData!$AG$157),"",ReferenceData!$AG$157),"")</f>
        <v>8.2542648459999999</v>
      </c>
      <c r="AH157">
        <f ca="1">IFERROR(IF(0=LEN(ReferenceData!$AH$157),"",ReferenceData!$AH$157),"")</f>
        <v>8.6996951219999996</v>
      </c>
      <c r="AI157">
        <f ca="1">IFERROR(IF(0=LEN(ReferenceData!$AI$157),"",ReferenceData!$AI$157),"")</f>
        <v>9.2140369979999992</v>
      </c>
      <c r="AJ157">
        <f ca="1">IFERROR(IF(0=LEN(ReferenceData!$AJ$157),"",ReferenceData!$AJ$157),"")</f>
        <v>9.3094622999999999</v>
      </c>
      <c r="AK157">
        <f ca="1">IFERROR(IF(0=LEN(ReferenceData!$AK$157),"",ReferenceData!$AK$157),"")</f>
        <v>8.8442932459999994</v>
      </c>
      <c r="AL157">
        <f ca="1">IFERROR(IF(0=LEN(ReferenceData!$AL$157),"",ReferenceData!$AL$157),"")</f>
        <v>8.7030276999999998</v>
      </c>
      <c r="AM157">
        <f ca="1">IFERROR(IF(0=LEN(ReferenceData!$AM$157),"",ReferenceData!$AM$157),"")</f>
        <v>8.5507859180000008</v>
      </c>
      <c r="AN157">
        <f ca="1">IFERROR(IF(0=LEN(ReferenceData!$AN$157),"",ReferenceData!$AN$157),"")</f>
        <v>9.0545519300000006</v>
      </c>
      <c r="AO157">
        <f ca="1">IFERROR(IF(0=LEN(ReferenceData!$AO$157),"",ReferenceData!$AO$157),"")</f>
        <v>9.1027761954999988</v>
      </c>
      <c r="AP157">
        <f ca="1">IFERROR(IF(0=LEN(ReferenceData!$AP$157),"",ReferenceData!$AP$157),"")</f>
        <v>8.6641439170000005</v>
      </c>
      <c r="AQ157">
        <f ca="1">IFERROR(IF(0=LEN(ReferenceData!$AQ$157),"",ReferenceData!$AQ$157),"")</f>
        <v>8.6359571800000001</v>
      </c>
      <c r="AR157">
        <f ca="1">IFERROR(IF(0=LEN(ReferenceData!$AR$157),"",ReferenceData!$AR$157),"")</f>
        <v>8.4370912110000003</v>
      </c>
      <c r="AS157">
        <f ca="1">IFERROR(IF(0=LEN(ReferenceData!$AS$157),"",ReferenceData!$AS$157),"")</f>
        <v>8.4091083470000001</v>
      </c>
      <c r="AT157">
        <f ca="1">IFERROR(IF(0=LEN(ReferenceData!$AT$157),"",ReferenceData!$AT$157),"")</f>
        <v>8.3776833199999992</v>
      </c>
      <c r="AU157">
        <f ca="1">IFERROR(IF(0=LEN(ReferenceData!$AU$157),"",ReferenceData!$AU$157),"")</f>
        <v>8.4284795450000001</v>
      </c>
      <c r="AV157">
        <f ca="1">IFERROR(IF(0=LEN(ReferenceData!$AV$157),"",ReferenceData!$AV$157),"")</f>
        <v>8.4813769969999999</v>
      </c>
      <c r="AW157">
        <f ca="1">IFERROR(IF(0=LEN(ReferenceData!$AW$157),"",ReferenceData!$AW$157),"")</f>
        <v>8.1286691260000001</v>
      </c>
      <c r="AX157">
        <f ca="1">IFERROR(IF(0=LEN(ReferenceData!$AX$157),"",ReferenceData!$AX$157),"")</f>
        <v>7.6995252479999996</v>
      </c>
      <c r="AY157">
        <f ca="1">IFERROR(IF(0=LEN(ReferenceData!$AY$157),"",ReferenceData!$AY$157),"")</f>
        <v>7.6474313609999998</v>
      </c>
      <c r="AZ157">
        <f ca="1">IFERROR(IF(0=LEN(ReferenceData!$AZ$157),"",ReferenceData!$AZ$157),"")</f>
        <v>7.7069591099999997</v>
      </c>
      <c r="BA157">
        <f ca="1">IFERROR(IF(0=LEN(ReferenceData!$BA$157),"",ReferenceData!$BA$157),"")</f>
        <v>8.1775548610000008</v>
      </c>
      <c r="BB157">
        <f ca="1">IFERROR(IF(0=LEN(ReferenceData!$BB$157),"",ReferenceData!$BB$157),"")</f>
        <v>8.2124314599999995</v>
      </c>
      <c r="BC157">
        <f ca="1">IFERROR(IF(0=LEN(ReferenceData!$BC$157),"",ReferenceData!$BC$157),"")</f>
        <v>7.9271017370000001</v>
      </c>
      <c r="BD157">
        <f ca="1">IFERROR(IF(0=LEN(ReferenceData!$BD$157),"",ReferenceData!$BD$157),"")</f>
        <v>8.1352874775000004</v>
      </c>
      <c r="BE157">
        <f ca="1">IFERROR(IF(0=LEN(ReferenceData!$BE$157),"",ReferenceData!$BE$157),"")</f>
        <v>8.0750060399999999</v>
      </c>
      <c r="BF157">
        <f ca="1">IFERROR(IF(0=LEN(ReferenceData!$BF$157),"",ReferenceData!$BF$157),"")</f>
        <v>8.3536023035000007</v>
      </c>
      <c r="BG157">
        <f ca="1">IFERROR(IF(0=LEN(ReferenceData!$BG$157),"",ReferenceData!$BG$157),"")</f>
        <v>7.2406930530000002</v>
      </c>
      <c r="BH157">
        <f ca="1">IFERROR(IF(0=LEN(ReferenceData!$BH$157),"",ReferenceData!$BH$157),"")</f>
        <v>7.0259103695</v>
      </c>
      <c r="BI157">
        <f ca="1">IFERROR(IF(0=LEN(ReferenceData!$BI$157),"",ReferenceData!$BI$157),"")</f>
        <v>6.9173580865000002</v>
      </c>
      <c r="BJ157">
        <f ca="1">IFERROR(IF(0=LEN(ReferenceData!$BJ$157),"",ReferenceData!$BJ$157),"")</f>
        <v>6.6161176314999999</v>
      </c>
      <c r="BK157">
        <f ca="1">IFERROR(IF(0=LEN(ReferenceData!$BK$157),"",ReferenceData!$BK$157),"")</f>
        <v>6.3938462225000006</v>
      </c>
      <c r="BL157">
        <f ca="1">IFERROR(IF(0=LEN(ReferenceData!$BL$157),"",ReferenceData!$BL$157),"")</f>
        <v>6.596035563</v>
      </c>
      <c r="BM157">
        <f ca="1">IFERROR(IF(0=LEN(ReferenceData!$BM$157),"",ReferenceData!$BM$157),"")</f>
        <v>6.5768298749999996</v>
      </c>
    </row>
    <row r="158" spans="1:65">
      <c r="A158" t="str">
        <f>IFERROR(IF(0=LEN(ReferenceData!$A$158),"",ReferenceData!$A$158),"")</f>
        <v xml:space="preserve">    American Campus Communities In</v>
      </c>
      <c r="B158" t="str">
        <f>IFERROR(IF(0=LEN(ReferenceData!$B$158),"",ReferenceData!$B$158),"")</f>
        <v>ACC US Equity</v>
      </c>
      <c r="C158" t="str">
        <f>IFERROR(IF(0=LEN(ReferenceData!$C$158),"",ReferenceData!$C$158),"")</f>
        <v>RR052</v>
      </c>
      <c r="D158" t="str">
        <f>IFERROR(IF(0=LEN(ReferenceData!$D$158),"",ReferenceData!$D$158),"")</f>
        <v>TOT_DEBT_TO_EBITDA</v>
      </c>
      <c r="E158" t="str">
        <f>IFERROR(IF(0=LEN(ReferenceData!$E$158),"",ReferenceData!$E$158),"")</f>
        <v>动态</v>
      </c>
      <c r="F158" t="str">
        <f ca="1">IFERROR(IF(0=LEN(ReferenceData!$F$158),"",ReferenceData!$F$158),"")</f>
        <v/>
      </c>
      <c r="G158">
        <f ca="1">IFERROR(IF(0=LEN(ReferenceData!$G$158),"",ReferenceData!$G$158),"")</f>
        <v>8.0121194300000003</v>
      </c>
      <c r="H158">
        <f ca="1">IFERROR(IF(0=LEN(ReferenceData!$H$158),"",ReferenceData!$H$158),"")</f>
        <v>7.8493984450000003</v>
      </c>
      <c r="I158">
        <f ca="1">IFERROR(IF(0=LEN(ReferenceData!$I$158),"",ReferenceData!$I$158),"")</f>
        <v>6.6467660850000003</v>
      </c>
      <c r="J158">
        <f ca="1">IFERROR(IF(0=LEN(ReferenceData!$J$158),"",ReferenceData!$J$158),"")</f>
        <v>5.8217736430000002</v>
      </c>
      <c r="K158">
        <f ca="1">IFERROR(IF(0=LEN(ReferenceData!$K$158),"",ReferenceData!$K$158),"")</f>
        <v>5.5269991940000001</v>
      </c>
      <c r="L158">
        <f ca="1">IFERROR(IF(0=LEN(ReferenceData!$L$158),"",ReferenceData!$L$158),"")</f>
        <v>6.3811874700000004</v>
      </c>
      <c r="M158">
        <f ca="1">IFERROR(IF(0=LEN(ReferenceData!$M$158),"",ReferenceData!$M$158),"")</f>
        <v>6.8396938499999997</v>
      </c>
      <c r="N158">
        <f ca="1">IFERROR(IF(0=LEN(ReferenceData!$N$158),"",ReferenceData!$N$158),"")</f>
        <v>7.0519067509999998</v>
      </c>
      <c r="O158">
        <f ca="1">IFERROR(IF(0=LEN(ReferenceData!$O$158),"",ReferenceData!$O$158),"")</f>
        <v>8.0621971499999994</v>
      </c>
      <c r="P158">
        <f ca="1">IFERROR(IF(0=LEN(ReferenceData!$P$158),"",ReferenceData!$P$158),"")</f>
        <v>8.0845754480000007</v>
      </c>
      <c r="Q158">
        <f ca="1">IFERROR(IF(0=LEN(ReferenceData!$Q$158),"",ReferenceData!$Q$158),"")</f>
        <v>7.5638321419999999</v>
      </c>
      <c r="R158">
        <f ca="1">IFERROR(IF(0=LEN(ReferenceData!$R$158),"",ReferenceData!$R$158),"")</f>
        <v>7.5856020129999999</v>
      </c>
      <c r="S158">
        <f ca="1">IFERROR(IF(0=LEN(ReferenceData!$S$158),"",ReferenceData!$S$158),"")</f>
        <v>8.374540455</v>
      </c>
      <c r="T158">
        <f ca="1">IFERROR(IF(0=LEN(ReferenceData!$T$158),"",ReferenceData!$T$158),"")</f>
        <v>8.4204699240000007</v>
      </c>
      <c r="U158">
        <f ca="1">IFERROR(IF(0=LEN(ReferenceData!$U$158),"",ReferenceData!$U$158),"")</f>
        <v>8.6376250900000002</v>
      </c>
      <c r="V158">
        <f ca="1">IFERROR(IF(0=LEN(ReferenceData!$V$158),"",ReferenceData!$V$158),"")</f>
        <v>8.5369597069999994</v>
      </c>
      <c r="W158">
        <f ca="1">IFERROR(IF(0=LEN(ReferenceData!$W$158),"",ReferenceData!$W$158),"")</f>
        <v>8.5944457150000009</v>
      </c>
      <c r="X158">
        <f ca="1">IFERROR(IF(0=LEN(ReferenceData!$X$158),"",ReferenceData!$X$158),"")</f>
        <v>8.1102989189999999</v>
      </c>
      <c r="Y158">
        <f ca="1">IFERROR(IF(0=LEN(ReferenceData!$Y$158),"",ReferenceData!$Y$158),"")</f>
        <v>8.7054685500000009</v>
      </c>
      <c r="Z158">
        <f ca="1">IFERROR(IF(0=LEN(ReferenceData!$Z$158),"",ReferenceData!$Z$158),"")</f>
        <v>8.9469641949999996</v>
      </c>
      <c r="AA158">
        <f ca="1">IFERROR(IF(0=LEN(ReferenceData!$AA$158),"",ReferenceData!$AA$158),"")</f>
        <v>9.9336520660000005</v>
      </c>
      <c r="AB158">
        <f ca="1">IFERROR(IF(0=LEN(ReferenceData!$AB$158),"",ReferenceData!$AB$158),"")</f>
        <v>9.1597636690000002</v>
      </c>
      <c r="AC158">
        <f ca="1">IFERROR(IF(0=LEN(ReferenceData!$AC$158),"",ReferenceData!$AC$158),"")</f>
        <v>8.3055790970000007</v>
      </c>
      <c r="AD158">
        <f ca="1">IFERROR(IF(0=LEN(ReferenceData!$AD$158),"",ReferenceData!$AD$158),"")</f>
        <v>7.8092027540000002</v>
      </c>
      <c r="AE158">
        <f ca="1">IFERROR(IF(0=LEN(ReferenceData!$AE$158),"",ReferenceData!$AE$158),"")</f>
        <v>7.6728136249999999</v>
      </c>
      <c r="AF158">
        <f ca="1">IFERROR(IF(0=LEN(ReferenceData!$AF$158),"",ReferenceData!$AF$158),"")</f>
        <v>6.6963897159999997</v>
      </c>
      <c r="AG158">
        <f ca="1">IFERROR(IF(0=LEN(ReferenceData!$AG$158),"",ReferenceData!$AG$158),"")</f>
        <v>6.5965299479999997</v>
      </c>
      <c r="AH158">
        <f ca="1">IFERROR(IF(0=LEN(ReferenceData!$AH$158),"",ReferenceData!$AH$158),"")</f>
        <v>7.3512107069999999</v>
      </c>
      <c r="AI158">
        <f ca="1">IFERROR(IF(0=LEN(ReferenceData!$AI$158),"",ReferenceData!$AI$158),"")</f>
        <v>8.3104920419999999</v>
      </c>
      <c r="AJ158">
        <f ca="1">IFERROR(IF(0=LEN(ReferenceData!$AJ$158),"",ReferenceData!$AJ$158),"")</f>
        <v>8.3545209180000004</v>
      </c>
      <c r="AK158">
        <f ca="1">IFERROR(IF(0=LEN(ReferenceData!$AK$158),"",ReferenceData!$AK$158),"")</f>
        <v>7.8058373440000004</v>
      </c>
      <c r="AL158">
        <f ca="1">IFERROR(IF(0=LEN(ReferenceData!$AL$158),"",ReferenceData!$AL$158),"")</f>
        <v>7.9757765630000002</v>
      </c>
      <c r="AM158">
        <f ca="1">IFERROR(IF(0=LEN(ReferenceData!$AM$158),"",ReferenceData!$AM$158),"")</f>
        <v>8.5507859180000008</v>
      </c>
      <c r="AN158">
        <f ca="1">IFERROR(IF(0=LEN(ReferenceData!$AN$158),"",ReferenceData!$AN$158),"")</f>
        <v>9.1728527379999996</v>
      </c>
      <c r="AO158">
        <f ca="1">IFERROR(IF(0=LEN(ReferenceData!$AO$158),"",ReferenceData!$AO$158),"")</f>
        <v>9.2613769050000005</v>
      </c>
      <c r="AP158">
        <f ca="1">IFERROR(IF(0=LEN(ReferenceData!$AP$158),"",ReferenceData!$AP$158),"")</f>
        <v>11.364176929999999</v>
      </c>
      <c r="AQ158">
        <f ca="1">IFERROR(IF(0=LEN(ReferenceData!$AQ$158),"",ReferenceData!$AQ$158),"")</f>
        <v>12.975125240000001</v>
      </c>
      <c r="AR158">
        <f ca="1">IFERROR(IF(0=LEN(ReferenceData!$AR$158),"",ReferenceData!$AR$158),"")</f>
        <v>14.90589759</v>
      </c>
      <c r="AS158">
        <f ca="1">IFERROR(IF(0=LEN(ReferenceData!$AS$158),"",ReferenceData!$AS$158),"")</f>
        <v>17.232174329999999</v>
      </c>
      <c r="AT158">
        <f ca="1">IFERROR(IF(0=LEN(ReferenceData!$AT$158),"",ReferenceData!$AT$158),"")</f>
        <v>8.5394326219999996</v>
      </c>
      <c r="AU158">
        <f ca="1">IFERROR(IF(0=LEN(ReferenceData!$AU$158),"",ReferenceData!$AU$158),"")</f>
        <v>9.2231261779999993</v>
      </c>
      <c r="AV158">
        <f ca="1">IFERROR(IF(0=LEN(ReferenceData!$AV$158),"",ReferenceData!$AV$158),"")</f>
        <v>10.76039507</v>
      </c>
      <c r="AW158">
        <f ca="1">IFERROR(IF(0=LEN(ReferenceData!$AW$158),"",ReferenceData!$AW$158),"")</f>
        <v>10.090226680000001</v>
      </c>
      <c r="AX158">
        <f ca="1">IFERROR(IF(0=LEN(ReferenceData!$AX$158),"",ReferenceData!$AX$158),"")</f>
        <v>10.292181469999999</v>
      </c>
      <c r="AY158">
        <f ca="1">IFERROR(IF(0=LEN(ReferenceData!$AY$158),"",ReferenceData!$AY$158),"")</f>
        <v>7.6474313609999998</v>
      </c>
      <c r="AZ158">
        <f ca="1">IFERROR(IF(0=LEN(ReferenceData!$AZ$158),"",ReferenceData!$AZ$158),"")</f>
        <v>8.5232504559999995</v>
      </c>
      <c r="BA158">
        <f ca="1">IFERROR(IF(0=LEN(ReferenceData!$BA$158),"",ReferenceData!$BA$158),"")</f>
        <v>11.21555717</v>
      </c>
      <c r="BB158">
        <f ca="1">IFERROR(IF(0=LEN(ReferenceData!$BB$158),"",ReferenceData!$BB$158),"")</f>
        <v>11.86067976</v>
      </c>
      <c r="BC158">
        <f ca="1">IFERROR(IF(0=LEN(ReferenceData!$BC$158),"",ReferenceData!$BC$158),"")</f>
        <v>7.9271017370000001</v>
      </c>
      <c r="BD158">
        <f ca="1">IFERROR(IF(0=LEN(ReferenceData!$BD$158),"",ReferenceData!$BD$158),"")</f>
        <v>8.5498021980000001</v>
      </c>
      <c r="BE158">
        <f ca="1">IFERROR(IF(0=LEN(ReferenceData!$BE$158),"",ReferenceData!$BE$158),"")</f>
        <v>11.62357886</v>
      </c>
      <c r="BF158">
        <f ca="1">IFERROR(IF(0=LEN(ReferenceData!$BF$158),"",ReferenceData!$BF$158),"")</f>
        <v>11.46762719</v>
      </c>
      <c r="BG158">
        <f ca="1">IFERROR(IF(0=LEN(ReferenceData!$BG$158),"",ReferenceData!$BG$158),"")</f>
        <v>7.5974752739999998</v>
      </c>
      <c r="BH158" t="str">
        <f ca="1">IFERROR(IF(0=LEN(ReferenceData!$BH$158),"",ReferenceData!$BH$158),"")</f>
        <v/>
      </c>
      <c r="BI158" t="str">
        <f ca="1">IFERROR(IF(0=LEN(ReferenceData!$BI$158),"",ReferenceData!$BI$158),"")</f>
        <v/>
      </c>
      <c r="BJ158" t="str">
        <f ca="1">IFERROR(IF(0=LEN(ReferenceData!$BJ$158),"",ReferenceData!$BJ$158),"")</f>
        <v/>
      </c>
      <c r="BK158" t="str">
        <f ca="1">IFERROR(IF(0=LEN(ReferenceData!$BK$158),"",ReferenceData!$BK$158),"")</f>
        <v/>
      </c>
      <c r="BL158" t="str">
        <f ca="1">IFERROR(IF(0=LEN(ReferenceData!$BL$158),"",ReferenceData!$BL$158),"")</f>
        <v/>
      </c>
      <c r="BM158" t="str">
        <f ca="1">IFERROR(IF(0=LEN(ReferenceData!$BM$158),"",ReferenceData!$BM$158),"")</f>
        <v/>
      </c>
    </row>
    <row r="159" spans="1:65">
      <c r="A159" t="str">
        <f>IFERROR(IF(0=LEN(ReferenceData!$A$159),"",ReferenceData!$A$159),"")</f>
        <v xml:space="preserve">    AvalonBay Communities Inc</v>
      </c>
      <c r="B159" t="str">
        <f>IFERROR(IF(0=LEN(ReferenceData!$B$159),"",ReferenceData!$B$159),"")</f>
        <v>AVB US Equity</v>
      </c>
      <c r="C159" t="str">
        <f>IFERROR(IF(0=LEN(ReferenceData!$C$159),"",ReferenceData!$C$159),"")</f>
        <v>RR052</v>
      </c>
      <c r="D159" t="str">
        <f>IFERROR(IF(0=LEN(ReferenceData!$D$159),"",ReferenceData!$D$159),"")</f>
        <v>TOT_DEBT_TO_EBITDA</v>
      </c>
      <c r="E159" t="str">
        <f>IFERROR(IF(0=LEN(ReferenceData!$E$159),"",ReferenceData!$E$159),"")</f>
        <v>动态</v>
      </c>
      <c r="F159" t="str">
        <f ca="1">IFERROR(IF(0=LEN(ReferenceData!$F$159),"",ReferenceData!$F$159),"")</f>
        <v/>
      </c>
      <c r="G159">
        <f ca="1">IFERROR(IF(0=LEN(ReferenceData!$G$159),"",ReferenceData!$G$159),"")</f>
        <v>5.2672060729999997</v>
      </c>
      <c r="H159">
        <f ca="1">IFERROR(IF(0=LEN(ReferenceData!$H$159),"",ReferenceData!$H$159),"")</f>
        <v>5.2432457079999999</v>
      </c>
      <c r="I159">
        <f ca="1">IFERROR(IF(0=LEN(ReferenceData!$I$159),"",ReferenceData!$I$159),"")</f>
        <v>5.2488594669999999</v>
      </c>
      <c r="J159">
        <f ca="1">IFERROR(IF(0=LEN(ReferenceData!$J$159),"",ReferenceData!$J$159),"")</f>
        <v>5.3815254289999999</v>
      </c>
      <c r="K159">
        <f ca="1">IFERROR(IF(0=LEN(ReferenceData!$K$159),"",ReferenceData!$K$159),"")</f>
        <v>5.3661745869999997</v>
      </c>
      <c r="L159">
        <f ca="1">IFERROR(IF(0=LEN(ReferenceData!$L$159),"",ReferenceData!$L$159),"")</f>
        <v>5.3152761829999999</v>
      </c>
      <c r="M159">
        <f ca="1">IFERROR(IF(0=LEN(ReferenceData!$M$159),"",ReferenceData!$M$159),"")</f>
        <v>5.4870955930000003</v>
      </c>
      <c r="N159">
        <f ca="1">IFERROR(IF(0=LEN(ReferenceData!$N$159),"",ReferenceData!$N$159),"")</f>
        <v>5.2549115950000003</v>
      </c>
      <c r="O159">
        <f ca="1">IFERROR(IF(0=LEN(ReferenceData!$O$159),"",ReferenceData!$O$159),"")</f>
        <v>5.503434027</v>
      </c>
      <c r="P159">
        <f ca="1">IFERROR(IF(0=LEN(ReferenceData!$P$159),"",ReferenceData!$P$159),"")</f>
        <v>5.5203044309999996</v>
      </c>
      <c r="Q159">
        <f ca="1">IFERROR(IF(0=LEN(ReferenceData!$Q$159),"",ReferenceData!$Q$159),"")</f>
        <v>5.7287672489999997</v>
      </c>
      <c r="R159">
        <f ca="1">IFERROR(IF(0=LEN(ReferenceData!$R$159),"",ReferenceData!$R$159),"")</f>
        <v>6.0735386809999996</v>
      </c>
      <c r="S159">
        <f ca="1">IFERROR(IF(0=LEN(ReferenceData!$S$159),"",ReferenceData!$S$159),"")</f>
        <v>6.1073502309999999</v>
      </c>
      <c r="T159">
        <f ca="1">IFERROR(IF(0=LEN(ReferenceData!$T$159),"",ReferenceData!$T$159),"")</f>
        <v>6.01482852</v>
      </c>
      <c r="U159">
        <f ca="1">IFERROR(IF(0=LEN(ReferenceData!$U$159),"",ReferenceData!$U$159),"")</f>
        <v>6.2721412049999996</v>
      </c>
      <c r="V159">
        <f ca="1">IFERROR(IF(0=LEN(ReferenceData!$V$159),"",ReferenceData!$V$159),"")</f>
        <v>6.5131287279999999</v>
      </c>
      <c r="W159">
        <f ca="1">IFERROR(IF(0=LEN(ReferenceData!$W$159),"",ReferenceData!$W$159),"")</f>
        <v>6.9350904089999998</v>
      </c>
      <c r="X159">
        <f ca="1">IFERROR(IF(0=LEN(ReferenceData!$X$159),"",ReferenceData!$X$159),"")</f>
        <v>7.7724762780000001</v>
      </c>
      <c r="Y159">
        <f ca="1">IFERROR(IF(0=LEN(ReferenceData!$Y$159),"",ReferenceData!$Y$159),"")</f>
        <v>8.1804878120000009</v>
      </c>
      <c r="Z159">
        <f ca="1">IFERROR(IF(0=LEN(ReferenceData!$Z$159),"",ReferenceData!$Z$159),"")</f>
        <v>9.4438454709999995</v>
      </c>
      <c r="AA159">
        <f ca="1">IFERROR(IF(0=LEN(ReferenceData!$AA$159),"",ReferenceData!$AA$159),"")</f>
        <v>6.1593171870000001</v>
      </c>
      <c r="AB159">
        <f ca="1">IFERROR(IF(0=LEN(ReferenceData!$AB$159),"",ReferenceData!$AB$159),"")</f>
        <v>6.1916778309999998</v>
      </c>
      <c r="AC159">
        <f ca="1">IFERROR(IF(0=LEN(ReferenceData!$AC$159),"",ReferenceData!$AC$159),"")</f>
        <v>5.7789258759999997</v>
      </c>
      <c r="AD159">
        <f ca="1">IFERROR(IF(0=LEN(ReferenceData!$AD$159),"",ReferenceData!$AD$159),"")</f>
        <v>5.9117706730000004</v>
      </c>
      <c r="AE159">
        <f ca="1">IFERROR(IF(0=LEN(ReferenceData!$AE$159),"",ReferenceData!$AE$159),"")</f>
        <v>6.475353975</v>
      </c>
      <c r="AF159">
        <f ca="1">IFERROR(IF(0=LEN(ReferenceData!$AF$159),"",ReferenceData!$AF$159),"")</f>
        <v>6.9051761100000002</v>
      </c>
      <c r="AG159">
        <f ca="1">IFERROR(IF(0=LEN(ReferenceData!$AG$159),"",ReferenceData!$AG$159),"")</f>
        <v>7.3420030389999997</v>
      </c>
      <c r="AH159">
        <f ca="1">IFERROR(IF(0=LEN(ReferenceData!$AH$159),"",ReferenceData!$AH$159),"")</f>
        <v>7.6437188779999996</v>
      </c>
      <c r="AI159">
        <f ca="1">IFERROR(IF(0=LEN(ReferenceData!$AI$159),"",ReferenceData!$AI$159),"")</f>
        <v>7.7380474750000001</v>
      </c>
      <c r="AJ159">
        <f ca="1">IFERROR(IF(0=LEN(ReferenceData!$AJ$159),"",ReferenceData!$AJ$159),"")</f>
        <v>8.1636793000000001</v>
      </c>
      <c r="AK159">
        <f ca="1">IFERROR(IF(0=LEN(ReferenceData!$AK$159),"",ReferenceData!$AK$159),"")</f>
        <v>8.2693716500000001</v>
      </c>
      <c r="AL159">
        <f ca="1">IFERROR(IF(0=LEN(ReferenceData!$AL$159),"",ReferenceData!$AL$159),"")</f>
        <v>8.7151512610000008</v>
      </c>
      <c r="AM159">
        <f ca="1">IFERROR(IF(0=LEN(ReferenceData!$AM$159),"",ReferenceData!$AM$159),"")</f>
        <v>8.7661533980000002</v>
      </c>
      <c r="AN159">
        <f ca="1">IFERROR(IF(0=LEN(ReferenceData!$AN$159),"",ReferenceData!$AN$159),"")</f>
        <v>11.36264274</v>
      </c>
      <c r="AO159">
        <f ca="1">IFERROR(IF(0=LEN(ReferenceData!$AO$159),"",ReferenceData!$AO$159),"")</f>
        <v>9.06922739</v>
      </c>
      <c r="AP159">
        <f ca="1">IFERROR(IF(0=LEN(ReferenceData!$AP$159),"",ReferenceData!$AP$159),"")</f>
        <v>8.0048665440000004</v>
      </c>
      <c r="AQ159">
        <f ca="1">IFERROR(IF(0=LEN(ReferenceData!$AQ$159),"",ReferenceData!$AQ$159),"")</f>
        <v>7.6746015410000004</v>
      </c>
      <c r="AR159">
        <f ca="1">IFERROR(IF(0=LEN(ReferenceData!$AR$159),"",ReferenceData!$AR$159),"")</f>
        <v>6.2804055659999998</v>
      </c>
      <c r="AS159">
        <f ca="1">IFERROR(IF(0=LEN(ReferenceData!$AS$159),"",ReferenceData!$AS$159),"")</f>
        <v>7.1093016789999997</v>
      </c>
      <c r="AT159">
        <f ca="1">IFERROR(IF(0=LEN(ReferenceData!$AT$159),"",ReferenceData!$AT$159),"")</f>
        <v>7.8062903329999997</v>
      </c>
      <c r="AU159">
        <f ca="1">IFERROR(IF(0=LEN(ReferenceData!$AU$159),"",ReferenceData!$AU$159),"")</f>
        <v>6.8538144369999996</v>
      </c>
      <c r="AV159">
        <f ca="1">IFERROR(IF(0=LEN(ReferenceData!$AV$159),"",ReferenceData!$AV$159),"")</f>
        <v>6.6375969460000004</v>
      </c>
      <c r="AW159">
        <f ca="1">IFERROR(IF(0=LEN(ReferenceData!$AW$159),"",ReferenceData!$AW$159),"")</f>
        <v>6.4802258879999997</v>
      </c>
      <c r="AX159">
        <f ca="1">IFERROR(IF(0=LEN(ReferenceData!$AX$159),"",ReferenceData!$AX$159),"")</f>
        <v>6.3721788899999998</v>
      </c>
      <c r="AY159">
        <f ca="1">IFERROR(IF(0=LEN(ReferenceData!$AY$159),"",ReferenceData!$AY$159),"")</f>
        <v>6.5295111659999998</v>
      </c>
      <c r="AZ159">
        <f ca="1">IFERROR(IF(0=LEN(ReferenceData!$AZ$159),"",ReferenceData!$AZ$159),"")</f>
        <v>6.3293367380000003</v>
      </c>
      <c r="BA159">
        <f ca="1">IFERROR(IF(0=LEN(ReferenceData!$BA$159),"",ReferenceData!$BA$159),"")</f>
        <v>5.7353628890000001</v>
      </c>
      <c r="BB159">
        <f ca="1">IFERROR(IF(0=LEN(ReferenceData!$BB$159),"",ReferenceData!$BB$159),"")</f>
        <v>5.6895025300000004</v>
      </c>
      <c r="BC159">
        <f ca="1">IFERROR(IF(0=LEN(ReferenceData!$BC$159),"",ReferenceData!$BC$159),"")</f>
        <v>5.9781342359999998</v>
      </c>
      <c r="BD159">
        <f ca="1">IFERROR(IF(0=LEN(ReferenceData!$BD$159),"",ReferenceData!$BD$159),"")</f>
        <v>6.279685304</v>
      </c>
      <c r="BE159">
        <f ca="1">IFERROR(IF(0=LEN(ReferenceData!$BE$159),"",ReferenceData!$BE$159),"")</f>
        <v>6.4372870620000002</v>
      </c>
      <c r="BF159">
        <f ca="1">IFERROR(IF(0=LEN(ReferenceData!$BF$159),"",ReferenceData!$BF$159),"")</f>
        <v>6.4291520899999997</v>
      </c>
      <c r="BG159">
        <f ca="1">IFERROR(IF(0=LEN(ReferenceData!$BG$159),"",ReferenceData!$BG$159),"")</f>
        <v>6.648334631</v>
      </c>
      <c r="BH159">
        <f ca="1">IFERROR(IF(0=LEN(ReferenceData!$BH$159),"",ReferenceData!$BH$159),"")</f>
        <v>6.7672437910000003</v>
      </c>
      <c r="BI159">
        <f ca="1">IFERROR(IF(0=LEN(ReferenceData!$BI$159),"",ReferenceData!$BI$159),"")</f>
        <v>6.6112938400000001</v>
      </c>
      <c r="BJ159">
        <f ca="1">IFERROR(IF(0=LEN(ReferenceData!$BJ$159),"",ReferenceData!$BJ$159),"")</f>
        <v>6.5629657789999998</v>
      </c>
      <c r="BK159">
        <f ca="1">IFERROR(IF(0=LEN(ReferenceData!$BK$159),"",ReferenceData!$BK$159),"")</f>
        <v>6.3566156810000001</v>
      </c>
      <c r="BL159">
        <f ca="1">IFERROR(IF(0=LEN(ReferenceData!$BL$159),"",ReferenceData!$BL$159),"")</f>
        <v>6.596035563</v>
      </c>
      <c r="BM159">
        <f ca="1">IFERROR(IF(0=LEN(ReferenceData!$BM$159),"",ReferenceData!$BM$159),"")</f>
        <v>6.8935144020000001</v>
      </c>
    </row>
    <row r="160" spans="1:65">
      <c r="A160" t="str">
        <f>IFERROR(IF(0=LEN(ReferenceData!$A$160),"",ReferenceData!$A$160),"")</f>
        <v xml:space="preserve">    Camden Property Trust</v>
      </c>
      <c r="B160" t="str">
        <f>IFERROR(IF(0=LEN(ReferenceData!$B$160),"",ReferenceData!$B$160),"")</f>
        <v>CPT US Equity</v>
      </c>
      <c r="C160" t="str">
        <f>IFERROR(IF(0=LEN(ReferenceData!$C$160),"",ReferenceData!$C$160),"")</f>
        <v>RR052</v>
      </c>
      <c r="D160" t="str">
        <f>IFERROR(IF(0=LEN(ReferenceData!$D$160),"",ReferenceData!$D$160),"")</f>
        <v>TOT_DEBT_TO_EBITDA</v>
      </c>
      <c r="E160" t="str">
        <f>IFERROR(IF(0=LEN(ReferenceData!$E$160),"",ReferenceData!$E$160),"")</f>
        <v>动态</v>
      </c>
      <c r="F160" t="str">
        <f ca="1">IFERROR(IF(0=LEN(ReferenceData!$F$160),"",ReferenceData!$F$160),"")</f>
        <v/>
      </c>
      <c r="G160">
        <f ca="1">IFERROR(IF(0=LEN(ReferenceData!$G$160),"",ReferenceData!$G$160),"")</f>
        <v>4.4086052469999997</v>
      </c>
      <c r="H160">
        <f ca="1">IFERROR(IF(0=LEN(ReferenceData!$H$160),"",ReferenceData!$H$160),"")</f>
        <v>4.4607282059999998</v>
      </c>
      <c r="I160">
        <f ca="1">IFERROR(IF(0=LEN(ReferenceData!$I$160),"",ReferenceData!$I$160),"")</f>
        <v>4.6469083810000003</v>
      </c>
      <c r="J160">
        <f ca="1">IFERROR(IF(0=LEN(ReferenceData!$J$160),"",ReferenceData!$J$160),"")</f>
        <v>4.9531528580000002</v>
      </c>
      <c r="K160">
        <f ca="1">IFERROR(IF(0=LEN(ReferenceData!$K$160),"",ReferenceData!$K$160),"")</f>
        <v>5.0055451519999998</v>
      </c>
      <c r="L160">
        <f ca="1">IFERROR(IF(0=LEN(ReferenceData!$L$160),"",ReferenceData!$L$160),"")</f>
        <v>5.1603270989999999</v>
      </c>
      <c r="M160">
        <f ca="1">IFERROR(IF(0=LEN(ReferenceData!$M$160),"",ReferenceData!$M$160),"")</f>
        <v>5.1183758519999998</v>
      </c>
      <c r="N160">
        <f ca="1">IFERROR(IF(0=LEN(ReferenceData!$N$160),"",ReferenceData!$N$160),"")</f>
        <v>5.8485060579999999</v>
      </c>
      <c r="O160">
        <f ca="1">IFERROR(IF(0=LEN(ReferenceData!$O$160),"",ReferenceData!$O$160),"")</f>
        <v>5.7627037269999999</v>
      </c>
      <c r="P160">
        <f ca="1">IFERROR(IF(0=LEN(ReferenceData!$P$160),"",ReferenceData!$P$160),"")</f>
        <v>5.693439519</v>
      </c>
      <c r="Q160">
        <f ca="1">IFERROR(IF(0=LEN(ReferenceData!$Q$160),"",ReferenceData!$Q$160),"")</f>
        <v>5.7117624820000001</v>
      </c>
      <c r="R160">
        <f ca="1">IFERROR(IF(0=LEN(ReferenceData!$R$160),"",ReferenceData!$R$160),"")</f>
        <v>5.8100883230000004</v>
      </c>
      <c r="S160">
        <f ca="1">IFERROR(IF(0=LEN(ReferenceData!$S$160),"",ReferenceData!$S$160),"")</f>
        <v>5.8307186399999997</v>
      </c>
      <c r="T160">
        <f ca="1">IFERROR(IF(0=LEN(ReferenceData!$T$160),"",ReferenceData!$T$160),"")</f>
        <v>5.7969692100000003</v>
      </c>
      <c r="U160">
        <f ca="1">IFERROR(IF(0=LEN(ReferenceData!$U$160),"",ReferenceData!$U$160),"")</f>
        <v>5.7636575920000004</v>
      </c>
      <c r="V160">
        <f ca="1">IFERROR(IF(0=LEN(ReferenceData!$V$160),"",ReferenceData!$V$160),"")</f>
        <v>5.6046543839999998</v>
      </c>
      <c r="W160">
        <f ca="1">IFERROR(IF(0=LEN(ReferenceData!$W$160),"",ReferenceData!$W$160),"")</f>
        <v>5.5991760859999999</v>
      </c>
      <c r="X160">
        <f ca="1">IFERROR(IF(0=LEN(ReferenceData!$X$160),"",ReferenceData!$X$160),"")</f>
        <v>6.0769562280000002</v>
      </c>
      <c r="Y160">
        <f ca="1">IFERROR(IF(0=LEN(ReferenceData!$Y$160),"",ReferenceData!$Y$160),"")</f>
        <v>5.8982434899999996</v>
      </c>
      <c r="Z160">
        <f ca="1">IFERROR(IF(0=LEN(ReferenceData!$Z$160),"",ReferenceData!$Z$160),"")</f>
        <v>5.9311528180000002</v>
      </c>
      <c r="AA160">
        <f ca="1">IFERROR(IF(0=LEN(ReferenceData!$AA$160),"",ReferenceData!$AA$160),"")</f>
        <v>6.1728670699999997</v>
      </c>
      <c r="AB160">
        <f ca="1">IFERROR(IF(0=LEN(ReferenceData!$AB$160),"",ReferenceData!$AB$160),"")</f>
        <v>6.1324730489999997</v>
      </c>
      <c r="AC160">
        <f ca="1">IFERROR(IF(0=LEN(ReferenceData!$AC$160),"",ReferenceData!$AC$160),"")</f>
        <v>6.4115988249999996</v>
      </c>
      <c r="AD160">
        <f ca="1">IFERROR(IF(0=LEN(ReferenceData!$AD$160),"",ReferenceData!$AD$160),"")</f>
        <v>6.7637627250000003</v>
      </c>
      <c r="AE160">
        <f ca="1">IFERROR(IF(0=LEN(ReferenceData!$AE$160),"",ReferenceData!$AE$160),"")</f>
        <v>7.0432916609999996</v>
      </c>
      <c r="AF160">
        <f ca="1">IFERROR(IF(0=LEN(ReferenceData!$AF$160),"",ReferenceData!$AF$160),"")</f>
        <v>7.2225721710000004</v>
      </c>
      <c r="AG160">
        <f ca="1">IFERROR(IF(0=LEN(ReferenceData!$AG$160),"",ReferenceData!$AG$160),"")</f>
        <v>7.3975255139999998</v>
      </c>
      <c r="AH160">
        <f ca="1">IFERROR(IF(0=LEN(ReferenceData!$AH$160),"",ReferenceData!$AH$160),"")</f>
        <v>7.7046087170000002</v>
      </c>
      <c r="AI160">
        <f ca="1">IFERROR(IF(0=LEN(ReferenceData!$AI$160),"",ReferenceData!$AI$160),"")</f>
        <v>8.1216270159999997</v>
      </c>
      <c r="AJ160">
        <f ca="1">IFERROR(IF(0=LEN(ReferenceData!$AJ$160),"",ReferenceData!$AJ$160),"")</f>
        <v>11.07071253</v>
      </c>
      <c r="AK160">
        <f ca="1">IFERROR(IF(0=LEN(ReferenceData!$AK$160),"",ReferenceData!$AK$160),"")</f>
        <v>11.18938095</v>
      </c>
      <c r="AL160">
        <f ca="1">IFERROR(IF(0=LEN(ReferenceData!$AL$160),"",ReferenceData!$AL$160),"")</f>
        <v>10.987890780000001</v>
      </c>
      <c r="AM160">
        <f ca="1">IFERROR(IF(0=LEN(ReferenceData!$AM$160),"",ReferenceData!$AM$160),"")</f>
        <v>10.90266836</v>
      </c>
      <c r="AN160">
        <f ca="1">IFERROR(IF(0=LEN(ReferenceData!$AN$160),"",ReferenceData!$AN$160),"")</f>
        <v>7.9943810979999999</v>
      </c>
      <c r="AO160">
        <f ca="1">IFERROR(IF(0=LEN(ReferenceData!$AO$160),"",ReferenceData!$AO$160),"")</f>
        <v>8.1898485169999997</v>
      </c>
      <c r="AP160">
        <f ca="1">IFERROR(IF(0=LEN(ReferenceData!$AP$160),"",ReferenceData!$AP$160),"")</f>
        <v>8.5608148140000004</v>
      </c>
      <c r="AQ160">
        <f ca="1">IFERROR(IF(0=LEN(ReferenceData!$AQ$160),"",ReferenceData!$AQ$160),"")</f>
        <v>8.5743399109999991</v>
      </c>
      <c r="AR160">
        <f ca="1">IFERROR(IF(0=LEN(ReferenceData!$AR$160),"",ReferenceData!$AR$160),"")</f>
        <v>9.1431384040000001</v>
      </c>
      <c r="AS160">
        <f ca="1">IFERROR(IF(0=LEN(ReferenceData!$AS$160),"",ReferenceData!$AS$160),"")</f>
        <v>9.3967046770000007</v>
      </c>
      <c r="AT160">
        <f ca="1">IFERROR(IF(0=LEN(ReferenceData!$AT$160),"",ReferenceData!$AT$160),"")</f>
        <v>9.2242108129999991</v>
      </c>
      <c r="AU160">
        <f ca="1">IFERROR(IF(0=LEN(ReferenceData!$AU$160),"",ReferenceData!$AU$160),"")</f>
        <v>9.2336093510000001</v>
      </c>
      <c r="AV160">
        <f ca="1">IFERROR(IF(0=LEN(ReferenceData!$AV$160),"",ReferenceData!$AV$160),"")</f>
        <v>8.4813769969999999</v>
      </c>
      <c r="AW160">
        <f ca="1">IFERROR(IF(0=LEN(ReferenceData!$AW$160),"",ReferenceData!$AW$160),"")</f>
        <v>8.0430666849999994</v>
      </c>
      <c r="AX160">
        <f ca="1">IFERROR(IF(0=LEN(ReferenceData!$AX$160),"",ReferenceData!$AX$160),"")</f>
        <v>7.5940580569999998</v>
      </c>
      <c r="AY160">
        <f ca="1">IFERROR(IF(0=LEN(ReferenceData!$AY$160),"",ReferenceData!$AY$160),"")</f>
        <v>7.189224308</v>
      </c>
      <c r="AZ160">
        <f ca="1">IFERROR(IF(0=LEN(ReferenceData!$AZ$160),"",ReferenceData!$AZ$160),"")</f>
        <v>7.0964583020000003</v>
      </c>
      <c r="BA160">
        <f ca="1">IFERROR(IF(0=LEN(ReferenceData!$BA$160),"",ReferenceData!$BA$160),"")</f>
        <v>8.1775548610000008</v>
      </c>
      <c r="BB160">
        <f ca="1">IFERROR(IF(0=LEN(ReferenceData!$BB$160),"",ReferenceData!$BB$160),"")</f>
        <v>8.9367411299999997</v>
      </c>
      <c r="BC160">
        <f ca="1">IFERROR(IF(0=LEN(ReferenceData!$BC$160),"",ReferenceData!$BC$160),"")</f>
        <v>8.5429778370000005</v>
      </c>
      <c r="BD160">
        <f ca="1">IFERROR(IF(0=LEN(ReferenceData!$BD$160),"",ReferenceData!$BD$160),"")</f>
        <v>8.9570867310000004</v>
      </c>
      <c r="BE160">
        <f ca="1">IFERROR(IF(0=LEN(ReferenceData!$BE$160),"",ReferenceData!$BE$160),"")</f>
        <v>9.4705226870000008</v>
      </c>
      <c r="BF160">
        <f ca="1">IFERROR(IF(0=LEN(ReferenceData!$BF$160),"",ReferenceData!$BF$160),"")</f>
        <v>10.43508711</v>
      </c>
      <c r="BG160">
        <f ca="1">IFERROR(IF(0=LEN(ReferenceData!$BG$160),"",ReferenceData!$BG$160),"")</f>
        <v>6.745941094</v>
      </c>
      <c r="BH160">
        <f ca="1">IFERROR(IF(0=LEN(ReferenceData!$BH$160),"",ReferenceData!$BH$160),"")</f>
        <v>6.7679589499999997</v>
      </c>
      <c r="BI160">
        <f ca="1">IFERROR(IF(0=LEN(ReferenceData!$BI$160),"",ReferenceData!$BI$160),"")</f>
        <v>6.6497146750000002</v>
      </c>
      <c r="BJ160">
        <f ca="1">IFERROR(IF(0=LEN(ReferenceData!$BJ$160),"",ReferenceData!$BJ$160),"")</f>
        <v>6.5771215840000004</v>
      </c>
      <c r="BK160">
        <f ca="1">IFERROR(IF(0=LEN(ReferenceData!$BK$160),"",ReferenceData!$BK$160),"")</f>
        <v>6.7745912969999997</v>
      </c>
      <c r="BL160">
        <f ca="1">IFERROR(IF(0=LEN(ReferenceData!$BL$160),"",ReferenceData!$BL$160),"")</f>
        <v>6.8012642830000001</v>
      </c>
      <c r="BM160">
        <f ca="1">IFERROR(IF(0=LEN(ReferenceData!$BM$160),"",ReferenceData!$BM$160),"")</f>
        <v>6.7007629480000004</v>
      </c>
    </row>
    <row r="161" spans="1:65">
      <c r="A161" t="str">
        <f>IFERROR(IF(0=LEN(ReferenceData!$A$161),"",ReferenceData!$A$161),"")</f>
        <v xml:space="preserve">    Education Realty Trust Inc</v>
      </c>
      <c r="B161" t="str">
        <f>IFERROR(IF(0=LEN(ReferenceData!$B$161),"",ReferenceData!$B$161),"")</f>
        <v>EDR US Equity</v>
      </c>
      <c r="C161" t="str">
        <f>IFERROR(IF(0=LEN(ReferenceData!$C$161),"",ReferenceData!$C$161),"")</f>
        <v>RR052</v>
      </c>
      <c r="D161" t="str">
        <f>IFERROR(IF(0=LEN(ReferenceData!$D$161),"",ReferenceData!$D$161),"")</f>
        <v>TOT_DEBT_TO_EBITDA</v>
      </c>
      <c r="E161" t="str">
        <f>IFERROR(IF(0=LEN(ReferenceData!$E$161),"",ReferenceData!$E$161),"")</f>
        <v>动态</v>
      </c>
      <c r="F161" t="str">
        <f ca="1">IFERROR(IF(0=LEN(ReferenceData!$F$161),"",ReferenceData!$F$161),"")</f>
        <v/>
      </c>
      <c r="G161">
        <f ca="1">IFERROR(IF(0=LEN(ReferenceData!$G$161),"",ReferenceData!$G$161),"")</f>
        <v>5.8906804150000003</v>
      </c>
      <c r="H161">
        <f ca="1">IFERROR(IF(0=LEN(ReferenceData!$H$161),"",ReferenceData!$H$161),"")</f>
        <v>5.5985326110000004</v>
      </c>
      <c r="I161">
        <f ca="1">IFERROR(IF(0=LEN(ReferenceData!$I$161),"",ReferenceData!$I$161),"")</f>
        <v>5.7152492810000002</v>
      </c>
      <c r="J161">
        <f ca="1">IFERROR(IF(0=LEN(ReferenceData!$J$161),"",ReferenceData!$J$161),"")</f>
        <v>5.2843162299999999</v>
      </c>
      <c r="K161">
        <f ca="1">IFERROR(IF(0=LEN(ReferenceData!$K$161),"",ReferenceData!$K$161),"")</f>
        <v>3.963825596</v>
      </c>
      <c r="L161">
        <f ca="1">IFERROR(IF(0=LEN(ReferenceData!$L$161),"",ReferenceData!$L$161),"")</f>
        <v>3.8735467159999999</v>
      </c>
      <c r="M161">
        <f ca="1">IFERROR(IF(0=LEN(ReferenceData!$M$161),"",ReferenceData!$M$161),"")</f>
        <v>4.2681598259999998</v>
      </c>
      <c r="N161">
        <f ca="1">IFERROR(IF(0=LEN(ReferenceData!$N$161),"",ReferenceData!$N$161),"")</f>
        <v>4.5628999629999996</v>
      </c>
      <c r="O161">
        <f ca="1">IFERROR(IF(0=LEN(ReferenceData!$O$161),"",ReferenceData!$O$161),"")</f>
        <v>5.6484254089999997</v>
      </c>
      <c r="P161">
        <f ca="1">IFERROR(IF(0=LEN(ReferenceData!$P$161),"",ReferenceData!$P$161),"")</f>
        <v>8.2277253310000003</v>
      </c>
      <c r="Q161">
        <f ca="1">IFERROR(IF(0=LEN(ReferenceData!$Q$161),"",ReferenceData!$Q$161),"")</f>
        <v>7.6521851390000002</v>
      </c>
      <c r="R161">
        <f ca="1">IFERROR(IF(0=LEN(ReferenceData!$R$161),"",ReferenceData!$R$161),"")</f>
        <v>8.1801089230000006</v>
      </c>
      <c r="S161">
        <f ca="1">IFERROR(IF(0=LEN(ReferenceData!$S$161),"",ReferenceData!$S$161),"")</f>
        <v>8.5127963910000002</v>
      </c>
      <c r="T161">
        <f ca="1">IFERROR(IF(0=LEN(ReferenceData!$T$161),"",ReferenceData!$T$161),"")</f>
        <v>9.7179001469999999</v>
      </c>
      <c r="U161">
        <f ca="1">IFERROR(IF(0=LEN(ReferenceData!$U$161),"",ReferenceData!$U$161),"")</f>
        <v>8.7181476490000005</v>
      </c>
      <c r="V161">
        <f ca="1">IFERROR(IF(0=LEN(ReferenceData!$V$161),"",ReferenceData!$V$161),"")</f>
        <v>10.622659609999999</v>
      </c>
      <c r="W161">
        <f ca="1">IFERROR(IF(0=LEN(ReferenceData!$W$161),"",ReferenceData!$W$161),"")</f>
        <v>10.95117086</v>
      </c>
      <c r="X161">
        <f ca="1">IFERROR(IF(0=LEN(ReferenceData!$X$161),"",ReferenceData!$X$161),"")</f>
        <v>11.431252130000001</v>
      </c>
      <c r="Y161">
        <f ca="1">IFERROR(IF(0=LEN(ReferenceData!$Y$161),"",ReferenceData!$Y$161),"")</f>
        <v>9.7129963579999998</v>
      </c>
      <c r="Z161">
        <f ca="1">IFERROR(IF(0=LEN(ReferenceData!$Z$161),"",ReferenceData!$Z$161),"")</f>
        <v>9.8972161100000005</v>
      </c>
      <c r="AA161">
        <f ca="1">IFERROR(IF(0=LEN(ReferenceData!$AA$161),"",ReferenceData!$AA$161),"")</f>
        <v>9.8255505519999993</v>
      </c>
      <c r="AB161">
        <f ca="1">IFERROR(IF(0=LEN(ReferenceData!$AB$161),"",ReferenceData!$AB$161),"")</f>
        <v>6.9013629459999999</v>
      </c>
      <c r="AC161">
        <f ca="1">IFERROR(IF(0=LEN(ReferenceData!$AC$161),"",ReferenceData!$AC$161),"")</f>
        <v>7.4058680240000001</v>
      </c>
      <c r="AD161">
        <f ca="1">IFERROR(IF(0=LEN(ReferenceData!$AD$161),"",ReferenceData!$AD$161),"")</f>
        <v>7.3861176159999999</v>
      </c>
      <c r="AE161">
        <f ca="1">IFERROR(IF(0=LEN(ReferenceData!$AE$161),"",ReferenceData!$AE$161),"")</f>
        <v>8.2701792429999994</v>
      </c>
      <c r="AF161">
        <f ca="1">IFERROR(IF(0=LEN(ReferenceData!$AF$161),"",ReferenceData!$AF$161),"")</f>
        <v>8.5363832760000005</v>
      </c>
      <c r="AG161">
        <f ca="1">IFERROR(IF(0=LEN(ReferenceData!$AG$161),"",ReferenceData!$AG$161),"")</f>
        <v>8.2542648459999999</v>
      </c>
      <c r="AH161">
        <f ca="1">IFERROR(IF(0=LEN(ReferenceData!$AH$161),"",ReferenceData!$AH$161),"")</f>
        <v>8.6996951219999996</v>
      </c>
      <c r="AI161">
        <f ca="1">IFERROR(IF(0=LEN(ReferenceData!$AI$161),"",ReferenceData!$AI$161),"")</f>
        <v>9.8168191189999998</v>
      </c>
      <c r="AJ161">
        <f ca="1">IFERROR(IF(0=LEN(ReferenceData!$AJ$161),"",ReferenceData!$AJ$161),"")</f>
        <v>9.6012493370000005</v>
      </c>
      <c r="AK161">
        <f ca="1">IFERROR(IF(0=LEN(ReferenceData!$AK$161),"",ReferenceData!$AK$161),"")</f>
        <v>9.4895179689999996</v>
      </c>
      <c r="AL161">
        <f ca="1">IFERROR(IF(0=LEN(ReferenceData!$AL$161),"",ReferenceData!$AL$161),"")</f>
        <v>8.7030276999999998</v>
      </c>
      <c r="AM161">
        <f ca="1">IFERROR(IF(0=LEN(ReferenceData!$AM$161),"",ReferenceData!$AM$161),"")</f>
        <v>8.3588398640000001</v>
      </c>
      <c r="AN161">
        <f ca="1">IFERROR(IF(0=LEN(ReferenceData!$AN$161),"",ReferenceData!$AN$161),"")</f>
        <v>9.0545519300000006</v>
      </c>
      <c r="AO161">
        <f ca="1">IFERROR(IF(0=LEN(ReferenceData!$AO$161),"",ReferenceData!$AO$161),"")</f>
        <v>9.4551165909999995</v>
      </c>
      <c r="AP161">
        <f ca="1">IFERROR(IF(0=LEN(ReferenceData!$AP$161),"",ReferenceData!$AP$161),"")</f>
        <v>8.7674730200000006</v>
      </c>
      <c r="AQ161">
        <f ca="1">IFERROR(IF(0=LEN(ReferenceData!$AQ$161),"",ReferenceData!$AQ$161),"")</f>
        <v>8.6359571800000001</v>
      </c>
      <c r="AR161">
        <f ca="1">IFERROR(IF(0=LEN(ReferenceData!$AR$161),"",ReferenceData!$AR$161),"")</f>
        <v>8.4370912110000003</v>
      </c>
      <c r="AS161">
        <f ca="1">IFERROR(IF(0=LEN(ReferenceData!$AS$161),"",ReferenceData!$AS$161),"")</f>
        <v>8.4091083470000001</v>
      </c>
      <c r="AT161">
        <f ca="1">IFERROR(IF(0=LEN(ReferenceData!$AT$161),"",ReferenceData!$AT$161),"")</f>
        <v>8.3776833199999992</v>
      </c>
      <c r="AU161">
        <f ca="1">IFERROR(IF(0=LEN(ReferenceData!$AU$161),"",ReferenceData!$AU$161),"")</f>
        <v>8.4284795450000001</v>
      </c>
      <c r="AV161">
        <f ca="1">IFERROR(IF(0=LEN(ReferenceData!$AV$161),"",ReferenceData!$AV$161),"")</f>
        <v>8.187398688</v>
      </c>
      <c r="AW161">
        <f ca="1">IFERROR(IF(0=LEN(ReferenceData!$AW$161),"",ReferenceData!$AW$161),"")</f>
        <v>8.1286691260000001</v>
      </c>
      <c r="AX161">
        <f ca="1">IFERROR(IF(0=LEN(ReferenceData!$AX$161),"",ReferenceData!$AX$161),"")</f>
        <v>9.3683571390000004</v>
      </c>
      <c r="AY161">
        <f ca="1">IFERROR(IF(0=LEN(ReferenceData!$AY$161),"",ReferenceData!$AY$161),"")</f>
        <v>9.4304092669999999</v>
      </c>
      <c r="AZ161">
        <f ca="1">IFERROR(IF(0=LEN(ReferenceData!$AZ$161),"",ReferenceData!$AZ$161),"")</f>
        <v>10.074751170000001</v>
      </c>
      <c r="BA161">
        <f ca="1">IFERROR(IF(0=LEN(ReferenceData!$BA$161),"",ReferenceData!$BA$161),"")</f>
        <v>10.579601240000001</v>
      </c>
      <c r="BB161">
        <f ca="1">IFERROR(IF(0=LEN(ReferenceData!$BB$161),"",ReferenceData!$BB$161),"")</f>
        <v>11.375990829999999</v>
      </c>
      <c r="BC161">
        <f ca="1">IFERROR(IF(0=LEN(ReferenceData!$BC$161),"",ReferenceData!$BC$161),"")</f>
        <v>10.94778434</v>
      </c>
      <c r="BD161" t="str">
        <f ca="1">IFERROR(IF(0=LEN(ReferenceData!$BD$161),"",ReferenceData!$BD$161),"")</f>
        <v/>
      </c>
      <c r="BE161" t="str">
        <f ca="1">IFERROR(IF(0=LEN(ReferenceData!$BE$161),"",ReferenceData!$BE$161),"")</f>
        <v/>
      </c>
      <c r="BF161" t="str">
        <f ca="1">IFERROR(IF(0=LEN(ReferenceData!$BF$161),"",ReferenceData!$BF$161),"")</f>
        <v/>
      </c>
      <c r="BG161" t="str">
        <f ca="1">IFERROR(IF(0=LEN(ReferenceData!$BG$161),"",ReferenceData!$BG$161),"")</f>
        <v/>
      </c>
      <c r="BH161" t="str">
        <f ca="1">IFERROR(IF(0=LEN(ReferenceData!$BH$161),"",ReferenceData!$BH$161),"")</f>
        <v/>
      </c>
      <c r="BI161" t="str">
        <f ca="1">IFERROR(IF(0=LEN(ReferenceData!$BI$161),"",ReferenceData!$BI$161),"")</f>
        <v/>
      </c>
      <c r="BJ161" t="str">
        <f ca="1">IFERROR(IF(0=LEN(ReferenceData!$BJ$161),"",ReferenceData!$BJ$161),"")</f>
        <v/>
      </c>
      <c r="BK161" t="str">
        <f ca="1">IFERROR(IF(0=LEN(ReferenceData!$BK$161),"",ReferenceData!$BK$161),"")</f>
        <v/>
      </c>
      <c r="BL161" t="str">
        <f ca="1">IFERROR(IF(0=LEN(ReferenceData!$BL$161),"",ReferenceData!$BL$161),"")</f>
        <v/>
      </c>
      <c r="BM161" t="str">
        <f ca="1">IFERROR(IF(0=LEN(ReferenceData!$BM$161),"",ReferenceData!$BM$161),"")</f>
        <v/>
      </c>
    </row>
    <row r="162" spans="1:65">
      <c r="A162" t="str">
        <f>IFERROR(IF(0=LEN(ReferenceData!$A$162),"",ReferenceData!$A$162),"")</f>
        <v xml:space="preserve">    Equity Residential</v>
      </c>
      <c r="B162" t="str">
        <f>IFERROR(IF(0=LEN(ReferenceData!$B$162),"",ReferenceData!$B$162),"")</f>
        <v>EQR US Equity</v>
      </c>
      <c r="C162" t="str">
        <f>IFERROR(IF(0=LEN(ReferenceData!$C$162),"",ReferenceData!$C$162),"")</f>
        <v>RR052</v>
      </c>
      <c r="D162" t="str">
        <f>IFERROR(IF(0=LEN(ReferenceData!$D$162),"",ReferenceData!$D$162),"")</f>
        <v>TOT_DEBT_TO_EBITDA</v>
      </c>
      <c r="E162" t="str">
        <f>IFERROR(IF(0=LEN(ReferenceData!$E$162),"",ReferenceData!$E$162),"")</f>
        <v>动态</v>
      </c>
      <c r="F162" t="str">
        <f ca="1">IFERROR(IF(0=LEN(ReferenceData!$F$162),"",ReferenceData!$F$162),"")</f>
        <v/>
      </c>
      <c r="G162">
        <f ca="1">IFERROR(IF(0=LEN(ReferenceData!$G$162),"",ReferenceData!$G$162),"")</f>
        <v>5.6156874280000002</v>
      </c>
      <c r="H162">
        <f ca="1">IFERROR(IF(0=LEN(ReferenceData!$H$162),"",ReferenceData!$H$162),"")</f>
        <v>5.6886578859999997</v>
      </c>
      <c r="I162">
        <f ca="1">IFERROR(IF(0=LEN(ReferenceData!$I$162),"",ReferenceData!$I$162),"")</f>
        <v>5.7194468189999998</v>
      </c>
      <c r="J162">
        <f ca="1">IFERROR(IF(0=LEN(ReferenceData!$J$162),"",ReferenceData!$J$162),"")</f>
        <v>5.7280010519999998</v>
      </c>
      <c r="K162">
        <f ca="1">IFERROR(IF(0=LEN(ReferenceData!$K$162),"",ReferenceData!$K$162),"")</f>
        <v>5.7420661519999996</v>
      </c>
      <c r="L162">
        <f ca="1">IFERROR(IF(0=LEN(ReferenceData!$L$162),"",ReferenceData!$L$162),"")</f>
        <v>5.208346433</v>
      </c>
      <c r="M162">
        <f ca="1">IFERROR(IF(0=LEN(ReferenceData!$M$162),"",ReferenceData!$M$162),"")</f>
        <v>5.015914682</v>
      </c>
      <c r="N162">
        <f ca="1">IFERROR(IF(0=LEN(ReferenceData!$N$162),"",ReferenceData!$N$162),"")</f>
        <v>4.8905683639999999</v>
      </c>
      <c r="O162">
        <f ca="1">IFERROR(IF(0=LEN(ReferenceData!$O$162),"",ReferenceData!$O$162),"")</f>
        <v>6.1407218940000003</v>
      </c>
      <c r="P162">
        <f ca="1">IFERROR(IF(0=LEN(ReferenceData!$P$162),"",ReferenceData!$P$162),"")</f>
        <v>6.159095872</v>
      </c>
      <c r="Q162">
        <f ca="1">IFERROR(IF(0=LEN(ReferenceData!$Q$162),"",ReferenceData!$Q$162),"")</f>
        <v>6.2439779809999996</v>
      </c>
      <c r="R162">
        <f ca="1">IFERROR(IF(0=LEN(ReferenceData!$R$162),"",ReferenceData!$R$162),"")</f>
        <v>6.3435373889999997</v>
      </c>
      <c r="S162">
        <f ca="1">IFERROR(IF(0=LEN(ReferenceData!$S$162),"",ReferenceData!$S$162),"")</f>
        <v>6.4420145910000004</v>
      </c>
      <c r="T162">
        <f ca="1">IFERROR(IF(0=LEN(ReferenceData!$T$162),"",ReferenceData!$T$162),"")</f>
        <v>6.6627463809999998</v>
      </c>
      <c r="U162">
        <f ca="1">IFERROR(IF(0=LEN(ReferenceData!$U$162),"",ReferenceData!$U$162),"")</f>
        <v>6.8788899219999999</v>
      </c>
      <c r="V162">
        <f ca="1">IFERROR(IF(0=LEN(ReferenceData!$V$162),"",ReferenceData!$V$162),"")</f>
        <v>6.8945959810000002</v>
      </c>
      <c r="W162">
        <f ca="1">IFERROR(IF(0=LEN(ReferenceData!$W$162),"",ReferenceData!$W$162),"")</f>
        <v>7.0526842609999996</v>
      </c>
      <c r="X162">
        <f ca="1">IFERROR(IF(0=LEN(ReferenceData!$X$162),"",ReferenceData!$X$162),"")</f>
        <v>8.1456840150000005</v>
      </c>
      <c r="Y162">
        <f ca="1">IFERROR(IF(0=LEN(ReferenceData!$Y$162),"",ReferenceData!$Y$162),"")</f>
        <v>8.6970719370000005</v>
      </c>
      <c r="Z162">
        <f ca="1">IFERROR(IF(0=LEN(ReferenceData!$Z$162),"",ReferenceData!$Z$162),"")</f>
        <v>9.6917103129999997</v>
      </c>
      <c r="AA162">
        <f ca="1">IFERROR(IF(0=LEN(ReferenceData!$AA$162),"",ReferenceData!$AA$162),"")</f>
        <v>6.9957423070000004</v>
      </c>
      <c r="AB162">
        <f ca="1">IFERROR(IF(0=LEN(ReferenceData!$AB$162),"",ReferenceData!$AB$162),"")</f>
        <v>7.6001585479999996</v>
      </c>
      <c r="AC162">
        <f ca="1">IFERROR(IF(0=LEN(ReferenceData!$AC$162),"",ReferenceData!$AC$162),"")</f>
        <v>7.6790423780000001</v>
      </c>
      <c r="AD162">
        <f ca="1">IFERROR(IF(0=LEN(ReferenceData!$AD$162),"",ReferenceData!$AD$162),"")</f>
        <v>7.6948456140000001</v>
      </c>
      <c r="AE162">
        <f ca="1">IFERROR(IF(0=LEN(ReferenceData!$AE$162),"",ReferenceData!$AE$162),"")</f>
        <v>7.9748679610000002</v>
      </c>
      <c r="AF162">
        <f ca="1">IFERROR(IF(0=LEN(ReferenceData!$AF$162),"",ReferenceData!$AF$162),"")</f>
        <v>7.6641923199999997</v>
      </c>
      <c r="AG162">
        <f ca="1">IFERROR(IF(0=LEN(ReferenceData!$AG$162),"",ReferenceData!$AG$162),"")</f>
        <v>8.47992612</v>
      </c>
      <c r="AH162">
        <f ca="1">IFERROR(IF(0=LEN(ReferenceData!$AH$162),"",ReferenceData!$AH$162),"")</f>
        <v>8.8931908560000004</v>
      </c>
      <c r="AI162">
        <f ca="1">IFERROR(IF(0=LEN(ReferenceData!$AI$162),"",ReferenceData!$AI$162),"")</f>
        <v>9.3364717450000008</v>
      </c>
      <c r="AJ162">
        <f ca="1">IFERROR(IF(0=LEN(ReferenceData!$AJ$162),"",ReferenceData!$AJ$162),"")</f>
        <v>9.3094622999999999</v>
      </c>
      <c r="AK162">
        <f ca="1">IFERROR(IF(0=LEN(ReferenceData!$AK$162),"",ReferenceData!$AK$162),"")</f>
        <v>8.8442932459999994</v>
      </c>
      <c r="AL162">
        <f ca="1">IFERROR(IF(0=LEN(ReferenceData!$AL$162),"",ReferenceData!$AL$162),"")</f>
        <v>8.6695480749999998</v>
      </c>
      <c r="AM162">
        <f ca="1">IFERROR(IF(0=LEN(ReferenceData!$AM$162),"",ReferenceData!$AM$162),"")</f>
        <v>8.4214504419999994</v>
      </c>
      <c r="AN162">
        <f ca="1">IFERROR(IF(0=LEN(ReferenceData!$AN$162),"",ReferenceData!$AN$162),"")</f>
        <v>8.6102363820000001</v>
      </c>
      <c r="AO162">
        <f ca="1">IFERROR(IF(0=LEN(ReferenceData!$AO$162),"",ReferenceData!$AO$162),"")</f>
        <v>8.5548281179999996</v>
      </c>
      <c r="AP162">
        <f ca="1">IFERROR(IF(0=LEN(ReferenceData!$AP$162),"",ReferenceData!$AP$162),"")</f>
        <v>8.4546995169999999</v>
      </c>
      <c r="AQ162">
        <f ca="1">IFERROR(IF(0=LEN(ReferenceData!$AQ$162),"",ReferenceData!$AQ$162),"")</f>
        <v>8.7602564249999997</v>
      </c>
      <c r="AR162">
        <f ca="1">IFERROR(IF(0=LEN(ReferenceData!$AR$162),"",ReferenceData!$AR$162),"")</f>
        <v>8.3369000950000007</v>
      </c>
      <c r="AS162">
        <f ca="1">IFERROR(IF(0=LEN(ReferenceData!$AS$162),"",ReferenceData!$AS$162),"")</f>
        <v>8.2040412919999994</v>
      </c>
      <c r="AT162">
        <f ca="1">IFERROR(IF(0=LEN(ReferenceData!$AT$162),"",ReferenceData!$AT$162),"")</f>
        <v>8.2810131899999995</v>
      </c>
      <c r="AU162">
        <f ca="1">IFERROR(IF(0=LEN(ReferenceData!$AU$162),"",ReferenceData!$AU$162),"")</f>
        <v>8.0634280329999992</v>
      </c>
      <c r="AV162">
        <f ca="1">IFERROR(IF(0=LEN(ReferenceData!$AV$162),"",ReferenceData!$AV$162),"")</f>
        <v>8.5691506250000007</v>
      </c>
      <c r="AW162">
        <f ca="1">IFERROR(IF(0=LEN(ReferenceData!$AW$162),"",ReferenceData!$AW$162),"")</f>
        <v>8.4635004649999992</v>
      </c>
      <c r="AX162">
        <f ca="1">IFERROR(IF(0=LEN(ReferenceData!$AX$162),"",ReferenceData!$AX$162),"")</f>
        <v>7.6995252479999996</v>
      </c>
      <c r="AY162">
        <f ca="1">IFERROR(IF(0=LEN(ReferenceData!$AY$162),"",ReferenceData!$AY$162),"")</f>
        <v>7.3324409299999997</v>
      </c>
      <c r="AZ162">
        <f ca="1">IFERROR(IF(0=LEN(ReferenceData!$AZ$162),"",ReferenceData!$AZ$162),"")</f>
        <v>7.7069591099999997</v>
      </c>
      <c r="BA162">
        <f ca="1">IFERROR(IF(0=LEN(ReferenceData!$BA$162),"",ReferenceData!$BA$162),"")</f>
        <v>7.4107889460000003</v>
      </c>
      <c r="BB162">
        <f ca="1">IFERROR(IF(0=LEN(ReferenceData!$BB$162),"",ReferenceData!$BB$162),"")</f>
        <v>7.4922140219999998</v>
      </c>
      <c r="BC162">
        <f ca="1">IFERROR(IF(0=LEN(ReferenceData!$BC$162),"",ReferenceData!$BC$162),"")</f>
        <v>7.8530832699999999</v>
      </c>
      <c r="BD162">
        <f ca="1">IFERROR(IF(0=LEN(ReferenceData!$BD$162),"",ReferenceData!$BD$162),"")</f>
        <v>6.9365285170000002</v>
      </c>
      <c r="BE162">
        <f ca="1">IFERROR(IF(0=LEN(ReferenceData!$BE$162),"",ReferenceData!$BE$162),"")</f>
        <v>6.815355158</v>
      </c>
      <c r="BF162">
        <f ca="1">IFERROR(IF(0=LEN(ReferenceData!$BF$162),"",ReferenceData!$BF$162),"")</f>
        <v>7.2753988820000002</v>
      </c>
      <c r="BG162">
        <f ca="1">IFERROR(IF(0=LEN(ReferenceData!$BG$162),"",ReferenceData!$BG$162),"")</f>
        <v>7.2406930530000002</v>
      </c>
      <c r="BH162">
        <f ca="1">IFERROR(IF(0=LEN(ReferenceData!$BH$162),"",ReferenceData!$BH$162),"")</f>
        <v>7.2813879689999998</v>
      </c>
      <c r="BI162">
        <f ca="1">IFERROR(IF(0=LEN(ReferenceData!$BI$162),"",ReferenceData!$BI$162),"")</f>
        <v>7.1785358959999996</v>
      </c>
      <c r="BJ162">
        <f ca="1">IFERROR(IF(0=LEN(ReferenceData!$BJ$162),"",ReferenceData!$BJ$162),"")</f>
        <v>6.2799714680000003</v>
      </c>
      <c r="BK162">
        <f ca="1">IFERROR(IF(0=LEN(ReferenceData!$BK$162),"",ReferenceData!$BK$162),"")</f>
        <v>5.3208117179999999</v>
      </c>
      <c r="BL162">
        <f ca="1">IFERROR(IF(0=LEN(ReferenceData!$BL$162),"",ReferenceData!$BL$162),"")</f>
        <v>5.274330999</v>
      </c>
      <c r="BM162">
        <f ca="1">IFERROR(IF(0=LEN(ReferenceData!$BM$162),"",ReferenceData!$BM$162),"")</f>
        <v>5.3196742810000002</v>
      </c>
    </row>
    <row r="163" spans="1:65">
      <c r="A163" t="str">
        <f>IFERROR(IF(0=LEN(ReferenceData!$A$163),"",ReferenceData!$A$163),"")</f>
        <v xml:space="preserve">    Essex Property Trust Inc</v>
      </c>
      <c r="B163" t="str">
        <f>IFERROR(IF(0=LEN(ReferenceData!$B$163),"",ReferenceData!$B$163),"")</f>
        <v>ESS US Equity</v>
      </c>
      <c r="C163" t="str">
        <f>IFERROR(IF(0=LEN(ReferenceData!$C$163),"",ReferenceData!$C$163),"")</f>
        <v>RR052</v>
      </c>
      <c r="D163" t="str">
        <f>IFERROR(IF(0=LEN(ReferenceData!$D$163),"",ReferenceData!$D$163),"")</f>
        <v>TOT_DEBT_TO_EBITDA</v>
      </c>
      <c r="E163" t="str">
        <f>IFERROR(IF(0=LEN(ReferenceData!$E$163),"",ReferenceData!$E$163),"")</f>
        <v>动态</v>
      </c>
      <c r="F163" t="str">
        <f ca="1">IFERROR(IF(0=LEN(ReferenceData!$F$163),"",ReferenceData!$F$163),"")</f>
        <v/>
      </c>
      <c r="G163">
        <f ca="1">IFERROR(IF(0=LEN(ReferenceData!$G$163),"",ReferenceData!$G$163),"")</f>
        <v>6.2714411029999999</v>
      </c>
      <c r="H163">
        <f ca="1">IFERROR(IF(0=LEN(ReferenceData!$H$163),"",ReferenceData!$H$163),"")</f>
        <v>6.3247776849999999</v>
      </c>
      <c r="I163">
        <f ca="1">IFERROR(IF(0=LEN(ReferenceData!$I$163),"",ReferenceData!$I$163),"")</f>
        <v>6.3247416059999999</v>
      </c>
      <c r="J163">
        <f ca="1">IFERROR(IF(0=LEN(ReferenceData!$J$163),"",ReferenceData!$J$163),"")</f>
        <v>6.4248712450000003</v>
      </c>
      <c r="K163">
        <f ca="1">IFERROR(IF(0=LEN(ReferenceData!$K$163),"",ReferenceData!$K$163),"")</f>
        <v>6.4919256289999998</v>
      </c>
      <c r="L163">
        <f ca="1">IFERROR(IF(0=LEN(ReferenceData!$L$163),"",ReferenceData!$L$163),"")</f>
        <v>6.5818134759999998</v>
      </c>
      <c r="M163">
        <f ca="1">IFERROR(IF(0=LEN(ReferenceData!$M$163),"",ReferenceData!$M$163),"")</f>
        <v>6.7167981939999999</v>
      </c>
      <c r="N163">
        <f ca="1">IFERROR(IF(0=LEN(ReferenceData!$N$163),"",ReferenceData!$N$163),"")</f>
        <v>6.5213734250000002</v>
      </c>
      <c r="O163">
        <f ca="1">IFERROR(IF(0=LEN(ReferenceData!$O$163),"",ReferenceData!$O$163),"")</f>
        <v>6.8311630049999996</v>
      </c>
      <c r="P163">
        <f ca="1">IFERROR(IF(0=LEN(ReferenceData!$P$163),"",ReferenceData!$P$163),"")</f>
        <v>7.1656176250000003</v>
      </c>
      <c r="Q163">
        <f ca="1">IFERROR(IF(0=LEN(ReferenceData!$Q$163),"",ReferenceData!$Q$163),"")</f>
        <v>7.5825906319999996</v>
      </c>
      <c r="R163">
        <f ca="1">IFERROR(IF(0=LEN(ReferenceData!$R$163),"",ReferenceData!$R$163),"")</f>
        <v>8.314232402</v>
      </c>
      <c r="S163">
        <f ca="1">IFERROR(IF(0=LEN(ReferenceData!$S$163),"",ReferenceData!$S$163),"")</f>
        <v>9.0311894870000007</v>
      </c>
      <c r="T163">
        <f ca="1">IFERROR(IF(0=LEN(ReferenceData!$T$163),"",ReferenceData!$T$163),"")</f>
        <v>10.38227348</v>
      </c>
      <c r="U163">
        <f ca="1">IFERROR(IF(0=LEN(ReferenceData!$U$163),"",ReferenceData!$U$163),"")</f>
        <v>11.99476973</v>
      </c>
      <c r="V163">
        <f ca="1">IFERROR(IF(0=LEN(ReferenceData!$V$163),"",ReferenceData!$V$163),"")</f>
        <v>7.6803169660000004</v>
      </c>
      <c r="W163">
        <f ca="1">IFERROR(IF(0=LEN(ReferenceData!$W$163),"",ReferenceData!$W$163),"")</f>
        <v>7.7111706050000004</v>
      </c>
      <c r="X163">
        <f ca="1">IFERROR(IF(0=LEN(ReferenceData!$X$163),"",ReferenceData!$X$163),"")</f>
        <v>7.5180528139999998</v>
      </c>
      <c r="Y163">
        <f ca="1">IFERROR(IF(0=LEN(ReferenceData!$Y$163),"",ReferenceData!$Y$163),"")</f>
        <v>7.7560371679999998</v>
      </c>
      <c r="Z163">
        <f ca="1">IFERROR(IF(0=LEN(ReferenceData!$Z$163),"",ReferenceData!$Z$163),"")</f>
        <v>7.6492666360000001</v>
      </c>
      <c r="AA163">
        <f ca="1">IFERROR(IF(0=LEN(ReferenceData!$AA$163),"",ReferenceData!$AA$163),"")</f>
        <v>8.0509585920000006</v>
      </c>
      <c r="AB163">
        <f ca="1">IFERROR(IF(0=LEN(ReferenceData!$AB$163),"",ReferenceData!$AB$163),"")</f>
        <v>7.6557381879999999</v>
      </c>
      <c r="AC163">
        <f ca="1">IFERROR(IF(0=LEN(ReferenceData!$AC$163),"",ReferenceData!$AC$163),"")</f>
        <v>7.6370995720000003</v>
      </c>
      <c r="AD163">
        <f ca="1">IFERROR(IF(0=LEN(ReferenceData!$AD$163),"",ReferenceData!$AD$163),"")</f>
        <v>7.4815203920000002</v>
      </c>
      <c r="AE163">
        <f ca="1">IFERROR(IF(0=LEN(ReferenceData!$AE$163),"",ReferenceData!$AE$163),"")</f>
        <v>7.8769527159999999</v>
      </c>
      <c r="AF163">
        <f ca="1">IFERROR(IF(0=LEN(ReferenceData!$AF$163),"",ReferenceData!$AF$163),"")</f>
        <v>8.1377013530000006</v>
      </c>
      <c r="AG163">
        <f ca="1">IFERROR(IF(0=LEN(ReferenceData!$AG$163),"",ReferenceData!$AG$163),"")</f>
        <v>8.3580898220000002</v>
      </c>
      <c r="AH163">
        <f ca="1">IFERROR(IF(0=LEN(ReferenceData!$AH$163),"",ReferenceData!$AH$163),"")</f>
        <v>9.2651864590000006</v>
      </c>
      <c r="AI163">
        <f ca="1">IFERROR(IF(0=LEN(ReferenceData!$AI$163),"",ReferenceData!$AI$163),"")</f>
        <v>9.2140369979999992</v>
      </c>
      <c r="AJ163">
        <f ca="1">IFERROR(IF(0=LEN(ReferenceData!$AJ$163),"",ReferenceData!$AJ$163),"")</f>
        <v>8.4923453840000001</v>
      </c>
      <c r="AK163">
        <f ca="1">IFERROR(IF(0=LEN(ReferenceData!$AK$163),"",ReferenceData!$AK$163),"")</f>
        <v>8.2057870620000006</v>
      </c>
      <c r="AL163">
        <f ca="1">IFERROR(IF(0=LEN(ReferenceData!$AL$163),"",ReferenceData!$AL$163),"")</f>
        <v>7.9576245820000002</v>
      </c>
      <c r="AM163">
        <f ca="1">IFERROR(IF(0=LEN(ReferenceData!$AM$163),"",ReferenceData!$AM$163),"")</f>
        <v>7.83315596</v>
      </c>
      <c r="AN163">
        <f ca="1">IFERROR(IF(0=LEN(ReferenceData!$AN$163),"",ReferenceData!$AN$163),"")</f>
        <v>7.8053827980000001</v>
      </c>
      <c r="AO163" t="str">
        <f ca="1">IFERROR(IF(0=LEN(ReferenceData!$AO$163),"",ReferenceData!$AO$163),"")</f>
        <v/>
      </c>
      <c r="AP163" t="str">
        <f ca="1">IFERROR(IF(0=LEN(ReferenceData!$AP$163),"",ReferenceData!$AP$163),"")</f>
        <v/>
      </c>
      <c r="AQ163" t="str">
        <f ca="1">IFERROR(IF(0=LEN(ReferenceData!$AQ$163),"",ReferenceData!$AQ$163),"")</f>
        <v/>
      </c>
      <c r="AR163" t="str">
        <f ca="1">IFERROR(IF(0=LEN(ReferenceData!$AR$163),"",ReferenceData!$AR$163),"")</f>
        <v/>
      </c>
      <c r="AS163" t="str">
        <f ca="1">IFERROR(IF(0=LEN(ReferenceData!$AS$163),"",ReferenceData!$AS$163),"")</f>
        <v/>
      </c>
      <c r="AT163" t="str">
        <f ca="1">IFERROR(IF(0=LEN(ReferenceData!$AT$163),"",ReferenceData!$AT$163),"")</f>
        <v/>
      </c>
      <c r="AU163" t="str">
        <f ca="1">IFERROR(IF(0=LEN(ReferenceData!$AU$163),"",ReferenceData!$AU$163),"")</f>
        <v/>
      </c>
      <c r="AV163" t="str">
        <f ca="1">IFERROR(IF(0=LEN(ReferenceData!$AV$163),"",ReferenceData!$AV$163),"")</f>
        <v/>
      </c>
      <c r="AW163" t="str">
        <f ca="1">IFERROR(IF(0=LEN(ReferenceData!$AW$163),"",ReferenceData!$AW$163),"")</f>
        <v/>
      </c>
      <c r="AX163" t="str">
        <f ca="1">IFERROR(IF(0=LEN(ReferenceData!$AX$163),"",ReferenceData!$AX$163),"")</f>
        <v/>
      </c>
      <c r="AY163" t="str">
        <f ca="1">IFERROR(IF(0=LEN(ReferenceData!$AY$163),"",ReferenceData!$AY$163),"")</f>
        <v/>
      </c>
      <c r="AZ163" t="str">
        <f ca="1">IFERROR(IF(0=LEN(ReferenceData!$AZ$163),"",ReferenceData!$AZ$163),"")</f>
        <v/>
      </c>
      <c r="BA163" t="str">
        <f ca="1">IFERROR(IF(0=LEN(ReferenceData!$BA$163),"",ReferenceData!$BA$163),"")</f>
        <v/>
      </c>
      <c r="BB163" t="str">
        <f ca="1">IFERROR(IF(0=LEN(ReferenceData!$BB$163),"",ReferenceData!$BB$163),"")</f>
        <v/>
      </c>
      <c r="BC163" t="str">
        <f ca="1">IFERROR(IF(0=LEN(ReferenceData!$BC$163),"",ReferenceData!$BC$163),"")</f>
        <v/>
      </c>
      <c r="BD163" t="str">
        <f ca="1">IFERROR(IF(0=LEN(ReferenceData!$BD$163),"",ReferenceData!$BD$163),"")</f>
        <v/>
      </c>
      <c r="BE163" t="str">
        <f ca="1">IFERROR(IF(0=LEN(ReferenceData!$BE$163),"",ReferenceData!$BE$163),"")</f>
        <v/>
      </c>
      <c r="BF163" t="str">
        <f ca="1">IFERROR(IF(0=LEN(ReferenceData!$BF$163),"",ReferenceData!$BF$163),"")</f>
        <v/>
      </c>
      <c r="BG163">
        <f ca="1">IFERROR(IF(0=LEN(ReferenceData!$BG$163),"",ReferenceData!$BG$163),"")</f>
        <v>6.8936160559999999</v>
      </c>
      <c r="BH163">
        <f ca="1">IFERROR(IF(0=LEN(ReferenceData!$BH$163),"",ReferenceData!$BH$163),"")</f>
        <v>6.7704327700000002</v>
      </c>
      <c r="BI163">
        <f ca="1">IFERROR(IF(0=LEN(ReferenceData!$BI$163),"",ReferenceData!$BI$163),"")</f>
        <v>7.2645925389999997</v>
      </c>
      <c r="BJ163">
        <f ca="1">IFERROR(IF(0=LEN(ReferenceData!$BJ$163),"",ReferenceData!$BJ$163),"")</f>
        <v>6.8507963360000002</v>
      </c>
      <c r="BK163">
        <f ca="1">IFERROR(IF(0=LEN(ReferenceData!$BK$163),"",ReferenceData!$BK$163),"")</f>
        <v>5.9158362489999998</v>
      </c>
      <c r="BL163" t="str">
        <f ca="1">IFERROR(IF(0=LEN(ReferenceData!$BL$163),"",ReferenceData!$BL$163),"")</f>
        <v/>
      </c>
      <c r="BM163" t="str">
        <f ca="1">IFERROR(IF(0=LEN(ReferenceData!$BM$163),"",ReferenceData!$BM$163),"")</f>
        <v/>
      </c>
    </row>
    <row r="164" spans="1:65">
      <c r="A164" t="str">
        <f>IFERROR(IF(0=LEN(ReferenceData!$A$164),"",ReferenceData!$A$164),"")</f>
        <v xml:space="preserve">    Mid-America Apartment Communit</v>
      </c>
      <c r="B164" t="str">
        <f>IFERROR(IF(0=LEN(ReferenceData!$B$164),"",ReferenceData!$B$164),"")</f>
        <v>MAA US Equity</v>
      </c>
      <c r="C164" t="str">
        <f>IFERROR(IF(0=LEN(ReferenceData!$C$164),"",ReferenceData!$C$164),"")</f>
        <v>RR052</v>
      </c>
      <c r="D164" t="str">
        <f>IFERROR(IF(0=LEN(ReferenceData!$D$164),"",ReferenceData!$D$164),"")</f>
        <v>TOT_DEBT_TO_EBITDA</v>
      </c>
      <c r="E164" t="str">
        <f>IFERROR(IF(0=LEN(ReferenceData!$E$164),"",ReferenceData!$E$164),"")</f>
        <v>动态</v>
      </c>
      <c r="F164" t="str">
        <f ca="1">IFERROR(IF(0=LEN(ReferenceData!$F$164),"",ReferenceData!$F$164),"")</f>
        <v/>
      </c>
      <c r="G164">
        <f ca="1">IFERROR(IF(0=LEN(ReferenceData!$G$164),"",ReferenceData!$G$164),"")</f>
        <v>5.3008032350000001</v>
      </c>
      <c r="H164">
        <f ca="1">IFERROR(IF(0=LEN(ReferenceData!$H$164),"",ReferenceData!$H$164),"")</f>
        <v>5.8116179739999998</v>
      </c>
      <c r="I164">
        <f ca="1">IFERROR(IF(0=LEN(ReferenceData!$I$164),"",ReferenceData!$I$164),"")</f>
        <v>6.4311266930000004</v>
      </c>
      <c r="J164">
        <f ca="1">IFERROR(IF(0=LEN(ReferenceData!$J$164),"",ReferenceData!$J$164),"")</f>
        <v>6.9887420929999999</v>
      </c>
      <c r="K164">
        <f ca="1">IFERROR(IF(0=LEN(ReferenceData!$K$164),"",ReferenceData!$K$164),"")</f>
        <v>7.547395646</v>
      </c>
      <c r="L164">
        <f ca="1">IFERROR(IF(0=LEN(ReferenceData!$L$164),"",ReferenceData!$L$164),"")</f>
        <v>5.6735542519999997</v>
      </c>
      <c r="M164">
        <f ca="1">IFERROR(IF(0=LEN(ReferenceData!$M$164),"",ReferenceData!$M$164),"")</f>
        <v>5.8161736270000004</v>
      </c>
      <c r="N164">
        <f ca="1">IFERROR(IF(0=LEN(ReferenceData!$N$164),"",ReferenceData!$N$164),"")</f>
        <v>5.8224324980000004</v>
      </c>
      <c r="O164">
        <f ca="1">IFERROR(IF(0=LEN(ReferenceData!$O$164),"",ReferenceData!$O$164),"")</f>
        <v>5.8877544009999996</v>
      </c>
      <c r="P164">
        <f ca="1">IFERROR(IF(0=LEN(ReferenceData!$P$164),"",ReferenceData!$P$164),"")</f>
        <v>6.0042790850000003</v>
      </c>
      <c r="Q164">
        <f ca="1">IFERROR(IF(0=LEN(ReferenceData!$Q$164),"",ReferenceData!$Q$164),"")</f>
        <v>6.1436608049999997</v>
      </c>
      <c r="R164">
        <f ca="1">IFERROR(IF(0=LEN(ReferenceData!$R$164),"",ReferenceData!$R$164),"")</f>
        <v>6.3995736670000003</v>
      </c>
      <c r="S164">
        <f ca="1">IFERROR(IF(0=LEN(ReferenceData!$S$164),"",ReferenceData!$S$164),"")</f>
        <v>6.6090913369999997</v>
      </c>
      <c r="T164">
        <f ca="1">IFERROR(IF(0=LEN(ReferenceData!$T$164),"",ReferenceData!$T$164),"")</f>
        <v>6.8522301619999997</v>
      </c>
      <c r="U164">
        <f ca="1">IFERROR(IF(0=LEN(ReferenceData!$U$164),"",ReferenceData!$U$164),"")</f>
        <v>8.0515725919999994</v>
      </c>
      <c r="V164">
        <f ca="1">IFERROR(IF(0=LEN(ReferenceData!$V$164),"",ReferenceData!$V$164),"")</f>
        <v>9.3890294189999999</v>
      </c>
      <c r="W164">
        <f ca="1">IFERROR(IF(0=LEN(ReferenceData!$W$164),"",ReferenceData!$W$164),"")</f>
        <v>11.21581128</v>
      </c>
      <c r="X164">
        <f ca="1">IFERROR(IF(0=LEN(ReferenceData!$X$164),"",ReferenceData!$X$164),"")</f>
        <v>6.8138518619999999</v>
      </c>
      <c r="Y164">
        <f ca="1">IFERROR(IF(0=LEN(ReferenceData!$Y$164),"",ReferenceData!$Y$164),"")</f>
        <v>6.2506596009999997</v>
      </c>
      <c r="Z164">
        <f ca="1">IFERROR(IF(0=LEN(ReferenceData!$Z$164),"",ReferenceData!$Z$164),"")</f>
        <v>6.3193228010000002</v>
      </c>
      <c r="AA164">
        <f ca="1">IFERROR(IF(0=LEN(ReferenceData!$AA$164),"",ReferenceData!$AA$164),"")</f>
        <v>6.4862745100000003</v>
      </c>
      <c r="AB164">
        <f ca="1">IFERROR(IF(0=LEN(ReferenceData!$AB$164),"",ReferenceData!$AB$164),"")</f>
        <v>6.9227255019999996</v>
      </c>
      <c r="AC164">
        <f ca="1">IFERROR(IF(0=LEN(ReferenceData!$AC$164),"",ReferenceData!$AC$164),"")</f>
        <v>6.6928061919999999</v>
      </c>
      <c r="AD164">
        <f ca="1">IFERROR(IF(0=LEN(ReferenceData!$AD$164),"",ReferenceData!$AD$164),"")</f>
        <v>6.8308191809999999</v>
      </c>
      <c r="AE164" t="str">
        <f ca="1">IFERROR(IF(0=LEN(ReferenceData!$AE$164),"",ReferenceData!$AE$164),"")</f>
        <v/>
      </c>
      <c r="AF164" t="str">
        <f ca="1">IFERROR(IF(0=LEN(ReferenceData!$AF$164),"",ReferenceData!$AF$164),"")</f>
        <v/>
      </c>
      <c r="AG164" t="str">
        <f ca="1">IFERROR(IF(0=LEN(ReferenceData!$AG$164),"",ReferenceData!$AG$164),"")</f>
        <v/>
      </c>
      <c r="AH164" t="str">
        <f ca="1">IFERROR(IF(0=LEN(ReferenceData!$AH$164),"",ReferenceData!$AH$164),"")</f>
        <v/>
      </c>
      <c r="AI164" t="str">
        <f ca="1">IFERROR(IF(0=LEN(ReferenceData!$AI$164),"",ReferenceData!$AI$164),"")</f>
        <v/>
      </c>
      <c r="AJ164" t="str">
        <f ca="1">IFERROR(IF(0=LEN(ReferenceData!$AJ$164),"",ReferenceData!$AJ$164),"")</f>
        <v/>
      </c>
      <c r="AK164" t="str">
        <f ca="1">IFERROR(IF(0=LEN(ReferenceData!$AK$164),"",ReferenceData!$AK$164),"")</f>
        <v/>
      </c>
      <c r="AL164" t="str">
        <f ca="1">IFERROR(IF(0=LEN(ReferenceData!$AL$164),"",ReferenceData!$AL$164),"")</f>
        <v/>
      </c>
      <c r="AM164" t="str">
        <f ca="1">IFERROR(IF(0=LEN(ReferenceData!$AM$164),"",ReferenceData!$AM$164),"")</f>
        <v/>
      </c>
      <c r="AN164" t="str">
        <f ca="1">IFERROR(IF(0=LEN(ReferenceData!$AN$164),"",ReferenceData!$AN$164),"")</f>
        <v/>
      </c>
      <c r="AO164" t="str">
        <f ca="1">IFERROR(IF(0=LEN(ReferenceData!$AO$164),"",ReferenceData!$AO$164),"")</f>
        <v/>
      </c>
      <c r="AP164" t="str">
        <f ca="1">IFERROR(IF(0=LEN(ReferenceData!$AP$164),"",ReferenceData!$AP$164),"")</f>
        <v/>
      </c>
      <c r="AQ164">
        <f ca="1">IFERROR(IF(0=LEN(ReferenceData!$AQ$164),"",ReferenceData!$AQ$164),"")</f>
        <v>6.9974084769999996</v>
      </c>
      <c r="AR164">
        <f ca="1">IFERROR(IF(0=LEN(ReferenceData!$AR$164),"",ReferenceData!$AR$164),"")</f>
        <v>7.1940461600000001</v>
      </c>
      <c r="AS164">
        <f ca="1">IFERROR(IF(0=LEN(ReferenceData!$AS$164),"",ReferenceData!$AS$164),"")</f>
        <v>6.6327181399999997</v>
      </c>
      <c r="AT164">
        <f ca="1">IFERROR(IF(0=LEN(ReferenceData!$AT$164),"",ReferenceData!$AT$164),"")</f>
        <v>6.873891306</v>
      </c>
      <c r="AU164">
        <f ca="1">IFERROR(IF(0=LEN(ReferenceData!$AU$164),"",ReferenceData!$AU$164),"")</f>
        <v>6.9913314609999997</v>
      </c>
      <c r="AV164">
        <f ca="1">IFERROR(IF(0=LEN(ReferenceData!$AV$164),"",ReferenceData!$AV$164),"")</f>
        <v>7.096428307</v>
      </c>
      <c r="AW164">
        <f ca="1">IFERROR(IF(0=LEN(ReferenceData!$AW$164),"",ReferenceData!$AW$164),"")</f>
        <v>6.936188917</v>
      </c>
      <c r="AX164">
        <f ca="1">IFERROR(IF(0=LEN(ReferenceData!$AX$164),"",ReferenceData!$AX$164),"")</f>
        <v>6.9548933929999999</v>
      </c>
      <c r="AY164">
        <f ca="1">IFERROR(IF(0=LEN(ReferenceData!$AY$164),"",ReferenceData!$AY$164),"")</f>
        <v>21.39495934</v>
      </c>
      <c r="AZ164">
        <f ca="1">IFERROR(IF(0=LEN(ReferenceData!$AZ$164),"",ReferenceData!$AZ$164),"")</f>
        <v>7.2977525459999999</v>
      </c>
      <c r="BA164">
        <f ca="1">IFERROR(IF(0=LEN(ReferenceData!$BA$164),"",ReferenceData!$BA$164),"")</f>
        <v>6.985566178</v>
      </c>
      <c r="BB164">
        <f ca="1">IFERROR(IF(0=LEN(ReferenceData!$BB$164),"",ReferenceData!$BB$164),"")</f>
        <v>7.5289190149999996</v>
      </c>
      <c r="BC164">
        <f ca="1">IFERROR(IF(0=LEN(ReferenceData!$BC$164),"",ReferenceData!$BC$164),"")</f>
        <v>7.4808131449999999</v>
      </c>
      <c r="BD164">
        <f ca="1">IFERROR(IF(0=LEN(ReferenceData!$BD$164),"",ReferenceData!$BD$164),"")</f>
        <v>7.7207727569999998</v>
      </c>
      <c r="BE164">
        <f ca="1">IFERROR(IF(0=LEN(ReferenceData!$BE$164),"",ReferenceData!$BE$164),"")</f>
        <v>7.5440642010000003</v>
      </c>
      <c r="BF164">
        <f ca="1">IFERROR(IF(0=LEN(ReferenceData!$BF$164),"",ReferenceData!$BF$164),"")</f>
        <v>7.9409484670000001</v>
      </c>
      <c r="BG164">
        <f ca="1">IFERROR(IF(0=LEN(ReferenceData!$BG$164),"",ReferenceData!$BG$164),"")</f>
        <v>7.8315047250000003</v>
      </c>
      <c r="BH164">
        <f ca="1">IFERROR(IF(0=LEN(ReferenceData!$BH$164),"",ReferenceData!$BH$164),"")</f>
        <v>7.4964870709999998</v>
      </c>
      <c r="BI164">
        <f ca="1">IFERROR(IF(0=LEN(ReferenceData!$BI$164),"",ReferenceData!$BI$164),"")</f>
        <v>7.7225557880000002</v>
      </c>
      <c r="BJ164">
        <f ca="1">IFERROR(IF(0=LEN(ReferenceData!$BJ$164),"",ReferenceData!$BJ$164),"")</f>
        <v>7.6103289710000004</v>
      </c>
      <c r="BK164">
        <f ca="1">IFERROR(IF(0=LEN(ReferenceData!$BK$164),"",ReferenceData!$BK$164),"")</f>
        <v>7.5778809029999996</v>
      </c>
      <c r="BL164">
        <f ca="1">IFERROR(IF(0=LEN(ReferenceData!$BL$164),"",ReferenceData!$BL$164),"")</f>
        <v>7.3101765929999996</v>
      </c>
      <c r="BM164">
        <f ca="1">IFERROR(IF(0=LEN(ReferenceData!$BM$164),"",ReferenceData!$BM$164),"")</f>
        <v>6.5768298749999996</v>
      </c>
    </row>
    <row r="165" spans="1:65">
      <c r="A165" t="str">
        <f>IFERROR(IF(0=LEN(ReferenceData!$A$165),"",ReferenceData!$A$165),"")</f>
        <v xml:space="preserve">    UDR Inc</v>
      </c>
      <c r="B165" t="str">
        <f>IFERROR(IF(0=LEN(ReferenceData!$B$165),"",ReferenceData!$B$165),"")</f>
        <v>UDR US Equity</v>
      </c>
      <c r="C165" t="str">
        <f>IFERROR(IF(0=LEN(ReferenceData!$C$165),"",ReferenceData!$C$165),"")</f>
        <v>RR052</v>
      </c>
      <c r="D165" t="str">
        <f>IFERROR(IF(0=LEN(ReferenceData!$D$165),"",ReferenceData!$D$165),"")</f>
        <v>TOT_DEBT_TO_EBITDA</v>
      </c>
      <c r="E165" t="str">
        <f>IFERROR(IF(0=LEN(ReferenceData!$E$165),"",ReferenceData!$E$165),"")</f>
        <v>动态</v>
      </c>
      <c r="F165" t="str">
        <f ca="1">IFERROR(IF(0=LEN(ReferenceData!$F$165),"",ReferenceData!$F$165),"")</f>
        <v/>
      </c>
      <c r="G165">
        <f ca="1">IFERROR(IF(0=LEN(ReferenceData!$G$165),"",ReferenceData!$G$165),"")</f>
        <v>5.912919756</v>
      </c>
      <c r="H165">
        <f ca="1">IFERROR(IF(0=LEN(ReferenceData!$H$165),"",ReferenceData!$H$165),"")</f>
        <v>5.9753208129999997</v>
      </c>
      <c r="I165">
        <f ca="1">IFERROR(IF(0=LEN(ReferenceData!$I$165),"",ReferenceData!$I$165),"")</f>
        <v>5.9144975359999998</v>
      </c>
      <c r="J165">
        <f ca="1">IFERROR(IF(0=LEN(ReferenceData!$J$165),"",ReferenceData!$J$165),"")</f>
        <v>5.8237286240000001</v>
      </c>
      <c r="K165">
        <f ca="1">IFERROR(IF(0=LEN(ReferenceData!$K$165),"",ReferenceData!$K$165),"")</f>
        <v>5.6666744409999996</v>
      </c>
      <c r="L165">
        <f ca="1">IFERROR(IF(0=LEN(ReferenceData!$L$165),"",ReferenceData!$L$165),"")</f>
        <v>6.0196636559999996</v>
      </c>
      <c r="M165">
        <f ca="1">IFERROR(IF(0=LEN(ReferenceData!$M$165),"",ReferenceData!$M$165),"")</f>
        <v>6.1012115519999996</v>
      </c>
      <c r="N165">
        <f ca="1">IFERROR(IF(0=LEN(ReferenceData!$N$165),"",ReferenceData!$N$165),"")</f>
        <v>6.2009280059999998</v>
      </c>
      <c r="O165">
        <f ca="1">IFERROR(IF(0=LEN(ReferenceData!$O$165),"",ReferenceData!$O$165),"")</f>
        <v>6.6019712760000004</v>
      </c>
      <c r="P165">
        <f ca="1">IFERROR(IF(0=LEN(ReferenceData!$P$165),"",ReferenceData!$P$165),"")</f>
        <v>6.6655042809999996</v>
      </c>
      <c r="Q165">
        <f ca="1">IFERROR(IF(0=LEN(ReferenceData!$Q$165),"",ReferenceData!$Q$165),"")</f>
        <v>6.8723571220000004</v>
      </c>
      <c r="R165">
        <f ca="1">IFERROR(IF(0=LEN(ReferenceData!$R$165),"",ReferenceData!$R$165),"")</f>
        <v>6.8921455070000004</v>
      </c>
      <c r="S165">
        <f ca="1">IFERROR(IF(0=LEN(ReferenceData!$S$165),"",ReferenceData!$S$165),"")</f>
        <v>7.2658444280000003</v>
      </c>
      <c r="T165">
        <f ca="1">IFERROR(IF(0=LEN(ReferenceData!$T$165),"",ReferenceData!$T$165),"")</f>
        <v>7.5935370449999997</v>
      </c>
      <c r="U165">
        <f ca="1">IFERROR(IF(0=LEN(ReferenceData!$U$165),"",ReferenceData!$U$165),"")</f>
        <v>7.9229185339999999</v>
      </c>
      <c r="V165">
        <f ca="1">IFERROR(IF(0=LEN(ReferenceData!$V$165),"",ReferenceData!$V$165),"")</f>
        <v>7.7399774299999997</v>
      </c>
      <c r="W165">
        <f ca="1">IFERROR(IF(0=LEN(ReferenceData!$W$165),"",ReferenceData!$W$165),"")</f>
        <v>7.5476005859999997</v>
      </c>
      <c r="X165">
        <f ca="1">IFERROR(IF(0=LEN(ReferenceData!$X$165),"",ReferenceData!$X$165),"")</f>
        <v>7.6415806670000004</v>
      </c>
      <c r="Y165">
        <f ca="1">IFERROR(IF(0=LEN(ReferenceData!$Y$165),"",ReferenceData!$Y$165),"")</f>
        <v>7.6733377789999997</v>
      </c>
      <c r="Z165">
        <f ca="1">IFERROR(IF(0=LEN(ReferenceData!$Z$165),"",ReferenceData!$Z$165),"")</f>
        <v>8.2272306190000002</v>
      </c>
      <c r="AA165">
        <f ca="1">IFERROR(IF(0=LEN(ReferenceData!$AA$165),"",ReferenceData!$AA$165),"")</f>
        <v>8.0816692739999993</v>
      </c>
      <c r="AB165">
        <f ca="1">IFERROR(IF(0=LEN(ReferenceData!$AB$165),"",ReferenceData!$AB$165),"")</f>
        <v>7.848609647</v>
      </c>
      <c r="AC165">
        <f ca="1">IFERROR(IF(0=LEN(ReferenceData!$AC$165),"",ReferenceData!$AC$165),"")</f>
        <v>7.7864530109999999</v>
      </c>
      <c r="AD165">
        <f ca="1">IFERROR(IF(0=LEN(ReferenceData!$AD$165),"",ReferenceData!$AD$165),"")</f>
        <v>9.1351432110000008</v>
      </c>
      <c r="AE165">
        <f ca="1">IFERROR(IF(0=LEN(ReferenceData!$AE$165),"",ReferenceData!$AE$165),"")</f>
        <v>9.547266445</v>
      </c>
      <c r="AF165">
        <f ca="1">IFERROR(IF(0=LEN(ReferenceData!$AF$165),"",ReferenceData!$AF$165),"")</f>
        <v>10.26221829</v>
      </c>
      <c r="AG165">
        <f ca="1">IFERROR(IF(0=LEN(ReferenceData!$AG$165),"",ReferenceData!$AG$165),"")</f>
        <v>10.101341440000001</v>
      </c>
      <c r="AH165">
        <f ca="1">IFERROR(IF(0=LEN(ReferenceData!$AH$165),"",ReferenceData!$AH$165),"")</f>
        <v>9.9733461069999993</v>
      </c>
      <c r="AI165">
        <f ca="1">IFERROR(IF(0=LEN(ReferenceData!$AI$165),"",ReferenceData!$AI$165),"")</f>
        <v>10.430596769999999</v>
      </c>
      <c r="AJ165">
        <f ca="1">IFERROR(IF(0=LEN(ReferenceData!$AJ$165),"",ReferenceData!$AJ$165),"")</f>
        <v>10.19546083</v>
      </c>
      <c r="AK165">
        <f ca="1">IFERROR(IF(0=LEN(ReferenceData!$AK$165),"",ReferenceData!$AK$165),"")</f>
        <v>10.236734719999999</v>
      </c>
      <c r="AL165">
        <f ca="1">IFERROR(IF(0=LEN(ReferenceData!$AL$165),"",ReferenceData!$AL$165),"")</f>
        <v>10.0112837</v>
      </c>
      <c r="AM165">
        <f ca="1">IFERROR(IF(0=LEN(ReferenceData!$AM$165),"",ReferenceData!$AM$165),"")</f>
        <v>9.8946570529999995</v>
      </c>
      <c r="AN165">
        <f ca="1">IFERROR(IF(0=LEN(ReferenceData!$AN$165),"",ReferenceData!$AN$165),"")</f>
        <v>9.5126291090000006</v>
      </c>
      <c r="AO165">
        <f ca="1">IFERROR(IF(0=LEN(ReferenceData!$AO$165),"",ReferenceData!$AO$165),"")</f>
        <v>9.1363250009999994</v>
      </c>
      <c r="AP165">
        <f ca="1">IFERROR(IF(0=LEN(ReferenceData!$AP$165),"",ReferenceData!$AP$165),"")</f>
        <v>9.7802655479999991</v>
      </c>
      <c r="AQ165">
        <f ca="1">IFERROR(IF(0=LEN(ReferenceData!$AQ$165),"",ReferenceData!$AQ$165),"")</f>
        <v>9.797576093</v>
      </c>
      <c r="AR165">
        <f ca="1">IFERROR(IF(0=LEN(ReferenceData!$AR$165),"",ReferenceData!$AR$165),"")</f>
        <v>9.8836829930000007</v>
      </c>
      <c r="AS165">
        <f ca="1">IFERROR(IF(0=LEN(ReferenceData!$AS$165),"",ReferenceData!$AS$165),"")</f>
        <v>9.2360636169999992</v>
      </c>
      <c r="AT165">
        <f ca="1">IFERROR(IF(0=LEN(ReferenceData!$AT$165),"",ReferenceData!$AT$165),"")</f>
        <v>9.0111390450000002</v>
      </c>
      <c r="AU165">
        <f ca="1">IFERROR(IF(0=LEN(ReferenceData!$AU$165),"",ReferenceData!$AU$165),"")</f>
        <v>9.5502956969999993</v>
      </c>
      <c r="AV165">
        <f ca="1">IFERROR(IF(0=LEN(ReferenceData!$AV$165),"",ReferenceData!$AV$165),"")</f>
        <v>9.5325441820000005</v>
      </c>
      <c r="AW165">
        <f ca="1">IFERROR(IF(0=LEN(ReferenceData!$AW$165),"",ReferenceData!$AW$165),"")</f>
        <v>9.8047807789999997</v>
      </c>
      <c r="AX165">
        <f ca="1">IFERROR(IF(0=LEN(ReferenceData!$AX$165),"",ReferenceData!$AX$165),"")</f>
        <v>9.2620169729999997</v>
      </c>
      <c r="AY165">
        <f ca="1">IFERROR(IF(0=LEN(ReferenceData!$AY$165),"",ReferenceData!$AY$165),"")</f>
        <v>8.7369127590000009</v>
      </c>
      <c r="AZ165">
        <f ca="1">IFERROR(IF(0=LEN(ReferenceData!$AZ$165),"",ReferenceData!$AZ$165),"")</f>
        <v>8.1746434309999998</v>
      </c>
      <c r="BA165">
        <f ca="1">IFERROR(IF(0=LEN(ReferenceData!$BA$165),"",ReferenceData!$BA$165),"")</f>
        <v>8.5819887179999998</v>
      </c>
      <c r="BB165">
        <f ca="1">IFERROR(IF(0=LEN(ReferenceData!$BB$165),"",ReferenceData!$BB$165),"")</f>
        <v>8.2124314599999995</v>
      </c>
      <c r="BC165">
        <f ca="1">IFERROR(IF(0=LEN(ReferenceData!$BC$165),"",ReferenceData!$BC$165),"")</f>
        <v>8.2358351879999994</v>
      </c>
      <c r="BD165">
        <f ca="1">IFERROR(IF(0=LEN(ReferenceData!$BD$165),"",ReferenceData!$BD$165),"")</f>
        <v>8.7322107599999992</v>
      </c>
      <c r="BE165">
        <f ca="1">IFERROR(IF(0=LEN(ReferenceData!$BE$165),"",ReferenceData!$BE$165),"")</f>
        <v>8.6059478790000004</v>
      </c>
      <c r="BF165">
        <f ca="1">IFERROR(IF(0=LEN(ReferenceData!$BF$165),"",ReferenceData!$BF$165),"")</f>
        <v>8.7662561399999994</v>
      </c>
      <c r="BG165">
        <f ca="1">IFERROR(IF(0=LEN(ReferenceData!$BG$165),"",ReferenceData!$BG$165),"")</f>
        <v>8.6797164609999999</v>
      </c>
      <c r="BH165">
        <f ca="1">IFERROR(IF(0=LEN(ReferenceData!$BH$165),"",ReferenceData!$BH$165),"")</f>
        <v>7.3307459560000003</v>
      </c>
      <c r="BI165">
        <f ca="1">IFERROR(IF(0=LEN(ReferenceData!$BI$165),"",ReferenceData!$BI$165),"")</f>
        <v>6.6561802769999998</v>
      </c>
      <c r="BJ165">
        <f ca="1">IFERROR(IF(0=LEN(ReferenceData!$BJ$165),"",ReferenceData!$BJ$165),"")</f>
        <v>6.6551136790000003</v>
      </c>
      <c r="BK165">
        <f ca="1">IFERROR(IF(0=LEN(ReferenceData!$BK$165),"",ReferenceData!$BK$165),"")</f>
        <v>6.4310767640000002</v>
      </c>
      <c r="BL165">
        <f ca="1">IFERROR(IF(0=LEN(ReferenceData!$BL$165),"",ReferenceData!$BL$165),"")</f>
        <v>6.0144227849999998</v>
      </c>
      <c r="BM165">
        <f ca="1">IFERROR(IF(0=LEN(ReferenceData!$BM$165),"",ReferenceData!$BM$165),"")</f>
        <v>6.2265340719999998</v>
      </c>
    </row>
    <row r="166" spans="1:65">
      <c r="A166" t="str">
        <f>IFERROR(IF(0=LEN(ReferenceData!$A$166),"",ReferenceData!$A$166),"")</f>
        <v>长期债务/总资产(%)</v>
      </c>
      <c r="B166" t="str">
        <f>IFERROR(IF(0=LEN(ReferenceData!$B$166),"",ReferenceData!$B$166),"")</f>
        <v/>
      </c>
      <c r="C166" t="str">
        <f>IFERROR(IF(0=LEN(ReferenceData!$C$166),"",ReferenceData!$C$166),"")</f>
        <v/>
      </c>
      <c r="D166" t="str">
        <f>IFERROR(IF(0=LEN(ReferenceData!$D$166),"",ReferenceData!$D$166),"")</f>
        <v/>
      </c>
      <c r="E166" t="str">
        <f>IFERROR(IF(0=LEN(ReferenceData!$E$166),"",ReferenceData!$E$166),"")</f>
        <v>Median</v>
      </c>
      <c r="F166" t="str">
        <f ca="1">IFERROR(IF(0=LEN(ReferenceData!$F$166),"",ReferenceData!$F$166),"")</f>
        <v/>
      </c>
      <c r="G166">
        <f ca="1">IFERROR(IF(0=LEN(ReferenceData!$G$166),"",ReferenceData!$G$166),"")</f>
        <v>10.0071639595</v>
      </c>
      <c r="H166">
        <f ca="1">IFERROR(IF(0=LEN(ReferenceData!$H$166),"",ReferenceData!$H$166),"")</f>
        <v>10.142754957000001</v>
      </c>
      <c r="I166">
        <f ca="1">IFERROR(IF(0=LEN(ReferenceData!$I$166),"",ReferenceData!$I$166),"")</f>
        <v>10.658496159999999</v>
      </c>
      <c r="J166">
        <f ca="1">IFERROR(IF(0=LEN(ReferenceData!$J$166),"",ReferenceData!$J$166),"")</f>
        <v>13.734318255</v>
      </c>
      <c r="K166">
        <f ca="1">IFERROR(IF(0=LEN(ReferenceData!$K$166),"",ReferenceData!$K$166),"")</f>
        <v>14.547898745000001</v>
      </c>
      <c r="L166">
        <f ca="1">IFERROR(IF(0=LEN(ReferenceData!$L$166),"",ReferenceData!$L$166),"")</f>
        <v>14.7579981</v>
      </c>
      <c r="M166">
        <f ca="1">IFERROR(IF(0=LEN(ReferenceData!$M$166),"",ReferenceData!$M$166),"")</f>
        <v>16.60110405</v>
      </c>
      <c r="N166">
        <f ca="1">IFERROR(IF(0=LEN(ReferenceData!$N$166),"",ReferenceData!$N$166),"")</f>
        <v>17.583120739999998</v>
      </c>
      <c r="O166">
        <f ca="1">IFERROR(IF(0=LEN(ReferenceData!$O$166),"",ReferenceData!$O$166),"")</f>
        <v>18.098574915</v>
      </c>
      <c r="P166">
        <f ca="1">IFERROR(IF(0=LEN(ReferenceData!$P$166),"",ReferenceData!$P$166),"")</f>
        <v>18.692120594999999</v>
      </c>
      <c r="Q166">
        <f ca="1">IFERROR(IF(0=LEN(ReferenceData!$Q$166),"",ReferenceData!$Q$166),"")</f>
        <v>18.952749095000001</v>
      </c>
      <c r="R166">
        <f ca="1">IFERROR(IF(0=LEN(ReferenceData!$R$166),"",ReferenceData!$R$166),"")</f>
        <v>20.25549767</v>
      </c>
      <c r="S166">
        <f ca="1">IFERROR(IF(0=LEN(ReferenceData!$S$166),"",ReferenceData!$S$166),"")</f>
        <v>20.802495694999998</v>
      </c>
      <c r="T166">
        <f ca="1">IFERROR(IF(0=LEN(ReferenceData!$T$166),"",ReferenceData!$T$166),"")</f>
        <v>21.206598495000001</v>
      </c>
      <c r="U166">
        <f ca="1">IFERROR(IF(0=LEN(ReferenceData!$U$166),"",ReferenceData!$U$166),"")</f>
        <v>22.056654694999999</v>
      </c>
      <c r="V166">
        <f ca="1">IFERROR(IF(0=LEN(ReferenceData!$V$166),"",ReferenceData!$V$166),"")</f>
        <v>22.645962425</v>
      </c>
      <c r="W166">
        <f ca="1">IFERROR(IF(0=LEN(ReferenceData!$W$166),"",ReferenceData!$W$166),"")</f>
        <v>24.634166004999997</v>
      </c>
      <c r="X166">
        <f ca="1">IFERROR(IF(0=LEN(ReferenceData!$X$166),"",ReferenceData!$X$166),"")</f>
        <v>27.156119629999999</v>
      </c>
      <c r="Y166">
        <f ca="1">IFERROR(IF(0=LEN(ReferenceData!$Y$166),"",ReferenceData!$Y$166),"")</f>
        <v>28.317921184999999</v>
      </c>
      <c r="Z166">
        <f ca="1">IFERROR(IF(0=LEN(ReferenceData!$Z$166),"",ReferenceData!$Z$166),"")</f>
        <v>28.939784565</v>
      </c>
      <c r="AA166">
        <f ca="1">IFERROR(IF(0=LEN(ReferenceData!$AA$166),"",ReferenceData!$AA$166),"")</f>
        <v>26.386157884999999</v>
      </c>
      <c r="AB166">
        <f ca="1">IFERROR(IF(0=LEN(ReferenceData!$AB$166),"",ReferenceData!$AB$166),"")</f>
        <v>25.627732904999998</v>
      </c>
      <c r="AC166">
        <f ca="1">IFERROR(IF(0=LEN(ReferenceData!$AC$166),"",ReferenceData!$AC$166),"")</f>
        <v>27.504396829999997</v>
      </c>
      <c r="AD166">
        <f ca="1">IFERROR(IF(0=LEN(ReferenceData!$AD$166),"",ReferenceData!$AD$166),"")</f>
        <v>28.905058635</v>
      </c>
      <c r="AE166">
        <f ca="1">IFERROR(IF(0=LEN(ReferenceData!$AE$166),"",ReferenceData!$AE$166),"")</f>
        <v>30.267055655</v>
      </c>
      <c r="AF166">
        <f ca="1">IFERROR(IF(0=LEN(ReferenceData!$AF$166),"",ReferenceData!$AF$166),"")</f>
        <v>33.394019119999996</v>
      </c>
      <c r="AG166">
        <f ca="1">IFERROR(IF(0=LEN(ReferenceData!$AG$166),"",ReferenceData!$AG$166),"")</f>
        <v>35.929047505</v>
      </c>
      <c r="AH166">
        <f ca="1">IFERROR(IF(0=LEN(ReferenceData!$AH$166),"",ReferenceData!$AH$166),"")</f>
        <v>37.236974645000004</v>
      </c>
      <c r="AI166">
        <f ca="1">IFERROR(IF(0=LEN(ReferenceData!$AI$166),"",ReferenceData!$AI$166),"")</f>
        <v>42.425663675000003</v>
      </c>
      <c r="AJ166">
        <f ca="1">IFERROR(IF(0=LEN(ReferenceData!$AJ$166),"",ReferenceData!$AJ$166),"")</f>
        <v>43.095282170000004</v>
      </c>
      <c r="AK166">
        <f ca="1">IFERROR(IF(0=LEN(ReferenceData!$AK$166),"",ReferenceData!$AK$166),"")</f>
        <v>43.93524635</v>
      </c>
      <c r="AL166">
        <f ca="1">IFERROR(IF(0=LEN(ReferenceData!$AL$166),"",ReferenceData!$AL$166),"")</f>
        <v>43.595356715000001</v>
      </c>
      <c r="AM166">
        <f ca="1">IFERROR(IF(0=LEN(ReferenceData!$AM$166),"",ReferenceData!$AM$166),"")</f>
        <v>44.015144719999995</v>
      </c>
      <c r="AN166">
        <f ca="1">IFERROR(IF(0=LEN(ReferenceData!$AN$166),"",ReferenceData!$AN$166),"")</f>
        <v>43.371031540000004</v>
      </c>
      <c r="AO166">
        <f ca="1">IFERROR(IF(0=LEN(ReferenceData!$AO$166),"",ReferenceData!$AO$166),"")</f>
        <v>41.712823180000001</v>
      </c>
      <c r="AP166">
        <f ca="1">IFERROR(IF(0=LEN(ReferenceData!$AP$166),"",ReferenceData!$AP$166),"")</f>
        <v>40.983788945000001</v>
      </c>
      <c r="AQ166">
        <f ca="1">IFERROR(IF(0=LEN(ReferenceData!$AQ$166),"",ReferenceData!$AQ$166),"")</f>
        <v>42.933164024999996</v>
      </c>
      <c r="AR166">
        <f ca="1">IFERROR(IF(0=LEN(ReferenceData!$AR$166),"",ReferenceData!$AR$166),"")</f>
        <v>35.127187544999998</v>
      </c>
      <c r="AS166">
        <f ca="1">IFERROR(IF(0=LEN(ReferenceData!$AS$166),"",ReferenceData!$AS$166),"")</f>
        <v>39.376878775000002</v>
      </c>
      <c r="AT166">
        <f ca="1">IFERROR(IF(0=LEN(ReferenceData!$AT$166),"",ReferenceData!$AT$166),"")</f>
        <v>34.654732725000002</v>
      </c>
      <c r="AU166">
        <f ca="1">IFERROR(IF(0=LEN(ReferenceData!$AU$166),"",ReferenceData!$AU$166),"")</f>
        <v>36.631554735000002</v>
      </c>
      <c r="AV166">
        <f ca="1">IFERROR(IF(0=LEN(ReferenceData!$AV$166),"",ReferenceData!$AV$166),"")</f>
        <v>37.116084645000001</v>
      </c>
      <c r="AW166">
        <f ca="1">IFERROR(IF(0=LEN(ReferenceData!$AW$166),"",ReferenceData!$AW$166),"")</f>
        <v>37.849827099999999</v>
      </c>
      <c r="AX166">
        <f ca="1">IFERROR(IF(0=LEN(ReferenceData!$AX$166),"",ReferenceData!$AX$166),"")</f>
        <v>38.198220059999997</v>
      </c>
      <c r="AY166">
        <f ca="1">IFERROR(IF(0=LEN(ReferenceData!$AY$166),"",ReferenceData!$AY$166),"")</f>
        <v>37.089656974999997</v>
      </c>
      <c r="AZ166">
        <f ca="1">IFERROR(IF(0=LEN(ReferenceData!$AZ$166),"",ReferenceData!$AZ$166),"")</f>
        <v>37.01470964</v>
      </c>
      <c r="BA166">
        <f ca="1">IFERROR(IF(0=LEN(ReferenceData!$BA$166),"",ReferenceData!$BA$166),"")</f>
        <v>37.499398819999996</v>
      </c>
      <c r="BB166">
        <f ca="1">IFERROR(IF(0=LEN(ReferenceData!$BB$166),"",ReferenceData!$BB$166),"")</f>
        <v>37.723791185000003</v>
      </c>
      <c r="BC166">
        <f ca="1">IFERROR(IF(0=LEN(ReferenceData!$BC$166),"",ReferenceData!$BC$166),"")</f>
        <v>35.606913445000004</v>
      </c>
      <c r="BD166">
        <f ca="1">IFERROR(IF(0=LEN(ReferenceData!$BD$166),"",ReferenceData!$BD$166),"")</f>
        <v>35.282905380000003</v>
      </c>
      <c r="BE166">
        <f ca="1">IFERROR(IF(0=LEN(ReferenceData!$BE$166),"",ReferenceData!$BE$166),"")</f>
        <v>37.361380870000005</v>
      </c>
      <c r="BF166">
        <f ca="1">IFERROR(IF(0=LEN(ReferenceData!$BF$166),"",ReferenceData!$BF$166),"")</f>
        <v>35.770273365000001</v>
      </c>
      <c r="BG166">
        <f ca="1">IFERROR(IF(0=LEN(ReferenceData!$BG$166),"",ReferenceData!$BG$166),"")</f>
        <v>27.6529022</v>
      </c>
      <c r="BH166">
        <f ca="1">IFERROR(IF(0=LEN(ReferenceData!$BH$166),"",ReferenceData!$BH$166),"")</f>
        <v>27.51807436</v>
      </c>
      <c r="BI166">
        <f ca="1">IFERROR(IF(0=LEN(ReferenceData!$BI$166),"",ReferenceData!$BI$166),"")</f>
        <v>27.45580026</v>
      </c>
      <c r="BJ166">
        <f ca="1">IFERROR(IF(0=LEN(ReferenceData!$BJ$166),"",ReferenceData!$BJ$166),"")</f>
        <v>27.973975429999999</v>
      </c>
      <c r="BK166">
        <f ca="1">IFERROR(IF(0=LEN(ReferenceData!$BK$166),"",ReferenceData!$BK$166),"")</f>
        <v>26.110198390000001</v>
      </c>
      <c r="BL166">
        <f ca="1">IFERROR(IF(0=LEN(ReferenceData!$BL$166),"",ReferenceData!$BL$166),"")</f>
        <v>27.00707603</v>
      </c>
      <c r="BM166">
        <f ca="1">IFERROR(IF(0=LEN(ReferenceData!$BM$166),"",ReferenceData!$BM$166),"")</f>
        <v>26.997569335000001</v>
      </c>
    </row>
    <row r="167" spans="1:65">
      <c r="A167" t="str">
        <f>IFERROR(IF(0=LEN(ReferenceData!$A$167),"",ReferenceData!$A$167),"")</f>
        <v xml:space="preserve">    American Campus Communities In</v>
      </c>
      <c r="B167" t="str">
        <f>IFERROR(IF(0=LEN(ReferenceData!$B$167),"",ReferenceData!$B$167),"")</f>
        <v>ACC US Equity</v>
      </c>
      <c r="C167" t="str">
        <f>IFERROR(IF(0=LEN(ReferenceData!$C$167),"",ReferenceData!$C$167),"")</f>
        <v>RR147</v>
      </c>
      <c r="D167" t="str">
        <f>IFERROR(IF(0=LEN(ReferenceData!$D$167),"",ReferenceData!$D$167),"")</f>
        <v>LT_DEBT_TO_TOT_ASSET</v>
      </c>
      <c r="E167" t="str">
        <f>IFERROR(IF(0=LEN(ReferenceData!$E$167),"",ReferenceData!$E$167),"")</f>
        <v>动态</v>
      </c>
      <c r="F167" t="str">
        <f ca="1">IFERROR(IF(0=LEN(ReferenceData!$F$167),"",ReferenceData!$F$167),"")</f>
        <v/>
      </c>
      <c r="G167">
        <f ca="1">IFERROR(IF(0=LEN(ReferenceData!$G$167),"",ReferenceData!$G$167),"")</f>
        <v>9.6271477389999998</v>
      </c>
      <c r="H167">
        <f ca="1">IFERROR(IF(0=LEN(ReferenceData!$H$167),"",ReferenceData!$H$167),"")</f>
        <v>9.9130373140000003</v>
      </c>
      <c r="I167">
        <f ca="1">IFERROR(IF(0=LEN(ReferenceData!$I$167),"",ReferenceData!$I$167),"")</f>
        <v>10.932673919999999</v>
      </c>
      <c r="J167">
        <f ca="1">IFERROR(IF(0=LEN(ReferenceData!$J$167),"",ReferenceData!$J$167),"")</f>
        <v>11.421992039999999</v>
      </c>
      <c r="K167">
        <f ca="1">IFERROR(IF(0=LEN(ReferenceData!$K$167),"",ReferenceData!$K$167),"")</f>
        <v>11.73210377</v>
      </c>
      <c r="L167">
        <f ca="1">IFERROR(IF(0=LEN(ReferenceData!$L$167),"",ReferenceData!$L$167),"")</f>
        <v>14.76681995</v>
      </c>
      <c r="M167">
        <f ca="1">IFERROR(IF(0=LEN(ReferenceData!$M$167),"",ReferenceData!$M$167),"")</f>
        <v>16.696223010000001</v>
      </c>
      <c r="N167">
        <f ca="1">IFERROR(IF(0=LEN(ReferenceData!$N$167),"",ReferenceData!$N$167),"")</f>
        <v>17.082209339999999</v>
      </c>
      <c r="O167">
        <f ca="1">IFERROR(IF(0=LEN(ReferenceData!$O$167),"",ReferenceData!$O$167),"")</f>
        <v>18.230382760000001</v>
      </c>
      <c r="P167">
        <f ca="1">IFERROR(IF(0=LEN(ReferenceData!$P$167),"",ReferenceData!$P$167),"")</f>
        <v>18.646398619999999</v>
      </c>
      <c r="Q167">
        <f ca="1">IFERROR(IF(0=LEN(ReferenceData!$Q$167),"",ReferenceData!$Q$167),"")</f>
        <v>19.025811640000001</v>
      </c>
      <c r="R167">
        <f ca="1">IFERROR(IF(0=LEN(ReferenceData!$R$167),"",ReferenceData!$R$167),"")</f>
        <v>20.52600151</v>
      </c>
      <c r="S167">
        <f ca="1">IFERROR(IF(0=LEN(ReferenceData!$S$167),"",ReferenceData!$S$167),"")</f>
        <v>22.827275490000002</v>
      </c>
      <c r="T167">
        <f ca="1">IFERROR(IF(0=LEN(ReferenceData!$T$167),"",ReferenceData!$T$167),"")</f>
        <v>24.115650339999998</v>
      </c>
      <c r="U167">
        <f ca="1">IFERROR(IF(0=LEN(ReferenceData!$U$167),"",ReferenceData!$U$167),"")</f>
        <v>26.44904477</v>
      </c>
      <c r="V167">
        <f ca="1">IFERROR(IF(0=LEN(ReferenceData!$V$167),"",ReferenceData!$V$167),"")</f>
        <v>27.045260259999999</v>
      </c>
      <c r="W167">
        <f ca="1">IFERROR(IF(0=LEN(ReferenceData!$W$167),"",ReferenceData!$W$167),"")</f>
        <v>28.491507739999999</v>
      </c>
      <c r="X167">
        <f ca="1">IFERROR(IF(0=LEN(ReferenceData!$X$167),"",ReferenceData!$X$167),"")</f>
        <v>28.38860124</v>
      </c>
      <c r="Y167">
        <f ca="1">IFERROR(IF(0=LEN(ReferenceData!$Y$167),"",ReferenceData!$Y$167),"")</f>
        <v>30.31972099</v>
      </c>
      <c r="Z167">
        <f ca="1">IFERROR(IF(0=LEN(ReferenceData!$Z$167),"",ReferenceData!$Z$167),"")</f>
        <v>31.402378349999999</v>
      </c>
      <c r="AA167">
        <f ca="1">IFERROR(IF(0=LEN(ReferenceData!$AA$167),"",ReferenceData!$AA$167),"")</f>
        <v>31.512345669999998</v>
      </c>
      <c r="AB167">
        <f ca="1">IFERROR(IF(0=LEN(ReferenceData!$AB$167),"",ReferenceData!$AB$167),"")</f>
        <v>30.21393394</v>
      </c>
      <c r="AC167">
        <f ca="1">IFERROR(IF(0=LEN(ReferenceData!$AC$167),"",ReferenceData!$AC$167),"")</f>
        <v>31.965564669999999</v>
      </c>
      <c r="AD167">
        <f ca="1">IFERROR(IF(0=LEN(ReferenceData!$AD$167),"",ReferenceData!$AD$167),"")</f>
        <v>31.68209306</v>
      </c>
      <c r="AE167">
        <f ca="1">IFERROR(IF(0=LEN(ReferenceData!$AE$167),"",ReferenceData!$AE$167),"")</f>
        <v>32.391671559999999</v>
      </c>
      <c r="AF167">
        <f ca="1">IFERROR(IF(0=LEN(ReferenceData!$AF$167),"",ReferenceData!$AF$167),"")</f>
        <v>37.078812409999998</v>
      </c>
      <c r="AG167">
        <f ca="1">IFERROR(IF(0=LEN(ReferenceData!$AG$167),"",ReferenceData!$AG$167),"")</f>
        <v>38.43851222</v>
      </c>
      <c r="AH167">
        <f ca="1">IFERROR(IF(0=LEN(ReferenceData!$AH$167),"",ReferenceData!$AH$167),"")</f>
        <v>48.944568850000003</v>
      </c>
      <c r="AI167">
        <f ca="1">IFERROR(IF(0=LEN(ReferenceData!$AI$167),"",ReferenceData!$AI$167),"")</f>
        <v>49.939149440000001</v>
      </c>
      <c r="AJ167">
        <f ca="1">IFERROR(IF(0=LEN(ReferenceData!$AJ$167),"",ReferenceData!$AJ$167),"")</f>
        <v>48.863807209999997</v>
      </c>
      <c r="AK167">
        <f ca="1">IFERROR(IF(0=LEN(ReferenceData!$AK$167),"",ReferenceData!$AK$167),"")</f>
        <v>54.44888186</v>
      </c>
      <c r="AL167">
        <f ca="1">IFERROR(IF(0=LEN(ReferenceData!$AL$167),"",ReferenceData!$AL$167),"")</f>
        <v>54.210586139999997</v>
      </c>
      <c r="AM167">
        <f ca="1">IFERROR(IF(0=LEN(ReferenceData!$AM$167),"",ReferenceData!$AM$167),"")</f>
        <v>54.741181240000003</v>
      </c>
      <c r="AN167">
        <f ca="1">IFERROR(IF(0=LEN(ReferenceData!$AN$167),"",ReferenceData!$AN$167),"")</f>
        <v>50.246749250000001</v>
      </c>
      <c r="AO167">
        <f ca="1">IFERROR(IF(0=LEN(ReferenceData!$AO$167),"",ReferenceData!$AO$167),"")</f>
        <v>52.896976860000002</v>
      </c>
      <c r="AP167">
        <f ca="1">IFERROR(IF(0=LEN(ReferenceData!$AP$167),"",ReferenceData!$AP$167),"")</f>
        <v>56.291619349999998</v>
      </c>
      <c r="AQ167">
        <f ca="1">IFERROR(IF(0=LEN(ReferenceData!$AQ$167),"",ReferenceData!$AQ$167),"")</f>
        <v>57.796410020000003</v>
      </c>
      <c r="AR167">
        <f ca="1">IFERROR(IF(0=LEN(ReferenceData!$AR$167),"",ReferenceData!$AR$167),"")</f>
        <v>57.230352009999997</v>
      </c>
      <c r="AS167">
        <f ca="1">IFERROR(IF(0=LEN(ReferenceData!$AS$167),"",ReferenceData!$AS$167),"")</f>
        <v>57.638502129999999</v>
      </c>
      <c r="AT167">
        <f ca="1">IFERROR(IF(0=LEN(ReferenceData!$AT$167),"",ReferenceData!$AT$167),"")</f>
        <v>50.335652529999997</v>
      </c>
      <c r="AU167">
        <f ca="1">IFERROR(IF(0=LEN(ReferenceData!$AU$167),"",ReferenceData!$AU$167),"")</f>
        <v>49.561644749999999</v>
      </c>
      <c r="AV167">
        <f ca="1">IFERROR(IF(0=LEN(ReferenceData!$AV$167),"",ReferenceData!$AV$167),"")</f>
        <v>52.661376169999997</v>
      </c>
      <c r="AW167">
        <f ca="1">IFERROR(IF(0=LEN(ReferenceData!$AW$167),"",ReferenceData!$AW$167),"")</f>
        <v>53.979441639999997</v>
      </c>
      <c r="AX167">
        <f ca="1">IFERROR(IF(0=LEN(ReferenceData!$AX$167),"",ReferenceData!$AX$167),"")</f>
        <v>54.102841220000002</v>
      </c>
      <c r="AY167">
        <f ca="1">IFERROR(IF(0=LEN(ReferenceData!$AY$167),"",ReferenceData!$AY$167),"")</f>
        <v>48.880968719999998</v>
      </c>
      <c r="AZ167">
        <f ca="1">IFERROR(IF(0=LEN(ReferenceData!$AZ$167),"",ReferenceData!$AZ$167),"")</f>
        <v>49.214105500000002</v>
      </c>
      <c r="BA167">
        <f ca="1">IFERROR(IF(0=LEN(ReferenceData!$BA$167),"",ReferenceData!$BA$167),"")</f>
        <v>52.251995960000002</v>
      </c>
      <c r="BB167">
        <f ca="1">IFERROR(IF(0=LEN(ReferenceData!$BB$167),"",ReferenceData!$BB$167),"")</f>
        <v>52.698412300000001</v>
      </c>
      <c r="BC167">
        <f ca="1">IFERROR(IF(0=LEN(ReferenceData!$BC$167),"",ReferenceData!$BC$167),"")</f>
        <v>52.94356844</v>
      </c>
      <c r="BD167">
        <f ca="1">IFERROR(IF(0=LEN(ReferenceData!$BD$167),"",ReferenceData!$BD$167),"")</f>
        <v>52.620074340000002</v>
      </c>
      <c r="BE167">
        <f ca="1">IFERROR(IF(0=LEN(ReferenceData!$BE$167),"",ReferenceData!$BE$167),"")</f>
        <v>56.610666010000003</v>
      </c>
      <c r="BF167">
        <f ca="1">IFERROR(IF(0=LEN(ReferenceData!$BF$167),"",ReferenceData!$BF$167),"")</f>
        <v>64.623515119999993</v>
      </c>
      <c r="BG167">
        <f ca="1">IFERROR(IF(0=LEN(ReferenceData!$BG$167),"",ReferenceData!$BG$167),"")</f>
        <v>54.678642539999998</v>
      </c>
      <c r="BH167">
        <f ca="1">IFERROR(IF(0=LEN(ReferenceData!$BH$167),"",ReferenceData!$BH$167),"")</f>
        <v>53.30056518</v>
      </c>
      <c r="BI167">
        <f ca="1">IFERROR(IF(0=LEN(ReferenceData!$BI$167),"",ReferenceData!$BI$167),"")</f>
        <v>82.357705589999995</v>
      </c>
      <c r="BJ167">
        <f ca="1">IFERROR(IF(0=LEN(ReferenceData!$BJ$167),"",ReferenceData!$BJ$167),"")</f>
        <v>79.441068240000007</v>
      </c>
      <c r="BK167" t="str">
        <f ca="1">IFERROR(IF(0=LEN(ReferenceData!$BK$167),"",ReferenceData!$BK$167),"")</f>
        <v/>
      </c>
      <c r="BL167" t="str">
        <f ca="1">IFERROR(IF(0=LEN(ReferenceData!$BL$167),"",ReferenceData!$BL$167),"")</f>
        <v/>
      </c>
      <c r="BM167" t="str">
        <f ca="1">IFERROR(IF(0=LEN(ReferenceData!$BM$167),"",ReferenceData!$BM$167),"")</f>
        <v/>
      </c>
    </row>
    <row r="168" spans="1:65">
      <c r="A168" t="str">
        <f>IFERROR(IF(0=LEN(ReferenceData!$A$168),"",ReferenceData!$A$168),"")</f>
        <v xml:space="preserve">    AvalonBay Communities Inc</v>
      </c>
      <c r="B168" t="str">
        <f>IFERROR(IF(0=LEN(ReferenceData!$B$168),"",ReferenceData!$B$168),"")</f>
        <v>AVB US Equity</v>
      </c>
      <c r="C168" t="str">
        <f>IFERROR(IF(0=LEN(ReferenceData!$C$168),"",ReferenceData!$C$168),"")</f>
        <v>RR147</v>
      </c>
      <c r="D168" t="str">
        <f>IFERROR(IF(0=LEN(ReferenceData!$D$168),"",ReferenceData!$D$168),"")</f>
        <v>LT_DEBT_TO_TOT_ASSET</v>
      </c>
      <c r="E168" t="str">
        <f>IFERROR(IF(0=LEN(ReferenceData!$E$168),"",ReferenceData!$E$168),"")</f>
        <v>动态</v>
      </c>
      <c r="F168" t="str">
        <f ca="1">IFERROR(IF(0=LEN(ReferenceData!$F$168),"",ReferenceData!$F$168),"")</f>
        <v/>
      </c>
      <c r="G168">
        <f ca="1">IFERROR(IF(0=LEN(ReferenceData!$G$168),"",ReferenceData!$G$168),"")</f>
        <v>8.0191167760000006</v>
      </c>
      <c r="H168">
        <f ca="1">IFERROR(IF(0=LEN(ReferenceData!$H$168),"",ReferenceData!$H$168),"")</f>
        <v>8.1359459869999995</v>
      </c>
      <c r="I168">
        <f ca="1">IFERROR(IF(0=LEN(ReferenceData!$I$168),"",ReferenceData!$I$168),"")</f>
        <v>8.2528034140000006</v>
      </c>
      <c r="J168">
        <f ca="1">IFERROR(IF(0=LEN(ReferenceData!$J$168),"",ReferenceData!$J$168),"")</f>
        <v>14.1346284</v>
      </c>
      <c r="K168">
        <f ca="1">IFERROR(IF(0=LEN(ReferenceData!$K$168),"",ReferenceData!$K$168),"")</f>
        <v>14.37028632</v>
      </c>
      <c r="L168">
        <f ca="1">IFERROR(IF(0=LEN(ReferenceData!$L$168),"",ReferenceData!$L$168),"")</f>
        <v>14.64422781</v>
      </c>
      <c r="M168">
        <f ca="1">IFERROR(IF(0=LEN(ReferenceData!$M$168),"",ReferenceData!$M$168),"")</f>
        <v>14.457121669999999</v>
      </c>
      <c r="N168">
        <f ca="1">IFERROR(IF(0=LEN(ReferenceData!$N$168),"",ReferenceData!$N$168),"")</f>
        <v>15.582146509999999</v>
      </c>
      <c r="O168">
        <f ca="1">IFERROR(IF(0=LEN(ReferenceData!$O$168),"",ReferenceData!$O$168),"")</f>
        <v>15.42275684</v>
      </c>
      <c r="P168">
        <f ca="1">IFERROR(IF(0=LEN(ReferenceData!$P$168),"",ReferenceData!$P$168),"")</f>
        <v>16.318867999999998</v>
      </c>
      <c r="Q168">
        <f ca="1">IFERROR(IF(0=LEN(ReferenceData!$Q$168),"",ReferenceData!$Q$168),"")</f>
        <v>17.88733981</v>
      </c>
      <c r="R168">
        <f ca="1">IFERROR(IF(0=LEN(ReferenceData!$R$168),"",ReferenceData!$R$168),"")</f>
        <v>21.635984520000001</v>
      </c>
      <c r="S168">
        <f ca="1">IFERROR(IF(0=LEN(ReferenceData!$S$168),"",ReferenceData!$S$168),"")</f>
        <v>21.77229341</v>
      </c>
      <c r="T168">
        <f ca="1">IFERROR(IF(0=LEN(ReferenceData!$T$168),"",ReferenceData!$T$168),"")</f>
        <v>22.331271650000001</v>
      </c>
      <c r="U168">
        <f ca="1">IFERROR(IF(0=LEN(ReferenceData!$U$168),"",ReferenceData!$U$168),"")</f>
        <v>22.73453276</v>
      </c>
      <c r="V168">
        <f ca="1">IFERROR(IF(0=LEN(ReferenceData!$V$168),"",ReferenceData!$V$168),"")</f>
        <v>22.715650029999999</v>
      </c>
      <c r="W168">
        <f ca="1">IFERROR(IF(0=LEN(ReferenceData!$W$168),"",ReferenceData!$W$168),"")</f>
        <v>23.092438529999999</v>
      </c>
      <c r="X168">
        <f ca="1">IFERROR(IF(0=LEN(ReferenceData!$X$168),"",ReferenceData!$X$168),"")</f>
        <v>25.436868820000001</v>
      </c>
      <c r="Y168">
        <f ca="1">IFERROR(IF(0=LEN(ReferenceData!$Y$168),"",ReferenceData!$Y$168),"")</f>
        <v>25.8159113</v>
      </c>
      <c r="Z168">
        <f ca="1">IFERROR(IF(0=LEN(ReferenceData!$Z$168),"",ReferenceData!$Z$168),"")</f>
        <v>26.879766629999999</v>
      </c>
      <c r="AA168">
        <f ca="1">IFERROR(IF(0=LEN(ReferenceData!$AA$168),"",ReferenceData!$AA$168),"")</f>
        <v>17.071878890000001</v>
      </c>
      <c r="AB168">
        <f ca="1">IFERROR(IF(0=LEN(ReferenceData!$AB$168),"",ReferenceData!$AB$168),"")</f>
        <v>21.284026900000001</v>
      </c>
      <c r="AC168">
        <f ca="1">IFERROR(IF(0=LEN(ReferenceData!$AC$168),"",ReferenceData!$AC$168),"")</f>
        <v>22.733069069999999</v>
      </c>
      <c r="AD168">
        <f ca="1">IFERROR(IF(0=LEN(ReferenceData!$AD$168),"",ReferenceData!$AD$168),"")</f>
        <v>23.424004119999999</v>
      </c>
      <c r="AE168">
        <f ca="1">IFERROR(IF(0=LEN(ReferenceData!$AE$168),"",ReferenceData!$AE$168),"")</f>
        <v>23.224421419999999</v>
      </c>
      <c r="AF168">
        <f ca="1">IFERROR(IF(0=LEN(ReferenceData!$AF$168),"",ReferenceData!$AF$168),"")</f>
        <v>25.39693853</v>
      </c>
      <c r="AG168">
        <f ca="1">IFERROR(IF(0=LEN(ReferenceData!$AG$168),"",ReferenceData!$AG$168),"")</f>
        <v>27.278728180000002</v>
      </c>
      <c r="AH168">
        <f ca="1">IFERROR(IF(0=LEN(ReferenceData!$AH$168),"",ReferenceData!$AH$168),"")</f>
        <v>28.133265130000002</v>
      </c>
      <c r="AI168">
        <f ca="1">IFERROR(IF(0=LEN(ReferenceData!$AI$168),"",ReferenceData!$AI$168),"")</f>
        <v>27.526015510000001</v>
      </c>
      <c r="AJ168">
        <f ca="1">IFERROR(IF(0=LEN(ReferenceData!$AJ$168),"",ReferenceData!$AJ$168),"")</f>
        <v>29.80570994</v>
      </c>
      <c r="AK168">
        <f ca="1">IFERROR(IF(0=LEN(ReferenceData!$AK$168),"",ReferenceData!$AK$168),"")</f>
        <v>29.707454169999998</v>
      </c>
      <c r="AL168">
        <f ca="1">IFERROR(IF(0=LEN(ReferenceData!$AL$168),"",ReferenceData!$AL$168),"")</f>
        <v>30.50528933</v>
      </c>
      <c r="AM168">
        <f ca="1">IFERROR(IF(0=LEN(ReferenceData!$AM$168),"",ReferenceData!$AM$168),"")</f>
        <v>31.066850550000002</v>
      </c>
      <c r="AN168">
        <f ca="1">IFERROR(IF(0=LEN(ReferenceData!$AN$168),"",ReferenceData!$AN$168),"")</f>
        <v>29.605231029999999</v>
      </c>
      <c r="AO168">
        <f ca="1">IFERROR(IF(0=LEN(ReferenceData!$AO$168),"",ReferenceData!$AO$168),"")</f>
        <v>31.082640049999998</v>
      </c>
      <c r="AP168">
        <f ca="1">IFERROR(IF(0=LEN(ReferenceData!$AP$168),"",ReferenceData!$AP$168),"")</f>
        <v>21.1895551</v>
      </c>
      <c r="AQ168">
        <f ca="1">IFERROR(IF(0=LEN(ReferenceData!$AQ$168),"",ReferenceData!$AQ$168),"")</f>
        <v>21.294700720000002</v>
      </c>
      <c r="AR168">
        <f ca="1">IFERROR(IF(0=LEN(ReferenceData!$AR$168),"",ReferenceData!$AR$168),"")</f>
        <v>19.523361149999999</v>
      </c>
      <c r="AS168">
        <f ca="1">IFERROR(IF(0=LEN(ReferenceData!$AS$168),"",ReferenceData!$AS$168),"")</f>
        <v>18.206526759999999</v>
      </c>
      <c r="AT168">
        <f ca="1">IFERROR(IF(0=LEN(ReferenceData!$AT$168),"",ReferenceData!$AT$168),"")</f>
        <v>14.55682593</v>
      </c>
      <c r="AU168">
        <f ca="1">IFERROR(IF(0=LEN(ReferenceData!$AU$168),"",ReferenceData!$AU$168),"")</f>
        <v>11.87864471</v>
      </c>
      <c r="AV168">
        <f ca="1">IFERROR(IF(0=LEN(ReferenceData!$AV$168),"",ReferenceData!$AV$168),"")</f>
        <v>12.153453669999999</v>
      </c>
      <c r="AW168">
        <f ca="1">IFERROR(IF(0=LEN(ReferenceData!$AW$168),"",ReferenceData!$AW$168),"")</f>
        <v>11.63700306</v>
      </c>
      <c r="AX168">
        <f ca="1">IFERROR(IF(0=LEN(ReferenceData!$AX$168),"",ReferenceData!$AX$168),"")</f>
        <v>10.19174978</v>
      </c>
      <c r="AY168">
        <f ca="1">IFERROR(IF(0=LEN(ReferenceData!$AY$168),"",ReferenceData!$AY$168),"")</f>
        <v>11.085735209999999</v>
      </c>
      <c r="AZ168">
        <f ca="1">IFERROR(IF(0=LEN(ReferenceData!$AZ$168),"",ReferenceData!$AZ$168),"")</f>
        <v>8.7105677010000004</v>
      </c>
      <c r="BA168">
        <f ca="1">IFERROR(IF(0=LEN(ReferenceData!$BA$168),"",ReferenceData!$BA$168),"")</f>
        <v>10.030213720000001</v>
      </c>
      <c r="BB168">
        <f ca="1">IFERROR(IF(0=LEN(ReferenceData!$BB$168),"",ReferenceData!$BB$168),"")</f>
        <v>9.5597366990000001</v>
      </c>
      <c r="BC168">
        <f ca="1">IFERROR(IF(0=LEN(ReferenceData!$BC$168),"",ReferenceData!$BC$168),"")</f>
        <v>9.498089083</v>
      </c>
      <c r="BD168">
        <f ca="1">IFERROR(IF(0=LEN(ReferenceData!$BD$168),"",ReferenceData!$BD$168),"")</f>
        <v>9.3003235279999998</v>
      </c>
      <c r="BE168">
        <f ca="1">IFERROR(IF(0=LEN(ReferenceData!$BE$168),"",ReferenceData!$BE$168),"")</f>
        <v>9.2693304370000007</v>
      </c>
      <c r="BF168">
        <f ca="1">IFERROR(IF(0=LEN(ReferenceData!$BF$168),"",ReferenceData!$BF$168),"")</f>
        <v>9.1261293329999997</v>
      </c>
      <c r="BG168">
        <f ca="1">IFERROR(IF(0=LEN(ReferenceData!$BG$168),"",ReferenceData!$BG$168),"")</f>
        <v>9.6414483919999991</v>
      </c>
      <c r="BH168">
        <f ca="1">IFERROR(IF(0=LEN(ReferenceData!$BH$168),"",ReferenceData!$BH$168),"")</f>
        <v>9.3189946589999995</v>
      </c>
      <c r="BI168">
        <f ca="1">IFERROR(IF(0=LEN(ReferenceData!$BI$168),"",ReferenceData!$BI$168),"")</f>
        <v>9.0271479790000004</v>
      </c>
      <c r="BJ168">
        <f ca="1">IFERROR(IF(0=LEN(ReferenceData!$BJ$168),"",ReferenceData!$BJ$168),"")</f>
        <v>8.8790268099999992</v>
      </c>
      <c r="BK168">
        <f ca="1">IFERROR(IF(0=LEN(ReferenceData!$BK$168),"",ReferenceData!$BK$168),"")</f>
        <v>9.1949377979999998</v>
      </c>
      <c r="BL168">
        <f ca="1">IFERROR(IF(0=LEN(ReferenceData!$BL$168),"",ReferenceData!$BL$168),"")</f>
        <v>9.1179500690000008</v>
      </c>
      <c r="BM168">
        <f ca="1">IFERROR(IF(0=LEN(ReferenceData!$BM$168),"",ReferenceData!$BM$168),"")</f>
        <v>9.4479484879999998</v>
      </c>
    </row>
    <row r="169" spans="1:65">
      <c r="A169" t="str">
        <f>IFERROR(IF(0=LEN(ReferenceData!$A$169),"",ReferenceData!$A$169),"")</f>
        <v xml:space="preserve">    Camden Property Trust</v>
      </c>
      <c r="B169" t="str">
        <f>IFERROR(IF(0=LEN(ReferenceData!$B$169),"",ReferenceData!$B$169),"")</f>
        <v>CPT US Equity</v>
      </c>
      <c r="C169" t="str">
        <f>IFERROR(IF(0=LEN(ReferenceData!$C$169),"",ReferenceData!$C$169),"")</f>
        <v>RR147</v>
      </c>
      <c r="D169" t="str">
        <f>IFERROR(IF(0=LEN(ReferenceData!$D$169),"",ReferenceData!$D$169),"")</f>
        <v>LT_DEBT_TO_TOT_ASSET</v>
      </c>
      <c r="E169" t="str">
        <f>IFERROR(IF(0=LEN(ReferenceData!$E$169),"",ReferenceData!$E$169),"")</f>
        <v>动态</v>
      </c>
      <c r="F169" t="str">
        <f ca="1">IFERROR(IF(0=LEN(ReferenceData!$F$169),"",ReferenceData!$F$169),"")</f>
        <v/>
      </c>
      <c r="G169">
        <f ca="1">IFERROR(IF(0=LEN(ReferenceData!$G$169),"",ReferenceData!$G$169),"")</f>
        <v>14.02664961</v>
      </c>
      <c r="H169">
        <f ca="1">IFERROR(IF(0=LEN(ReferenceData!$H$169),"",ReferenceData!$H$169),"")</f>
        <v>14.04034272</v>
      </c>
      <c r="I169">
        <f ca="1">IFERROR(IF(0=LEN(ReferenceData!$I$169),"",ReferenceData!$I$169),"")</f>
        <v>14.93967509</v>
      </c>
      <c r="J169">
        <f ca="1">IFERROR(IF(0=LEN(ReferenceData!$J$169),"",ReferenceData!$J$169),"")</f>
        <v>14.598576059999999</v>
      </c>
      <c r="K169">
        <f ca="1">IFERROR(IF(0=LEN(ReferenceData!$K$169),"",ReferenceData!$K$169),"")</f>
        <v>14.886021449999999</v>
      </c>
      <c r="L169">
        <f ca="1">IFERROR(IF(0=LEN(ReferenceData!$L$169),"",ReferenceData!$L$169),"")</f>
        <v>14.74917625</v>
      </c>
      <c r="M169">
        <f ca="1">IFERROR(IF(0=LEN(ReferenceData!$M$169),"",ReferenceData!$M$169),"")</f>
        <v>14.496391149999999</v>
      </c>
      <c r="N169">
        <f ca="1">IFERROR(IF(0=LEN(ReferenceData!$N$169),"",ReferenceData!$N$169),"")</f>
        <v>14.888199650000001</v>
      </c>
      <c r="O169">
        <f ca="1">IFERROR(IF(0=LEN(ReferenceData!$O$169),"",ReferenceData!$O$169),"")</f>
        <v>14.902531</v>
      </c>
      <c r="P169">
        <f ca="1">IFERROR(IF(0=LEN(ReferenceData!$P$169),"",ReferenceData!$P$169),"")</f>
        <v>14.97323119</v>
      </c>
      <c r="Q169">
        <f ca="1">IFERROR(IF(0=LEN(ReferenceData!$Q$169),"",ReferenceData!$Q$169),"")</f>
        <v>15.068004630000001</v>
      </c>
      <c r="R169">
        <f ca="1">IFERROR(IF(0=LEN(ReferenceData!$R$169),"",ReferenceData!$R$169),"")</f>
        <v>14.890656809999999</v>
      </c>
      <c r="S169">
        <f ca="1">IFERROR(IF(0=LEN(ReferenceData!$S$169),"",ReferenceData!$S$169),"")</f>
        <v>14.926056190000001</v>
      </c>
      <c r="T169">
        <f ca="1">IFERROR(IF(0=LEN(ReferenceData!$T$169),"",ReferenceData!$T$169),"")</f>
        <v>15.33037347</v>
      </c>
      <c r="U169">
        <f ca="1">IFERROR(IF(0=LEN(ReferenceData!$U$169),"",ReferenceData!$U$169),"")</f>
        <v>16.078373939999999</v>
      </c>
      <c r="V169">
        <f ca="1">IFERROR(IF(0=LEN(ReferenceData!$V$169),"",ReferenceData!$V$169),"")</f>
        <v>16.565246720000001</v>
      </c>
      <c r="W169">
        <f ca="1">IFERROR(IF(0=LEN(ReferenceData!$W$169),"",ReferenceData!$W$169),"")</f>
        <v>16.724865380000001</v>
      </c>
      <c r="X169">
        <f ca="1">IFERROR(IF(0=LEN(ReferenceData!$X$169),"",ReferenceData!$X$169),"")</f>
        <v>16.570093780000001</v>
      </c>
      <c r="Y169">
        <f ca="1">IFERROR(IF(0=LEN(ReferenceData!$Y$169),"",ReferenceData!$Y$169),"")</f>
        <v>17.208193090000002</v>
      </c>
      <c r="Z169">
        <f ca="1">IFERROR(IF(0=LEN(ReferenceData!$Z$169),"",ReferenceData!$Z$169),"")</f>
        <v>17.5582256</v>
      </c>
      <c r="AA169">
        <f ca="1">IFERROR(IF(0=LEN(ReferenceData!$AA$169),"",ReferenceData!$AA$169),"")</f>
        <v>18.05431656</v>
      </c>
      <c r="AB169">
        <f ca="1">IFERROR(IF(0=LEN(ReferenceData!$AB$169),"",ReferenceData!$AB$169),"")</f>
        <v>18.750067080000001</v>
      </c>
      <c r="AC169">
        <f ca="1">IFERROR(IF(0=LEN(ReferenceData!$AC$169),"",ReferenceData!$AC$169),"")</f>
        <v>19.85809888</v>
      </c>
      <c r="AD169">
        <f ca="1">IFERROR(IF(0=LEN(ReferenceData!$AD$169),"",ReferenceData!$AD$169),"")</f>
        <v>20.986228059999998</v>
      </c>
      <c r="AE169">
        <f ca="1">IFERROR(IF(0=LEN(ReferenceData!$AE$169),"",ReferenceData!$AE$169),"")</f>
        <v>22.746428819999998</v>
      </c>
      <c r="AF169">
        <f ca="1">IFERROR(IF(0=LEN(ReferenceData!$AF$169),"",ReferenceData!$AF$169),"")</f>
        <v>22.90841327</v>
      </c>
      <c r="AG169">
        <f ca="1">IFERROR(IF(0=LEN(ReferenceData!$AG$169),"",ReferenceData!$AG$169),"")</f>
        <v>23.112203640000001</v>
      </c>
      <c r="AH169">
        <f ca="1">IFERROR(IF(0=LEN(ReferenceData!$AH$169),"",ReferenceData!$AH$169),"")</f>
        <v>23.014871620000001</v>
      </c>
      <c r="AI169">
        <f ca="1">IFERROR(IF(0=LEN(ReferenceData!$AI$169),"",ReferenceData!$AI$169),"")</f>
        <v>22.469278599999999</v>
      </c>
      <c r="AJ169">
        <f ca="1">IFERROR(IF(0=LEN(ReferenceData!$AJ$169),"",ReferenceData!$AJ$169),"")</f>
        <v>22.45308228</v>
      </c>
      <c r="AK169">
        <f ca="1">IFERROR(IF(0=LEN(ReferenceData!$AK$169),"",ReferenceData!$AK$169),"")</f>
        <v>21.367144140000001</v>
      </c>
      <c r="AL169">
        <f ca="1">IFERROR(IF(0=LEN(ReferenceData!$AL$169),"",ReferenceData!$AL$169),"")</f>
        <v>21.64783997</v>
      </c>
      <c r="AM169">
        <f ca="1">IFERROR(IF(0=LEN(ReferenceData!$AM$169),"",ReferenceData!$AM$169),"")</f>
        <v>21.251588810000001</v>
      </c>
      <c r="AN169">
        <f ca="1">IFERROR(IF(0=LEN(ReferenceData!$AN$169),"",ReferenceData!$AN$169),"")</f>
        <v>20.61746939</v>
      </c>
      <c r="AO169">
        <f ca="1">IFERROR(IF(0=LEN(ReferenceData!$AO$169),"",ReferenceData!$AO$169),"")</f>
        <v>20.21017441</v>
      </c>
      <c r="AP169">
        <f ca="1">IFERROR(IF(0=LEN(ReferenceData!$AP$169),"",ReferenceData!$AP$169),"")</f>
        <v>14.55882108</v>
      </c>
      <c r="AQ169">
        <f ca="1">IFERROR(IF(0=LEN(ReferenceData!$AQ$169),"",ReferenceData!$AQ$169),"")</f>
        <v>15.41556615</v>
      </c>
      <c r="AR169">
        <f ca="1">IFERROR(IF(0=LEN(ReferenceData!$AR$169),"",ReferenceData!$AR$169),"")</f>
        <v>15.047652749999999</v>
      </c>
      <c r="AS169">
        <f ca="1">IFERROR(IF(0=LEN(ReferenceData!$AS$169),"",ReferenceData!$AS$169),"")</f>
        <v>11.00378349</v>
      </c>
      <c r="AT169">
        <f ca="1">IFERROR(IF(0=LEN(ReferenceData!$AT$169),"",ReferenceData!$AT$169),"")</f>
        <v>11.44600823</v>
      </c>
      <c r="AU169">
        <f ca="1">IFERROR(IF(0=LEN(ReferenceData!$AU$169),"",ReferenceData!$AU$169),"")</f>
        <v>13.50916831</v>
      </c>
      <c r="AV169">
        <f ca="1">IFERROR(IF(0=LEN(ReferenceData!$AV$169),"",ReferenceData!$AV$169),"")</f>
        <v>13.516375460000001</v>
      </c>
      <c r="AW169">
        <f ca="1">IFERROR(IF(0=LEN(ReferenceData!$AW$169),"",ReferenceData!$AW$169),"")</f>
        <v>13.658617469999999</v>
      </c>
      <c r="AX169">
        <f ca="1">IFERROR(IF(0=LEN(ReferenceData!$AX$169),"",ReferenceData!$AX$169),"")</f>
        <v>14.245151590000001</v>
      </c>
      <c r="AY169">
        <f ca="1">IFERROR(IF(0=LEN(ReferenceData!$AY$169),"",ReferenceData!$AY$169),"")</f>
        <v>14.596504619999999</v>
      </c>
      <c r="AZ169">
        <f ca="1">IFERROR(IF(0=LEN(ReferenceData!$AZ$169),"",ReferenceData!$AZ$169),"")</f>
        <v>15.076194770000001</v>
      </c>
      <c r="BA169">
        <f ca="1">IFERROR(IF(0=LEN(ReferenceData!$BA$169),"",ReferenceData!$BA$169),"")</f>
        <v>15.25505055</v>
      </c>
      <c r="BB169">
        <f ca="1">IFERROR(IF(0=LEN(ReferenceData!$BB$169),"",ReferenceData!$BB$169),"")</f>
        <v>15.615242840000001</v>
      </c>
      <c r="BC169">
        <f ca="1">IFERROR(IF(0=LEN(ReferenceData!$BC$169),"",ReferenceData!$BC$169),"")</f>
        <v>13.94730468</v>
      </c>
      <c r="BD169">
        <f ca="1">IFERROR(IF(0=LEN(ReferenceData!$BD$169),"",ReferenceData!$BD$169),"")</f>
        <v>14.8101935</v>
      </c>
      <c r="BE169">
        <f ca="1">IFERROR(IF(0=LEN(ReferenceData!$BE$169),"",ReferenceData!$BE$169),"")</f>
        <v>15.144855870000001</v>
      </c>
      <c r="BF169">
        <f ca="1">IFERROR(IF(0=LEN(ReferenceData!$BF$169),"",ReferenceData!$BF$169),"")</f>
        <v>15.0338704</v>
      </c>
      <c r="BG169">
        <f ca="1">IFERROR(IF(0=LEN(ReferenceData!$BG$169),"",ReferenceData!$BG$169),"")</f>
        <v>6.4349021280000001</v>
      </c>
      <c r="BH169">
        <f ca="1">IFERROR(IF(0=LEN(ReferenceData!$BH$169),"",ReferenceData!$BH$169),"")</f>
        <v>6.4274108180000002</v>
      </c>
      <c r="BI169">
        <f ca="1">IFERROR(IF(0=LEN(ReferenceData!$BI$169),"",ReferenceData!$BI$169),"")</f>
        <v>8.6756545640000002</v>
      </c>
      <c r="BJ169">
        <f ca="1">IFERROR(IF(0=LEN(ReferenceData!$BJ$169),"",ReferenceData!$BJ$169),"")</f>
        <v>8.8122079160000002</v>
      </c>
      <c r="BK169">
        <f ca="1">IFERROR(IF(0=LEN(ReferenceData!$BK$169),"",ReferenceData!$BK$169),"")</f>
        <v>8.8285132599999994</v>
      </c>
      <c r="BL169">
        <f ca="1">IFERROR(IF(0=LEN(ReferenceData!$BL$169),"",ReferenceData!$BL$169),"")</f>
        <v>8.9334529640000007</v>
      </c>
      <c r="BM169">
        <f ca="1">IFERROR(IF(0=LEN(ReferenceData!$BM$169),"",ReferenceData!$BM$169),"")</f>
        <v>9.2112196480000001</v>
      </c>
    </row>
    <row r="170" spans="1:65">
      <c r="A170" t="str">
        <f>IFERROR(IF(0=LEN(ReferenceData!$A$170),"",ReferenceData!$A$170),"")</f>
        <v xml:space="preserve">    Education Realty Trust Inc</v>
      </c>
      <c r="B170" t="str">
        <f>IFERROR(IF(0=LEN(ReferenceData!$B$170),"",ReferenceData!$B$170),"")</f>
        <v>EDR US Equity</v>
      </c>
      <c r="C170" t="str">
        <f>IFERROR(IF(0=LEN(ReferenceData!$C$170),"",ReferenceData!$C$170),"")</f>
        <v>RR147</v>
      </c>
      <c r="D170" t="str">
        <f>IFERROR(IF(0=LEN(ReferenceData!$D$170),"",ReferenceData!$D$170),"")</f>
        <v>LT_DEBT_TO_TOT_ASSET</v>
      </c>
      <c r="E170" t="str">
        <f>IFERROR(IF(0=LEN(ReferenceData!$E$170),"",ReferenceData!$E$170),"")</f>
        <v>动态</v>
      </c>
      <c r="F170" t="str">
        <f ca="1">IFERROR(IF(0=LEN(ReferenceData!$F$170),"",ReferenceData!$F$170),"")</f>
        <v/>
      </c>
      <c r="G170">
        <f ca="1">IFERROR(IF(0=LEN(ReferenceData!$G$170),"",ReferenceData!$G$170),"")</f>
        <v>0</v>
      </c>
      <c r="H170">
        <f ca="1">IFERROR(IF(0=LEN(ReferenceData!$H$170),"",ReferenceData!$H$170),"")</f>
        <v>1.01747082</v>
      </c>
      <c r="I170">
        <f ca="1">IFERROR(IF(0=LEN(ReferenceData!$I$170),"",ReferenceData!$I$170),"")</f>
        <v>1.061420086</v>
      </c>
      <c r="J170">
        <f ca="1">IFERROR(IF(0=LEN(ReferenceData!$J$170),"",ReferenceData!$J$170),"")</f>
        <v>1.094767061</v>
      </c>
      <c r="K170">
        <f ca="1">IFERROR(IF(0=LEN(ReferenceData!$K$170),"",ReferenceData!$K$170),"")</f>
        <v>2.4946282900000001</v>
      </c>
      <c r="L170">
        <f ca="1">IFERROR(IF(0=LEN(ReferenceData!$L$170),"",ReferenceData!$L$170),"")</f>
        <v>2.4904925819999999</v>
      </c>
      <c r="M170">
        <f ca="1">IFERROR(IF(0=LEN(ReferenceData!$M$170),"",ReferenceData!$M$170),"")</f>
        <v>3.9882471810000002</v>
      </c>
      <c r="N170">
        <f ca="1">IFERROR(IF(0=LEN(ReferenceData!$N$170),"",ReferenceData!$N$170),"")</f>
        <v>5.3823328630000002</v>
      </c>
      <c r="O170">
        <f ca="1">IFERROR(IF(0=LEN(ReferenceData!$O$170),"",ReferenceData!$O$170),"")</f>
        <v>10.21619707</v>
      </c>
      <c r="P170">
        <f ca="1">IFERROR(IF(0=LEN(ReferenceData!$P$170),"",ReferenceData!$P$170),"")</f>
        <v>11.7934784</v>
      </c>
      <c r="Q170">
        <f ca="1">IFERROR(IF(0=LEN(ReferenceData!$Q$170),"",ReferenceData!$Q$170),"")</f>
        <v>11.8930641</v>
      </c>
      <c r="R170">
        <f ca="1">IFERROR(IF(0=LEN(ReferenceData!$R$170),"",ReferenceData!$R$170),"")</f>
        <v>12.470637139999999</v>
      </c>
      <c r="S170">
        <f ca="1">IFERROR(IF(0=LEN(ReferenceData!$S$170),"",ReferenceData!$S$170),"")</f>
        <v>13.779636869999999</v>
      </c>
      <c r="T170">
        <f ca="1">IFERROR(IF(0=LEN(ReferenceData!$T$170),"",ReferenceData!$T$170),"")</f>
        <v>18.540088170000001</v>
      </c>
      <c r="U170">
        <f ca="1">IFERROR(IF(0=LEN(ReferenceData!$U$170),"",ReferenceData!$U$170),"")</f>
        <v>21.678440040000002</v>
      </c>
      <c r="V170">
        <f ca="1">IFERROR(IF(0=LEN(ReferenceData!$V$170),"",ReferenceData!$V$170),"")</f>
        <v>23.910680129999999</v>
      </c>
      <c r="W170">
        <f ca="1">IFERROR(IF(0=LEN(ReferenceData!$W$170),"",ReferenceData!$W$170),"")</f>
        <v>26.24426832</v>
      </c>
      <c r="X170">
        <f ca="1">IFERROR(IF(0=LEN(ReferenceData!$X$170),"",ReferenceData!$X$170),"")</f>
        <v>28.145500269999999</v>
      </c>
      <c r="Y170">
        <f ca="1">IFERROR(IF(0=LEN(ReferenceData!$Y$170),"",ReferenceData!$Y$170),"")</f>
        <v>31.229555090000002</v>
      </c>
      <c r="Z170">
        <f ca="1">IFERROR(IF(0=LEN(ReferenceData!$Z$170),"",ReferenceData!$Z$170),"")</f>
        <v>30.999802500000001</v>
      </c>
      <c r="AA170">
        <f ca="1">IFERROR(IF(0=LEN(ReferenceData!$AA$170),"",ReferenceData!$AA$170),"")</f>
        <v>30.108697379999999</v>
      </c>
      <c r="AB170">
        <f ca="1">IFERROR(IF(0=LEN(ReferenceData!$AB$170),"",ReferenceData!$AB$170),"")</f>
        <v>27.569445219999999</v>
      </c>
      <c r="AC170">
        <f ca="1">IFERROR(IF(0=LEN(ReferenceData!$AC$170),"",ReferenceData!$AC$170),"")</f>
        <v>31.050451599999999</v>
      </c>
      <c r="AD170">
        <f ca="1">IFERROR(IF(0=LEN(ReferenceData!$AD$170),"",ReferenceData!$AD$170),"")</f>
        <v>34.360920180000001</v>
      </c>
      <c r="AE170">
        <f ca="1">IFERROR(IF(0=LEN(ReferenceData!$AE$170),"",ReferenceData!$AE$170),"")</f>
        <v>36.664011070000001</v>
      </c>
      <c r="AF170">
        <f ca="1">IFERROR(IF(0=LEN(ReferenceData!$AF$170),"",ReferenceData!$AF$170),"")</f>
        <v>40.674649070000001</v>
      </c>
      <c r="AG170">
        <f ca="1">IFERROR(IF(0=LEN(ReferenceData!$AG$170),"",ReferenceData!$AG$170),"")</f>
        <v>42.12896233</v>
      </c>
      <c r="AH170">
        <f ca="1">IFERROR(IF(0=LEN(ReferenceData!$AH$170),"",ReferenceData!$AH$170),"")</f>
        <v>42.27493793</v>
      </c>
      <c r="AI170">
        <f ca="1">IFERROR(IF(0=LEN(ReferenceData!$AI$170),"",ReferenceData!$AI$170),"")</f>
        <v>49.903757400000003</v>
      </c>
      <c r="AJ170">
        <f ca="1">IFERROR(IF(0=LEN(ReferenceData!$AJ$170),"",ReferenceData!$AJ$170),"")</f>
        <v>51.715326480000002</v>
      </c>
      <c r="AK170">
        <f ca="1">IFERROR(IF(0=LEN(ReferenceData!$AK$170),"",ReferenceData!$AK$170),"")</f>
        <v>50.469689209999999</v>
      </c>
      <c r="AL170">
        <f ca="1">IFERROR(IF(0=LEN(ReferenceData!$AL$170),"",ReferenceData!$AL$170),"")</f>
        <v>50.680174710000003</v>
      </c>
      <c r="AM170">
        <f ca="1">IFERROR(IF(0=LEN(ReferenceData!$AM$170),"",ReferenceData!$AM$170),"")</f>
        <v>50.504403979999999</v>
      </c>
      <c r="AN170">
        <f ca="1">IFERROR(IF(0=LEN(ReferenceData!$AN$170),"",ReferenceData!$AN$170),"")</f>
        <v>52.860248540000001</v>
      </c>
      <c r="AO170">
        <f ca="1">IFERROR(IF(0=LEN(ReferenceData!$AO$170),"",ReferenceData!$AO$170),"")</f>
        <v>57.575331560000002</v>
      </c>
      <c r="AP170">
        <f ca="1">IFERROR(IF(0=LEN(ReferenceData!$AP$170),"",ReferenceData!$AP$170),"")</f>
        <v>57.204903199999997</v>
      </c>
      <c r="AQ170">
        <f ca="1">IFERROR(IF(0=LEN(ReferenceData!$AQ$170),"",ReferenceData!$AQ$170),"")</f>
        <v>56.871433949999997</v>
      </c>
      <c r="AR170">
        <f ca="1">IFERROR(IF(0=LEN(ReferenceData!$AR$170),"",ReferenceData!$AR$170),"")</f>
        <v>55.771745770000003</v>
      </c>
      <c r="AS170">
        <f ca="1">IFERROR(IF(0=LEN(ReferenceData!$AS$170),"",ReferenceData!$AS$170),"")</f>
        <v>53.970333140000001</v>
      </c>
      <c r="AT170">
        <f ca="1">IFERROR(IF(0=LEN(ReferenceData!$AT$170),"",ReferenceData!$AT$170),"")</f>
        <v>52.15981472</v>
      </c>
      <c r="AU170">
        <f ca="1">IFERROR(IF(0=LEN(ReferenceData!$AU$170),"",ReferenceData!$AU$170),"")</f>
        <v>54.848461159999999</v>
      </c>
      <c r="AV170">
        <f ca="1">IFERROR(IF(0=LEN(ReferenceData!$AV$170),"",ReferenceData!$AV$170),"")</f>
        <v>48.280654310000003</v>
      </c>
      <c r="AW170">
        <f ca="1">IFERROR(IF(0=LEN(ReferenceData!$AW$170),"",ReferenceData!$AW$170),"")</f>
        <v>54.639317699999999</v>
      </c>
      <c r="AX170">
        <f ca="1">IFERROR(IF(0=LEN(ReferenceData!$AX$170),"",ReferenceData!$AX$170),"")</f>
        <v>50.95274629</v>
      </c>
      <c r="AY170">
        <f ca="1">IFERROR(IF(0=LEN(ReferenceData!$AY$170),"",ReferenceData!$AY$170),"")</f>
        <v>56.368243530000001</v>
      </c>
      <c r="AZ170">
        <f ca="1">IFERROR(IF(0=LEN(ReferenceData!$AZ$170),"",ReferenceData!$AZ$170),"")</f>
        <v>50.49823628</v>
      </c>
      <c r="BA170">
        <f ca="1">IFERROR(IF(0=LEN(ReferenceData!$BA$170),"",ReferenceData!$BA$170),"")</f>
        <v>56.14260033</v>
      </c>
      <c r="BB170">
        <f ca="1">IFERROR(IF(0=LEN(ReferenceData!$BB$170),"",ReferenceData!$BB$170),"")</f>
        <v>50.680397820000003</v>
      </c>
      <c r="BC170">
        <f ca="1">IFERROR(IF(0=LEN(ReferenceData!$BC$170),"",ReferenceData!$BC$170),"")</f>
        <v>46.635248400000002</v>
      </c>
      <c r="BD170">
        <f ca="1">IFERROR(IF(0=LEN(ReferenceData!$BD$170),"",ReferenceData!$BD$170),"")</f>
        <v>45.5960489</v>
      </c>
      <c r="BE170">
        <f ca="1">IFERROR(IF(0=LEN(ReferenceData!$BE$170),"",ReferenceData!$BE$170),"")</f>
        <v>49.903773010000002</v>
      </c>
      <c r="BF170">
        <f ca="1">IFERROR(IF(0=LEN(ReferenceData!$BF$170),"",ReferenceData!$BF$170),"")</f>
        <v>46.541764000000001</v>
      </c>
      <c r="BG170" t="str">
        <f ca="1">IFERROR(IF(0=LEN(ReferenceData!$BG$170),"",ReferenceData!$BG$170),"")</f>
        <v/>
      </c>
      <c r="BH170" t="str">
        <f ca="1">IFERROR(IF(0=LEN(ReferenceData!$BH$170),"",ReferenceData!$BH$170),"")</f>
        <v/>
      </c>
      <c r="BI170" t="str">
        <f ca="1">IFERROR(IF(0=LEN(ReferenceData!$BI$170),"",ReferenceData!$BI$170),"")</f>
        <v/>
      </c>
      <c r="BJ170" t="str">
        <f ca="1">IFERROR(IF(0=LEN(ReferenceData!$BJ$170),"",ReferenceData!$BJ$170),"")</f>
        <v/>
      </c>
      <c r="BK170" t="str">
        <f ca="1">IFERROR(IF(0=LEN(ReferenceData!$BK$170),"",ReferenceData!$BK$170),"")</f>
        <v/>
      </c>
      <c r="BL170" t="str">
        <f ca="1">IFERROR(IF(0=LEN(ReferenceData!$BL$170),"",ReferenceData!$BL$170),"")</f>
        <v/>
      </c>
      <c r="BM170" t="str">
        <f ca="1">IFERROR(IF(0=LEN(ReferenceData!$BM$170),"",ReferenceData!$BM$170),"")</f>
        <v/>
      </c>
    </row>
    <row r="171" spans="1:65">
      <c r="A171" t="str">
        <f>IFERROR(IF(0=LEN(ReferenceData!$A$171),"",ReferenceData!$A$171),"")</f>
        <v xml:space="preserve">    Equity Residential</v>
      </c>
      <c r="B171" t="str">
        <f>IFERROR(IF(0=LEN(ReferenceData!$B$171),"",ReferenceData!$B$171),"")</f>
        <v>EQR US Equity</v>
      </c>
      <c r="C171" t="str">
        <f>IFERROR(IF(0=LEN(ReferenceData!$C$171),"",ReferenceData!$C$171),"")</f>
        <v>RR147</v>
      </c>
      <c r="D171" t="str">
        <f>IFERROR(IF(0=LEN(ReferenceData!$D$171),"",ReferenceData!$D$171),"")</f>
        <v>LT_DEBT_TO_TOT_ASSET</v>
      </c>
      <c r="E171" t="str">
        <f>IFERROR(IF(0=LEN(ReferenceData!$E$171),"",ReferenceData!$E$171),"")</f>
        <v>动态</v>
      </c>
      <c r="F171" t="str">
        <f ca="1">IFERROR(IF(0=LEN(ReferenceData!$F$171),"",ReferenceData!$F$171),"")</f>
        <v/>
      </c>
      <c r="G171">
        <f ca="1">IFERROR(IF(0=LEN(ReferenceData!$G$171),"",ReferenceData!$G$171),"")</f>
        <v>17.591719130000001</v>
      </c>
      <c r="H171">
        <f ca="1">IFERROR(IF(0=LEN(ReferenceData!$H$171),"",ReferenceData!$H$171),"")</f>
        <v>17.48579187</v>
      </c>
      <c r="I171">
        <f ca="1">IFERROR(IF(0=LEN(ReferenceData!$I$171),"",ReferenceData!$I$171),"")</f>
        <v>18.139458699999999</v>
      </c>
      <c r="J171">
        <f ca="1">IFERROR(IF(0=LEN(ReferenceData!$J$171),"",ReferenceData!$J$171),"")</f>
        <v>18.27785433</v>
      </c>
      <c r="K171">
        <f ca="1">IFERROR(IF(0=LEN(ReferenceData!$K$171),"",ReferenceData!$K$171),"")</f>
        <v>19.895438339999998</v>
      </c>
      <c r="L171">
        <f ca="1">IFERROR(IF(0=LEN(ReferenceData!$L$171),"",ReferenceData!$L$171),"")</f>
        <v>19.430701200000001</v>
      </c>
      <c r="M171">
        <f ca="1">IFERROR(IF(0=LEN(ReferenceData!$M$171),"",ReferenceData!$M$171),"")</f>
        <v>19.538456149999998</v>
      </c>
      <c r="N171">
        <f ca="1">IFERROR(IF(0=LEN(ReferenceData!$N$171),"",ReferenceData!$N$171),"")</f>
        <v>19.828285529999999</v>
      </c>
      <c r="O171">
        <f ca="1">IFERROR(IF(0=LEN(ReferenceData!$O$171),"",ReferenceData!$O$171),"")</f>
        <v>20.273017159999998</v>
      </c>
      <c r="P171">
        <f ca="1">IFERROR(IF(0=LEN(ReferenceData!$P$171),"",ReferenceData!$P$171),"")</f>
        <v>21.259379670000001</v>
      </c>
      <c r="Q171">
        <f ca="1">IFERROR(IF(0=LEN(ReferenceData!$Q$171),"",ReferenceData!$Q$171),"")</f>
        <v>21.456613279999999</v>
      </c>
      <c r="R171">
        <f ca="1">IFERROR(IF(0=LEN(ReferenceData!$R$171),"",ReferenceData!$R$171),"")</f>
        <v>21.528792679999999</v>
      </c>
      <c r="S171">
        <f ca="1">IFERROR(IF(0=LEN(ReferenceData!$S$171),"",ReferenceData!$S$171),"")</f>
        <v>22.162871110000001</v>
      </c>
      <c r="T171">
        <f ca="1">IFERROR(IF(0=LEN(ReferenceData!$T$171),"",ReferenceData!$T$171),"")</f>
        <v>22.126821979999999</v>
      </c>
      <c r="U171">
        <f ca="1">IFERROR(IF(0=LEN(ReferenceData!$U$171),"",ReferenceData!$U$171),"")</f>
        <v>22.43486935</v>
      </c>
      <c r="V171">
        <f ca="1">IFERROR(IF(0=LEN(ReferenceData!$V$171),"",ReferenceData!$V$171),"")</f>
        <v>22.576274819999998</v>
      </c>
      <c r="W171">
        <f ca="1">IFERROR(IF(0=LEN(ReferenceData!$W$171),"",ReferenceData!$W$171),"")</f>
        <v>22.659378589999999</v>
      </c>
      <c r="X171">
        <f ca="1">IFERROR(IF(0=LEN(ReferenceData!$X$171),"",ReferenceData!$X$171),"")</f>
        <v>26.166738989999999</v>
      </c>
      <c r="Y171">
        <f ca="1">IFERROR(IF(0=LEN(ReferenceData!$Y$171),"",ReferenceData!$Y$171),"")</f>
        <v>26.605528069999998</v>
      </c>
      <c r="Z171">
        <f ca="1">IFERROR(IF(0=LEN(ReferenceData!$Z$171),"",ReferenceData!$Z$171),"")</f>
        <v>26.81395938</v>
      </c>
      <c r="AA171">
        <f ca="1">IFERROR(IF(0=LEN(ReferenceData!$AA$171),"",ReferenceData!$AA$171),"")</f>
        <v>22.66361839</v>
      </c>
      <c r="AB171">
        <f ca="1">IFERROR(IF(0=LEN(ReferenceData!$AB$171),"",ReferenceData!$AB$171),"")</f>
        <v>23.686020589999998</v>
      </c>
      <c r="AC171">
        <f ca="1">IFERROR(IF(0=LEN(ReferenceData!$AC$171),"",ReferenceData!$AC$171),"")</f>
        <v>23.95834206</v>
      </c>
      <c r="AD171">
        <f ca="1">IFERROR(IF(0=LEN(ReferenceData!$AD$171),"",ReferenceData!$AD$171),"")</f>
        <v>24.61571021</v>
      </c>
      <c r="AE171">
        <f ca="1">IFERROR(IF(0=LEN(ReferenceData!$AE$171),"",ReferenceData!$AE$171),"")</f>
        <v>24.679826039999998</v>
      </c>
      <c r="AF171">
        <f ca="1">IFERROR(IF(0=LEN(ReferenceData!$AF$171),"",ReferenceData!$AF$171),"")</f>
        <v>26.25433804</v>
      </c>
      <c r="AG171">
        <f ca="1">IFERROR(IF(0=LEN(ReferenceData!$AG$171),"",ReferenceData!$AG$171),"")</f>
        <v>26.541893030000001</v>
      </c>
      <c r="AH171">
        <f ca="1">IFERROR(IF(0=LEN(ReferenceData!$AH$171),"",ReferenceData!$AH$171),"")</f>
        <v>28.512915660000001</v>
      </c>
      <c r="AI171">
        <f ca="1">IFERROR(IF(0=LEN(ReferenceData!$AI$171),"",ReferenceData!$AI$171),"")</f>
        <v>29.429306149999999</v>
      </c>
      <c r="AJ171">
        <f ca="1">IFERROR(IF(0=LEN(ReferenceData!$AJ$171),"",ReferenceData!$AJ$171),"")</f>
        <v>30.119323080000001</v>
      </c>
      <c r="AK171">
        <f ca="1">IFERROR(IF(0=LEN(ReferenceData!$AK$171),"",ReferenceData!$AK$171),"")</f>
        <v>30.428916690000001</v>
      </c>
      <c r="AL171">
        <f ca="1">IFERROR(IF(0=LEN(ReferenceData!$AL$171),"",ReferenceData!$AL$171),"")</f>
        <v>31.0943909</v>
      </c>
      <c r="AM171">
        <f ca="1">IFERROR(IF(0=LEN(ReferenceData!$AM$171),"",ReferenceData!$AM$171),"")</f>
        <v>31.026050569999999</v>
      </c>
      <c r="AN171">
        <f ca="1">IFERROR(IF(0=LEN(ReferenceData!$AN$171),"",ReferenceData!$AN$171),"")</f>
        <v>30.938113390000002</v>
      </c>
      <c r="AO171">
        <f ca="1">IFERROR(IF(0=LEN(ReferenceData!$AO$171),"",ReferenceData!$AO$171),"")</f>
        <v>31.581463410000001</v>
      </c>
      <c r="AP171">
        <f ca="1">IFERROR(IF(0=LEN(ReferenceData!$AP$171),"",ReferenceData!$AP$171),"")</f>
        <v>30.81431156</v>
      </c>
      <c r="AQ171">
        <f ca="1">IFERROR(IF(0=LEN(ReferenceData!$AQ$171),"",ReferenceData!$AQ$171),"")</f>
        <v>30.462028979999999</v>
      </c>
      <c r="AR171">
        <f ca="1">IFERROR(IF(0=LEN(ReferenceData!$AR$171),"",ReferenceData!$AR$171),"")</f>
        <v>27.456449200000002</v>
      </c>
      <c r="AS171">
        <f ca="1">IFERROR(IF(0=LEN(ReferenceData!$AS$171),"",ReferenceData!$AS$171),"")</f>
        <v>25.516732560000001</v>
      </c>
      <c r="AT171">
        <f ca="1">IFERROR(IF(0=LEN(ReferenceData!$AT$171),"",ReferenceData!$AT$171),"")</f>
        <v>25.5847297</v>
      </c>
      <c r="AU171">
        <f ca="1">IFERROR(IF(0=LEN(ReferenceData!$AU$171),"",ReferenceData!$AU$171),"")</f>
        <v>22.982933410000001</v>
      </c>
      <c r="AV171">
        <f ca="1">IFERROR(IF(0=LEN(ReferenceData!$AV$171),"",ReferenceData!$AV$171),"")</f>
        <v>22.649746650000001</v>
      </c>
      <c r="AW171">
        <f ca="1">IFERROR(IF(0=LEN(ReferenceData!$AW$171),"",ReferenceData!$AW$171),"")</f>
        <v>20.348863179999999</v>
      </c>
      <c r="AX171">
        <f ca="1">IFERROR(IF(0=LEN(ReferenceData!$AX$171),"",ReferenceData!$AX$171),"")</f>
        <v>20.27124062</v>
      </c>
      <c r="AY171">
        <f ca="1">IFERROR(IF(0=LEN(ReferenceData!$AY$171),"",ReferenceData!$AY$171),"")</f>
        <v>21.10062933</v>
      </c>
      <c r="AZ171">
        <f ca="1">IFERROR(IF(0=LEN(ReferenceData!$AZ$171),"",ReferenceData!$AZ$171),"")</f>
        <v>22.400789679999999</v>
      </c>
      <c r="BA171">
        <f ca="1">IFERROR(IF(0=LEN(ReferenceData!$BA$171),"",ReferenceData!$BA$171),"")</f>
        <v>22.848838140000002</v>
      </c>
      <c r="BB171">
        <f ca="1">IFERROR(IF(0=LEN(ReferenceData!$BB$171),"",ReferenceData!$BB$171),"")</f>
        <v>24.36597321</v>
      </c>
      <c r="BC171">
        <f ca="1">IFERROR(IF(0=LEN(ReferenceData!$BC$171),"",ReferenceData!$BC$171),"")</f>
        <v>23.951723300000001</v>
      </c>
      <c r="BD171">
        <f ca="1">IFERROR(IF(0=LEN(ReferenceData!$BD$171),"",ReferenceData!$BD$171),"")</f>
        <v>24.969761859999998</v>
      </c>
      <c r="BE171">
        <f ca="1">IFERROR(IF(0=LEN(ReferenceData!$BE$171),"",ReferenceData!$BE$171),"")</f>
        <v>24.818988730000001</v>
      </c>
      <c r="BF171">
        <f ca="1">IFERROR(IF(0=LEN(ReferenceData!$BF$171),"",ReferenceData!$BF$171),"")</f>
        <v>24.461904799999999</v>
      </c>
      <c r="BG171">
        <f ca="1">IFERROR(IF(0=LEN(ReferenceData!$BG$171),"",ReferenceData!$BG$171),"")</f>
        <v>25.042863839999999</v>
      </c>
      <c r="BH171">
        <f ca="1">IFERROR(IF(0=LEN(ReferenceData!$BH$171),"",ReferenceData!$BH$171),"")</f>
        <v>26.122777760000002</v>
      </c>
      <c r="BI171">
        <f ca="1">IFERROR(IF(0=LEN(ReferenceData!$BI$171),"",ReferenceData!$BI$171),"")</f>
        <v>26.96974445</v>
      </c>
      <c r="BJ171">
        <f ca="1">IFERROR(IF(0=LEN(ReferenceData!$BJ$171),"",ReferenceData!$BJ$171),"")</f>
        <v>25.687892730000002</v>
      </c>
      <c r="BK171">
        <f ca="1">IFERROR(IF(0=LEN(ReferenceData!$BK$171),"",ReferenceData!$BK$171),"")</f>
        <v>23.492107839999999</v>
      </c>
      <c r="BL171">
        <f ca="1">IFERROR(IF(0=LEN(ReferenceData!$BL$171),"",ReferenceData!$BL$171),"")</f>
        <v>23.505401429999999</v>
      </c>
      <c r="BM171">
        <f ca="1">IFERROR(IF(0=LEN(ReferenceData!$BM$171),"",ReferenceData!$BM$171),"")</f>
        <v>23.667933390000002</v>
      </c>
    </row>
    <row r="172" spans="1:65">
      <c r="A172" t="str">
        <f>IFERROR(IF(0=LEN(ReferenceData!$A$172),"",ReferenceData!$A$172),"")</f>
        <v xml:space="preserve">    Essex Property Trust Inc</v>
      </c>
      <c r="B172" t="str">
        <f>IFERROR(IF(0=LEN(ReferenceData!$B$172),"",ReferenceData!$B$172),"")</f>
        <v>ESS US Equity</v>
      </c>
      <c r="C172" t="str">
        <f>IFERROR(IF(0=LEN(ReferenceData!$C$172),"",ReferenceData!$C$172),"")</f>
        <v>RR147</v>
      </c>
      <c r="D172" t="str">
        <f>IFERROR(IF(0=LEN(ReferenceData!$D$172),"",ReferenceData!$D$172),"")</f>
        <v>LT_DEBT_TO_TOT_ASSET</v>
      </c>
      <c r="E172" t="str">
        <f>IFERROR(IF(0=LEN(ReferenceData!$E$172),"",ReferenceData!$E$172),"")</f>
        <v>动态</v>
      </c>
      <c r="F172" t="str">
        <f ca="1">IFERROR(IF(0=LEN(ReferenceData!$F$172),"",ReferenceData!$F$172),"")</f>
        <v/>
      </c>
      <c r="G172">
        <f ca="1">IFERROR(IF(0=LEN(ReferenceData!$G$172),"",ReferenceData!$G$172),"")</f>
        <v>16.48715967</v>
      </c>
      <c r="H172">
        <f ca="1">IFERROR(IF(0=LEN(ReferenceData!$H$172),"",ReferenceData!$H$172),"")</f>
        <v>17.352487579999998</v>
      </c>
      <c r="I172">
        <f ca="1">IFERROR(IF(0=LEN(ReferenceData!$I$172),"",ReferenceData!$I$172),"")</f>
        <v>16.946916600000002</v>
      </c>
      <c r="J172">
        <f ca="1">IFERROR(IF(0=LEN(ReferenceData!$J$172),"",ReferenceData!$J$172),"")</f>
        <v>18.210470319999999</v>
      </c>
      <c r="K172">
        <f ca="1">IFERROR(IF(0=LEN(ReferenceData!$K$172),"",ReferenceData!$K$172),"")</f>
        <v>18.23128114</v>
      </c>
      <c r="L172">
        <f ca="1">IFERROR(IF(0=LEN(ReferenceData!$L$172),"",ReferenceData!$L$172),"")</f>
        <v>18.42784661</v>
      </c>
      <c r="M172">
        <f ca="1">IFERROR(IF(0=LEN(ReferenceData!$M$172),"",ReferenceData!$M$172),"")</f>
        <v>18.670342359999999</v>
      </c>
      <c r="N172">
        <f ca="1">IFERROR(IF(0=LEN(ReferenceData!$N$172),"",ReferenceData!$N$172),"")</f>
        <v>18.967325750000001</v>
      </c>
      <c r="O172">
        <f ca="1">IFERROR(IF(0=LEN(ReferenceData!$O$172),"",ReferenceData!$O$172),"")</f>
        <v>18.78712406</v>
      </c>
      <c r="P172">
        <f ca="1">IFERROR(IF(0=LEN(ReferenceData!$P$172),"",ReferenceData!$P$172),"")</f>
        <v>18.737842570000002</v>
      </c>
      <c r="Q172">
        <f ca="1">IFERROR(IF(0=LEN(ReferenceData!$Q$172),"",ReferenceData!$Q$172),"")</f>
        <v>18.879686549999999</v>
      </c>
      <c r="R172">
        <f ca="1">IFERROR(IF(0=LEN(ReferenceData!$R$172),"",ReferenceData!$R$172),"")</f>
        <v>19.458494510000001</v>
      </c>
      <c r="S172">
        <f ca="1">IFERROR(IF(0=LEN(ReferenceData!$S$172),"",ReferenceData!$S$172),"")</f>
        <v>19.65178856</v>
      </c>
      <c r="T172">
        <f ca="1">IFERROR(IF(0=LEN(ReferenceData!$T$172),"",ReferenceData!$T$172),"")</f>
        <v>19.684145170000001</v>
      </c>
      <c r="U172">
        <f ca="1">IFERROR(IF(0=LEN(ReferenceData!$U$172),"",ReferenceData!$U$172),"")</f>
        <v>20.136921950000001</v>
      </c>
      <c r="V172">
        <f ca="1">IFERROR(IF(0=LEN(ReferenceData!$V$172),"",ReferenceData!$V$172),"")</f>
        <v>21.346208870000002</v>
      </c>
      <c r="W172">
        <f ca="1">IFERROR(IF(0=LEN(ReferenceData!$W$172),"",ReferenceData!$W$172),"")</f>
        <v>27.225194380000001</v>
      </c>
      <c r="X172">
        <f ca="1">IFERROR(IF(0=LEN(ReferenceData!$X$172),"",ReferenceData!$X$172),"")</f>
        <v>29.40696106</v>
      </c>
      <c r="Y172">
        <f ca="1">IFERROR(IF(0=LEN(ReferenceData!$Y$172),"",ReferenceData!$Y$172),"")</f>
        <v>30.030314300000001</v>
      </c>
      <c r="Z172">
        <f ca="1">IFERROR(IF(0=LEN(ReferenceData!$Z$172),"",ReferenceData!$Z$172),"")</f>
        <v>31.760559539999999</v>
      </c>
      <c r="AA172">
        <f ca="1">IFERROR(IF(0=LEN(ReferenceData!$AA$172),"",ReferenceData!$AA$172),"")</f>
        <v>32.41012431</v>
      </c>
      <c r="AB172">
        <f ca="1">IFERROR(IF(0=LEN(ReferenceData!$AB$172),"",ReferenceData!$AB$172),"")</f>
        <v>34.66228649</v>
      </c>
      <c r="AC172">
        <f ca="1">IFERROR(IF(0=LEN(ReferenceData!$AC$172),"",ReferenceData!$AC$172),"")</f>
        <v>37.23442747</v>
      </c>
      <c r="AD172">
        <f ca="1">IFERROR(IF(0=LEN(ReferenceData!$AD$172),"",ReferenceData!$AD$172),"")</f>
        <v>42.561247059999999</v>
      </c>
      <c r="AE172">
        <f ca="1">IFERROR(IF(0=LEN(ReferenceData!$AE$172),"",ReferenceData!$AE$172),"")</f>
        <v>43.407942210000002</v>
      </c>
      <c r="AF172">
        <f ca="1">IFERROR(IF(0=LEN(ReferenceData!$AF$172),"",ReferenceData!$AF$172),"")</f>
        <v>45.09484234</v>
      </c>
      <c r="AG172">
        <f ca="1">IFERROR(IF(0=LEN(ReferenceData!$AG$172),"",ReferenceData!$AG$172),"")</f>
        <v>46.800649790000001</v>
      </c>
      <c r="AH172">
        <f ca="1">IFERROR(IF(0=LEN(ReferenceData!$AH$172),"",ReferenceData!$AH$172),"")</f>
        <v>47.111971339999997</v>
      </c>
      <c r="AI172">
        <f ca="1">IFERROR(IF(0=LEN(ReferenceData!$AI$172),"",ReferenceData!$AI$172),"")</f>
        <v>49.338970080000003</v>
      </c>
      <c r="AJ172">
        <f ca="1">IFERROR(IF(0=LEN(ReferenceData!$AJ$172),"",ReferenceData!$AJ$172),"")</f>
        <v>48.840257860000001</v>
      </c>
      <c r="AK172">
        <f ca="1">IFERROR(IF(0=LEN(ReferenceData!$AK$172),"",ReferenceData!$AK$172),"")</f>
        <v>49.334091819999998</v>
      </c>
      <c r="AL172">
        <f ca="1">IFERROR(IF(0=LEN(ReferenceData!$AL$172),"",ReferenceData!$AL$172),"")</f>
        <v>49.169349459999999</v>
      </c>
      <c r="AM172">
        <f ca="1">IFERROR(IF(0=LEN(ReferenceData!$AM$172),"",ReferenceData!$AM$172),"")</f>
        <v>49.269672780000001</v>
      </c>
      <c r="AN172">
        <f ca="1">IFERROR(IF(0=LEN(ReferenceData!$AN$172),"",ReferenceData!$AN$172),"")</f>
        <v>49.555806969999999</v>
      </c>
      <c r="AO172">
        <f ca="1">IFERROR(IF(0=LEN(ReferenceData!$AO$172),"",ReferenceData!$AO$172),"")</f>
        <v>48.637364650000002</v>
      </c>
      <c r="AP172">
        <f ca="1">IFERROR(IF(0=LEN(ReferenceData!$AP$172),"",ReferenceData!$AP$172),"")</f>
        <v>48.851502969999999</v>
      </c>
      <c r="AQ172">
        <f ca="1">IFERROR(IF(0=LEN(ReferenceData!$AQ$172),"",ReferenceData!$AQ$172),"")</f>
        <v>55.40429907</v>
      </c>
      <c r="AR172">
        <f ca="1">IFERROR(IF(0=LEN(ReferenceData!$AR$172),"",ReferenceData!$AR$172),"")</f>
        <v>42.797925890000002</v>
      </c>
      <c r="AS172">
        <f ca="1">IFERROR(IF(0=LEN(ReferenceData!$AS$172),"",ReferenceData!$AS$172),"")</f>
        <v>53.237024990000002</v>
      </c>
      <c r="AT172">
        <f ca="1">IFERROR(IF(0=LEN(ReferenceData!$AT$172),"",ReferenceData!$AT$172),"")</f>
        <v>43.724735750000001</v>
      </c>
      <c r="AU172">
        <f ca="1">IFERROR(IF(0=LEN(ReferenceData!$AU$172),"",ReferenceData!$AU$172),"")</f>
        <v>50.624881930000001</v>
      </c>
      <c r="AV172">
        <f ca="1">IFERROR(IF(0=LEN(ReferenceData!$AV$172),"",ReferenceData!$AV$172),"")</f>
        <v>50.067458709999997</v>
      </c>
      <c r="AW172">
        <f ca="1">IFERROR(IF(0=LEN(ReferenceData!$AW$172),"",ReferenceData!$AW$172),"")</f>
        <v>49.58104153</v>
      </c>
      <c r="AX172">
        <f ca="1">IFERROR(IF(0=LEN(ReferenceData!$AX$172),"",ReferenceData!$AX$172),"")</f>
        <v>51.945693310000003</v>
      </c>
      <c r="AY172">
        <f ca="1">IFERROR(IF(0=LEN(ReferenceData!$AY$172),"",ReferenceData!$AY$172),"")</f>
        <v>53.602243100000003</v>
      </c>
      <c r="AZ172">
        <f ca="1">IFERROR(IF(0=LEN(ReferenceData!$AZ$172),"",ReferenceData!$AZ$172),"")</f>
        <v>53.80147917</v>
      </c>
      <c r="BA172">
        <f ca="1">IFERROR(IF(0=LEN(ReferenceData!$BA$172),"",ReferenceData!$BA$172),"")</f>
        <v>50.252250189999998</v>
      </c>
      <c r="BB172">
        <f ca="1">IFERROR(IF(0=LEN(ReferenceData!$BB$172),"",ReferenceData!$BB$172),"")</f>
        <v>50.683960519999999</v>
      </c>
      <c r="BC172">
        <f ca="1">IFERROR(IF(0=LEN(ReferenceData!$BC$172),"",ReferenceData!$BC$172),"")</f>
        <v>49.342336189999997</v>
      </c>
      <c r="BD172">
        <f ca="1">IFERROR(IF(0=LEN(ReferenceData!$BD$172),"",ReferenceData!$BD$172),"")</f>
        <v>51.840406000000002</v>
      </c>
      <c r="BE172">
        <f ca="1">IFERROR(IF(0=LEN(ReferenceData!$BE$172),"",ReferenceData!$BE$172),"")</f>
        <v>50.199478620000001</v>
      </c>
      <c r="BF172">
        <f ca="1">IFERROR(IF(0=LEN(ReferenceData!$BF$172),"",ReferenceData!$BF$172),"")</f>
        <v>48.405459819999997</v>
      </c>
      <c r="BG172">
        <f ca="1">IFERROR(IF(0=LEN(ReferenceData!$BG$172),"",ReferenceData!$BG$172),"")</f>
        <v>48.143639309999998</v>
      </c>
      <c r="BH172">
        <f ca="1">IFERROR(IF(0=LEN(ReferenceData!$BH$172),"",ReferenceData!$BH$172),"")</f>
        <v>50.914162740000002</v>
      </c>
      <c r="BI172">
        <f ca="1">IFERROR(IF(0=LEN(ReferenceData!$BI$172),"",ReferenceData!$BI$172),"")</f>
        <v>53.441919579999997</v>
      </c>
      <c r="BJ172">
        <f ca="1">IFERROR(IF(0=LEN(ReferenceData!$BJ$172),"",ReferenceData!$BJ$172),"")</f>
        <v>50.148052450000002</v>
      </c>
      <c r="BK172">
        <f ca="1">IFERROR(IF(0=LEN(ReferenceData!$BK$172),"",ReferenceData!$BK$172),"")</f>
        <v>46.741436200000003</v>
      </c>
      <c r="BL172">
        <f ca="1">IFERROR(IF(0=LEN(ReferenceData!$BL$172),"",ReferenceData!$BL$172),"")</f>
        <v>40.058079020000001</v>
      </c>
      <c r="BM172">
        <f ca="1">IFERROR(IF(0=LEN(ReferenceData!$BM$172),"",ReferenceData!$BM$172),"")</f>
        <v>40.453174789999998</v>
      </c>
    </row>
    <row r="173" spans="1:65">
      <c r="A173" t="str">
        <f>IFERROR(IF(0=LEN(ReferenceData!$A$173),"",ReferenceData!$A$173),"")</f>
        <v xml:space="preserve">    Mid-America Apartment Communit</v>
      </c>
      <c r="B173" t="str">
        <f>IFERROR(IF(0=LEN(ReferenceData!$B$173),"",ReferenceData!$B$173),"")</f>
        <v>MAA US Equity</v>
      </c>
      <c r="C173" t="str">
        <f>IFERROR(IF(0=LEN(ReferenceData!$C$173),"",ReferenceData!$C$173),"")</f>
        <v>RR147</v>
      </c>
      <c r="D173" t="str">
        <f>IFERROR(IF(0=LEN(ReferenceData!$D$173),"",ReferenceData!$D$173),"")</f>
        <v>LT_DEBT_TO_TOT_ASSET</v>
      </c>
      <c r="E173" t="str">
        <f>IFERROR(IF(0=LEN(ReferenceData!$E$173),"",ReferenceData!$E$173),"")</f>
        <v>动态</v>
      </c>
      <c r="F173" t="str">
        <f ca="1">IFERROR(IF(0=LEN(ReferenceData!$F$173),"",ReferenceData!$F$173),"")</f>
        <v/>
      </c>
      <c r="G173">
        <f ca="1">IFERROR(IF(0=LEN(ReferenceData!$G$173),"",ReferenceData!$G$173),"")</f>
        <v>8.4954653790000005</v>
      </c>
      <c r="H173">
        <f ca="1">IFERROR(IF(0=LEN(ReferenceData!$H$173),"",ReferenceData!$H$173),"")</f>
        <v>9.6244875810000003</v>
      </c>
      <c r="I173">
        <f ca="1">IFERROR(IF(0=LEN(ReferenceData!$I$173),"",ReferenceData!$I$173),"")</f>
        <v>9.7969773010000001</v>
      </c>
      <c r="J173">
        <f ca="1">IFERROR(IF(0=LEN(ReferenceData!$J$173),"",ReferenceData!$J$173),"")</f>
        <v>11.215672659999999</v>
      </c>
      <c r="K173">
        <f ca="1">IFERROR(IF(0=LEN(ReferenceData!$K$173),"",ReferenceData!$K$173),"")</f>
        <v>11.36704746</v>
      </c>
      <c r="L173">
        <f ca="1">IFERROR(IF(0=LEN(ReferenceData!$L$173),"",ReferenceData!$L$173),"")</f>
        <v>17.993194030000002</v>
      </c>
      <c r="M173">
        <f ca="1">IFERROR(IF(0=LEN(ReferenceData!$M$173),"",ReferenceData!$M$173),"")</f>
        <v>18.097671389999999</v>
      </c>
      <c r="N173">
        <f ca="1">IFERROR(IF(0=LEN(ReferenceData!$N$173),"",ReferenceData!$N$173),"")</f>
        <v>18.274215529999999</v>
      </c>
      <c r="O173">
        <f ca="1">IFERROR(IF(0=LEN(ReferenceData!$O$173),"",ReferenceData!$O$173),"")</f>
        <v>18.783252560000001</v>
      </c>
      <c r="P173">
        <f ca="1">IFERROR(IF(0=LEN(ReferenceData!$P$173),"",ReferenceData!$P$173),"")</f>
        <v>19.944620140000001</v>
      </c>
      <c r="Q173">
        <f ca="1">IFERROR(IF(0=LEN(ReferenceData!$Q$173),"",ReferenceData!$Q$173),"")</f>
        <v>20.659179859999998</v>
      </c>
      <c r="R173">
        <f ca="1">IFERROR(IF(0=LEN(ReferenceData!$R$173),"",ReferenceData!$R$173),"")</f>
        <v>21.01670343</v>
      </c>
      <c r="S173">
        <f ca="1">IFERROR(IF(0=LEN(ReferenceData!$S$173),"",ReferenceData!$S$173),"")</f>
        <v>23.30244403</v>
      </c>
      <c r="T173">
        <f ca="1">IFERROR(IF(0=LEN(ReferenceData!$T$173),"",ReferenceData!$T$173),"")</f>
        <v>22.91889712</v>
      </c>
      <c r="U173">
        <f ca="1">IFERROR(IF(0=LEN(ReferenceData!$U$173),"",ReferenceData!$U$173),"")</f>
        <v>23.042696719999999</v>
      </c>
      <c r="V173">
        <f ca="1">IFERROR(IF(0=LEN(ReferenceData!$V$173),"",ReferenceData!$V$173),"")</f>
        <v>26.307834620000001</v>
      </c>
      <c r="W173">
        <f ca="1">IFERROR(IF(0=LEN(ReferenceData!$W$173),"",ReferenceData!$W$173),"")</f>
        <v>26.175893479999999</v>
      </c>
      <c r="X173">
        <f ca="1">IFERROR(IF(0=LEN(ReferenceData!$X$173),"",ReferenceData!$X$173),"")</f>
        <v>34.680081639999997</v>
      </c>
      <c r="Y173">
        <f ca="1">IFERROR(IF(0=LEN(ReferenceData!$Y$173),"",ReferenceData!$Y$173),"")</f>
        <v>39.04221166</v>
      </c>
      <c r="Z173">
        <f ca="1">IFERROR(IF(0=LEN(ReferenceData!$Z$173),"",ReferenceData!$Z$173),"")</f>
        <v>40.153145500000001</v>
      </c>
      <c r="AA173">
        <f ca="1">IFERROR(IF(0=LEN(ReferenceData!$AA$173),"",ReferenceData!$AA$173),"")</f>
        <v>43.286752640000003</v>
      </c>
      <c r="AB173">
        <f ca="1">IFERROR(IF(0=LEN(ReferenceData!$AB$173),"",ReferenceData!$AB$173),"")</f>
        <v>42.951328160000003</v>
      </c>
      <c r="AC173">
        <f ca="1">IFERROR(IF(0=LEN(ReferenceData!$AC$173),"",ReferenceData!$AC$173),"")</f>
        <v>47.186590070000001</v>
      </c>
      <c r="AD173">
        <f ca="1">IFERROR(IF(0=LEN(ReferenceData!$AD$173),"",ReferenceData!$AD$173),"")</f>
        <v>53.535279199999998</v>
      </c>
      <c r="AE173">
        <f ca="1">IFERROR(IF(0=LEN(ReferenceData!$AE$173),"",ReferenceData!$AE$173),"")</f>
        <v>59.860666090000002</v>
      </c>
      <c r="AF173">
        <f ca="1">IFERROR(IF(0=LEN(ReferenceData!$AF$173),"",ReferenceData!$AF$173),"")</f>
        <v>60.23518808</v>
      </c>
      <c r="AG173">
        <f ca="1">IFERROR(IF(0=LEN(ReferenceData!$AG$173),"",ReferenceData!$AG$173),"")</f>
        <v>66.295097389999995</v>
      </c>
      <c r="AH173">
        <f ca="1">IFERROR(IF(0=LEN(ReferenceData!$AH$173),"",ReferenceData!$AH$173),"")</f>
        <v>65.937730360000003</v>
      </c>
      <c r="AI173">
        <f ca="1">IFERROR(IF(0=LEN(ReferenceData!$AI$173),"",ReferenceData!$AI$173),"")</f>
        <v>68.941172249999994</v>
      </c>
      <c r="AJ173">
        <f ca="1">IFERROR(IF(0=LEN(ReferenceData!$AJ$173),"",ReferenceData!$AJ$173),"")</f>
        <v>70.836006650000002</v>
      </c>
      <c r="AK173">
        <f ca="1">IFERROR(IF(0=LEN(ReferenceData!$AK$173),"",ReferenceData!$AK$173),"")</f>
        <v>68.226475489999999</v>
      </c>
      <c r="AL173">
        <f ca="1">IFERROR(IF(0=LEN(ReferenceData!$AL$173),"",ReferenceData!$AL$173),"")</f>
        <v>69.465196930000005</v>
      </c>
      <c r="AM173">
        <f ca="1">IFERROR(IF(0=LEN(ReferenceData!$AM$173),"",ReferenceData!$AM$173),"")</f>
        <v>70.443813399999996</v>
      </c>
      <c r="AN173">
        <f ca="1">IFERROR(IF(0=LEN(ReferenceData!$AN$173),"",ReferenceData!$AN$173),"")</f>
        <v>68.736662289999998</v>
      </c>
      <c r="AO173">
        <f ca="1">IFERROR(IF(0=LEN(ReferenceData!$AO$173),"",ReferenceData!$AO$173),"")</f>
        <v>69.514435430000006</v>
      </c>
      <c r="AP173">
        <f ca="1">IFERROR(IF(0=LEN(ReferenceData!$AP$173),"",ReferenceData!$AP$173),"")</f>
        <v>69.813152290000005</v>
      </c>
      <c r="AQ173">
        <f ca="1">IFERROR(IF(0=LEN(ReferenceData!$AQ$173),"",ReferenceData!$AQ$173),"")</f>
        <v>68.839072720000004</v>
      </c>
      <c r="AR173">
        <f ca="1">IFERROR(IF(0=LEN(ReferenceData!$AR$173),"",ReferenceData!$AR$173),"")</f>
        <v>68.667137539999999</v>
      </c>
      <c r="AS173">
        <f ca="1">IFERROR(IF(0=LEN(ReferenceData!$AS$173),"",ReferenceData!$AS$173),"")</f>
        <v>67.549255630000005</v>
      </c>
      <c r="AT173">
        <f ca="1">IFERROR(IF(0=LEN(ReferenceData!$AT$173),"",ReferenceData!$AT$173),"")</f>
        <v>70.65860911</v>
      </c>
      <c r="AU173">
        <f ca="1">IFERROR(IF(0=LEN(ReferenceData!$AU$173),"",ReferenceData!$AU$173),"")</f>
        <v>70.893844790000003</v>
      </c>
      <c r="AV173">
        <f ca="1">IFERROR(IF(0=LEN(ReferenceData!$AV$173),"",ReferenceData!$AV$173),"")</f>
        <v>69.695368200000004</v>
      </c>
      <c r="AW173">
        <f ca="1">IFERROR(IF(0=LEN(ReferenceData!$AW$173),"",ReferenceData!$AW$173),"")</f>
        <v>67.887379710000005</v>
      </c>
      <c r="AX173">
        <f ca="1">IFERROR(IF(0=LEN(ReferenceData!$AX$173),"",ReferenceData!$AX$173),"")</f>
        <v>68.298378760000006</v>
      </c>
      <c r="AY173">
        <f ca="1">IFERROR(IF(0=LEN(ReferenceData!$AY$173),"",ReferenceData!$AY$173),"")</f>
        <v>68.494073779999994</v>
      </c>
      <c r="AZ173">
        <f ca="1">IFERROR(IF(0=LEN(ReferenceData!$AZ$173),"",ReferenceData!$AZ$173),"")</f>
        <v>69.755092390000002</v>
      </c>
      <c r="BA173">
        <f ca="1">IFERROR(IF(0=LEN(ReferenceData!$BA$173),"",ReferenceData!$BA$173),"")</f>
        <v>68.99392306</v>
      </c>
      <c r="BB173">
        <f ca="1">IFERROR(IF(0=LEN(ReferenceData!$BB$173),"",ReferenceData!$BB$173),"")</f>
        <v>73.028341299999994</v>
      </c>
      <c r="BC173">
        <f ca="1">IFERROR(IF(0=LEN(ReferenceData!$BC$173),"",ReferenceData!$BC$173),"")</f>
        <v>72.149102130000003</v>
      </c>
      <c r="BD173">
        <f ca="1">IFERROR(IF(0=LEN(ReferenceData!$BD$173),"",ReferenceData!$BD$173),"")</f>
        <v>72.385675689999999</v>
      </c>
      <c r="BE173">
        <f ca="1">IFERROR(IF(0=LEN(ReferenceData!$BE$173),"",ReferenceData!$BE$173),"")</f>
        <v>71.464968490000004</v>
      </c>
      <c r="BF173">
        <f ca="1">IFERROR(IF(0=LEN(ReferenceData!$BF$173),"",ReferenceData!$BF$173),"")</f>
        <v>71.802473489999997</v>
      </c>
      <c r="BG173">
        <f ca="1">IFERROR(IF(0=LEN(ReferenceData!$BG$173),"",ReferenceData!$BG$173),"")</f>
        <v>71.173094520000006</v>
      </c>
      <c r="BH173">
        <f ca="1">IFERROR(IF(0=LEN(ReferenceData!$BH$173),"",ReferenceData!$BH$173),"")</f>
        <v>69.781438929999993</v>
      </c>
      <c r="BI173">
        <f ca="1">IFERROR(IF(0=LEN(ReferenceData!$BI$173),"",ReferenceData!$BI$173),"")</f>
        <v>69.754214259999998</v>
      </c>
      <c r="BJ173">
        <f ca="1">IFERROR(IF(0=LEN(ReferenceData!$BJ$173),"",ReferenceData!$BJ$173),"")</f>
        <v>68.745271310000007</v>
      </c>
      <c r="BK173">
        <f ca="1">IFERROR(IF(0=LEN(ReferenceData!$BK$173),"",ReferenceData!$BK$173),"")</f>
        <v>67.679962489999994</v>
      </c>
      <c r="BL173">
        <f ca="1">IFERROR(IF(0=LEN(ReferenceData!$BL$173),"",ReferenceData!$BL$173),"")</f>
        <v>66.719648800000002</v>
      </c>
      <c r="BM173">
        <f ca="1">IFERROR(IF(0=LEN(ReferenceData!$BM$173),"",ReferenceData!$BM$173),"")</f>
        <v>66.467129880000002</v>
      </c>
    </row>
    <row r="174" spans="1:65">
      <c r="A174" t="str">
        <f>IFERROR(IF(0=LEN(ReferenceData!$A$174),"",ReferenceData!$A$174),"")</f>
        <v xml:space="preserve">    UDR Inc</v>
      </c>
      <c r="B174" t="str">
        <f>IFERROR(IF(0=LEN(ReferenceData!$B$174),"",ReferenceData!$B$174),"")</f>
        <v>UDR US Equity</v>
      </c>
      <c r="C174" t="str">
        <f>IFERROR(IF(0=LEN(ReferenceData!$C$174),"",ReferenceData!$C$174),"")</f>
        <v>RR147</v>
      </c>
      <c r="D174" t="str">
        <f>IFERROR(IF(0=LEN(ReferenceData!$D$174),"",ReferenceData!$D$174),"")</f>
        <v>LT_DEBT_TO_TOT_ASSET</v>
      </c>
      <c r="E174" t="str">
        <f>IFERROR(IF(0=LEN(ReferenceData!$E$174),"",ReferenceData!$E$174),"")</f>
        <v>动态</v>
      </c>
      <c r="F174" t="str">
        <f ca="1">IFERROR(IF(0=LEN(ReferenceData!$F$174),"",ReferenceData!$F$174),"")</f>
        <v/>
      </c>
      <c r="G174">
        <f ca="1">IFERROR(IF(0=LEN(ReferenceData!$G$174),"",ReferenceData!$G$174),"")</f>
        <v>10.38718018</v>
      </c>
      <c r="H174">
        <f ca="1">IFERROR(IF(0=LEN(ReferenceData!$H$174),"",ReferenceData!$H$174),"")</f>
        <v>10.3724726</v>
      </c>
      <c r="I174">
        <f ca="1">IFERROR(IF(0=LEN(ReferenceData!$I$174),"",ReferenceData!$I$174),"")</f>
        <v>10.3843184</v>
      </c>
      <c r="J174">
        <f ca="1">IFERROR(IF(0=LEN(ReferenceData!$J$174),"",ReferenceData!$J$174),"")</f>
        <v>13.334008109999999</v>
      </c>
      <c r="K174">
        <f ca="1">IFERROR(IF(0=LEN(ReferenceData!$K$174),"",ReferenceData!$K$174),"")</f>
        <v>14.725511170000001</v>
      </c>
      <c r="L174">
        <f ca="1">IFERROR(IF(0=LEN(ReferenceData!$L$174),"",ReferenceData!$L$174),"")</f>
        <v>13.65809591</v>
      </c>
      <c r="M174">
        <f ca="1">IFERROR(IF(0=LEN(ReferenceData!$M$174),"",ReferenceData!$M$174),"")</f>
        <v>16.505985089999999</v>
      </c>
      <c r="N174">
        <f ca="1">IFERROR(IF(0=LEN(ReferenceData!$N$174),"",ReferenceData!$N$174),"")</f>
        <v>18.084032140000001</v>
      </c>
      <c r="O174">
        <f ca="1">IFERROR(IF(0=LEN(ReferenceData!$O$174),"",ReferenceData!$O$174),"")</f>
        <v>17.96676707</v>
      </c>
      <c r="P174">
        <f ca="1">IFERROR(IF(0=LEN(ReferenceData!$P$174),"",ReferenceData!$P$174),"")</f>
        <v>19.45752615</v>
      </c>
      <c r="Q174">
        <f ca="1">IFERROR(IF(0=LEN(ReferenceData!$Q$174),"",ReferenceData!$Q$174),"")</f>
        <v>19.459532289999999</v>
      </c>
      <c r="R174">
        <f ca="1">IFERROR(IF(0=LEN(ReferenceData!$R$174),"",ReferenceData!$R$174),"")</f>
        <v>19.984993830000001</v>
      </c>
      <c r="S174">
        <f ca="1">IFERROR(IF(0=LEN(ReferenceData!$S$174),"",ReferenceData!$S$174),"")</f>
        <v>19.832697979999999</v>
      </c>
      <c r="T174">
        <f ca="1">IFERROR(IF(0=LEN(ReferenceData!$T$174),"",ReferenceData!$T$174),"")</f>
        <v>20.28637501</v>
      </c>
      <c r="U174">
        <f ca="1">IFERROR(IF(0=LEN(ReferenceData!$U$174),"",ReferenceData!$U$174),"")</f>
        <v>20.23440639</v>
      </c>
      <c r="V174">
        <f ca="1">IFERROR(IF(0=LEN(ReferenceData!$V$174),"",ReferenceData!$V$174),"")</f>
        <v>21.113083759999999</v>
      </c>
      <c r="W174">
        <f ca="1">IFERROR(IF(0=LEN(ReferenceData!$W$174),"",ReferenceData!$W$174),"")</f>
        <v>21.182959589999999</v>
      </c>
      <c r="X174">
        <f ca="1">IFERROR(IF(0=LEN(ReferenceData!$X$174),"",ReferenceData!$X$174),"")</f>
        <v>20.452642109999999</v>
      </c>
      <c r="Y174">
        <f ca="1">IFERROR(IF(0=LEN(ReferenceData!$Y$174),"",ReferenceData!$Y$174),"")</f>
        <v>20.53866936</v>
      </c>
      <c r="Z174">
        <f ca="1">IFERROR(IF(0=LEN(ReferenceData!$Z$174),"",ReferenceData!$Z$174),"")</f>
        <v>20.689425480000001</v>
      </c>
      <c r="AA174">
        <f ca="1">IFERROR(IF(0=LEN(ReferenceData!$AA$174),"",ReferenceData!$AA$174),"")</f>
        <v>20.850175310000001</v>
      </c>
      <c r="AB174">
        <f ca="1">IFERROR(IF(0=LEN(ReferenceData!$AB$174),"",ReferenceData!$AB$174),"")</f>
        <v>20.833199489999998</v>
      </c>
      <c r="AC174">
        <f ca="1">IFERROR(IF(0=LEN(ReferenceData!$AC$174),"",ReferenceData!$AC$174),"")</f>
        <v>20.68606626</v>
      </c>
      <c r="AD174">
        <f ca="1">IFERROR(IF(0=LEN(ReferenceData!$AD$174),"",ReferenceData!$AD$174),"")</f>
        <v>26.12802421</v>
      </c>
      <c r="AE174">
        <f ca="1">IFERROR(IF(0=LEN(ReferenceData!$AE$174),"",ReferenceData!$AE$174),"")</f>
        <v>28.142439750000001</v>
      </c>
      <c r="AF174">
        <f ca="1">IFERROR(IF(0=LEN(ReferenceData!$AF$174),"",ReferenceData!$AF$174),"")</f>
        <v>29.709225830000001</v>
      </c>
      <c r="AG174">
        <f ca="1">IFERROR(IF(0=LEN(ReferenceData!$AG$174),"",ReferenceData!$AG$174),"")</f>
        <v>33.41958279</v>
      </c>
      <c r="AH174">
        <f ca="1">IFERROR(IF(0=LEN(ReferenceData!$AH$174),"",ReferenceData!$AH$174),"")</f>
        <v>32.19901136</v>
      </c>
      <c r="AI174">
        <f ca="1">IFERROR(IF(0=LEN(ReferenceData!$AI$174),"",ReferenceData!$AI$174),"")</f>
        <v>35.512357270000003</v>
      </c>
      <c r="AJ174">
        <f ca="1">IFERROR(IF(0=LEN(ReferenceData!$AJ$174),"",ReferenceData!$AJ$174),"")</f>
        <v>37.35030648</v>
      </c>
      <c r="AK174">
        <f ca="1">IFERROR(IF(0=LEN(ReferenceData!$AK$174),"",ReferenceData!$AK$174),"")</f>
        <v>38.536400880000002</v>
      </c>
      <c r="AL174">
        <f ca="1">IFERROR(IF(0=LEN(ReferenceData!$AL$174),"",ReferenceData!$AL$174),"")</f>
        <v>38.021363970000003</v>
      </c>
      <c r="AM174">
        <f ca="1">IFERROR(IF(0=LEN(ReferenceData!$AM$174),"",ReferenceData!$AM$174),"")</f>
        <v>38.760616659999997</v>
      </c>
      <c r="AN174">
        <f ca="1">IFERROR(IF(0=LEN(ReferenceData!$AN$174),"",ReferenceData!$AN$174),"")</f>
        <v>37.186256110000002</v>
      </c>
      <c r="AO174">
        <f ca="1">IFERROR(IF(0=LEN(ReferenceData!$AO$174),"",ReferenceData!$AO$174),"")</f>
        <v>34.78828171</v>
      </c>
      <c r="AP174">
        <f ca="1">IFERROR(IF(0=LEN(ReferenceData!$AP$174),"",ReferenceData!$AP$174),"")</f>
        <v>33.116074920000003</v>
      </c>
      <c r="AQ174">
        <f ca="1">IFERROR(IF(0=LEN(ReferenceData!$AQ$174),"",ReferenceData!$AQ$174),"")</f>
        <v>28.428987840000001</v>
      </c>
      <c r="AR174">
        <f ca="1">IFERROR(IF(0=LEN(ReferenceData!$AR$174),"",ReferenceData!$AR$174),"")</f>
        <v>25.78471248</v>
      </c>
      <c r="AS174">
        <f ca="1">IFERROR(IF(0=LEN(ReferenceData!$AS$174),"",ReferenceData!$AS$174),"")</f>
        <v>23.963105909999999</v>
      </c>
      <c r="AT174">
        <f ca="1">IFERROR(IF(0=LEN(ReferenceData!$AT$174),"",ReferenceData!$AT$174),"")</f>
        <v>22.710067939999998</v>
      </c>
      <c r="AU174">
        <f ca="1">IFERROR(IF(0=LEN(ReferenceData!$AU$174),"",ReferenceData!$AU$174),"")</f>
        <v>23.701464720000001</v>
      </c>
      <c r="AV174">
        <f ca="1">IFERROR(IF(0=LEN(ReferenceData!$AV$174),"",ReferenceData!$AV$174),"")</f>
        <v>25.951514979999999</v>
      </c>
      <c r="AW174">
        <f ca="1">IFERROR(IF(0=LEN(ReferenceData!$AW$174),"",ReferenceData!$AW$174),"")</f>
        <v>26.118612670000001</v>
      </c>
      <c r="AX174">
        <f ca="1">IFERROR(IF(0=LEN(ReferenceData!$AX$174),"",ReferenceData!$AX$174),"")</f>
        <v>25.443693830000001</v>
      </c>
      <c r="AY174">
        <f ca="1">IFERROR(IF(0=LEN(ReferenceData!$AY$174),"",ReferenceData!$AY$174),"")</f>
        <v>25.298345229999999</v>
      </c>
      <c r="AZ174">
        <f ca="1">IFERROR(IF(0=LEN(ReferenceData!$AZ$174),"",ReferenceData!$AZ$174),"")</f>
        <v>24.81531378</v>
      </c>
      <c r="BA174">
        <f ca="1">IFERROR(IF(0=LEN(ReferenceData!$BA$174),"",ReferenceData!$BA$174),"")</f>
        <v>24.746547450000001</v>
      </c>
      <c r="BB174">
        <f ca="1">IFERROR(IF(0=LEN(ReferenceData!$BB$174),"",ReferenceData!$BB$174),"")</f>
        <v>24.76718455</v>
      </c>
      <c r="BC174">
        <f ca="1">IFERROR(IF(0=LEN(ReferenceData!$BC$174),"",ReferenceData!$BC$174),"")</f>
        <v>24.578578490000002</v>
      </c>
      <c r="BD174">
        <f ca="1">IFERROR(IF(0=LEN(ReferenceData!$BD$174),"",ReferenceData!$BD$174),"")</f>
        <v>24.793496340000001</v>
      </c>
      <c r="BE174">
        <f ca="1">IFERROR(IF(0=LEN(ReferenceData!$BE$174),"",ReferenceData!$BE$174),"")</f>
        <v>24.70225688</v>
      </c>
      <c r="BF174">
        <f ca="1">IFERROR(IF(0=LEN(ReferenceData!$BF$174),"",ReferenceData!$BF$174),"")</f>
        <v>24.998782729999999</v>
      </c>
      <c r="BG174">
        <f ca="1">IFERROR(IF(0=LEN(ReferenceData!$BG$174),"",ReferenceData!$BG$174),"")</f>
        <v>27.6529022</v>
      </c>
      <c r="BH174">
        <f ca="1">IFERROR(IF(0=LEN(ReferenceData!$BH$174),"",ReferenceData!$BH$174),"")</f>
        <v>27.51807436</v>
      </c>
      <c r="BI174">
        <f ca="1">IFERROR(IF(0=LEN(ReferenceData!$BI$174),"",ReferenceData!$BI$174),"")</f>
        <v>27.45580026</v>
      </c>
      <c r="BJ174">
        <f ca="1">IFERROR(IF(0=LEN(ReferenceData!$BJ$174),"",ReferenceData!$BJ$174),"")</f>
        <v>27.973975429999999</v>
      </c>
      <c r="BK174">
        <f ca="1">IFERROR(IF(0=LEN(ReferenceData!$BK$174),"",ReferenceData!$BK$174),"")</f>
        <v>28.728288939999999</v>
      </c>
      <c r="BL174">
        <f ca="1">IFERROR(IF(0=LEN(ReferenceData!$BL$174),"",ReferenceData!$BL$174),"")</f>
        <v>30.508750630000002</v>
      </c>
      <c r="BM174">
        <f ca="1">IFERROR(IF(0=LEN(ReferenceData!$BM$174),"",ReferenceData!$BM$174),"")</f>
        <v>30.327205280000001</v>
      </c>
    </row>
    <row r="175" spans="1:65">
      <c r="A175" t="str">
        <f>IFERROR(IF(0=LEN(ReferenceData!$A$175),"",ReferenceData!$A$175),"")</f>
        <v>债务/市值</v>
      </c>
      <c r="B175" t="str">
        <f>IFERROR(IF(0=LEN(ReferenceData!$B$175),"",ReferenceData!$B$175),"")</f>
        <v/>
      </c>
      <c r="C175" t="str">
        <f>IFERROR(IF(0=LEN(ReferenceData!$C$175),"",ReferenceData!$C$175),"")</f>
        <v/>
      </c>
      <c r="D175" t="str">
        <f>IFERROR(IF(0=LEN(ReferenceData!$D$175),"",ReferenceData!$D$175),"")</f>
        <v/>
      </c>
      <c r="E175" t="str">
        <f>IFERROR(IF(0=LEN(ReferenceData!$E$175),"",ReferenceData!$E$175),"")</f>
        <v>Median</v>
      </c>
      <c r="F175">
        <f ca="1">IFERROR(IF(0=LEN(ReferenceData!$F$175),"",ReferenceData!$F$175),"")</f>
        <v>0.38254664049999998</v>
      </c>
      <c r="G175">
        <f ca="1">IFERROR(IF(0=LEN(ReferenceData!$G$175),"",ReferenceData!$G$175),"")</f>
        <v>0.35808032400000001</v>
      </c>
      <c r="H175">
        <f ca="1">IFERROR(IF(0=LEN(ReferenceData!$H$175),"",ReferenceData!$H$175),"")</f>
        <v>0.35003993200000005</v>
      </c>
      <c r="I175">
        <f ca="1">IFERROR(IF(0=LEN(ReferenceData!$I$175),"",ReferenceData!$I$175),"")</f>
        <v>0.34361151000000001</v>
      </c>
      <c r="J175">
        <f ca="1">IFERROR(IF(0=LEN(ReferenceData!$J$175),"",ReferenceData!$J$175),"")</f>
        <v>0.35629121149999998</v>
      </c>
      <c r="K175">
        <f ca="1">IFERROR(IF(0=LEN(ReferenceData!$K$175),"",ReferenceData!$K$175),"")</f>
        <v>0.34309466150000001</v>
      </c>
      <c r="L175">
        <f ca="1">IFERROR(IF(0=LEN(ReferenceData!$L$175),"",ReferenceData!$L$175),"")</f>
        <v>0.36508510599999999</v>
      </c>
      <c r="M175">
        <f ca="1">IFERROR(IF(0=LEN(ReferenceData!$M$175),"",ReferenceData!$M$175),"")</f>
        <v>0.34470198750000003</v>
      </c>
      <c r="N175">
        <f ca="1">IFERROR(IF(0=LEN(ReferenceData!$N$175),"",ReferenceData!$N$175),"")</f>
        <v>0.341892431</v>
      </c>
      <c r="O175">
        <f ca="1">IFERROR(IF(0=LEN(ReferenceData!$O$175),"",ReferenceData!$O$175),"")</f>
        <v>0.36510761450000001</v>
      </c>
      <c r="P175">
        <f ca="1">IFERROR(IF(0=LEN(ReferenceData!$P$175),"",ReferenceData!$P$175),"")</f>
        <v>0.40901775799999995</v>
      </c>
      <c r="Q175">
        <f ca="1">IFERROR(IF(0=LEN(ReferenceData!$Q$175),"",ReferenceData!$Q$175),"")</f>
        <v>0.42681455200000001</v>
      </c>
      <c r="R175">
        <f ca="1">IFERROR(IF(0=LEN(ReferenceData!$R$175),"",ReferenceData!$R$175),"")</f>
        <v>0.394940607</v>
      </c>
      <c r="S175">
        <f ca="1">IFERROR(IF(0=LEN(ReferenceData!$S$175),"",ReferenceData!$S$175),"")</f>
        <v>0.422306509</v>
      </c>
      <c r="T175">
        <f ca="1">IFERROR(IF(0=LEN(ReferenceData!$T$175),"",ReferenceData!$T$175),"")</f>
        <v>0.50161927049999999</v>
      </c>
      <c r="U175">
        <f ca="1">IFERROR(IF(0=LEN(ReferenceData!$U$175),"",ReferenceData!$U$175),"")</f>
        <v>0.46526566650000001</v>
      </c>
      <c r="V175">
        <f ca="1">IFERROR(IF(0=LEN(ReferenceData!$V$175),"",ReferenceData!$V$175),"")</f>
        <v>0.54064349749999996</v>
      </c>
      <c r="W175">
        <f ca="1">IFERROR(IF(0=LEN(ReferenceData!$W$175),"",ReferenceData!$W$175),"")</f>
        <v>0.588878711</v>
      </c>
      <c r="X175">
        <f ca="1">IFERROR(IF(0=LEN(ReferenceData!$X$175),"",ReferenceData!$X$175),"")</f>
        <v>0.59463231849999998</v>
      </c>
      <c r="Y175">
        <f ca="1">IFERROR(IF(0=LEN(ReferenceData!$Y$175),"",ReferenceData!$Y$175),"")</f>
        <v>0.50780719799999996</v>
      </c>
      <c r="Z175">
        <f ca="1">IFERROR(IF(0=LEN(ReferenceData!$Z$175),"",ReferenceData!$Z$175),"")</f>
        <v>0.48514483949999998</v>
      </c>
      <c r="AA175">
        <f ca="1">IFERROR(IF(0=LEN(ReferenceData!$AA$175),"",ReferenceData!$AA$175),"")</f>
        <v>0.46197430750000001</v>
      </c>
      <c r="AB175">
        <f ca="1">IFERROR(IF(0=LEN(ReferenceData!$AB$175),"",ReferenceData!$AB$175),"")</f>
        <v>0.46705251149999999</v>
      </c>
      <c r="AC175">
        <f ca="1">IFERROR(IF(0=LEN(ReferenceData!$AC$175),"",ReferenceData!$AC$175),"")</f>
        <v>0.47157705150000001</v>
      </c>
      <c r="AD175">
        <f ca="1">IFERROR(IF(0=LEN(ReferenceData!$AD$175),"",ReferenceData!$AD$175),"")</f>
        <v>0.45760971699999997</v>
      </c>
      <c r="AE175">
        <f ca="1">IFERROR(IF(0=LEN(ReferenceData!$AE$175),"",ReferenceData!$AE$175),"")</f>
        <v>0.52067577249999997</v>
      </c>
      <c r="AF175">
        <f ca="1">IFERROR(IF(0=LEN(ReferenceData!$AF$175),"",ReferenceData!$AF$175),"")</f>
        <v>0.56375752099999998</v>
      </c>
      <c r="AG175">
        <f ca="1">IFERROR(IF(0=LEN(ReferenceData!$AG$175),"",ReferenceData!$AG$175),"")</f>
        <v>0.53379047400000001</v>
      </c>
      <c r="AH175">
        <f ca="1">IFERROR(IF(0=LEN(ReferenceData!$AH$175),"",ReferenceData!$AH$175),"")</f>
        <v>0.58885971550000005</v>
      </c>
      <c r="AI175">
        <f ca="1">IFERROR(IF(0=LEN(ReferenceData!$AI$175),"",ReferenceData!$AI$175),"")</f>
        <v>0.68221114449999998</v>
      </c>
      <c r="AJ175">
        <f ca="1">IFERROR(IF(0=LEN(ReferenceData!$AJ$175),"",ReferenceData!$AJ$175),"")</f>
        <v>0.77295246499999992</v>
      </c>
      <c r="AK175">
        <f ca="1">IFERROR(IF(0=LEN(ReferenceData!$AK$175),"",ReferenceData!$AK$175),"")</f>
        <v>0.85000126149999999</v>
      </c>
      <c r="AL175">
        <f ca="1">IFERROR(IF(0=LEN(ReferenceData!$AL$175),"",ReferenceData!$AL$175),"")</f>
        <v>0.88103708399999991</v>
      </c>
      <c r="AM175">
        <f ca="1">IFERROR(IF(0=LEN(ReferenceData!$AM$175),"",ReferenceData!$AM$175),"")</f>
        <v>0.98500798749999996</v>
      </c>
      <c r="AN175">
        <f ca="1">IFERROR(IF(0=LEN(ReferenceData!$AN$175),"",ReferenceData!$AN$175),"")</f>
        <v>1.023227152</v>
      </c>
      <c r="AO175">
        <f ca="1">IFERROR(IF(0=LEN(ReferenceData!$AO$175),"",ReferenceData!$AO$175),"")</f>
        <v>1.3718199549999999</v>
      </c>
      <c r="AP175">
        <f ca="1">IFERROR(IF(0=LEN(ReferenceData!$AP$175),"",ReferenceData!$AP$175),"")</f>
        <v>1.8986215679999998</v>
      </c>
      <c r="AQ175">
        <f ca="1">IFERROR(IF(0=LEN(ReferenceData!$AQ$175),"",ReferenceData!$AQ$175),"")</f>
        <v>1.3831124895</v>
      </c>
      <c r="AR175">
        <f ca="1">IFERROR(IF(0=LEN(ReferenceData!$AR$175),"",ReferenceData!$AR$175),"")</f>
        <v>0.93796301849999997</v>
      </c>
      <c r="AS175">
        <f ca="1">IFERROR(IF(0=LEN(ReferenceData!$AS$175),"",ReferenceData!$AS$175),"")</f>
        <v>1.0376269035000001</v>
      </c>
      <c r="AT175">
        <f ca="1">IFERROR(IF(0=LEN(ReferenceData!$AT$175),"",ReferenceData!$AT$175),"")</f>
        <v>0.92715605000000001</v>
      </c>
      <c r="AU175">
        <f ca="1">IFERROR(IF(0=LEN(ReferenceData!$AU$175),"",ReferenceData!$AU$175),"")</f>
        <v>1.0279507460000001</v>
      </c>
      <c r="AV175">
        <f ca="1">IFERROR(IF(0=LEN(ReferenceData!$AV$175),"",ReferenceData!$AV$175),"")</f>
        <v>0.83483268200000005</v>
      </c>
      <c r="AW175">
        <f ca="1">IFERROR(IF(0=LEN(ReferenceData!$AW$175),"",ReferenceData!$AW$175),"")</f>
        <v>0.77284635650000011</v>
      </c>
      <c r="AX175">
        <f ca="1">IFERROR(IF(0=LEN(ReferenceData!$AX$175),"",ReferenceData!$AX$175),"")</f>
        <v>0.70175569000000004</v>
      </c>
      <c r="AY175">
        <f ca="1">IFERROR(IF(0=LEN(ReferenceData!$AY$175),"",ReferenceData!$AY$175),"")</f>
        <v>0.62292887749999992</v>
      </c>
      <c r="AZ175">
        <f ca="1">IFERROR(IF(0=LEN(ReferenceData!$AZ$175),"",ReferenceData!$AZ$175),"")</f>
        <v>0.65924024599999997</v>
      </c>
      <c r="BA175">
        <f ca="1">IFERROR(IF(0=LEN(ReferenceData!$BA$175),"",ReferenceData!$BA$175),"")</f>
        <v>0.74961514699999998</v>
      </c>
      <c r="BB175">
        <f ca="1">IFERROR(IF(0=LEN(ReferenceData!$BB$175),"",ReferenceData!$BB$175),"")</f>
        <v>0.79730674550000002</v>
      </c>
      <c r="BC175">
        <f ca="1">IFERROR(IF(0=LEN(ReferenceData!$BC$175),"",ReferenceData!$BC$175),"")</f>
        <v>0.77805760150000003</v>
      </c>
      <c r="BD175">
        <f ca="1">IFERROR(IF(0=LEN(ReferenceData!$BD$175),"",ReferenceData!$BD$175),"")</f>
        <v>0.79533587500000003</v>
      </c>
      <c r="BE175">
        <f ca="1">IFERROR(IF(0=LEN(ReferenceData!$BE$175),"",ReferenceData!$BE$175),"")</f>
        <v>0.85264939899999992</v>
      </c>
      <c r="BF175">
        <f ca="1">IFERROR(IF(0=LEN(ReferenceData!$BF$175),"",ReferenceData!$BF$175),"")</f>
        <v>0.93049856499999994</v>
      </c>
      <c r="BG175">
        <f ca="1">IFERROR(IF(0=LEN(ReferenceData!$BG$175),"",ReferenceData!$BG$175),"")</f>
        <v>0.70851590399999997</v>
      </c>
      <c r="BH175">
        <f ca="1">IFERROR(IF(0=LEN(ReferenceData!$BH$175),"",ReferenceData!$BH$175),"")</f>
        <v>0.82443247799999997</v>
      </c>
      <c r="BI175">
        <f ca="1">IFERROR(IF(0=LEN(ReferenceData!$BI$175),"",ReferenceData!$BI$175),"")</f>
        <v>0.82905755349999999</v>
      </c>
      <c r="BJ175">
        <f ca="1">IFERROR(IF(0=LEN(ReferenceData!$BJ$175),"",ReferenceData!$BJ$175),"")</f>
        <v>0.81545257199999999</v>
      </c>
      <c r="BK175">
        <f ca="1">IFERROR(IF(0=LEN(ReferenceData!$BK$175),"",ReferenceData!$BK$175),"")</f>
        <v>0.77594249500000001</v>
      </c>
      <c r="BL175">
        <f ca="1">IFERROR(IF(0=LEN(ReferenceData!$BL$175),"",ReferenceData!$BL$175),"")</f>
        <v>0.82738665999999994</v>
      </c>
      <c r="BM175">
        <f ca="1">IFERROR(IF(0=LEN(ReferenceData!$BM$175),"",ReferenceData!$BM$175),"")</f>
        <v>0.98320344599999998</v>
      </c>
    </row>
    <row r="176" spans="1:65">
      <c r="A176" t="str">
        <f>IFERROR(IF(0=LEN(ReferenceData!$A$176),"",ReferenceData!$A$176),"")</f>
        <v xml:space="preserve">    American Campus Communities In</v>
      </c>
      <c r="B176" t="str">
        <f>IFERROR(IF(0=LEN(ReferenceData!$B$176),"",ReferenceData!$B$176),"")</f>
        <v>ACC US Equity</v>
      </c>
      <c r="C176" t="str">
        <f>IFERROR(IF(0=LEN(ReferenceData!$C$176),"",ReferenceData!$C$176),"")</f>
        <v>RR263</v>
      </c>
      <c r="D176" t="str">
        <f>IFERROR(IF(0=LEN(ReferenceData!$D$176),"",ReferenceData!$D$176),"")</f>
        <v>DEBT_TO_MKT_CAP</v>
      </c>
      <c r="E176" t="str">
        <f>IFERROR(IF(0=LEN(ReferenceData!$E$176),"",ReferenceData!$E$176),"")</f>
        <v>动态</v>
      </c>
      <c r="F176">
        <f ca="1">IFERROR(IF(0=LEN(ReferenceData!$F$176),"",ReferenceData!$F$176),"")</f>
        <v>0.58112947500000001</v>
      </c>
      <c r="G176">
        <f ca="1">IFERROR(IF(0=LEN(ReferenceData!$G$176),"",ReferenceData!$G$176),"")</f>
        <v>0.54032622100000005</v>
      </c>
      <c r="H176">
        <f ca="1">IFERROR(IF(0=LEN(ReferenceData!$H$176),"",ReferenceData!$H$176),"")</f>
        <v>0.45926934400000002</v>
      </c>
      <c r="I176">
        <f ca="1">IFERROR(IF(0=LEN(ReferenceData!$I$176),"",ReferenceData!$I$176),"")</f>
        <v>0.37214568399999998</v>
      </c>
      <c r="J176">
        <f ca="1">IFERROR(IF(0=LEN(ReferenceData!$J$176),"",ReferenceData!$J$176),"")</f>
        <v>0.34775550500000002</v>
      </c>
      <c r="K176">
        <f ca="1">IFERROR(IF(0=LEN(ReferenceData!$K$176),"",ReferenceData!$K$176),"")</f>
        <v>0.32325853700000001</v>
      </c>
      <c r="L176">
        <f ca="1">IFERROR(IF(0=LEN(ReferenceData!$L$176),"",ReferenceData!$L$176),"")</f>
        <v>0.37431825299999999</v>
      </c>
      <c r="M176">
        <f ca="1">IFERROR(IF(0=LEN(ReferenceData!$M$176),"",ReferenceData!$M$176),"")</f>
        <v>0.375646808</v>
      </c>
      <c r="N176">
        <f ca="1">IFERROR(IF(0=LEN(ReferenceData!$N$176),"",ReferenceData!$N$176),"")</f>
        <v>0.42706278600000003</v>
      </c>
      <c r="O176">
        <f ca="1">IFERROR(IF(0=LEN(ReferenceData!$O$176),"",ReferenceData!$O$176),"")</f>
        <v>0.63489951499999997</v>
      </c>
      <c r="P176">
        <f ca="1">IFERROR(IF(0=LEN(ReferenceData!$P$176),"",ReferenceData!$P$176),"")</f>
        <v>0.71769522200000002</v>
      </c>
      <c r="Q176">
        <f ca="1">IFERROR(IF(0=LEN(ReferenceData!$Q$176),"",ReferenceData!$Q$176),"")</f>
        <v>0.64567376700000001</v>
      </c>
      <c r="R176">
        <f ca="1">IFERROR(IF(0=LEN(ReferenceData!$R$176),"",ReferenceData!$R$176),"")</f>
        <v>0.56596809199999998</v>
      </c>
      <c r="S176">
        <f ca="1">IFERROR(IF(0=LEN(ReferenceData!$S$176),"",ReferenceData!$S$176),"")</f>
        <v>0.68374675500000004</v>
      </c>
      <c r="T176">
        <f ca="1">IFERROR(IF(0=LEN(ReferenceData!$T$176),"",ReferenceData!$T$176),"")</f>
        <v>0.76458034100000005</v>
      </c>
      <c r="U176">
        <f ca="1">IFERROR(IF(0=LEN(ReferenceData!$U$176),"",ReferenceData!$U$176),"")</f>
        <v>0.72572561700000005</v>
      </c>
      <c r="V176">
        <f ca="1">IFERROR(IF(0=LEN(ReferenceData!$V$176),"",ReferenceData!$V$176),"")</f>
        <v>0.71219282900000003</v>
      </c>
      <c r="W176">
        <f ca="1">IFERROR(IF(0=LEN(ReferenceData!$W$176),"",ReferenceData!$W$176),"")</f>
        <v>0.81313858800000005</v>
      </c>
      <c r="X176">
        <f ca="1">IFERROR(IF(0=LEN(ReferenceData!$X$176),"",ReferenceData!$X$176),"")</f>
        <v>0.68029573399999999</v>
      </c>
      <c r="Y176">
        <f ca="1">IFERROR(IF(0=LEN(ReferenceData!$Y$176),"",ReferenceData!$Y$176),"")</f>
        <v>0.575152106</v>
      </c>
      <c r="Z176">
        <f ca="1">IFERROR(IF(0=LEN(ReferenceData!$Z$176),"",ReferenceData!$Z$176),"")</f>
        <v>0.48285686999999999</v>
      </c>
      <c r="AA176">
        <f ca="1">IFERROR(IF(0=LEN(ReferenceData!$AA$176),"",ReferenceData!$AA$176),"")</f>
        <v>0.460171212</v>
      </c>
      <c r="AB176">
        <f ca="1">IFERROR(IF(0=LEN(ReferenceData!$AB$176),"",ReferenceData!$AB$176),"")</f>
        <v>0.45324651599999999</v>
      </c>
      <c r="AC176">
        <f ca="1">IFERROR(IF(0=LEN(ReferenceData!$AC$176),"",ReferenceData!$AC$176),"")</f>
        <v>0.484178475</v>
      </c>
      <c r="AD176">
        <f ca="1">IFERROR(IF(0=LEN(ReferenceData!$AD$176),"",ReferenceData!$AD$176),"")</f>
        <v>0.44601859700000002</v>
      </c>
      <c r="AE176">
        <f ca="1">IFERROR(IF(0=LEN(ReferenceData!$AE$176),"",ReferenceData!$AE$176),"")</f>
        <v>0.48686931700000002</v>
      </c>
      <c r="AF176">
        <f ca="1">IFERROR(IF(0=LEN(ReferenceData!$AF$176),"",ReferenceData!$AF$176),"")</f>
        <v>0.47816075499999999</v>
      </c>
      <c r="AG176">
        <f ca="1">IFERROR(IF(0=LEN(ReferenceData!$AG$176),"",ReferenceData!$AG$176),"")</f>
        <v>0.49883501099999999</v>
      </c>
      <c r="AH176">
        <f ca="1">IFERROR(IF(0=LEN(ReferenceData!$AH$176),"",ReferenceData!$AH$176),"")</f>
        <v>0.58279239800000004</v>
      </c>
      <c r="AI176">
        <f ca="1">IFERROR(IF(0=LEN(ReferenceData!$AI$176),"",ReferenceData!$AI$176),"")</f>
        <v>0.63434975800000004</v>
      </c>
      <c r="AJ176">
        <f ca="1">IFERROR(IF(0=LEN(ReferenceData!$AJ$176),"",ReferenceData!$AJ$176),"")</f>
        <v>0.63992753700000005</v>
      </c>
      <c r="AK176">
        <f ca="1">IFERROR(IF(0=LEN(ReferenceData!$AK$176),"",ReferenceData!$AK$176),"")</f>
        <v>0.820304857</v>
      </c>
      <c r="AL176">
        <f ca="1">IFERROR(IF(0=LEN(ReferenceData!$AL$176),"",ReferenceData!$AL$176),"")</f>
        <v>0.80918564699999995</v>
      </c>
      <c r="AM176">
        <f ca="1">IFERROR(IF(0=LEN(ReferenceData!$AM$176),"",ReferenceData!$AM$176),"")</f>
        <v>0.83402436099999999</v>
      </c>
      <c r="AN176">
        <f ca="1">IFERROR(IF(0=LEN(ReferenceData!$AN$176),"",ReferenceData!$AN$176),"")</f>
        <v>0.891681104</v>
      </c>
      <c r="AO176">
        <f ca="1">IFERROR(IF(0=LEN(ReferenceData!$AO$176),"",ReferenceData!$AO$176),"")</f>
        <v>1.027970045</v>
      </c>
      <c r="AP176">
        <f ca="1">IFERROR(IF(0=LEN(ReferenceData!$AP$176),"",ReferenceData!$AP$176),"")</f>
        <v>1.7830441379999999</v>
      </c>
      <c r="AQ176">
        <f ca="1">IFERROR(IF(0=LEN(ReferenceData!$AQ$176),"",ReferenceData!$AQ$176),"")</f>
        <v>1.473781609</v>
      </c>
      <c r="AR176">
        <f ca="1">IFERROR(IF(0=LEN(ReferenceData!$AR$176),"",ReferenceData!$AR$176),"")</f>
        <v>0.87517460499999999</v>
      </c>
      <c r="AS176">
        <f ca="1">IFERROR(IF(0=LEN(ReferenceData!$AS$176),"",ReferenceData!$AS$176),"")</f>
        <v>1.1626679209999999</v>
      </c>
      <c r="AT176">
        <f ca="1">IFERROR(IF(0=LEN(ReferenceData!$AT$176),"",ReferenceData!$AT$176),"")</f>
        <v>0.80782130399999996</v>
      </c>
      <c r="AU176">
        <f ca="1">IFERROR(IF(0=LEN(ReferenceData!$AU$176),"",ReferenceData!$AU$176),"")</f>
        <v>0.74149260299999997</v>
      </c>
      <c r="AV176">
        <f ca="1">IFERROR(IF(0=LEN(ReferenceData!$AV$176),"",ReferenceData!$AV$176),"")</f>
        <v>0.85808087300000002</v>
      </c>
      <c r="AW176">
        <f ca="1">IFERROR(IF(0=LEN(ReferenceData!$AW$176),"",ReferenceData!$AW$176),"")</f>
        <v>0.82851906900000005</v>
      </c>
      <c r="AX176">
        <f ca="1">IFERROR(IF(0=LEN(ReferenceData!$AX$176),"",ReferenceData!$AX$176),"")</f>
        <v>0.76128939500000004</v>
      </c>
      <c r="AY176">
        <f ca="1">IFERROR(IF(0=LEN(ReferenceData!$AY$176),"",ReferenceData!$AY$176),"")</f>
        <v>0.66297551499999996</v>
      </c>
      <c r="AZ176">
        <f ca="1">IFERROR(IF(0=LEN(ReferenceData!$AZ$176),"",ReferenceData!$AZ$176),"")</f>
        <v>0.75255580899999996</v>
      </c>
      <c r="BA176">
        <f ca="1">IFERROR(IF(0=LEN(ReferenceData!$BA$176),"",ReferenceData!$BA$176),"")</f>
        <v>1.1952764789999999</v>
      </c>
      <c r="BB176">
        <f ca="1">IFERROR(IF(0=LEN(ReferenceData!$BB$176),"",ReferenceData!$BB$176),"")</f>
        <v>1.099247394</v>
      </c>
      <c r="BC176">
        <f ca="1">IFERROR(IF(0=LEN(ReferenceData!$BC$176),"",ReferenceData!$BC$176),"")</f>
        <v>0.68411396099999999</v>
      </c>
      <c r="BD176">
        <f ca="1">IFERROR(IF(0=LEN(ReferenceData!$BD$176),"",ReferenceData!$BD$176),"")</f>
        <v>0.706610089</v>
      </c>
      <c r="BE176">
        <f ca="1">IFERROR(IF(0=LEN(ReferenceData!$BE$176),"",ReferenceData!$BE$176),"")</f>
        <v>0.89533109399999999</v>
      </c>
      <c r="BF176">
        <f ca="1">IFERROR(IF(0=LEN(ReferenceData!$BF$176),"",ReferenceData!$BF$176),"")</f>
        <v>1.1816062220000001</v>
      </c>
      <c r="BG176">
        <f ca="1">IFERROR(IF(0=LEN(ReferenceData!$BG$176),"",ReferenceData!$BG$176),"")</f>
        <v>0.70851590399999997</v>
      </c>
      <c r="BH176">
        <f ca="1">IFERROR(IF(0=LEN(ReferenceData!$BH$176),"",ReferenceData!$BH$176),"")</f>
        <v>0.82443247799999997</v>
      </c>
      <c r="BI176" t="str">
        <f ca="1">IFERROR(IF(0=LEN(ReferenceData!$BI$176),"",ReferenceData!$BI$176),"")</f>
        <v/>
      </c>
      <c r="BJ176" t="str">
        <f ca="1">IFERROR(IF(0=LEN(ReferenceData!$BJ$176),"",ReferenceData!$BJ$176),"")</f>
        <v/>
      </c>
      <c r="BK176" t="str">
        <f ca="1">IFERROR(IF(0=LEN(ReferenceData!$BK$176),"",ReferenceData!$BK$176),"")</f>
        <v/>
      </c>
      <c r="BL176" t="str">
        <f ca="1">IFERROR(IF(0=LEN(ReferenceData!$BL$176),"",ReferenceData!$BL$176),"")</f>
        <v/>
      </c>
      <c r="BM176" t="str">
        <f ca="1">IFERROR(IF(0=LEN(ReferenceData!$BM$176),"",ReferenceData!$BM$176),"")</f>
        <v/>
      </c>
    </row>
    <row r="177" spans="1:65">
      <c r="A177" t="str">
        <f>IFERROR(IF(0=LEN(ReferenceData!$A$177),"",ReferenceData!$A$177),"")</f>
        <v xml:space="preserve">    AvalonBay Communities Inc</v>
      </c>
      <c r="B177" t="str">
        <f>IFERROR(IF(0=LEN(ReferenceData!$B$177),"",ReferenceData!$B$177),"")</f>
        <v>AVB US Equity</v>
      </c>
      <c r="C177" t="str">
        <f>IFERROR(IF(0=LEN(ReferenceData!$C$177),"",ReferenceData!$C$177),"")</f>
        <v>RR263</v>
      </c>
      <c r="D177" t="str">
        <f>IFERROR(IF(0=LEN(ReferenceData!$D$177),"",ReferenceData!$D$177),"")</f>
        <v>DEBT_TO_MKT_CAP</v>
      </c>
      <c r="E177" t="str">
        <f>IFERROR(IF(0=LEN(ReferenceData!$E$177),"",ReferenceData!$E$177),"")</f>
        <v>动态</v>
      </c>
      <c r="F177">
        <f ca="1">IFERROR(IF(0=LEN(ReferenceData!$F$177),"",ReferenceData!$F$177),"")</f>
        <v>0.32859936099999998</v>
      </c>
      <c r="G177">
        <f ca="1">IFERROR(IF(0=LEN(ReferenceData!$G$177),"",ReferenceData!$G$177),"")</f>
        <v>0.29750746</v>
      </c>
      <c r="H177">
        <f ca="1">IFERROR(IF(0=LEN(ReferenceData!$H$177),"",ReferenceData!$H$177),"")</f>
        <v>0.28932453899999999</v>
      </c>
      <c r="I177">
        <f ca="1">IFERROR(IF(0=LEN(ReferenceData!$I$177),"",ReferenceData!$I$177),"")</f>
        <v>0.26405569400000001</v>
      </c>
      <c r="J177">
        <f ca="1">IFERROR(IF(0=LEN(ReferenceData!$J$177),"",ReferenceData!$J$177),"")</f>
        <v>0.277851083</v>
      </c>
      <c r="K177">
        <f ca="1">IFERROR(IF(0=LEN(ReferenceData!$K$177),"",ReferenceData!$K$177),"")</f>
        <v>0.28901217099999998</v>
      </c>
      <c r="L177">
        <f ca="1">IFERROR(IF(0=LEN(ReferenceData!$L$177),"",ReferenceData!$L$177),"")</f>
        <v>0.279116054</v>
      </c>
      <c r="M177">
        <f ca="1">IFERROR(IF(0=LEN(ReferenceData!$M$177),"",ReferenceData!$M$177),"")</f>
        <v>0.27620178699999998</v>
      </c>
      <c r="N177">
        <f ca="1">IFERROR(IF(0=LEN(ReferenceData!$N$177),"",ReferenceData!$N$177),"")</f>
        <v>0.249543552</v>
      </c>
      <c r="O177">
        <f ca="1">IFERROR(IF(0=LEN(ReferenceData!$O$177),"",ReferenceData!$O$177),"")</f>
        <v>0.25619557900000001</v>
      </c>
      <c r="P177">
        <f ca="1">IFERROR(IF(0=LEN(ReferenceData!$P$177),"",ReferenceData!$P$177),"")</f>
        <v>0.27144433000000001</v>
      </c>
      <c r="Q177">
        <f ca="1">IFERROR(IF(0=LEN(ReferenceData!$Q$177),"",ReferenceData!$Q$177),"")</f>
        <v>0.30696734599999997</v>
      </c>
      <c r="R177">
        <f ca="1">IFERROR(IF(0=LEN(ReferenceData!$R$177),"",ReferenceData!$R$177),"")</f>
        <v>0.28519862800000001</v>
      </c>
      <c r="S177">
        <f ca="1">IFERROR(IF(0=LEN(ReferenceData!$S$177),"",ReferenceData!$S$177),"")</f>
        <v>0.300884129</v>
      </c>
      <c r="T177">
        <f ca="1">IFERROR(IF(0=LEN(ReferenceData!$T$177),"",ReferenceData!$T$177),"")</f>
        <v>0.32482301699999999</v>
      </c>
      <c r="U177">
        <f ca="1">IFERROR(IF(0=LEN(ReferenceData!$U$177),"",ReferenceData!$U$177),"")</f>
        <v>0.339401542</v>
      </c>
      <c r="V177">
        <f ca="1">IFERROR(IF(0=LEN(ReferenceData!$V$177),"",ReferenceData!$V$177),"")</f>
        <v>0.37550848199999998</v>
      </c>
      <c r="W177">
        <f ca="1">IFERROR(IF(0=LEN(ReferenceData!$W$177),"",ReferenceData!$W$177),"")</f>
        <v>0.400924585</v>
      </c>
      <c r="X177">
        <f ca="1">IFERROR(IF(0=LEN(ReferenceData!$X$177),"",ReferenceData!$X$177),"")</f>
        <v>0.37077107399999998</v>
      </c>
      <c r="Y177">
        <f ca="1">IFERROR(IF(0=LEN(ReferenceData!$Y$177),"",ReferenceData!$Y$177),"")</f>
        <v>0.33534434800000001</v>
      </c>
      <c r="Z177">
        <f ca="1">IFERROR(IF(0=LEN(ReferenceData!$Z$177),"",ReferenceData!$Z$177),"")</f>
        <v>0.361972189</v>
      </c>
      <c r="AA177">
        <f ca="1">IFERROR(IF(0=LEN(ReferenceData!$AA$177),"",ReferenceData!$AA$177),"")</f>
        <v>0.24830673</v>
      </c>
      <c r="AB177">
        <f ca="1">IFERROR(IF(0=LEN(ReferenceData!$AB$177),"",ReferenceData!$AB$177),"")</f>
        <v>0.28895608699999997</v>
      </c>
      <c r="AC177">
        <f ca="1">IFERROR(IF(0=LEN(ReferenceData!$AC$177),"",ReferenceData!$AC$177),"")</f>
        <v>0.24924068899999999</v>
      </c>
      <c r="AD177">
        <f ca="1">IFERROR(IF(0=LEN(ReferenceData!$AD$177),"",ReferenceData!$AD$177),"")</f>
        <v>0.25117980299999998</v>
      </c>
      <c r="AE177">
        <f ca="1">IFERROR(IF(0=LEN(ReferenceData!$AE$177),"",ReferenceData!$AE$177),"")</f>
        <v>0.28984440099999997</v>
      </c>
      <c r="AF177">
        <f ca="1">IFERROR(IF(0=LEN(ReferenceData!$AF$177),"",ReferenceData!$AF$177),"")</f>
        <v>0.35290518199999998</v>
      </c>
      <c r="AG177">
        <f ca="1">IFERROR(IF(0=LEN(ReferenceData!$AG$177),"",ReferenceData!$AG$177),"")</f>
        <v>0.35554376599999998</v>
      </c>
      <c r="AH177">
        <f ca="1">IFERROR(IF(0=LEN(ReferenceData!$AH$177),"",ReferenceData!$AH$177),"")</f>
        <v>0.39055008499999999</v>
      </c>
      <c r="AI177">
        <f ca="1">IFERROR(IF(0=LEN(ReferenceData!$AI$177),"",ReferenceData!$AI$177),"")</f>
        <v>0.41391603300000002</v>
      </c>
      <c r="AJ177">
        <f ca="1">IFERROR(IF(0=LEN(ReferenceData!$AJ$177),"",ReferenceData!$AJ$177),"")</f>
        <v>0.44603984899999999</v>
      </c>
      <c r="AK177">
        <f ca="1">IFERROR(IF(0=LEN(ReferenceData!$AK$177),"",ReferenceData!$AK$177),"")</f>
        <v>0.50960124299999998</v>
      </c>
      <c r="AL177">
        <f ca="1">IFERROR(IF(0=LEN(ReferenceData!$AL$177),"",ReferenceData!$AL$177),"")</f>
        <v>0.56094359900000001</v>
      </c>
      <c r="AM177">
        <f ca="1">IFERROR(IF(0=LEN(ReferenceData!$AM$177),"",ReferenceData!$AM$177),"")</f>
        <v>0.59446256600000003</v>
      </c>
      <c r="AN177">
        <f ca="1">IFERROR(IF(0=LEN(ReferenceData!$AN$177),"",ReferenceData!$AN$177),"")</f>
        <v>0.76248724000000001</v>
      </c>
      <c r="AO177">
        <f ca="1">IFERROR(IF(0=LEN(ReferenceData!$AO$177),"",ReferenceData!$AO$177),"")</f>
        <v>0.92848355800000004</v>
      </c>
      <c r="AP177">
        <f ca="1">IFERROR(IF(0=LEN(ReferenceData!$AP$177),"",ReferenceData!$AP$177),"")</f>
        <v>1.012920362</v>
      </c>
      <c r="AQ177">
        <f ca="1">IFERROR(IF(0=LEN(ReferenceData!$AQ$177),"",ReferenceData!$AQ$177),"")</f>
        <v>0.782358683</v>
      </c>
      <c r="AR177">
        <f ca="1">IFERROR(IF(0=LEN(ReferenceData!$AR$177),"",ReferenceData!$AR$177),"")</f>
        <v>0.45198464799999999</v>
      </c>
      <c r="AS177">
        <f ca="1">IFERROR(IF(0=LEN(ReferenceData!$AS$177),"",ReferenceData!$AS$177),"")</f>
        <v>0.49888638699999999</v>
      </c>
      <c r="AT177">
        <f ca="1">IFERROR(IF(0=LEN(ReferenceData!$AT$177),"",ReferenceData!$AT$177),"")</f>
        <v>0.495958819</v>
      </c>
      <c r="AU177">
        <f ca="1">IFERROR(IF(0=LEN(ReferenceData!$AU$177),"",ReferenceData!$AU$177),"")</f>
        <v>0.43274052400000002</v>
      </c>
      <c r="AV177">
        <f ca="1">IFERROR(IF(0=LEN(ReferenceData!$AV$177),"",ReferenceData!$AV$177),"")</f>
        <v>0.32447541499999999</v>
      </c>
      <c r="AW177">
        <f ca="1">IFERROR(IF(0=LEN(ReferenceData!$AW$177),"",ReferenceData!$AW$177),"")</f>
        <v>0.30783349700000001</v>
      </c>
      <c r="AX177">
        <f ca="1">IFERROR(IF(0=LEN(ReferenceData!$AX$177),"",ReferenceData!$AX$177),"")</f>
        <v>0.272221241</v>
      </c>
      <c r="AY177">
        <f ca="1">IFERROR(IF(0=LEN(ReferenceData!$AY$177),"",ReferenceData!$AY$177),"")</f>
        <v>0.288744679</v>
      </c>
      <c r="AZ177">
        <f ca="1">IFERROR(IF(0=LEN(ReferenceData!$AZ$177),"",ReferenceData!$AZ$177),"")</f>
        <v>0.29459395900000002</v>
      </c>
      <c r="BA177">
        <f ca="1">IFERROR(IF(0=LEN(ReferenceData!$BA$177),"",ReferenceData!$BA$177),"")</f>
        <v>0.28441878399999998</v>
      </c>
      <c r="BB177">
        <f ca="1">IFERROR(IF(0=LEN(ReferenceData!$BB$177),"",ReferenceData!$BB$177),"")</f>
        <v>0.28481447999999998</v>
      </c>
      <c r="BC177">
        <f ca="1">IFERROR(IF(0=LEN(ReferenceData!$BC$177),"",ReferenceData!$BC$177),"")</f>
        <v>0.36063896099999998</v>
      </c>
      <c r="BD177">
        <f ca="1">IFERROR(IF(0=LEN(ReferenceData!$BD$177),"",ReferenceData!$BD$177),"")</f>
        <v>0.38097561499999999</v>
      </c>
      <c r="BE177">
        <f ca="1">IFERROR(IF(0=LEN(ReferenceData!$BE$177),"",ReferenceData!$BE$177),"")</f>
        <v>0.41401660099999998</v>
      </c>
      <c r="BF177">
        <f ca="1">IFERROR(IF(0=LEN(ReferenceData!$BF$177),"",ReferenceData!$BF$177),"")</f>
        <v>0.49488174400000001</v>
      </c>
      <c r="BG177">
        <f ca="1">IFERROR(IF(0=LEN(ReferenceData!$BG$177),"",ReferenceData!$BG$177),"")</f>
        <v>0.45035131499999997</v>
      </c>
      <c r="BH177">
        <f ca="1">IFERROR(IF(0=LEN(ReferenceData!$BH$177),"",ReferenceData!$BH$177),"")</f>
        <v>0.584990232</v>
      </c>
      <c r="BI177">
        <f ca="1">IFERROR(IF(0=LEN(ReferenceData!$BI$177),"",ReferenceData!$BI$177),"")</f>
        <v>0.60299122299999997</v>
      </c>
      <c r="BJ177">
        <f ca="1">IFERROR(IF(0=LEN(ReferenceData!$BJ$177),"",ReferenceData!$BJ$177),"")</f>
        <v>0.62836747199999998</v>
      </c>
      <c r="BK177">
        <f ca="1">IFERROR(IF(0=LEN(ReferenceData!$BK$177),"",ReferenceData!$BK$177),"")</f>
        <v>0.69160604199999998</v>
      </c>
      <c r="BL177">
        <f ca="1">IFERROR(IF(0=LEN(ReferenceData!$BL$177),"",ReferenceData!$BL$177),"")</f>
        <v>0.74086580400000002</v>
      </c>
      <c r="BM177">
        <f ca="1">IFERROR(IF(0=LEN(ReferenceData!$BM$177),"",ReferenceData!$BM$177),"")</f>
        <v>0.89035573999999995</v>
      </c>
    </row>
    <row r="178" spans="1:65">
      <c r="A178" t="str">
        <f>IFERROR(IF(0=LEN(ReferenceData!$A$178),"",ReferenceData!$A$178),"")</f>
        <v xml:space="preserve">    Camden Property Trust</v>
      </c>
      <c r="B178" t="str">
        <f>IFERROR(IF(0=LEN(ReferenceData!$B$178),"",ReferenceData!$B$178),"")</f>
        <v>CPT US Equity</v>
      </c>
      <c r="C178" t="str">
        <f>IFERROR(IF(0=LEN(ReferenceData!$C$178),"",ReferenceData!$C$178),"")</f>
        <v>RR263</v>
      </c>
      <c r="D178" t="str">
        <f>IFERROR(IF(0=LEN(ReferenceData!$D$178),"",ReferenceData!$D$178),"")</f>
        <v>DEBT_TO_MKT_CAP</v>
      </c>
      <c r="E178" t="str">
        <f>IFERROR(IF(0=LEN(ReferenceData!$E$178),"",ReferenceData!$E$178),"")</f>
        <v>动态</v>
      </c>
      <c r="F178">
        <f ca="1">IFERROR(IF(0=LEN(ReferenceData!$F$178),"",ReferenceData!$F$178),"")</f>
        <v>0.28605333999999999</v>
      </c>
      <c r="G178">
        <f ca="1">IFERROR(IF(0=LEN(ReferenceData!$G$178),"",ReferenceData!$G$178),"")</f>
        <v>0.25840158499999999</v>
      </c>
      <c r="H178">
        <f ca="1">IFERROR(IF(0=LEN(ReferenceData!$H$178),"",ReferenceData!$H$178),"")</f>
        <v>0.26011192700000002</v>
      </c>
      <c r="I178">
        <f ca="1">IFERROR(IF(0=LEN(ReferenceData!$I$178),"",ReferenceData!$I$178),"")</f>
        <v>0.30742443800000002</v>
      </c>
      <c r="J178">
        <f ca="1">IFERROR(IF(0=LEN(ReferenceData!$J$178),"",ReferenceData!$J$178),"")</f>
        <v>0.34752550399999999</v>
      </c>
      <c r="K178">
        <f ca="1">IFERROR(IF(0=LEN(ReferenceData!$K$178),"",ReferenceData!$K$178),"")</f>
        <v>0.33729194800000001</v>
      </c>
      <c r="L178">
        <f ca="1">IFERROR(IF(0=LEN(ReferenceData!$L$178),"",ReferenceData!$L$178),"")</f>
        <v>0.33888812800000001</v>
      </c>
      <c r="M178">
        <f ca="1">IFERROR(IF(0=LEN(ReferenceData!$M$178),"",ReferenceData!$M$178),"")</f>
        <v>0.32250116099999998</v>
      </c>
      <c r="N178">
        <f ca="1">IFERROR(IF(0=LEN(ReferenceData!$N$178),"",ReferenceData!$N$178),"")</f>
        <v>0.378374145</v>
      </c>
      <c r="O178">
        <f ca="1">IFERROR(IF(0=LEN(ReferenceData!$O$178),"",ReferenceData!$O$178),"")</f>
        <v>0.40865411299999999</v>
      </c>
      <c r="P178">
        <f ca="1">IFERROR(IF(0=LEN(ReferenceData!$P$178),"",ReferenceData!$P$178),"")</f>
        <v>0.42303097899999997</v>
      </c>
      <c r="Q178">
        <f ca="1">IFERROR(IF(0=LEN(ReferenceData!$Q$178),"",ReferenceData!$Q$178),"")</f>
        <v>0.41464124499999999</v>
      </c>
      <c r="R178">
        <f ca="1">IFERROR(IF(0=LEN(ReferenceData!$R$178),"",ReferenceData!$R$178),"")</f>
        <v>0.39052282900000002</v>
      </c>
      <c r="S178">
        <f ca="1">IFERROR(IF(0=LEN(ReferenceData!$S$178),"",ReferenceData!$S$178),"")</f>
        <v>0.42801845999999999</v>
      </c>
      <c r="T178">
        <f ca="1">IFERROR(IF(0=LEN(ReferenceData!$T$178),"",ReferenceData!$T$178),"")</f>
        <v>0.46750167399999998</v>
      </c>
      <c r="U178">
        <f ca="1">IFERROR(IF(0=LEN(ReferenceData!$U$178),"",ReferenceData!$U$178),"")</f>
        <v>0.44353257200000001</v>
      </c>
      <c r="V178">
        <f ca="1">IFERROR(IF(0=LEN(ReferenceData!$V$178),"",ReferenceData!$V$178),"")</f>
        <v>0.433880665</v>
      </c>
      <c r="W178">
        <f ca="1">IFERROR(IF(0=LEN(ReferenceData!$W$178),"",ReferenceData!$W$178),"")</f>
        <v>0.52086829099999998</v>
      </c>
      <c r="X178">
        <f ca="1">IFERROR(IF(0=LEN(ReferenceData!$X$178),"",ReferenceData!$X$178),"")</f>
        <v>0.50874902200000005</v>
      </c>
      <c r="Y178">
        <f ca="1">IFERROR(IF(0=LEN(ReferenceData!$Y$178),"",ReferenceData!$Y$178),"")</f>
        <v>0.430268294</v>
      </c>
      <c r="Z178">
        <f ca="1">IFERROR(IF(0=LEN(ReferenceData!$Z$178),"",ReferenceData!$Z$178),"")</f>
        <v>0.42990765399999997</v>
      </c>
      <c r="AA178">
        <f ca="1">IFERROR(IF(0=LEN(ReferenceData!$AA$178),"",ReferenceData!$AA$178),"")</f>
        <v>0.43755190399999999</v>
      </c>
      <c r="AB178">
        <f ca="1">IFERROR(IF(0=LEN(ReferenceData!$AB$178),"",ReferenceData!$AB$178),"")</f>
        <v>0.44406894699999999</v>
      </c>
      <c r="AC178">
        <f ca="1">IFERROR(IF(0=LEN(ReferenceData!$AC$178),"",ReferenceData!$AC$178),"")</f>
        <v>0.44107670599999999</v>
      </c>
      <c r="AD178">
        <f ca="1">IFERROR(IF(0=LEN(ReferenceData!$AD$178),"",ReferenceData!$AD$178),"")</f>
        <v>0.46920083699999998</v>
      </c>
      <c r="AE178">
        <f ca="1">IFERROR(IF(0=LEN(ReferenceData!$AE$178),"",ReferenceData!$AE$178),"")</f>
        <v>0.54761226200000002</v>
      </c>
      <c r="AF178">
        <f ca="1">IFERROR(IF(0=LEN(ReferenceData!$AF$178),"",ReferenceData!$AF$178),"")</f>
        <v>0.618608088</v>
      </c>
      <c r="AG178">
        <f ca="1">IFERROR(IF(0=LEN(ReferenceData!$AG$178),"",ReferenceData!$AG$178),"")</f>
        <v>0.54515336800000003</v>
      </c>
      <c r="AH178">
        <f ca="1">IFERROR(IF(0=LEN(ReferenceData!$AH$178),"",ReferenceData!$AH$178),"")</f>
        <v>0.62410033099999995</v>
      </c>
      <c r="AI178">
        <f ca="1">IFERROR(IF(0=LEN(ReferenceData!$AI$178),"",ReferenceData!$AI$178),"")</f>
        <v>0.69156262700000004</v>
      </c>
      <c r="AJ178">
        <f ca="1">IFERROR(IF(0=LEN(ReferenceData!$AJ$178),"",ReferenceData!$AJ$178),"")</f>
        <v>0.79119218899999999</v>
      </c>
      <c r="AK178">
        <f ca="1">IFERROR(IF(0=LEN(ReferenceData!$AK$178),"",ReferenceData!$AK$178),"")</f>
        <v>0.95620362999999997</v>
      </c>
      <c r="AL178">
        <f ca="1">IFERROR(IF(0=LEN(ReferenceData!$AL$178),"",ReferenceData!$AL$178),"")</f>
        <v>0.95690762399999996</v>
      </c>
      <c r="AM178">
        <f ca="1">IFERROR(IF(0=LEN(ReferenceData!$AM$178),"",ReferenceData!$AM$178),"")</f>
        <v>0.96546796499999998</v>
      </c>
      <c r="AN178">
        <f ca="1">IFERROR(IF(0=LEN(ReferenceData!$AN$178),"",ReferenceData!$AN$178),"")</f>
        <v>1.0147161179999999</v>
      </c>
      <c r="AO178">
        <f ca="1">IFERROR(IF(0=LEN(ReferenceData!$AO$178),"",ReferenceData!$AO$178),"")</f>
        <v>1.4659605529999999</v>
      </c>
      <c r="AP178">
        <f ca="1">IFERROR(IF(0=LEN(ReferenceData!$AP$178),"",ReferenceData!$AP$178),"")</f>
        <v>2.461246204</v>
      </c>
      <c r="AQ178">
        <f ca="1">IFERROR(IF(0=LEN(ReferenceData!$AQ$178),"",ReferenceData!$AQ$178),"")</f>
        <v>1.696887271</v>
      </c>
      <c r="AR178">
        <f ca="1">IFERROR(IF(0=LEN(ReferenceData!$AR$178),"",ReferenceData!$AR$178),"")</f>
        <v>1.158188376</v>
      </c>
      <c r="AS178">
        <f ca="1">IFERROR(IF(0=LEN(ReferenceData!$AS$178),"",ReferenceData!$AS$178),"")</f>
        <v>1.249491387</v>
      </c>
      <c r="AT178">
        <f ca="1">IFERROR(IF(0=LEN(ReferenceData!$AT$178),"",ReferenceData!$AT$178),"")</f>
        <v>1.100458165</v>
      </c>
      <c r="AU178">
        <f ca="1">IFERROR(IF(0=LEN(ReferenceData!$AU$178),"",ReferenceData!$AU$178),"")</f>
        <v>1.0940234900000001</v>
      </c>
      <c r="AV178">
        <f ca="1">IFERROR(IF(0=LEN(ReferenceData!$AV$178),"",ReferenceData!$AV$178),"")</f>
        <v>0.79366037300000003</v>
      </c>
      <c r="AW178">
        <f ca="1">IFERROR(IF(0=LEN(ReferenceData!$AW$178),"",ReferenceData!$AW$178),"")</f>
        <v>0.71717364400000005</v>
      </c>
      <c r="AX178">
        <f ca="1">IFERROR(IF(0=LEN(ReferenceData!$AX$178),"",ReferenceData!$AX$178),"")</f>
        <v>0.64222198500000005</v>
      </c>
      <c r="AY178">
        <f ca="1">IFERROR(IF(0=LEN(ReferenceData!$AY$178),"",ReferenceData!$AY$178),"")</f>
        <v>0.58288224</v>
      </c>
      <c r="AZ178">
        <f ca="1">IFERROR(IF(0=LEN(ReferenceData!$AZ$178),"",ReferenceData!$AZ$178),"")</f>
        <v>0.55494460099999998</v>
      </c>
      <c r="BA178">
        <f ca="1">IFERROR(IF(0=LEN(ReferenceData!$BA$178),"",ReferenceData!$BA$178),"")</f>
        <v>0.64484433299999999</v>
      </c>
      <c r="BB178">
        <f ca="1">IFERROR(IF(0=LEN(ReferenceData!$BB$178),"",ReferenceData!$BB$178),"")</f>
        <v>0.75596137399999996</v>
      </c>
      <c r="BC178">
        <f ca="1">IFERROR(IF(0=LEN(ReferenceData!$BC$178),"",ReferenceData!$BC$178),"")</f>
        <v>0.87200124199999995</v>
      </c>
      <c r="BD178">
        <f ca="1">IFERROR(IF(0=LEN(ReferenceData!$BD$178),"",ReferenceData!$BD$178),"")</f>
        <v>0.88406166100000005</v>
      </c>
      <c r="BE178">
        <f ca="1">IFERROR(IF(0=LEN(ReferenceData!$BE$178),"",ReferenceData!$BE$178),"")</f>
        <v>0.90802863300000003</v>
      </c>
      <c r="BF178">
        <f ca="1">IFERROR(IF(0=LEN(ReferenceData!$BF$178),"",ReferenceData!$BF$178),"")</f>
        <v>1.056119644</v>
      </c>
      <c r="BG178">
        <f ca="1">IFERROR(IF(0=LEN(ReferenceData!$BG$178),"",ReferenceData!$BG$178),"")</f>
        <v>0.773776668</v>
      </c>
      <c r="BH178">
        <f ca="1">IFERROR(IF(0=LEN(ReferenceData!$BH$178),"",ReferenceData!$BH$178),"")</f>
        <v>0.87061564499999999</v>
      </c>
      <c r="BI178">
        <f ca="1">IFERROR(IF(0=LEN(ReferenceData!$BI$178),"",ReferenceData!$BI$178),"")</f>
        <v>0.85654301799999999</v>
      </c>
      <c r="BJ178">
        <f ca="1">IFERROR(IF(0=LEN(ReferenceData!$BJ$178),"",ReferenceData!$BJ$178),"")</f>
        <v>0.85152987800000002</v>
      </c>
      <c r="BK178">
        <f ca="1">IFERROR(IF(0=LEN(ReferenceData!$BK$178),"",ReferenceData!$BK$178),"")</f>
        <v>0.86027894800000004</v>
      </c>
      <c r="BL178">
        <f ca="1">IFERROR(IF(0=LEN(ReferenceData!$BL$178),"",ReferenceData!$BL$178),"")</f>
        <v>0.98033037300000003</v>
      </c>
      <c r="BM178">
        <f ca="1">IFERROR(IF(0=LEN(ReferenceData!$BM$178),"",ReferenceData!$BM$178),"")</f>
        <v>1.076051152</v>
      </c>
    </row>
    <row r="179" spans="1:65">
      <c r="A179" t="str">
        <f>IFERROR(IF(0=LEN(ReferenceData!$A$179),"",ReferenceData!$A$179),"")</f>
        <v xml:space="preserve">    Education Realty Trust Inc</v>
      </c>
      <c r="B179" t="str">
        <f>IFERROR(IF(0=LEN(ReferenceData!$B$179),"",ReferenceData!$B$179),"")</f>
        <v>EDR US Equity</v>
      </c>
      <c r="C179" t="str">
        <f>IFERROR(IF(0=LEN(ReferenceData!$C$179),"",ReferenceData!$C$179),"")</f>
        <v>RR263</v>
      </c>
      <c r="D179" t="str">
        <f>IFERROR(IF(0=LEN(ReferenceData!$D$179),"",ReferenceData!$D$179),"")</f>
        <v>DEBT_TO_MKT_CAP</v>
      </c>
      <c r="E179" t="str">
        <f>IFERROR(IF(0=LEN(ReferenceData!$E$179),"",ReferenceData!$E$179),"")</f>
        <v>动态</v>
      </c>
      <c r="F179">
        <f ca="1">IFERROR(IF(0=LEN(ReferenceData!$F$179),"",ReferenceData!$F$179),"")</f>
        <v>0.378421175</v>
      </c>
      <c r="G179">
        <f ca="1">IFERROR(IF(0=LEN(ReferenceData!$G$179),"",ReferenceData!$G$179),"")</f>
        <v>0.35287176799999997</v>
      </c>
      <c r="H179">
        <f ca="1">IFERROR(IF(0=LEN(ReferenceData!$H$179),"",ReferenceData!$H$179),"")</f>
        <v>0.30726102199999999</v>
      </c>
      <c r="I179">
        <f ca="1">IFERROR(IF(0=LEN(ReferenceData!$I$179),"",ReferenceData!$I$179),"")</f>
        <v>0.285352035</v>
      </c>
      <c r="J179">
        <f ca="1">IFERROR(IF(0=LEN(ReferenceData!$J$179),"",ReferenceData!$J$179),"")</f>
        <v>0.24222933499999999</v>
      </c>
      <c r="K179">
        <f ca="1">IFERROR(IF(0=LEN(ReferenceData!$K$179),"",ReferenceData!$K$179),"")</f>
        <v>0.16731821299999999</v>
      </c>
      <c r="L179">
        <f ca="1">IFERROR(IF(0=LEN(ReferenceData!$L$179),"",ReferenceData!$L$179),"")</f>
        <v>0.157527954</v>
      </c>
      <c r="M179">
        <f ca="1">IFERROR(IF(0=LEN(ReferenceData!$M$179),"",ReferenceData!$M$179),"")</f>
        <v>0.174787778</v>
      </c>
      <c r="N179">
        <f ca="1">IFERROR(IF(0=LEN(ReferenceData!$N$179),"",ReferenceData!$N$179),"")</f>
        <v>0.21011471800000001</v>
      </c>
      <c r="O179">
        <f ca="1">IFERROR(IF(0=LEN(ReferenceData!$O$179),"",ReferenceData!$O$179),"")</f>
        <v>0.29866216699999998</v>
      </c>
      <c r="P179">
        <f ca="1">IFERROR(IF(0=LEN(ReferenceData!$P$179),"",ReferenceData!$P$179),"")</f>
        <v>0.55944685000000005</v>
      </c>
      <c r="Q179">
        <f ca="1">IFERROR(IF(0=LEN(ReferenceData!$Q$179),"",ReferenceData!$Q$179),"")</f>
        <v>0.527704583</v>
      </c>
      <c r="R179">
        <f ca="1">IFERROR(IF(0=LEN(ReferenceData!$R$179),"",ReferenceData!$R$179),"")</f>
        <v>0.43556808899999999</v>
      </c>
      <c r="S179">
        <f ca="1">IFERROR(IF(0=LEN(ReferenceData!$S$179),"",ReferenceData!$S$179),"")</f>
        <v>0.406123332</v>
      </c>
      <c r="T179">
        <f ca="1">IFERROR(IF(0=LEN(ReferenceData!$T$179),"",ReferenceData!$T$179),"")</f>
        <v>0.51133919000000005</v>
      </c>
      <c r="U179">
        <f ca="1">IFERROR(IF(0=LEN(ReferenceData!$U$179),"",ReferenceData!$U$179),"")</f>
        <v>0.41021953799999999</v>
      </c>
      <c r="V179">
        <f ca="1">IFERROR(IF(0=LEN(ReferenceData!$V$179),"",ReferenceData!$V$179),"")</f>
        <v>0.70220539500000001</v>
      </c>
      <c r="W179">
        <f ca="1">IFERROR(IF(0=LEN(ReferenceData!$W$179),"",ReferenceData!$W$179),"")</f>
        <v>0.76980421499999996</v>
      </c>
      <c r="X179">
        <f ca="1">IFERROR(IF(0=LEN(ReferenceData!$X$179),"",ReferenceData!$X$179),"")</f>
        <v>0.67343801700000006</v>
      </c>
      <c r="Y179">
        <f ca="1">IFERROR(IF(0=LEN(ReferenceData!$Y$179),"",ReferenceData!$Y$179),"")</f>
        <v>0.46869079000000002</v>
      </c>
      <c r="Z179">
        <f ca="1">IFERROR(IF(0=LEN(ReferenceData!$Z$179),"",ReferenceData!$Z$179),"")</f>
        <v>0.43140120999999998</v>
      </c>
      <c r="AA179">
        <f ca="1">IFERROR(IF(0=LEN(ReferenceData!$AA$179),"",ReferenceData!$AA$179),"")</f>
        <v>0.39736348799999999</v>
      </c>
      <c r="AB179">
        <f ca="1">IFERROR(IF(0=LEN(ReferenceData!$AB$179),"",ReferenceData!$AB$179),"")</f>
        <v>0.26183246799999998</v>
      </c>
      <c r="AC179">
        <f ca="1">IFERROR(IF(0=LEN(ReferenceData!$AC$179),"",ReferenceData!$AC$179),"")</f>
        <v>0.324307917</v>
      </c>
      <c r="AD179">
        <f ca="1">IFERROR(IF(0=LEN(ReferenceData!$AD$179),"",ReferenceData!$AD$179),"")</f>
        <v>0.33122853699999999</v>
      </c>
      <c r="AE179">
        <f ca="1">IFERROR(IF(0=LEN(ReferenceData!$AE$179),"",ReferenceData!$AE$179),"")</f>
        <v>0.38097349699999999</v>
      </c>
      <c r="AF179">
        <f ca="1">IFERROR(IF(0=LEN(ReferenceData!$AF$179),"",ReferenceData!$AF$179),"")</f>
        <v>0.53969834100000003</v>
      </c>
      <c r="AG179">
        <f ca="1">IFERROR(IF(0=LEN(ReferenceData!$AG$179),"",ReferenceData!$AG$179),"")</f>
        <v>0.53312605400000002</v>
      </c>
      <c r="AH179">
        <f ca="1">IFERROR(IF(0=LEN(ReferenceData!$AH$179),"",ReferenceData!$AH$179),"")</f>
        <v>0.57117082200000002</v>
      </c>
      <c r="AI179">
        <f ca="1">IFERROR(IF(0=LEN(ReferenceData!$AI$179),"",ReferenceData!$AI$179),"")</f>
        <v>0.815431982</v>
      </c>
      <c r="AJ179">
        <f ca="1">IFERROR(IF(0=LEN(ReferenceData!$AJ$179),"",ReferenceData!$AJ$179),"")</f>
        <v>0.96889702600000005</v>
      </c>
      <c r="AK179">
        <f ca="1">IFERROR(IF(0=LEN(ReferenceData!$AK$179),"",ReferenceData!$AK$179),"")</f>
        <v>1.163038419</v>
      </c>
      <c r="AL179">
        <f ca="1">IFERROR(IF(0=LEN(ReferenceData!$AL$179),"",ReferenceData!$AL$179),"")</f>
        <v>1.2439617140000001</v>
      </c>
      <c r="AM179">
        <f ca="1">IFERROR(IF(0=LEN(ReferenceData!$AM$179),"",ReferenceData!$AM$179),"")</f>
        <v>1.4808230979999999</v>
      </c>
      <c r="AN179">
        <f ca="1">IFERROR(IF(0=LEN(ReferenceData!$AN$179),"",ReferenceData!$AN$179),"")</f>
        <v>1.361040853</v>
      </c>
      <c r="AO179">
        <f ca="1">IFERROR(IF(0=LEN(ReferenceData!$AO$179),"",ReferenceData!$AO$179),"")</f>
        <v>3.924043401</v>
      </c>
      <c r="AP179">
        <f ca="1">IFERROR(IF(0=LEN(ReferenceData!$AP$179),"",ReferenceData!$AP$179),"")</f>
        <v>4.8000374829999997</v>
      </c>
      <c r="AQ179">
        <f ca="1">IFERROR(IF(0=LEN(ReferenceData!$AQ$179),"",ReferenceData!$AQ$179),"")</f>
        <v>3.1922367280000001</v>
      </c>
      <c r="AR179">
        <f ca="1">IFERROR(IF(0=LEN(ReferenceData!$AR$179),"",ReferenceData!$AR$179),"")</f>
        <v>1.4167380700000001</v>
      </c>
      <c r="AS179">
        <f ca="1">IFERROR(IF(0=LEN(ReferenceData!$AS$179),"",ReferenceData!$AS$179),"")</f>
        <v>1.3858757779999999</v>
      </c>
      <c r="AT179">
        <f ca="1">IFERROR(IF(0=LEN(ReferenceData!$AT$179),"",ReferenceData!$AT$179),"")</f>
        <v>1.2045639459999999</v>
      </c>
      <c r="AU179">
        <f ca="1">IFERROR(IF(0=LEN(ReferenceData!$AU$179),"",ReferenceData!$AU$179),"")</f>
        <v>1.3496092070000001</v>
      </c>
      <c r="AV179">
        <f ca="1">IFERROR(IF(0=LEN(ReferenceData!$AV$179),"",ReferenceData!$AV$179),"")</f>
        <v>1.102447873</v>
      </c>
      <c r="AW179">
        <f ca="1">IFERROR(IF(0=LEN(ReferenceData!$AW$179),"",ReferenceData!$AW$179),"")</f>
        <v>1.078185607</v>
      </c>
      <c r="AX179">
        <f ca="1">IFERROR(IF(0=LEN(ReferenceData!$AX$179),"",ReferenceData!$AX$179),"")</f>
        <v>1.200726449</v>
      </c>
      <c r="AY179">
        <f ca="1">IFERROR(IF(0=LEN(ReferenceData!$AY$179),"",ReferenceData!$AY$179),"")</f>
        <v>1.2570902850000001</v>
      </c>
      <c r="AZ179">
        <f ca="1">IFERROR(IF(0=LEN(ReferenceData!$AZ$179),"",ReferenceData!$AZ$179),"")</f>
        <v>1.267362729</v>
      </c>
      <c r="BA179">
        <f ca="1">IFERROR(IF(0=LEN(ReferenceData!$BA$179),"",ReferenceData!$BA$179),"")</f>
        <v>1.1173772989999999</v>
      </c>
      <c r="BB179">
        <f ca="1">IFERROR(IF(0=LEN(ReferenceData!$BB$179),"",ReferenceData!$BB$179),"")</f>
        <v>1.1874913380000001</v>
      </c>
      <c r="BC179">
        <f ca="1">IFERROR(IF(0=LEN(ReferenceData!$BC$179),"",ReferenceData!$BC$179),"")</f>
        <v>0.96444936000000003</v>
      </c>
      <c r="BD179">
        <f ca="1">IFERROR(IF(0=LEN(ReferenceData!$BD$179),"",ReferenceData!$BD$179),"")</f>
        <v>0.89911669999999999</v>
      </c>
      <c r="BE179">
        <f ca="1">IFERROR(IF(0=LEN(ReferenceData!$BE$179),"",ReferenceData!$BE$179),"")</f>
        <v>0.81670600999999998</v>
      </c>
      <c r="BF179">
        <f ca="1">IFERROR(IF(0=LEN(ReferenceData!$BF$179),"",ReferenceData!$BF$179),"")</f>
        <v>0.78880765600000002</v>
      </c>
      <c r="BG179" t="str">
        <f ca="1">IFERROR(IF(0=LEN(ReferenceData!$BG$179),"",ReferenceData!$BG$179),"")</f>
        <v/>
      </c>
      <c r="BH179" t="str">
        <f ca="1">IFERROR(IF(0=LEN(ReferenceData!$BH$179),"",ReferenceData!$BH$179),"")</f>
        <v/>
      </c>
      <c r="BI179" t="str">
        <f ca="1">IFERROR(IF(0=LEN(ReferenceData!$BI$179),"",ReferenceData!$BI$179),"")</f>
        <v/>
      </c>
      <c r="BJ179" t="str">
        <f ca="1">IFERROR(IF(0=LEN(ReferenceData!$BJ$179),"",ReferenceData!$BJ$179),"")</f>
        <v/>
      </c>
      <c r="BK179" t="str">
        <f ca="1">IFERROR(IF(0=LEN(ReferenceData!$BK$179),"",ReferenceData!$BK$179),"")</f>
        <v/>
      </c>
      <c r="BL179" t="str">
        <f ca="1">IFERROR(IF(0=LEN(ReferenceData!$BL$179),"",ReferenceData!$BL$179),"")</f>
        <v/>
      </c>
      <c r="BM179" t="str">
        <f ca="1">IFERROR(IF(0=LEN(ReferenceData!$BM$179),"",ReferenceData!$BM$179),"")</f>
        <v/>
      </c>
    </row>
    <row r="180" spans="1:65">
      <c r="A180" t="str">
        <f>IFERROR(IF(0=LEN(ReferenceData!$A$180),"",ReferenceData!$A$180),"")</f>
        <v xml:space="preserve">    Equity Residential</v>
      </c>
      <c r="B180" t="str">
        <f>IFERROR(IF(0=LEN(ReferenceData!$B$180),"",ReferenceData!$B$180),"")</f>
        <v>EQR US Equity</v>
      </c>
      <c r="C180" t="str">
        <f>IFERROR(IF(0=LEN(ReferenceData!$C$180),"",ReferenceData!$C$180),"")</f>
        <v>RR263</v>
      </c>
      <c r="D180" t="str">
        <f>IFERROR(IF(0=LEN(ReferenceData!$D$180),"",ReferenceData!$D$180),"")</f>
        <v>DEBT_TO_MKT_CAP</v>
      </c>
      <c r="E180" t="str">
        <f>IFERROR(IF(0=LEN(ReferenceData!$E$180),"",ReferenceData!$E$180),"")</f>
        <v>动态</v>
      </c>
      <c r="F180">
        <f ca="1">IFERROR(IF(0=LEN(ReferenceData!$F$180),"",ReferenceData!$F$180),"")</f>
        <v>0.40979037299999999</v>
      </c>
      <c r="G180">
        <f ca="1">IFERROR(IF(0=LEN(ReferenceData!$G$180),"",ReferenceData!$G$180),"")</f>
        <v>0.38222659599999997</v>
      </c>
      <c r="H180">
        <f ca="1">IFERROR(IF(0=LEN(ReferenceData!$H$180),"",ReferenceData!$H$180),"")</f>
        <v>0.37132120899999999</v>
      </c>
      <c r="I180">
        <f ca="1">IFERROR(IF(0=LEN(ReferenceData!$I$180),"",ReferenceData!$I$180),"")</f>
        <v>0.37087956100000002</v>
      </c>
      <c r="J180">
        <f ca="1">IFERROR(IF(0=LEN(ReferenceData!$J$180),"",ReferenceData!$J$180),"")</f>
        <v>0.390963481</v>
      </c>
      <c r="K180">
        <f ca="1">IFERROR(IF(0=LEN(ReferenceData!$K$180),"",ReferenceData!$K$180),"")</f>
        <v>0.38188298399999998</v>
      </c>
      <c r="L180">
        <f ca="1">IFERROR(IF(0=LEN(ReferenceData!$L$180),"",ReferenceData!$L$180),"")</f>
        <v>0.36140101600000002</v>
      </c>
      <c r="M180">
        <f ca="1">IFERROR(IF(0=LEN(ReferenceData!$M$180),"",ReferenceData!$M$180),"")</f>
        <v>0.33806267699999998</v>
      </c>
      <c r="N180">
        <f ca="1">IFERROR(IF(0=LEN(ReferenceData!$N$180),"",ReferenceData!$N$180),"")</f>
        <v>0.31331720099999999</v>
      </c>
      <c r="O180">
        <f ca="1">IFERROR(IF(0=LEN(ReferenceData!$O$180),"",ReferenceData!$O$180),"")</f>
        <v>0.367473775</v>
      </c>
      <c r="P180">
        <f ca="1">IFERROR(IF(0=LEN(ReferenceData!$P$180),"",ReferenceData!$P$180),"")</f>
        <v>0.39500453699999999</v>
      </c>
      <c r="Q180">
        <f ca="1">IFERROR(IF(0=LEN(ReferenceData!$Q$180),"",ReferenceData!$Q$180),"")</f>
        <v>0.423940645</v>
      </c>
      <c r="R180">
        <f ca="1">IFERROR(IF(0=LEN(ReferenceData!$R$180),"",ReferenceData!$R$180),"")</f>
        <v>0.383384962</v>
      </c>
      <c r="S180">
        <f ca="1">IFERROR(IF(0=LEN(ReferenceData!$S$180),"",ReferenceData!$S$180),"")</f>
        <v>0.416594558</v>
      </c>
      <c r="T180">
        <f ca="1">IFERROR(IF(0=LEN(ReferenceData!$T$180),"",ReferenceData!$T$180),"")</f>
        <v>0.49189935099999998</v>
      </c>
      <c r="U180">
        <f ca="1">IFERROR(IF(0=LEN(ReferenceData!$U$180),"",ReferenceData!$U$180),"")</f>
        <v>0.486998761</v>
      </c>
      <c r="V180">
        <f ca="1">IFERROR(IF(0=LEN(ReferenceData!$V$180),"",ReferenceData!$V$180),"")</f>
        <v>0.52262721199999995</v>
      </c>
      <c r="W180">
        <f ca="1">IFERROR(IF(0=LEN(ReferenceData!$W$180),"",ReferenceData!$W$180),"")</f>
        <v>0.57590469300000002</v>
      </c>
      <c r="X180">
        <f ca="1">IFERROR(IF(0=LEN(ReferenceData!$X$180),"",ReferenceData!$X$180),"")</f>
        <v>0.60649239200000005</v>
      </c>
      <c r="Y180">
        <f ca="1">IFERROR(IF(0=LEN(ReferenceData!$Y$180),"",ReferenceData!$Y$180),"")</f>
        <v>0.56064884999999998</v>
      </c>
      <c r="Z180">
        <f ca="1">IFERROR(IF(0=LEN(ReferenceData!$Z$180),"",ReferenceData!$Z$180),"")</f>
        <v>0.61335368700000004</v>
      </c>
      <c r="AA180">
        <f ca="1">IFERROR(IF(0=LEN(ReferenceData!$AA$180),"",ReferenceData!$AA$180),"")</f>
        <v>0.46377740299999998</v>
      </c>
      <c r="AB180">
        <f ca="1">IFERROR(IF(0=LEN(ReferenceData!$AB$180),"",ReferenceData!$AB$180),"")</f>
        <v>0.53756161700000005</v>
      </c>
      <c r="AC180">
        <f ca="1">IFERROR(IF(0=LEN(ReferenceData!$AC$180),"",ReferenceData!$AC$180),"")</f>
        <v>0.50110973400000003</v>
      </c>
      <c r="AD180">
        <f ca="1">IFERROR(IF(0=LEN(ReferenceData!$AD$180),"",ReferenceData!$AD$180),"")</f>
        <v>0.50063985300000002</v>
      </c>
      <c r="AE180">
        <f ca="1">IFERROR(IF(0=LEN(ReferenceData!$AE$180),"",ReferenceData!$AE$180),"")</f>
        <v>0.57464187899999997</v>
      </c>
      <c r="AF180">
        <f ca="1">IFERROR(IF(0=LEN(ReferenceData!$AF$180),"",ReferenceData!$AF$180),"")</f>
        <v>0.570730454</v>
      </c>
      <c r="AG180">
        <f ca="1">IFERROR(IF(0=LEN(ReferenceData!$AG$180),"",ReferenceData!$AG$180),"")</f>
        <v>0.53445489400000001</v>
      </c>
      <c r="AH180">
        <f ca="1">IFERROR(IF(0=LEN(ReferenceData!$AH$180),"",ReferenceData!$AH$180),"")</f>
        <v>0.58350354000000004</v>
      </c>
      <c r="AI180">
        <f ca="1">IFERROR(IF(0=LEN(ReferenceData!$AI$180),"",ReferenceData!$AI$180),"")</f>
        <v>0.67321225399999995</v>
      </c>
      <c r="AJ180">
        <f ca="1">IFERROR(IF(0=LEN(ReferenceData!$AJ$180),"",ReferenceData!$AJ$180),"")</f>
        <v>0.75471274099999996</v>
      </c>
      <c r="AK180">
        <f ca="1">IFERROR(IF(0=LEN(ReferenceData!$AK$180),"",ReferenceData!$AK$180),"")</f>
        <v>0.81986475599999997</v>
      </c>
      <c r="AL180">
        <f ca="1">IFERROR(IF(0=LEN(ReferenceData!$AL$180),"",ReferenceData!$AL$180),"")</f>
        <v>0.86035799099999999</v>
      </c>
      <c r="AM180">
        <f ca="1">IFERROR(IF(0=LEN(ReferenceData!$AM$180),"",ReferenceData!$AM$180),"")</f>
        <v>1.006905878</v>
      </c>
      <c r="AN180">
        <f ca="1">IFERROR(IF(0=LEN(ReferenceData!$AN$180),"",ReferenceData!$AN$180),"")</f>
        <v>1.1693088309999999</v>
      </c>
      <c r="AO180">
        <f ca="1">IFERROR(IF(0=LEN(ReferenceData!$AO$180),"",ReferenceData!$AO$180),"")</f>
        <v>1.638422147</v>
      </c>
      <c r="AP180">
        <f ca="1">IFERROR(IF(0=LEN(ReferenceData!$AP$180),"",ReferenceData!$AP$180),"")</f>
        <v>2.0141989979999999</v>
      </c>
      <c r="AQ180">
        <f ca="1">IFERROR(IF(0=LEN(ReferenceData!$AQ$180),"",ReferenceData!$AQ$180),"")</f>
        <v>1.29244337</v>
      </c>
      <c r="AR180">
        <f ca="1">IFERROR(IF(0=LEN(ReferenceData!$AR$180),"",ReferenceData!$AR$180),"")</f>
        <v>0.839553879</v>
      </c>
      <c r="AS180">
        <f ca="1">IFERROR(IF(0=LEN(ReferenceData!$AS$180),"",ReferenceData!$AS$180),"")</f>
        <v>0.95340022400000002</v>
      </c>
      <c r="AT180">
        <f ca="1">IFERROR(IF(0=LEN(ReferenceData!$AT$180),"",ReferenceData!$AT$180),"")</f>
        <v>0.88197039300000002</v>
      </c>
      <c r="AU180">
        <f ca="1">IFERROR(IF(0=LEN(ReferenceData!$AU$180),"",ReferenceData!$AU$180),"")</f>
        <v>0.96187800199999995</v>
      </c>
      <c r="AV180">
        <f ca="1">IFERROR(IF(0=LEN(ReferenceData!$AV$180),"",ReferenceData!$AV$180),"")</f>
        <v>0.81158449099999996</v>
      </c>
      <c r="AW180">
        <f ca="1">IFERROR(IF(0=LEN(ReferenceData!$AW$180),"",ReferenceData!$AW$180),"")</f>
        <v>0.703375631</v>
      </c>
      <c r="AX180">
        <f ca="1">IFERROR(IF(0=LEN(ReferenceData!$AX$180),"",ReferenceData!$AX$180),"")</f>
        <v>0.59757944100000004</v>
      </c>
      <c r="AY180">
        <f ca="1">IFERROR(IF(0=LEN(ReferenceData!$AY$180),"",ReferenceData!$AY$180),"")</f>
        <v>0.54349097400000002</v>
      </c>
      <c r="AZ180">
        <f ca="1">IFERROR(IF(0=LEN(ReferenceData!$AZ$180),"",ReferenceData!$AZ$180),"")</f>
        <v>0.56592468299999998</v>
      </c>
      <c r="BA180">
        <f ca="1">IFERROR(IF(0=LEN(ReferenceData!$BA$180),"",ReferenceData!$BA$180),"")</f>
        <v>0.59023140900000004</v>
      </c>
      <c r="BB180">
        <f ca="1">IFERROR(IF(0=LEN(ReferenceData!$BB$180),"",ReferenceData!$BB$180),"")</f>
        <v>0.54748664300000005</v>
      </c>
      <c r="BC180">
        <f ca="1">IFERROR(IF(0=LEN(ReferenceData!$BC$180),"",ReferenceData!$BC$180),"")</f>
        <v>0.67338258699999998</v>
      </c>
      <c r="BD180">
        <f ca="1">IFERROR(IF(0=LEN(ReferenceData!$BD$180),"",ReferenceData!$BD$180),"")</f>
        <v>0.62267794600000004</v>
      </c>
      <c r="BE180">
        <f ca="1">IFERROR(IF(0=LEN(ReferenceData!$BE$180),"",ReferenceData!$BE$180),"")</f>
        <v>0.63039184999999998</v>
      </c>
      <c r="BF180">
        <f ca="1">IFERROR(IF(0=LEN(ReferenceData!$BF$180),"",ReferenceData!$BF$180),"")</f>
        <v>0.69783976700000006</v>
      </c>
      <c r="BG180">
        <f ca="1">IFERROR(IF(0=LEN(ReferenceData!$BG$180),"",ReferenceData!$BG$180),"")</f>
        <v>0.63142758499999996</v>
      </c>
      <c r="BH180">
        <f ca="1">IFERROR(IF(0=LEN(ReferenceData!$BH$180),"",ReferenceData!$BH$180),"")</f>
        <v>0.72933631700000001</v>
      </c>
      <c r="BI180">
        <f ca="1">IFERROR(IF(0=LEN(ReferenceData!$BI$180),"",ReferenceData!$BI$180),"")</f>
        <v>0.76830370299999995</v>
      </c>
      <c r="BJ180">
        <f ca="1">IFERROR(IF(0=LEN(ReferenceData!$BJ$180),"",ReferenceData!$BJ$180),"")</f>
        <v>0.76011458799999998</v>
      </c>
      <c r="BK180">
        <f ca="1">IFERROR(IF(0=LEN(ReferenceData!$BK$180),"",ReferenceData!$BK$180),"")</f>
        <v>0.65943947000000003</v>
      </c>
      <c r="BL180">
        <f ca="1">IFERROR(IF(0=LEN(ReferenceData!$BL$180),"",ReferenceData!$BL$180),"")</f>
        <v>0.69460746500000004</v>
      </c>
      <c r="BM180">
        <f ca="1">IFERROR(IF(0=LEN(ReferenceData!$BM$180),"",ReferenceData!$BM$180),"")</f>
        <v>0.80661166399999995</v>
      </c>
    </row>
    <row r="181" spans="1:65">
      <c r="A181" t="str">
        <f>IFERROR(IF(0=LEN(ReferenceData!$A$181),"",ReferenceData!$A$181),"")</f>
        <v xml:space="preserve">    Essex Property Trust Inc</v>
      </c>
      <c r="B181" t="str">
        <f>IFERROR(IF(0=LEN(ReferenceData!$B$181),"",ReferenceData!$B$181),"")</f>
        <v>ESS US Equity</v>
      </c>
      <c r="C181" t="str">
        <f>IFERROR(IF(0=LEN(ReferenceData!$C$181),"",ReferenceData!$C$181),"")</f>
        <v>RR263</v>
      </c>
      <c r="D181" t="str">
        <f>IFERROR(IF(0=LEN(ReferenceData!$D$181),"",ReferenceData!$D$181),"")</f>
        <v>DEBT_TO_MKT_CAP</v>
      </c>
      <c r="E181" t="str">
        <f>IFERROR(IF(0=LEN(ReferenceData!$E$181),"",ReferenceData!$E$181),"")</f>
        <v>动态</v>
      </c>
      <c r="F181">
        <f ca="1">IFERROR(IF(0=LEN(ReferenceData!$F$181),"",ReferenceData!$F$181),"")</f>
        <v>0.36517617099999999</v>
      </c>
      <c r="G181">
        <f ca="1">IFERROR(IF(0=LEN(ReferenceData!$G$181),"",ReferenceData!$G$181),"")</f>
        <v>0.36017110099999999</v>
      </c>
      <c r="H181">
        <f ca="1">IFERROR(IF(0=LEN(ReferenceData!$H$181),"",ReferenceData!$H$181),"")</f>
        <v>0.33853505900000003</v>
      </c>
      <c r="I181">
        <f ca="1">IFERROR(IF(0=LEN(ReferenceData!$I$181),"",ReferenceData!$I$181),"")</f>
        <v>0.33841697300000001</v>
      </c>
      <c r="J181">
        <f ca="1">IFERROR(IF(0=LEN(ReferenceData!$J$181),"",ReferenceData!$J$181),"")</f>
        <v>0.37144911800000002</v>
      </c>
      <c r="K181">
        <f ca="1">IFERROR(IF(0=LEN(ReferenceData!$K$181),"",ReferenceData!$K$181),"")</f>
        <v>0.36757316299999998</v>
      </c>
      <c r="L181">
        <f ca="1">IFERROR(IF(0=LEN(ReferenceData!$L$181),"",ReferenceData!$L$181),"")</f>
        <v>0.38528173399999999</v>
      </c>
      <c r="M181">
        <f ca="1">IFERROR(IF(0=LEN(ReferenceData!$M$181),"",ReferenceData!$M$181),"")</f>
        <v>0.37903900299999999</v>
      </c>
      <c r="N181">
        <f ca="1">IFERROR(IF(0=LEN(ReferenceData!$N$181),"",ReferenceData!$N$181),"")</f>
        <v>0.35231020400000002</v>
      </c>
      <c r="O181">
        <f ca="1">IFERROR(IF(0=LEN(ReferenceData!$O$181),"",ReferenceData!$O$181),"")</f>
        <v>0.33901888899999999</v>
      </c>
      <c r="P181">
        <f ca="1">IFERROR(IF(0=LEN(ReferenceData!$P$181),"",ReferenceData!$P$181),"")</f>
        <v>0.36380813400000001</v>
      </c>
      <c r="Q181">
        <f ca="1">IFERROR(IF(0=LEN(ReferenceData!$Q$181),"",ReferenceData!$Q$181),"")</f>
        <v>0.38663522099999997</v>
      </c>
      <c r="R181">
        <f ca="1">IFERROR(IF(0=LEN(ReferenceData!$R$181),"",ReferenceData!$R$181),"")</f>
        <v>0.36499145700000002</v>
      </c>
      <c r="S181">
        <f ca="1">IFERROR(IF(0=LEN(ReferenceData!$S$181),"",ReferenceData!$S$181),"")</f>
        <v>0.38693492200000001</v>
      </c>
      <c r="T181">
        <f ca="1">IFERROR(IF(0=LEN(ReferenceData!$T$181),"",ReferenceData!$T$181),"")</f>
        <v>0.46392008600000001</v>
      </c>
      <c r="U181">
        <f ca="1">IFERROR(IF(0=LEN(ReferenceData!$U$181),"",ReferenceData!$U$181),"")</f>
        <v>0.44125856400000002</v>
      </c>
      <c r="V181">
        <f ca="1">IFERROR(IF(0=LEN(ReferenceData!$V$181),"",ReferenceData!$V$181),"")</f>
        <v>0.45117080799999998</v>
      </c>
      <c r="W181">
        <f ca="1">IFERROR(IF(0=LEN(ReferenceData!$W$181),"",ReferenceData!$W$181),"")</f>
        <v>0.56636690199999995</v>
      </c>
      <c r="X181">
        <f ca="1">IFERROR(IF(0=LEN(ReferenceData!$X$181),"",ReferenceData!$X$181),"")</f>
        <v>0.51994719700000003</v>
      </c>
      <c r="Y181">
        <f ca="1">IFERROR(IF(0=LEN(ReferenceData!$Y$181),"",ReferenceData!$Y$181),"")</f>
        <v>0.484481098</v>
      </c>
      <c r="Z181">
        <f ca="1">IFERROR(IF(0=LEN(ReferenceData!$Z$181),"",ReferenceData!$Z$181),"")</f>
        <v>0.48743280900000002</v>
      </c>
      <c r="AA181">
        <f ca="1">IFERROR(IF(0=LEN(ReferenceData!$AA$181),"",ReferenceData!$AA$181),"")</f>
        <v>0.52718847499999999</v>
      </c>
      <c r="AB181">
        <f ca="1">IFERROR(IF(0=LEN(ReferenceData!$AB$181),"",ReferenceData!$AB$181),"")</f>
        <v>0.48085850699999999</v>
      </c>
      <c r="AC181">
        <f ca="1">IFERROR(IF(0=LEN(ReferenceData!$AC$181),"",ReferenceData!$AC$181),"")</f>
        <v>0.45897562800000002</v>
      </c>
      <c r="AD181">
        <f ca="1">IFERROR(IF(0=LEN(ReferenceData!$AD$181),"",ReferenceData!$AD$181),"")</f>
        <v>0.44423243000000001</v>
      </c>
      <c r="AE181">
        <f ca="1">IFERROR(IF(0=LEN(ReferenceData!$AE$181),"",ReferenceData!$AE$181),"")</f>
        <v>0.49373928299999997</v>
      </c>
      <c r="AF181">
        <f ca="1">IFERROR(IF(0=LEN(ReferenceData!$AF$181),"",ReferenceData!$AF$181),"")</f>
        <v>0.55678458799999997</v>
      </c>
      <c r="AG181">
        <f ca="1">IFERROR(IF(0=LEN(ReferenceData!$AG$181),"",ReferenceData!$AG$181),"")</f>
        <v>0.51134811800000002</v>
      </c>
      <c r="AH181">
        <f ca="1">IFERROR(IF(0=LEN(ReferenceData!$AH$181),"",ReferenceData!$AH$181),"")</f>
        <v>0.59421589100000005</v>
      </c>
      <c r="AI181">
        <f ca="1">IFERROR(IF(0=LEN(ReferenceData!$AI$181),"",ReferenceData!$AI$181),"")</f>
        <v>0.63369782900000005</v>
      </c>
      <c r="AJ181">
        <f ca="1">IFERROR(IF(0=LEN(ReferenceData!$AJ$181),"",ReferenceData!$AJ$181),"")</f>
        <v>0.62134834500000002</v>
      </c>
      <c r="AK181">
        <f ca="1">IFERROR(IF(0=LEN(ReferenceData!$AK$181),"",ReferenceData!$AK$181),"")</f>
        <v>0.64951899700000004</v>
      </c>
      <c r="AL181">
        <f ca="1">IFERROR(IF(0=LEN(ReferenceData!$AL$181),"",ReferenceData!$AL$181),"")</f>
        <v>0.70746855900000005</v>
      </c>
      <c r="AM181">
        <f ca="1">IFERROR(IF(0=LEN(ReferenceData!$AM$181),"",ReferenceData!$AM$181),"")</f>
        <v>0.75848638899999998</v>
      </c>
      <c r="AN181">
        <f ca="1">IFERROR(IF(0=LEN(ReferenceData!$AN$181),"",ReferenceData!$AN$181),"")</f>
        <v>0.83175389200000005</v>
      </c>
      <c r="AO181">
        <f ca="1">IFERROR(IF(0=LEN(ReferenceData!$AO$181),"",ReferenceData!$AO$181),"")</f>
        <v>1.075859146</v>
      </c>
      <c r="AP181">
        <f ca="1">IFERROR(IF(0=LEN(ReferenceData!$AP$181),"",ReferenceData!$AP$181),"")</f>
        <v>1.1876769030000001</v>
      </c>
      <c r="AQ181">
        <f ca="1">IFERROR(IF(0=LEN(ReferenceData!$AQ$181),"",ReferenceData!$AQ$181),"")</f>
        <v>0.933085257</v>
      </c>
      <c r="AR181">
        <f ca="1">IFERROR(IF(0=LEN(ReferenceData!$AR$181),"",ReferenceData!$AR$181),"")</f>
        <v>0.57190894299999995</v>
      </c>
      <c r="AS181">
        <f ca="1">IFERROR(IF(0=LEN(ReferenceData!$AS$181),"",ReferenceData!$AS$181),"")</f>
        <v>0.70298353400000002</v>
      </c>
      <c r="AT181">
        <f ca="1">IFERROR(IF(0=LEN(ReferenceData!$AT$181),"",ReferenceData!$AT$181),"")</f>
        <v>0.57943742499999995</v>
      </c>
      <c r="AU181">
        <f ca="1">IFERROR(IF(0=LEN(ReferenceData!$AU$181),"",ReferenceData!$AU$181),"")</f>
        <v>0.73462928900000002</v>
      </c>
      <c r="AV181">
        <f ca="1">IFERROR(IF(0=LEN(ReferenceData!$AV$181),"",ReferenceData!$AV$181),"")</f>
        <v>0.59894217199999999</v>
      </c>
      <c r="AW181">
        <f ca="1">IFERROR(IF(0=LEN(ReferenceData!$AW$181),"",ReferenceData!$AW$181),"")</f>
        <v>0.53417967</v>
      </c>
      <c r="AX181">
        <f ca="1">IFERROR(IF(0=LEN(ReferenceData!$AX$181),"",ReferenceData!$AX$181),"")</f>
        <v>0.51744103399999997</v>
      </c>
      <c r="AY181">
        <f ca="1">IFERROR(IF(0=LEN(ReferenceData!$AY$181),"",ReferenceData!$AY$181),"")</f>
        <v>0.51601470000000005</v>
      </c>
      <c r="AZ181">
        <f ca="1">IFERROR(IF(0=LEN(ReferenceData!$AZ$181),"",ReferenceData!$AZ$181),"")</f>
        <v>0.551133506</v>
      </c>
      <c r="BA181">
        <f ca="1">IFERROR(IF(0=LEN(ReferenceData!$BA$181),"",ReferenceData!$BA$181),"")</f>
        <v>0.55586758300000005</v>
      </c>
      <c r="BB181">
        <f ca="1">IFERROR(IF(0=LEN(ReferenceData!$BB$181),"",ReferenceData!$BB$181),"")</f>
        <v>0.56577224800000003</v>
      </c>
      <c r="BC181">
        <f ca="1">IFERROR(IF(0=LEN(ReferenceData!$BC$181),"",ReferenceData!$BC$181),"")</f>
        <v>0.64300189799999996</v>
      </c>
      <c r="BD181">
        <f ca="1">IFERROR(IF(0=LEN(ReferenceData!$BD$181),"",ReferenceData!$BD$181),"")</f>
        <v>0.63250826699999996</v>
      </c>
      <c r="BE181">
        <f ca="1">IFERROR(IF(0=LEN(ReferenceData!$BE$181),"",ReferenceData!$BE$181),"")</f>
        <v>0.68557811199999996</v>
      </c>
      <c r="BF181">
        <f ca="1">IFERROR(IF(0=LEN(ReferenceData!$BF$181),"",ReferenceData!$BF$181),"")</f>
        <v>0.82804352299999995</v>
      </c>
      <c r="BG181">
        <f ca="1">IFERROR(IF(0=LEN(ReferenceData!$BG$181),"",ReferenceData!$BG$181),"")</f>
        <v>0.68480218699999995</v>
      </c>
      <c r="BH181">
        <f ca="1">IFERROR(IF(0=LEN(ReferenceData!$BH$181),"",ReferenceData!$BH$181),"")</f>
        <v>0.766538414</v>
      </c>
      <c r="BI181">
        <f ca="1">IFERROR(IF(0=LEN(ReferenceData!$BI$181),"",ReferenceData!$BI$181),"")</f>
        <v>0.80157208899999999</v>
      </c>
      <c r="BJ181">
        <f ca="1">IFERROR(IF(0=LEN(ReferenceData!$BJ$181),"",ReferenceData!$BJ$181),"")</f>
        <v>0.77937526599999996</v>
      </c>
      <c r="BK181">
        <f ca="1">IFERROR(IF(0=LEN(ReferenceData!$BK$181),"",ReferenceData!$BK$181),"")</f>
        <v>0.67581540900000003</v>
      </c>
      <c r="BL181">
        <f ca="1">IFERROR(IF(0=LEN(ReferenceData!$BL$181),"",ReferenceData!$BL$181),"")</f>
        <v>0.62642617700000003</v>
      </c>
      <c r="BM181">
        <f ca="1">IFERROR(IF(0=LEN(ReferenceData!$BM$181),"",ReferenceData!$BM$181),"")</f>
        <v>0.68790898599999994</v>
      </c>
    </row>
    <row r="182" spans="1:65">
      <c r="A182" t="str">
        <f>IFERROR(IF(0=LEN(ReferenceData!$A$182),"",ReferenceData!$A$182),"")</f>
        <v xml:space="preserve">    Mid-America Apartment Communit</v>
      </c>
      <c r="B182" t="str">
        <f>IFERROR(IF(0=LEN(ReferenceData!$B$182),"",ReferenceData!$B$182),"")</f>
        <v>MAA US Equity</v>
      </c>
      <c r="C182" t="str">
        <f>IFERROR(IF(0=LEN(ReferenceData!$C$182),"",ReferenceData!$C$182),"")</f>
        <v>RR263</v>
      </c>
      <c r="D182" t="str">
        <f>IFERROR(IF(0=LEN(ReferenceData!$D$182),"",ReferenceData!$D$182),"")</f>
        <v>DEBT_TO_MKT_CAP</v>
      </c>
      <c r="E182" t="str">
        <f>IFERROR(IF(0=LEN(ReferenceData!$E$182),"",ReferenceData!$E$182),"")</f>
        <v>动态</v>
      </c>
      <c r="F182">
        <f ca="1">IFERROR(IF(0=LEN(ReferenceData!$F$182),"",ReferenceData!$F$182),"")</f>
        <v>0.44260387000000001</v>
      </c>
      <c r="G182">
        <f ca="1">IFERROR(IF(0=LEN(ReferenceData!$G$182),"",ReferenceData!$G$182),"")</f>
        <v>0.39400717499999999</v>
      </c>
      <c r="H182">
        <f ca="1">IFERROR(IF(0=LEN(ReferenceData!$H$182),"",ReferenceData!$H$182),"")</f>
        <v>0.37001219200000002</v>
      </c>
      <c r="I182">
        <f ca="1">IFERROR(IF(0=LEN(ReferenceData!$I$182),"",ReferenceData!$I$182),"")</f>
        <v>0.38208778900000001</v>
      </c>
      <c r="J182">
        <f ca="1">IFERROR(IF(0=LEN(ReferenceData!$J$182),"",ReferenceData!$J$182),"")</f>
        <v>0.39448992700000002</v>
      </c>
      <c r="K182">
        <f ca="1">IFERROR(IF(0=LEN(ReferenceData!$K$182),"",ReferenceData!$K$182),"")</f>
        <v>0.40475351300000001</v>
      </c>
      <c r="L182">
        <f ca="1">IFERROR(IF(0=LEN(ReferenceData!$L$182),"",ReferenceData!$L$182),"")</f>
        <v>0.48372162800000001</v>
      </c>
      <c r="M182">
        <f ca="1">IFERROR(IF(0=LEN(ReferenceData!$M$182),"",ReferenceData!$M$182),"")</f>
        <v>0.43431937700000001</v>
      </c>
      <c r="N182">
        <f ca="1">IFERROR(IF(0=LEN(ReferenceData!$N$182),"",ReferenceData!$N$182),"")</f>
        <v>0.446694598</v>
      </c>
      <c r="O182">
        <f ca="1">IFERROR(IF(0=LEN(ReferenceData!$O$182),"",ReferenceData!$O$182),"")</f>
        <v>0.50072565899999999</v>
      </c>
      <c r="P182">
        <f ca="1">IFERROR(IF(0=LEN(ReferenceData!$P$182),"",ReferenceData!$P$182),"")</f>
        <v>0.55504261099999996</v>
      </c>
      <c r="Q182">
        <f ca="1">IFERROR(IF(0=LEN(ReferenceData!$Q$182),"",ReferenceData!$Q$182),"")</f>
        <v>0.62746059600000004</v>
      </c>
      <c r="R182">
        <f ca="1">IFERROR(IF(0=LEN(ReferenceData!$R$182),"",ReferenceData!$R$182),"")</f>
        <v>0.59803324899999999</v>
      </c>
      <c r="S182">
        <f ca="1">IFERROR(IF(0=LEN(ReferenceData!$S$182),"",ReferenceData!$S$182),"")</f>
        <v>0.62503681499999997</v>
      </c>
      <c r="T182">
        <f ca="1">IFERROR(IF(0=LEN(ReferenceData!$T$182),"",ReferenceData!$T$182),"")</f>
        <v>0.69482144499999998</v>
      </c>
      <c r="U182">
        <f ca="1">IFERROR(IF(0=LEN(ReferenceData!$U$182),"",ReferenceData!$U$182),"")</f>
        <v>0.63426743200000002</v>
      </c>
      <c r="V182">
        <f ca="1">IFERROR(IF(0=LEN(ReferenceData!$V$182),"",ReferenceData!$V$182),"")</f>
        <v>0.67661824999999998</v>
      </c>
      <c r="W182">
        <f ca="1">IFERROR(IF(0=LEN(ReferenceData!$W$182),"",ReferenceData!$W$182),"")</f>
        <v>0.76459449300000004</v>
      </c>
      <c r="X182">
        <f ca="1">IFERROR(IF(0=LEN(ReferenceData!$X$182),"",ReferenceData!$X$182),"")</f>
        <v>0.69644856600000005</v>
      </c>
      <c r="Y182">
        <f ca="1">IFERROR(IF(0=LEN(ReferenceData!$Y$182),"",ReferenceData!$Y$182),"")</f>
        <v>0.58934863299999996</v>
      </c>
      <c r="Z182">
        <f ca="1">IFERROR(IF(0=LEN(ReferenceData!$Z$182),"",ReferenceData!$Z$182),"")</f>
        <v>0.57824132500000003</v>
      </c>
      <c r="AA182">
        <f ca="1">IFERROR(IF(0=LEN(ReferenceData!$AA$182),"",ReferenceData!$AA$182),"")</f>
        <v>0.61160308100000005</v>
      </c>
      <c r="AB182">
        <f ca="1">IFERROR(IF(0=LEN(ReferenceData!$AB$182),"",ReferenceData!$AB$182),"")</f>
        <v>1.079735077</v>
      </c>
      <c r="AC182">
        <f ca="1">IFERROR(IF(0=LEN(ReferenceData!$AC$182),"",ReferenceData!$AC$182),"")</f>
        <v>1.0079806520000001</v>
      </c>
      <c r="AD182">
        <f ca="1">IFERROR(IF(0=LEN(ReferenceData!$AD$182),"",ReferenceData!$AD$182),"")</f>
        <v>0.56143130900000005</v>
      </c>
      <c r="AE182">
        <f ca="1">IFERROR(IF(0=LEN(ReferenceData!$AE$182),"",ReferenceData!$AE$182),"")</f>
        <v>1.3375551210000001</v>
      </c>
      <c r="AF182">
        <f ca="1">IFERROR(IF(0=LEN(ReferenceData!$AF$182),"",ReferenceData!$AF$182),"")</f>
        <v>0.709931494</v>
      </c>
      <c r="AG182">
        <f ca="1">IFERROR(IF(0=LEN(ReferenceData!$AG$182),"",ReferenceData!$AG$182),"")</f>
        <v>0.620330296</v>
      </c>
      <c r="AH182">
        <f ca="1">IFERROR(IF(0=LEN(ReferenceData!$AH$182),"",ReferenceData!$AH$182),"")</f>
        <v>0.63318634600000001</v>
      </c>
      <c r="AI182">
        <f ca="1">IFERROR(IF(0=LEN(ReferenceData!$AI$182),"",ReferenceData!$AI$182),"")</f>
        <v>0.691210035</v>
      </c>
      <c r="AJ182">
        <f ca="1">IFERROR(IF(0=LEN(ReferenceData!$AJ$182),"",ReferenceData!$AJ$182),"")</f>
        <v>0.81152221599999996</v>
      </c>
      <c r="AK182">
        <f ca="1">IFERROR(IF(0=LEN(ReferenceData!$AK$182),"",ReferenceData!$AK$182),"")</f>
        <v>0.87969766599999999</v>
      </c>
      <c r="AL182">
        <f ca="1">IFERROR(IF(0=LEN(ReferenceData!$AL$182),"",ReferenceData!$AL$182),"")</f>
        <v>0.90171617699999995</v>
      </c>
      <c r="AM182">
        <f ca="1">IFERROR(IF(0=LEN(ReferenceData!$AM$182),"",ReferenceData!$AM$182),"")</f>
        <v>1.0045480099999999</v>
      </c>
      <c r="AN182">
        <f ca="1">IFERROR(IF(0=LEN(ReferenceData!$AN$182),"",ReferenceData!$AN$182),"")</f>
        <v>1.0317381859999999</v>
      </c>
      <c r="AO182">
        <f ca="1">IFERROR(IF(0=LEN(ReferenceData!$AO$182),"",ReferenceData!$AO$182),"")</f>
        <v>1.277679357</v>
      </c>
      <c r="AP182">
        <f ca="1">IFERROR(IF(0=LEN(ReferenceData!$AP$182),"",ReferenceData!$AP$182),"")</f>
        <v>1.5562222509999999</v>
      </c>
      <c r="AQ182">
        <f ca="1">IFERROR(IF(0=LEN(ReferenceData!$AQ$182),"",ReferenceData!$AQ$182),"")</f>
        <v>1.2629581350000001</v>
      </c>
      <c r="AR182">
        <f ca="1">IFERROR(IF(0=LEN(ReferenceData!$AR$182),"",ReferenceData!$AR$182),"")</f>
        <v>1.0036547170000001</v>
      </c>
      <c r="AS182">
        <f ca="1">IFERROR(IF(0=LEN(ReferenceData!$AS$182),"",ReferenceData!$AS$182),"")</f>
        <v>0.92856576000000002</v>
      </c>
      <c r="AT182">
        <f ca="1">IFERROR(IF(0=LEN(ReferenceData!$AT$182),"",ReferenceData!$AT$182),"")</f>
        <v>0.98997169200000001</v>
      </c>
      <c r="AU182">
        <f ca="1">IFERROR(IF(0=LEN(ReferenceData!$AU$182),"",ReferenceData!$AU$182),"")</f>
        <v>1.1565175889999999</v>
      </c>
      <c r="AV182">
        <f ca="1">IFERROR(IF(0=LEN(ReferenceData!$AV$182),"",ReferenceData!$AV$182),"")</f>
        <v>0.980906995</v>
      </c>
      <c r="AW182">
        <f ca="1">IFERROR(IF(0=LEN(ReferenceData!$AW$182),"",ReferenceData!$AW$182),"")</f>
        <v>0.89515912900000005</v>
      </c>
      <c r="AX182">
        <f ca="1">IFERROR(IF(0=LEN(ReferenceData!$AX$182),"",ReferenceData!$AX$182),"")</f>
        <v>0.83053139499999995</v>
      </c>
      <c r="AY182">
        <f ca="1">IFERROR(IF(0=LEN(ReferenceData!$AY$182),"",ReferenceData!$AY$182),"")</f>
        <v>2.5601425469999999</v>
      </c>
      <c r="AZ182">
        <f ca="1">IFERROR(IF(0=LEN(ReferenceData!$AZ$182),"",ReferenceData!$AZ$182),"")</f>
        <v>0.81671104999999999</v>
      </c>
      <c r="BA182">
        <f ca="1">IFERROR(IF(0=LEN(ReferenceData!$BA$182),"",ReferenceData!$BA$182),"")</f>
        <v>0.85438596099999997</v>
      </c>
      <c r="BB182">
        <f ca="1">IFERROR(IF(0=LEN(ReferenceData!$BB$182),"",ReferenceData!$BB$182),"")</f>
        <v>0.97281225999999998</v>
      </c>
      <c r="BC182">
        <f ca="1">IFERROR(IF(0=LEN(ReferenceData!$BC$182),"",ReferenceData!$BC$182),"")</f>
        <v>1.0807702269999999</v>
      </c>
      <c r="BD182">
        <f ca="1">IFERROR(IF(0=LEN(ReferenceData!$BD$182),"",ReferenceData!$BD$182),"")</f>
        <v>1.1374530709999999</v>
      </c>
      <c r="BE182">
        <f ca="1">IFERROR(IF(0=LEN(ReferenceData!$BE$182),"",ReferenceData!$BE$182),"")</f>
        <v>1.119726668</v>
      </c>
      <c r="BF182">
        <f ca="1">IFERROR(IF(0=LEN(ReferenceData!$BF$182),"",ReferenceData!$BF$182),"")</f>
        <v>1.4523094240000001</v>
      </c>
      <c r="BG182">
        <f ca="1">IFERROR(IF(0=LEN(ReferenceData!$BG$182),"",ReferenceData!$BG$182),"")</f>
        <v>1.274381097</v>
      </c>
      <c r="BH182">
        <f ca="1">IFERROR(IF(0=LEN(ReferenceData!$BH$182),"",ReferenceData!$BH$182),"")</f>
        <v>1.2798779899999999</v>
      </c>
      <c r="BI182">
        <f ca="1">IFERROR(IF(0=LEN(ReferenceData!$BI$182),"",ReferenceData!$BI$182),"")</f>
        <v>1.318725562</v>
      </c>
      <c r="BJ182">
        <f ca="1">IFERROR(IF(0=LEN(ReferenceData!$BJ$182),"",ReferenceData!$BJ$182),"")</f>
        <v>1.3133404769999999</v>
      </c>
      <c r="BK182">
        <f ca="1">IFERROR(IF(0=LEN(ReferenceData!$BK$182),"",ReferenceData!$BK$182),"")</f>
        <v>1.451793707</v>
      </c>
      <c r="BL182">
        <f ca="1">IFERROR(IF(0=LEN(ReferenceData!$BL$182),"",ReferenceData!$BL$182),"")</f>
        <v>1.678209767</v>
      </c>
      <c r="BM182">
        <f ca="1">IFERROR(IF(0=LEN(ReferenceData!$BM$182),"",ReferenceData!$BM$182),"")</f>
        <v>1.7237045820000001</v>
      </c>
    </row>
    <row r="183" spans="1:65">
      <c r="A183" t="str">
        <f>IFERROR(IF(0=LEN(ReferenceData!$A$183),"",ReferenceData!$A$183),"")</f>
        <v xml:space="preserve">    UDR Inc</v>
      </c>
      <c r="B183" t="str">
        <f>IFERROR(IF(0=LEN(ReferenceData!$B$183),"",ReferenceData!$B$183),"")</f>
        <v>UDR US Equity</v>
      </c>
      <c r="C183" t="str">
        <f>IFERROR(IF(0=LEN(ReferenceData!$C$183),"",ReferenceData!$C$183),"")</f>
        <v>RR263</v>
      </c>
      <c r="D183" t="str">
        <f>IFERROR(IF(0=LEN(ReferenceData!$D$183),"",ReferenceData!$D$183),"")</f>
        <v>DEBT_TO_MKT_CAP</v>
      </c>
      <c r="E183" t="str">
        <f>IFERROR(IF(0=LEN(ReferenceData!$E$183),"",ReferenceData!$E$183),"")</f>
        <v>动态</v>
      </c>
      <c r="F183">
        <f ca="1">IFERROR(IF(0=LEN(ReferenceData!$F$183),"",ReferenceData!$F$183),"")</f>
        <v>0.38667210600000002</v>
      </c>
      <c r="G183">
        <f ca="1">IFERROR(IF(0=LEN(ReferenceData!$G$183),"",ReferenceData!$G$183),"")</f>
        <v>0.35598954700000002</v>
      </c>
      <c r="H183">
        <f ca="1">IFERROR(IF(0=LEN(ReferenceData!$H$183),"",ReferenceData!$H$183),"")</f>
        <v>0.36154480500000002</v>
      </c>
      <c r="I183">
        <f ca="1">IFERROR(IF(0=LEN(ReferenceData!$I$183),"",ReferenceData!$I$183),"")</f>
        <v>0.34880604700000001</v>
      </c>
      <c r="J183">
        <f ca="1">IFERROR(IF(0=LEN(ReferenceData!$J$183),"",ReferenceData!$J$183),"")</f>
        <v>0.364826918</v>
      </c>
      <c r="K183">
        <f ca="1">IFERROR(IF(0=LEN(ReferenceData!$K$183),"",ReferenceData!$K$183),"")</f>
        <v>0.34889737500000001</v>
      </c>
      <c r="L183">
        <f ca="1">IFERROR(IF(0=LEN(ReferenceData!$L$183),"",ReferenceData!$L$183),"")</f>
        <v>0.36876919600000002</v>
      </c>
      <c r="M183">
        <f ca="1">IFERROR(IF(0=LEN(ReferenceData!$M$183),"",ReferenceData!$M$183),"")</f>
        <v>0.35134129800000002</v>
      </c>
      <c r="N183">
        <f ca="1">IFERROR(IF(0=LEN(ReferenceData!$N$183),"",ReferenceData!$N$183),"")</f>
        <v>0.33147465799999998</v>
      </c>
      <c r="O183">
        <f ca="1">IFERROR(IF(0=LEN(ReferenceData!$O$183),"",ReferenceData!$O$183),"")</f>
        <v>0.36274145400000002</v>
      </c>
      <c r="P183">
        <f ca="1">IFERROR(IF(0=LEN(ReferenceData!$P$183),"",ReferenceData!$P$183),"")</f>
        <v>0.388892552</v>
      </c>
      <c r="Q183">
        <f ca="1">IFERROR(IF(0=LEN(ReferenceData!$Q$183),"",ReferenceData!$Q$183),"")</f>
        <v>0.42968845900000002</v>
      </c>
      <c r="R183">
        <f ca="1">IFERROR(IF(0=LEN(ReferenceData!$R$183),"",ReferenceData!$R$183),"")</f>
        <v>0.39935838499999998</v>
      </c>
      <c r="S183">
        <f ca="1">IFERROR(IF(0=LEN(ReferenceData!$S$183),"",ReferenceData!$S$183),"")</f>
        <v>0.45326501499999999</v>
      </c>
      <c r="T183">
        <f ca="1">IFERROR(IF(0=LEN(ReferenceData!$T$183),"",ReferenceData!$T$183),"")</f>
        <v>0.528980644</v>
      </c>
      <c r="U183">
        <f ca="1">IFERROR(IF(0=LEN(ReferenceData!$U$183),"",ReferenceData!$U$183),"")</f>
        <v>0.52063821499999996</v>
      </c>
      <c r="V183">
        <f ca="1">IFERROR(IF(0=LEN(ReferenceData!$V$183),"",ReferenceData!$V$183),"")</f>
        <v>0.55865978299999997</v>
      </c>
      <c r="W183">
        <f ca="1">IFERROR(IF(0=LEN(ReferenceData!$W$183),"",ReferenceData!$W$183),"")</f>
        <v>0.60185272899999998</v>
      </c>
      <c r="X183">
        <f ca="1">IFERROR(IF(0=LEN(ReferenceData!$X$183),"",ReferenceData!$X$183),"")</f>
        <v>0.58277224500000002</v>
      </c>
      <c r="Y183">
        <f ca="1">IFERROR(IF(0=LEN(ReferenceData!$Y$183),"",ReferenceData!$Y$183),"")</f>
        <v>0.53113329799999998</v>
      </c>
      <c r="Z183">
        <f ca="1">IFERROR(IF(0=LEN(ReferenceData!$Z$183),"",ReferenceData!$Z$183),"")</f>
        <v>0.57818827800000006</v>
      </c>
      <c r="AA183">
        <f ca="1">IFERROR(IF(0=LEN(ReferenceData!$AA$183),"",ReferenceData!$AA$183),"")</f>
        <v>0.57316588800000001</v>
      </c>
      <c r="AB183">
        <f ca="1">IFERROR(IF(0=LEN(ReferenceData!$AB$183),"",ReferenceData!$AB$183),"")</f>
        <v>0.53827089400000006</v>
      </c>
      <c r="AC183">
        <f ca="1">IFERROR(IF(0=LEN(ReferenceData!$AC$183),"",ReferenceData!$AC$183),"")</f>
        <v>0.52333312700000001</v>
      </c>
      <c r="AD183">
        <f ca="1">IFERROR(IF(0=LEN(ReferenceData!$AD$183),"",ReferenceData!$AD$183),"")</f>
        <v>0.65601489199999996</v>
      </c>
      <c r="AE183">
        <f ca="1">IFERROR(IF(0=LEN(ReferenceData!$AE$183),"",ReferenceData!$AE$183),"")</f>
        <v>0.71269340000000003</v>
      </c>
      <c r="AF183">
        <f ca="1">IFERROR(IF(0=LEN(ReferenceData!$AF$183),"",ReferenceData!$AF$183),"")</f>
        <v>0.82247371999999996</v>
      </c>
      <c r="AG183">
        <f ca="1">IFERROR(IF(0=LEN(ReferenceData!$AG$183),"",ReferenceData!$AG$183),"")</f>
        <v>0.79406153599999996</v>
      </c>
      <c r="AH183">
        <f ca="1">IFERROR(IF(0=LEN(ReferenceData!$AH$183),"",ReferenceData!$AH$183),"")</f>
        <v>0.79119447300000001</v>
      </c>
      <c r="AI183">
        <f ca="1">IFERROR(IF(0=LEN(ReferenceData!$AI$183),"",ReferenceData!$AI$183),"")</f>
        <v>0.83277751</v>
      </c>
      <c r="AJ183">
        <f ca="1">IFERROR(IF(0=LEN(ReferenceData!$AJ$183),"",ReferenceData!$AJ$183),"")</f>
        <v>0.90632351600000005</v>
      </c>
      <c r="AK183">
        <f ca="1">IFERROR(IF(0=LEN(ReferenceData!$AK$183),"",ReferenceData!$AK$183),"")</f>
        <v>1.0997085360000001</v>
      </c>
      <c r="AL183">
        <f ca="1">IFERROR(IF(0=LEN(ReferenceData!$AL$183),"",ReferenceData!$AL$183),"")</f>
        <v>1.244918242</v>
      </c>
      <c r="AM183">
        <f ca="1">IFERROR(IF(0=LEN(ReferenceData!$AM$183),"",ReferenceData!$AM$183),"")</f>
        <v>1.3638796230000001</v>
      </c>
      <c r="AN183">
        <f ca="1">IFERROR(IF(0=LEN(ReferenceData!$AN$183),"",ReferenceData!$AN$183),"")</f>
        <v>1.382008009</v>
      </c>
      <c r="AO183">
        <f ca="1">IFERROR(IF(0=LEN(ReferenceData!$AO$183),"",ReferenceData!$AO$183),"")</f>
        <v>2.0678363869999998</v>
      </c>
      <c r="AP183">
        <f ca="1">IFERROR(IF(0=LEN(ReferenceData!$AP$183),"",ReferenceData!$AP$183),"")</f>
        <v>2.6226412030000001</v>
      </c>
      <c r="AQ183">
        <f ca="1">IFERROR(IF(0=LEN(ReferenceData!$AQ$183),"",ReferenceData!$AQ$183),"")</f>
        <v>1.7434309750000001</v>
      </c>
      <c r="AR183">
        <f ca="1">IFERROR(IF(0=LEN(ReferenceData!$AR$183),"",ReferenceData!$AR$183),"")</f>
        <v>1.0007514319999999</v>
      </c>
      <c r="AS183">
        <f ca="1">IFERROR(IF(0=LEN(ReferenceData!$AS$183),"",ReferenceData!$AS$183),"")</f>
        <v>1.121853583</v>
      </c>
      <c r="AT183">
        <f ca="1">IFERROR(IF(0=LEN(ReferenceData!$AT$183),"",ReferenceData!$AT$183),"")</f>
        <v>0.972341707</v>
      </c>
      <c r="AU183">
        <f ca="1">IFERROR(IF(0=LEN(ReferenceData!$AU$183),"",ReferenceData!$AU$183),"")</f>
        <v>1.3151373180000001</v>
      </c>
      <c r="AV183">
        <f ca="1">IFERROR(IF(0=LEN(ReferenceData!$AV$183),"",ReferenceData!$AV$183),"")</f>
        <v>1.0493369210000001</v>
      </c>
      <c r="AW183">
        <f ca="1">IFERROR(IF(0=LEN(ReferenceData!$AW$183),"",ReferenceData!$AW$183),"")</f>
        <v>1.0058483439999999</v>
      </c>
      <c r="AX183">
        <f ca="1">IFERROR(IF(0=LEN(ReferenceData!$AX$183),"",ReferenceData!$AX$183),"")</f>
        <v>0.83622618699999995</v>
      </c>
      <c r="AY183">
        <f ca="1">IFERROR(IF(0=LEN(ReferenceData!$AY$183),"",ReferenceData!$AY$183),"")</f>
        <v>0.77975079199999997</v>
      </c>
      <c r="AZ183">
        <f ca="1">IFERROR(IF(0=LEN(ReferenceData!$AZ$183),"",ReferenceData!$AZ$183),"")</f>
        <v>0.81971856600000004</v>
      </c>
      <c r="BA183">
        <f ca="1">IFERROR(IF(0=LEN(ReferenceData!$BA$183),"",ReferenceData!$BA$183),"")</f>
        <v>0.90446101800000001</v>
      </c>
      <c r="BB183">
        <f ca="1">IFERROR(IF(0=LEN(ReferenceData!$BB$183),"",ReferenceData!$BB$183),"")</f>
        <v>0.83865211699999997</v>
      </c>
      <c r="BC183">
        <f ca="1">IFERROR(IF(0=LEN(ReferenceData!$BC$183),"",ReferenceData!$BC$183),"")</f>
        <v>0.98263713500000005</v>
      </c>
      <c r="BD183">
        <f ca="1">IFERROR(IF(0=LEN(ReferenceData!$BD$183),"",ReferenceData!$BD$183),"")</f>
        <v>0.94018395399999999</v>
      </c>
      <c r="BE183">
        <f ca="1">IFERROR(IF(0=LEN(ReferenceData!$BE$183),"",ReferenceData!$BE$183),"")</f>
        <v>0.88859278799999997</v>
      </c>
      <c r="BF183">
        <f ca="1">IFERROR(IF(0=LEN(ReferenceData!$BF$183),"",ReferenceData!$BF$183),"")</f>
        <v>1.0329536070000001</v>
      </c>
      <c r="BG183">
        <f ca="1">IFERROR(IF(0=LEN(ReferenceData!$BG$183),"",ReferenceData!$BG$183),"")</f>
        <v>0.87621785399999996</v>
      </c>
      <c r="BH183">
        <f ca="1">IFERROR(IF(0=LEN(ReferenceData!$BH$183),"",ReferenceData!$BH$183),"")</f>
        <v>0.993448734</v>
      </c>
      <c r="BI183">
        <f ca="1">IFERROR(IF(0=LEN(ReferenceData!$BI$183),"",ReferenceData!$BI$183),"")</f>
        <v>0.89637925600000001</v>
      </c>
      <c r="BJ183">
        <f ca="1">IFERROR(IF(0=LEN(ReferenceData!$BJ$183),"",ReferenceData!$BJ$183),"")</f>
        <v>0.89394635200000006</v>
      </c>
      <c r="BK183">
        <f ca="1">IFERROR(IF(0=LEN(ReferenceData!$BK$183),"",ReferenceData!$BK$183),"")</f>
        <v>0.91935910799999998</v>
      </c>
      <c r="BL183">
        <f ca="1">IFERROR(IF(0=LEN(ReferenceData!$BL$183),"",ReferenceData!$BL$183),"")</f>
        <v>0.91390751599999998</v>
      </c>
      <c r="BM183">
        <f ca="1">IFERROR(IF(0=LEN(ReferenceData!$BM$183),"",ReferenceData!$BM$183),"")</f>
        <v>1.089796631</v>
      </c>
    </row>
    <row r="184" spans="1:65">
      <c r="A184" t="str">
        <f>IFERROR(IF(0=LEN(ReferenceData!$A$184),"",ReferenceData!$A$184),"")</f>
        <v>现金与有价证券</v>
      </c>
      <c r="B184" t="str">
        <f>IFERROR(IF(0=LEN(ReferenceData!$B$184),"",ReferenceData!$B$184),"")</f>
        <v/>
      </c>
      <c r="C184" t="str">
        <f>IFERROR(IF(0=LEN(ReferenceData!$C$184),"",ReferenceData!$C$184),"")</f>
        <v/>
      </c>
      <c r="D184" t="str">
        <f>IFERROR(IF(0=LEN(ReferenceData!$D$184),"",ReferenceData!$D$184),"")</f>
        <v/>
      </c>
      <c r="E184" t="str">
        <f>IFERROR(IF(0=LEN(ReferenceData!$E$184),"",ReferenceData!$E$184),"")</f>
        <v>Median</v>
      </c>
      <c r="F184" t="str">
        <f ca="1">IFERROR(IF(0=LEN(ReferenceData!$F$184),"",ReferenceData!$F$184),"")</f>
        <v/>
      </c>
      <c r="G184">
        <f ca="1">IFERROR(IF(0=LEN(ReferenceData!$G$184),"",ReferenceData!$G$184),"")</f>
        <v>42.900999999999996</v>
      </c>
      <c r="H184">
        <f ca="1">IFERROR(IF(0=LEN(ReferenceData!$H$184),"",ReferenceData!$H$184),"")</f>
        <v>46.536000000000001</v>
      </c>
      <c r="I184">
        <f ca="1">IFERROR(IF(0=LEN(ReferenceData!$I$184),"",ReferenceData!$I$184),"")</f>
        <v>35.607500000000002</v>
      </c>
      <c r="J184">
        <f ca="1">IFERROR(IF(0=LEN(ReferenceData!$J$184),"",ReferenceData!$J$184),"")</f>
        <v>38.530500000000004</v>
      </c>
      <c r="K184">
        <f ca="1">IFERROR(IF(0=LEN(ReferenceData!$K$184),"",ReferenceData!$K$184),"")</f>
        <v>49.698000000000008</v>
      </c>
      <c r="L184">
        <f ca="1">IFERROR(IF(0=LEN(ReferenceData!$L$184),"",ReferenceData!$L$184),"")</f>
        <v>90.692499999999995</v>
      </c>
      <c r="M184">
        <f ca="1">IFERROR(IF(0=LEN(ReferenceData!$M$184),"",ReferenceData!$M$184),"")</f>
        <v>194.62649999999999</v>
      </c>
      <c r="N184">
        <f ca="1">IFERROR(IF(0=LEN(ReferenceData!$N$184),"",ReferenceData!$N$184),"")</f>
        <v>72.852499999999992</v>
      </c>
      <c r="O184">
        <f ca="1">IFERROR(IF(0=LEN(ReferenceData!$O$184),"",ReferenceData!$O$184),"")</f>
        <v>31.712499999999999</v>
      </c>
      <c r="P184">
        <f ca="1">IFERROR(IF(0=LEN(ReferenceData!$P$184),"",ReferenceData!$P$184),"")</f>
        <v>36.516999999999996</v>
      </c>
      <c r="Q184">
        <f ca="1">IFERROR(IF(0=LEN(ReferenceData!$Q$184),"",ReferenceData!$Q$184),"")</f>
        <v>23.556000000000001</v>
      </c>
      <c r="R184">
        <f ca="1">IFERROR(IF(0=LEN(ReferenceData!$R$184),"",ReferenceData!$R$184),"")</f>
        <v>36.528999999999996</v>
      </c>
      <c r="S184">
        <f ca="1">IFERROR(IF(0=LEN(ReferenceData!$S$184),"",ReferenceData!$S$184),"")</f>
        <v>26.131499999999999</v>
      </c>
      <c r="T184">
        <f ca="1">IFERROR(IF(0=LEN(ReferenceData!$T$184),"",ReferenceData!$T$184),"")</f>
        <v>25.445</v>
      </c>
      <c r="U184">
        <f ca="1">IFERROR(IF(0=LEN(ReferenceData!$U$184),"",ReferenceData!$U$184),"")</f>
        <v>26.567</v>
      </c>
      <c r="V184">
        <f ca="1">IFERROR(IF(0=LEN(ReferenceData!$V$184),"",ReferenceData!$V$184),"")</f>
        <v>25.564499999999999</v>
      </c>
      <c r="W184">
        <f ca="1">IFERROR(IF(0=LEN(ReferenceData!$W$184),"",ReferenceData!$W$184),"")</f>
        <v>34.5</v>
      </c>
      <c r="X184">
        <f ca="1">IFERROR(IF(0=LEN(ReferenceData!$X$184),"",ReferenceData!$X$184),"")</f>
        <v>20.801000000000002</v>
      </c>
      <c r="Y184">
        <f ca="1">IFERROR(IF(0=LEN(ReferenceData!$Y$184),"",ReferenceData!$Y$184),"")</f>
        <v>15.590499999999999</v>
      </c>
      <c r="Z184">
        <f ca="1">IFERROR(IF(0=LEN(ReferenceData!$Z$184),"",ReferenceData!$Z$184),"")</f>
        <v>22.938500000000001</v>
      </c>
      <c r="AA184">
        <f ca="1">IFERROR(IF(0=LEN(ReferenceData!$AA$184),"",ReferenceData!$AA$184),"")</f>
        <v>20.03</v>
      </c>
      <c r="AB184">
        <f ca="1">IFERROR(IF(0=LEN(ReferenceData!$AB$184),"",ReferenceData!$AB$184),"")</f>
        <v>31.817</v>
      </c>
      <c r="AC184">
        <f ca="1">IFERROR(IF(0=LEN(ReferenceData!$AC$184),"",ReferenceData!$AC$184),"")</f>
        <v>33.463000000000001</v>
      </c>
      <c r="AD184">
        <f ca="1">IFERROR(IF(0=LEN(ReferenceData!$AD$184),"",ReferenceData!$AD$184),"")</f>
        <v>37.209000000000003</v>
      </c>
      <c r="AE184">
        <f ca="1">IFERROR(IF(0=LEN(ReferenceData!$AE$184),"",ReferenceData!$AE$184),"")</f>
        <v>56.238</v>
      </c>
      <c r="AF184">
        <f ca="1">IFERROR(IF(0=LEN(ReferenceData!$AF$184),"",ReferenceData!$AF$184),"")</f>
        <v>37.2425</v>
      </c>
      <c r="AG184">
        <f ca="1">IFERROR(IF(0=LEN(ReferenceData!$AG$184),"",ReferenceData!$AG$184),"")</f>
        <v>55.705500000000001</v>
      </c>
      <c r="AH184">
        <f ca="1">IFERROR(IF(0=LEN(ReferenceData!$AH$184),"",ReferenceData!$AH$184),"")</f>
        <v>86.646000000000001</v>
      </c>
      <c r="AI184">
        <f ca="1">IFERROR(IF(0=LEN(ReferenceData!$AI$184),"",ReferenceData!$AI$184),"")</f>
        <v>79.724500000000006</v>
      </c>
      <c r="AJ184">
        <f ca="1">IFERROR(IF(0=LEN(ReferenceData!$AJ$184),"",ReferenceData!$AJ$184),"")</f>
        <v>67.365499999999997</v>
      </c>
      <c r="AK184">
        <f ca="1">IFERROR(IF(0=LEN(ReferenceData!$AK$184),"",ReferenceData!$AK$184),"")</f>
        <v>24.296500000000002</v>
      </c>
      <c r="AL184">
        <f ca="1">IFERROR(IF(0=LEN(ReferenceData!$AL$184),"",ReferenceData!$AL$184),"")</f>
        <v>28.468499999999999</v>
      </c>
      <c r="AM184">
        <f ca="1">IFERROR(IF(0=LEN(ReferenceData!$AM$184),"",ReferenceData!$AM$184),"")</f>
        <v>47.662500000000009</v>
      </c>
      <c r="AN184">
        <f ca="1">IFERROR(IF(0=LEN(ReferenceData!$AN$184),"",ReferenceData!$AN$184),"")</f>
        <v>82.941000000000003</v>
      </c>
      <c r="AO184">
        <f ca="1">IFERROR(IF(0=LEN(ReferenceData!$AO$184),"",ReferenceData!$AO$184),"")</f>
        <v>61.308999999999997</v>
      </c>
      <c r="AP184">
        <f ca="1">IFERROR(IF(0=LEN(ReferenceData!$AP$184),"",ReferenceData!$AP$184),"")</f>
        <v>42.399000000000001</v>
      </c>
      <c r="AQ184">
        <f ca="1">IFERROR(IF(0=LEN(ReferenceData!$AQ$184),"",ReferenceData!$AQ$184),"")</f>
        <v>19.170000000000002</v>
      </c>
      <c r="AR184">
        <f ca="1">IFERROR(IF(0=LEN(ReferenceData!$AR$184),"",ReferenceData!$AR$184),"")</f>
        <v>35.352000000000004</v>
      </c>
      <c r="AS184">
        <f ca="1">IFERROR(IF(0=LEN(ReferenceData!$AS$184),"",ReferenceData!$AS$184),"")</f>
        <v>15.486000000000001</v>
      </c>
      <c r="AT184">
        <f ca="1">IFERROR(IF(0=LEN(ReferenceData!$AT$184),"",ReferenceData!$AT$184),"")</f>
        <v>11.698</v>
      </c>
      <c r="AU184">
        <f ca="1">IFERROR(IF(0=LEN(ReferenceData!$AU$184),"",ReferenceData!$AU$184),"")</f>
        <v>11.0145</v>
      </c>
      <c r="AV184">
        <f ca="1">IFERROR(IF(0=LEN(ReferenceData!$AV$184),"",ReferenceData!$AV$184),"")</f>
        <v>7.1400000000000006</v>
      </c>
      <c r="AW184">
        <f ca="1">IFERROR(IF(0=LEN(ReferenceData!$AW$184),"",ReferenceData!$AW$184),"")</f>
        <v>6.6260000000000003</v>
      </c>
      <c r="AX184">
        <f ca="1">IFERROR(IF(0=LEN(ReferenceData!$AX$184),"",ReferenceData!$AX$184),"")</f>
        <v>11.309000000000001</v>
      </c>
      <c r="AY184">
        <f ca="1">IFERROR(IF(0=LEN(ReferenceData!$AY$184),"",ReferenceData!$AY$184),"")</f>
        <v>7.3555000000000001</v>
      </c>
      <c r="AZ184">
        <f ca="1">IFERROR(IF(0=LEN(ReferenceData!$AZ$184),"",ReferenceData!$AZ$184),"")</f>
        <v>29.445</v>
      </c>
      <c r="BA184">
        <f ca="1">IFERROR(IF(0=LEN(ReferenceData!$BA$184),"",ReferenceData!$BA$184),"")</f>
        <v>10.423999999999999</v>
      </c>
      <c r="BB184">
        <f ca="1">IFERROR(IF(0=LEN(ReferenceData!$BB$184),"",ReferenceData!$BB$184),"")</f>
        <v>11.048999999999999</v>
      </c>
      <c r="BC184">
        <f ca="1">IFERROR(IF(0=LEN(ReferenceData!$BC$184),"",ReferenceData!$BC$184),"")</f>
        <v>14.94</v>
      </c>
      <c r="BD184">
        <f ca="1">IFERROR(IF(0=LEN(ReferenceData!$BD$184),"",ReferenceData!$BD$184),"")</f>
        <v>7.9859999999999998</v>
      </c>
      <c r="BE184">
        <f ca="1">IFERROR(IF(0=LEN(ReferenceData!$BE$184),"",ReferenceData!$BE$184),"")</f>
        <v>6.524</v>
      </c>
      <c r="BF184">
        <f ca="1">IFERROR(IF(0=LEN(ReferenceData!$BF$184),"",ReferenceData!$BF$184),"")</f>
        <v>6.3879999999999999</v>
      </c>
      <c r="BG184">
        <f ca="1">IFERROR(IF(0=LEN(ReferenceData!$BG$184),"",ReferenceData!$BG$184),"")</f>
        <v>7.9039999999999999</v>
      </c>
      <c r="BH184">
        <f ca="1">IFERROR(IF(0=LEN(ReferenceData!$BH$184),"",ReferenceData!$BH$184),"")</f>
        <v>9.4060000000000006</v>
      </c>
      <c r="BI184">
        <f ca="1">IFERROR(IF(0=LEN(ReferenceData!$BI$184),"",ReferenceData!$BI$184),"")</f>
        <v>5.0349998469999999</v>
      </c>
      <c r="BJ184">
        <f ca="1">IFERROR(IF(0=LEN(ReferenceData!$BJ$184),"",ReferenceData!$BJ$184),"")</f>
        <v>4.2550001139999996</v>
      </c>
      <c r="BK184">
        <f ca="1">IFERROR(IF(0=LEN(ReferenceData!$BK$184),"",ReferenceData!$BK$184),"")</f>
        <v>8.6740002645000001</v>
      </c>
      <c r="BL184">
        <f ca="1">IFERROR(IF(0=LEN(ReferenceData!$BL$184),"",ReferenceData!$BL$184),"")</f>
        <v>8.5854999999999997</v>
      </c>
      <c r="BM184">
        <f ca="1">IFERROR(IF(0=LEN(ReferenceData!$BM$184),"",ReferenceData!$BM$184),"")</f>
        <v>13.310499999999999</v>
      </c>
    </row>
    <row r="185" spans="1:65">
      <c r="A185" t="str">
        <f>IFERROR(IF(0=LEN(ReferenceData!$A$185),"",ReferenceData!$A$185),"")</f>
        <v xml:space="preserve">    American Campus Communities In</v>
      </c>
      <c r="B185" t="str">
        <f>IFERROR(IF(0=LEN(ReferenceData!$B$185),"",ReferenceData!$B$185),"")</f>
        <v>ACC US Equity</v>
      </c>
      <c r="C185" t="str">
        <f>IFERROR(IF(0=LEN(ReferenceData!$C$185),"",ReferenceData!$C$185),"")</f>
        <v>RR253</v>
      </c>
      <c r="D185" t="str">
        <f>IFERROR(IF(0=LEN(ReferenceData!$D$185),"",ReferenceData!$D$185),"")</f>
        <v>CASH_AND_MARKETABLE_SECURITIES</v>
      </c>
      <c r="E185" t="str">
        <f>IFERROR(IF(0=LEN(ReferenceData!$E$185),"",ReferenceData!$E$185),"")</f>
        <v>动态</v>
      </c>
      <c r="F185" t="str">
        <f ca="1">IFERROR(IF(0=LEN(ReferenceData!$F$185),"",ReferenceData!$F$185),"")</f>
        <v/>
      </c>
      <c r="G185">
        <f ca="1">IFERROR(IF(0=LEN(ReferenceData!$G$185),"",ReferenceData!$G$185),"")</f>
        <v>41.182000000000002</v>
      </c>
      <c r="H185">
        <f ca="1">IFERROR(IF(0=LEN(ReferenceData!$H$185),"",ReferenceData!$H$185),"")</f>
        <v>16.341000000000001</v>
      </c>
      <c r="I185">
        <f ca="1">IFERROR(IF(0=LEN(ReferenceData!$I$185),"",ReferenceData!$I$185),"")</f>
        <v>25.475999999999999</v>
      </c>
      <c r="J185">
        <f ca="1">IFERROR(IF(0=LEN(ReferenceData!$J$185),"",ReferenceData!$J$185),"")</f>
        <v>34.130000000000003</v>
      </c>
      <c r="K185">
        <f ca="1">IFERROR(IF(0=LEN(ReferenceData!$K$185),"",ReferenceData!$K$185),"")</f>
        <v>22.14</v>
      </c>
      <c r="L185">
        <f ca="1">IFERROR(IF(0=LEN(ReferenceData!$L$185),"",ReferenceData!$L$185),"")</f>
        <v>32.393000000000001</v>
      </c>
      <c r="M185">
        <f ca="1">IFERROR(IF(0=LEN(ReferenceData!$M$185),"",ReferenceData!$M$185),"")</f>
        <v>206.738</v>
      </c>
      <c r="N185">
        <f ca="1">IFERROR(IF(0=LEN(ReferenceData!$N$185),"",ReferenceData!$N$185),"")</f>
        <v>387.27300000000002</v>
      </c>
      <c r="O185">
        <f ca="1">IFERROR(IF(0=LEN(ReferenceData!$O$185),"",ReferenceData!$O$185),"")</f>
        <v>16.658999999999999</v>
      </c>
      <c r="P185">
        <f ca="1">IFERROR(IF(0=LEN(ReferenceData!$P$185),"",ReferenceData!$P$185),"")</f>
        <v>45.23</v>
      </c>
      <c r="Q185">
        <f ca="1">IFERROR(IF(0=LEN(ReferenceData!$Q$185),"",ReferenceData!$Q$185),"")</f>
        <v>8.7650000000000006</v>
      </c>
      <c r="R185">
        <f ca="1">IFERROR(IF(0=LEN(ReferenceData!$R$185),"",ReferenceData!$R$185),"")</f>
        <v>17.812000000000001</v>
      </c>
      <c r="S185">
        <f ca="1">IFERROR(IF(0=LEN(ReferenceData!$S$185),"",ReferenceData!$S$185),"")</f>
        <v>25.062000000000001</v>
      </c>
      <c r="T185">
        <f ca="1">IFERROR(IF(0=LEN(ReferenceData!$T$185),"",ReferenceData!$T$185),"")</f>
        <v>19.411999999999999</v>
      </c>
      <c r="U185">
        <f ca="1">IFERROR(IF(0=LEN(ReferenceData!$U$185),"",ReferenceData!$U$185),"")</f>
        <v>64.323999999999998</v>
      </c>
      <c r="V185">
        <f ca="1">IFERROR(IF(0=LEN(ReferenceData!$V$185),"",ReferenceData!$V$185),"")</f>
        <v>31.210999999999999</v>
      </c>
      <c r="W185">
        <f ca="1">IFERROR(IF(0=LEN(ReferenceData!$W$185),"",ReferenceData!$W$185),"")</f>
        <v>38.750999999999998</v>
      </c>
      <c r="X185">
        <f ca="1">IFERROR(IF(0=LEN(ReferenceData!$X$185),"",ReferenceData!$X$185),"")</f>
        <v>25.266999999999999</v>
      </c>
      <c r="Y185">
        <f ca="1">IFERROR(IF(0=LEN(ReferenceData!$Y$185),"",ReferenceData!$Y$185),"")</f>
        <v>25.541</v>
      </c>
      <c r="Z185">
        <f ca="1">IFERROR(IF(0=LEN(ReferenceData!$Z$185),"",ReferenceData!$Z$185),"")</f>
        <v>15.032999999999999</v>
      </c>
      <c r="AA185">
        <f ca="1">IFERROR(IF(0=LEN(ReferenceData!$AA$185),"",ReferenceData!$AA$185),"")</f>
        <v>21.454000000000001</v>
      </c>
      <c r="AB185">
        <f ca="1">IFERROR(IF(0=LEN(ReferenceData!$AB$185),"",ReferenceData!$AB$185),"")</f>
        <v>18.010999999999999</v>
      </c>
      <c r="AC185">
        <f ca="1">IFERROR(IF(0=LEN(ReferenceData!$AC$185),"",ReferenceData!$AC$185),"")</f>
        <v>17.606000000000002</v>
      </c>
      <c r="AD185">
        <f ca="1">IFERROR(IF(0=LEN(ReferenceData!$AD$185),"",ReferenceData!$AD$185),"")</f>
        <v>32.591999999999999</v>
      </c>
      <c r="AE185">
        <f ca="1">IFERROR(IF(0=LEN(ReferenceData!$AE$185),"",ReferenceData!$AE$185),"")</f>
        <v>22.399000000000001</v>
      </c>
      <c r="AF185">
        <f ca="1">IFERROR(IF(0=LEN(ReferenceData!$AF$185),"",ReferenceData!$AF$185),"")</f>
        <v>28.498999999999999</v>
      </c>
      <c r="AG185">
        <f ca="1">IFERROR(IF(0=LEN(ReferenceData!$AG$185),"",ReferenceData!$AG$185),"")</f>
        <v>48.262999999999998</v>
      </c>
      <c r="AH185">
        <f ca="1">IFERROR(IF(0=LEN(ReferenceData!$AH$185),"",ReferenceData!$AH$185),"")</f>
        <v>31.922000000000001</v>
      </c>
      <c r="AI185">
        <f ca="1">IFERROR(IF(0=LEN(ReferenceData!$AI$185),"",ReferenceData!$AI$185),"")</f>
        <v>113.50700000000001</v>
      </c>
      <c r="AJ185">
        <f ca="1">IFERROR(IF(0=LEN(ReferenceData!$AJ$185),"",ReferenceData!$AJ$185),"")</f>
        <v>203.66499999999999</v>
      </c>
      <c r="AK185">
        <f ca="1">IFERROR(IF(0=LEN(ReferenceData!$AK$185),"",ReferenceData!$AK$185),"")</f>
        <v>20.931999999999999</v>
      </c>
      <c r="AL185">
        <f ca="1">IFERROR(IF(0=LEN(ReferenceData!$AL$185),"",ReferenceData!$AL$185),"")</f>
        <v>21.55</v>
      </c>
      <c r="AM185">
        <f ca="1">IFERROR(IF(0=LEN(ReferenceData!$AM$185),"",ReferenceData!$AM$185),"")</f>
        <v>66.093000000000004</v>
      </c>
      <c r="AN185">
        <f ca="1">IFERROR(IF(0=LEN(ReferenceData!$AN$185),"",ReferenceData!$AN$185),"")</f>
        <v>86.753</v>
      </c>
      <c r="AO185">
        <f ca="1">IFERROR(IF(0=LEN(ReferenceData!$AO$185),"",ReferenceData!$AO$185),"")</f>
        <v>57.183</v>
      </c>
      <c r="AP185">
        <f ca="1">IFERROR(IF(0=LEN(ReferenceData!$AP$185),"",ReferenceData!$AP$185),"")</f>
        <v>26.196000000000002</v>
      </c>
      <c r="AQ185">
        <f ca="1">IFERROR(IF(0=LEN(ReferenceData!$AQ$185),"",ReferenceData!$AQ$185),"")</f>
        <v>25.6</v>
      </c>
      <c r="AR185">
        <f ca="1">IFERROR(IF(0=LEN(ReferenceData!$AR$185),"",ReferenceData!$AR$185),"")</f>
        <v>37.299999999999997</v>
      </c>
      <c r="AS185">
        <f ca="1">IFERROR(IF(0=LEN(ReferenceData!$AS$185),"",ReferenceData!$AS$185),"")</f>
        <v>63.47</v>
      </c>
      <c r="AT185">
        <f ca="1">IFERROR(IF(0=LEN(ReferenceData!$AT$185),"",ReferenceData!$AT$185),"")</f>
        <v>13.039</v>
      </c>
      <c r="AU185">
        <f ca="1">IFERROR(IF(0=LEN(ReferenceData!$AU$185),"",ReferenceData!$AU$185),"")</f>
        <v>12.073</v>
      </c>
      <c r="AV185">
        <f ca="1">IFERROR(IF(0=LEN(ReferenceData!$AV$185),"",ReferenceData!$AV$185),"")</f>
        <v>10.852</v>
      </c>
      <c r="AW185">
        <f ca="1">IFERROR(IF(0=LEN(ReferenceData!$AW$185),"",ReferenceData!$AW$185),"")</f>
        <v>8.9600000000000009</v>
      </c>
      <c r="AX185">
        <f ca="1">IFERROR(IF(0=LEN(ReferenceData!$AX$185),"",ReferenceData!$AX$185),"")</f>
        <v>25.036999999999999</v>
      </c>
      <c r="AY185">
        <f ca="1">IFERROR(IF(0=LEN(ReferenceData!$AY$185),"",ReferenceData!$AY$185),"")</f>
        <v>79.106999999999999</v>
      </c>
      <c r="AZ185">
        <f ca="1">IFERROR(IF(0=LEN(ReferenceData!$AZ$185),"",ReferenceData!$AZ$185),"")</f>
        <v>32.244999999999997</v>
      </c>
      <c r="BA185">
        <f ca="1">IFERROR(IF(0=LEN(ReferenceData!$BA$185),"",ReferenceData!$BA$185),"")</f>
        <v>9.4819999999999993</v>
      </c>
      <c r="BB185">
        <f ca="1">IFERROR(IF(0=LEN(ReferenceData!$BB$185),"",ReferenceData!$BB$185),"")</f>
        <v>11.025</v>
      </c>
      <c r="BC185">
        <f ca="1">IFERROR(IF(0=LEN(ReferenceData!$BC$185),"",ReferenceData!$BC$185),"")</f>
        <v>24.640999999999998</v>
      </c>
      <c r="BD185">
        <f ca="1">IFERROR(IF(0=LEN(ReferenceData!$BD$185),"",ReferenceData!$BD$185),"")</f>
        <v>5.8789999999999996</v>
      </c>
      <c r="BE185">
        <f ca="1">IFERROR(IF(0=LEN(ReferenceData!$BE$185),"",ReferenceData!$BE$185),"")</f>
        <v>3.8639999999999999</v>
      </c>
      <c r="BF185">
        <f ca="1">IFERROR(IF(0=LEN(ReferenceData!$BF$185),"",ReferenceData!$BF$185),"")</f>
        <v>6.4249999999999998</v>
      </c>
      <c r="BG185">
        <f ca="1">IFERROR(IF(0=LEN(ReferenceData!$BG$185),"",ReferenceData!$BG$185),"")</f>
        <v>4.05</v>
      </c>
      <c r="BH185">
        <f ca="1">IFERROR(IF(0=LEN(ReferenceData!$BH$185),"",ReferenceData!$BH$185),"")</f>
        <v>5.4909999999999997</v>
      </c>
      <c r="BI185">
        <f ca="1">IFERROR(IF(0=LEN(ReferenceData!$BI$185),"",ReferenceData!$BI$185),"")</f>
        <v>5.0349998469999999</v>
      </c>
      <c r="BJ185">
        <f ca="1">IFERROR(IF(0=LEN(ReferenceData!$BJ$185),"",ReferenceData!$BJ$185),"")</f>
        <v>4.2550001139999996</v>
      </c>
      <c r="BK185" t="str">
        <f ca="1">IFERROR(IF(0=LEN(ReferenceData!$BK$185),"",ReferenceData!$BK$185),"")</f>
        <v/>
      </c>
      <c r="BL185" t="str">
        <f ca="1">IFERROR(IF(0=LEN(ReferenceData!$BL$185),"",ReferenceData!$BL$185),"")</f>
        <v/>
      </c>
      <c r="BM185" t="str">
        <f ca="1">IFERROR(IF(0=LEN(ReferenceData!$BM$185),"",ReferenceData!$BM$185),"")</f>
        <v/>
      </c>
    </row>
    <row r="186" spans="1:65">
      <c r="A186" t="str">
        <f>IFERROR(IF(0=LEN(ReferenceData!$A$186),"",ReferenceData!$A$186),"")</f>
        <v xml:space="preserve">    AvalonBay Communities Inc</v>
      </c>
      <c r="B186" t="str">
        <f>IFERROR(IF(0=LEN(ReferenceData!$B$186),"",ReferenceData!$B$186),"")</f>
        <v>AVB US Equity</v>
      </c>
      <c r="C186" t="str">
        <f>IFERROR(IF(0=LEN(ReferenceData!$C$186),"",ReferenceData!$C$186),"")</f>
        <v>RR253</v>
      </c>
      <c r="D186" t="str">
        <f>IFERROR(IF(0=LEN(ReferenceData!$D$186),"",ReferenceData!$D$186),"")</f>
        <v>CASH_AND_MARKETABLE_SECURITIES</v>
      </c>
      <c r="E186" t="str">
        <f>IFERROR(IF(0=LEN(ReferenceData!$E$186),"",ReferenceData!$E$186),"")</f>
        <v>动态</v>
      </c>
      <c r="F186" t="str">
        <f ca="1">IFERROR(IF(0=LEN(ReferenceData!$F$186),"",ReferenceData!$F$186),"")</f>
        <v/>
      </c>
      <c r="G186">
        <f ca="1">IFERROR(IF(0=LEN(ReferenceData!$G$186),"",ReferenceData!$G$186),"")</f>
        <v>67.087999999999994</v>
      </c>
      <c r="H186">
        <f ca="1">IFERROR(IF(0=LEN(ReferenceData!$H$186),"",ReferenceData!$H$186),"")</f>
        <v>36.042000000000002</v>
      </c>
      <c r="I186">
        <f ca="1">IFERROR(IF(0=LEN(ReferenceData!$I$186),"",ReferenceData!$I$186),"")</f>
        <v>53.476999999999997</v>
      </c>
      <c r="J186">
        <f ca="1">IFERROR(IF(0=LEN(ReferenceData!$J$186),"",ReferenceData!$J$186),"")</f>
        <v>121.705</v>
      </c>
      <c r="K186">
        <f ca="1">IFERROR(IF(0=LEN(ReferenceData!$K$186),"",ReferenceData!$K$186),"")</f>
        <v>214.994</v>
      </c>
      <c r="L186">
        <f ca="1">IFERROR(IF(0=LEN(ReferenceData!$L$186),"",ReferenceData!$L$186),"")</f>
        <v>65.899000000000001</v>
      </c>
      <c r="M186">
        <f ca="1">IFERROR(IF(0=LEN(ReferenceData!$M$186),"",ReferenceData!$M$186),"")</f>
        <v>182.30600000000001</v>
      </c>
      <c r="N186">
        <f ca="1">IFERROR(IF(0=LEN(ReferenceData!$N$186),"",ReferenceData!$N$186),"")</f>
        <v>97.540999999999997</v>
      </c>
      <c r="O186">
        <f ca="1">IFERROR(IF(0=LEN(ReferenceData!$O$186),"",ReferenceData!$O$186),"")</f>
        <v>400.50700000000001</v>
      </c>
      <c r="P186">
        <f ca="1">IFERROR(IF(0=LEN(ReferenceData!$P$186),"",ReferenceData!$P$186),"")</f>
        <v>318.55700000000002</v>
      </c>
      <c r="Q186">
        <f ca="1">IFERROR(IF(0=LEN(ReferenceData!$Q$186),"",ReferenceData!$Q$186),"")</f>
        <v>65.126000000000005</v>
      </c>
      <c r="R186">
        <f ca="1">IFERROR(IF(0=LEN(ReferenceData!$R$186),"",ReferenceData!$R$186),"")</f>
        <v>194.928</v>
      </c>
      <c r="S186">
        <f ca="1">IFERROR(IF(0=LEN(ReferenceData!$S$186),"",ReferenceData!$S$186),"")</f>
        <v>509.46</v>
      </c>
      <c r="T186">
        <f ca="1">IFERROR(IF(0=LEN(ReferenceData!$T$186),"",ReferenceData!$T$186),"")</f>
        <v>440.02800000000002</v>
      </c>
      <c r="U186">
        <f ca="1">IFERROR(IF(0=LEN(ReferenceData!$U$186),"",ReferenceData!$U$186),"")</f>
        <v>425.74099999999999</v>
      </c>
      <c r="V186">
        <f ca="1">IFERROR(IF(0=LEN(ReferenceData!$V$186),"",ReferenceData!$V$186),"")</f>
        <v>386.19</v>
      </c>
      <c r="W186">
        <f ca="1">IFERROR(IF(0=LEN(ReferenceData!$W$186),"",ReferenceData!$W$186),"")</f>
        <v>281.35500000000002</v>
      </c>
      <c r="X186">
        <f ca="1">IFERROR(IF(0=LEN(ReferenceData!$X$186),"",ReferenceData!$X$186),"")</f>
        <v>112.91</v>
      </c>
      <c r="Y186">
        <f ca="1">IFERROR(IF(0=LEN(ReferenceData!$Y$186),"",ReferenceData!$Y$186),"")</f>
        <v>111.14700000000001</v>
      </c>
      <c r="Z186">
        <f ca="1">IFERROR(IF(0=LEN(ReferenceData!$Z$186),"",ReferenceData!$Z$186),"")</f>
        <v>447.45600000000002</v>
      </c>
      <c r="AA186">
        <f ca="1">IFERROR(IF(0=LEN(ReferenceData!$AA$186),"",ReferenceData!$AA$186),"")</f>
        <v>2733.6179999999999</v>
      </c>
      <c r="AB186">
        <f ca="1">IFERROR(IF(0=LEN(ReferenceData!$AB$186),"",ReferenceData!$AB$186),"")</f>
        <v>664.13300000000004</v>
      </c>
      <c r="AC186">
        <f ca="1">IFERROR(IF(0=LEN(ReferenceData!$AC$186),"",ReferenceData!$AC$186),"")</f>
        <v>358.26299999999998</v>
      </c>
      <c r="AD186">
        <f ca="1">IFERROR(IF(0=LEN(ReferenceData!$AD$186),"",ReferenceData!$AD$186),"")</f>
        <v>248.24199999999999</v>
      </c>
      <c r="AE186">
        <f ca="1">IFERROR(IF(0=LEN(ReferenceData!$AE$186),"",ReferenceData!$AE$186),"")</f>
        <v>616.85299999999995</v>
      </c>
      <c r="AF186">
        <f ca="1">IFERROR(IF(0=LEN(ReferenceData!$AF$186),"",ReferenceData!$AF$186),"")</f>
        <v>690.04899999999998</v>
      </c>
      <c r="AG186">
        <f ca="1">IFERROR(IF(0=LEN(ReferenceData!$AG$186),"",ReferenceData!$AG$186),"")</f>
        <v>290.10399999999998</v>
      </c>
      <c r="AH186">
        <f ca="1">IFERROR(IF(0=LEN(ReferenceData!$AH$186),"",ReferenceData!$AH$186),"")</f>
        <v>291.8</v>
      </c>
      <c r="AI186">
        <f ca="1">IFERROR(IF(0=LEN(ReferenceData!$AI$186),"",ReferenceData!$AI$186),"")</f>
        <v>304.40699999999998</v>
      </c>
      <c r="AJ186">
        <f ca="1">IFERROR(IF(0=LEN(ReferenceData!$AJ$186),"",ReferenceData!$AJ$186),"")</f>
        <v>229.11099999999999</v>
      </c>
      <c r="AK186">
        <f ca="1">IFERROR(IF(0=LEN(ReferenceData!$AK$186),"",ReferenceData!$AK$186),"")</f>
        <v>373.721</v>
      </c>
      <c r="AL186">
        <f ca="1">IFERROR(IF(0=LEN(ReferenceData!$AL$186),"",ReferenceData!$AL$186),"")</f>
        <v>123.297</v>
      </c>
      <c r="AM186">
        <f ca="1">IFERROR(IF(0=LEN(ReferenceData!$AM$186),"",ReferenceData!$AM$186),"")</f>
        <v>105.691</v>
      </c>
      <c r="AN186">
        <f ca="1">IFERROR(IF(0=LEN(ReferenceData!$AN$186),"",ReferenceData!$AN$186),"")</f>
        <v>554.33500000000004</v>
      </c>
      <c r="AO186">
        <f ca="1">IFERROR(IF(0=LEN(ReferenceData!$AO$186),"",ReferenceData!$AO$186),"")</f>
        <v>215.78800000000001</v>
      </c>
      <c r="AP186">
        <f ca="1">IFERROR(IF(0=LEN(ReferenceData!$AP$186),"",ReferenceData!$AP$186),"")</f>
        <v>90.334999999999994</v>
      </c>
      <c r="AQ186">
        <f ca="1">IFERROR(IF(0=LEN(ReferenceData!$AQ$186),"",ReferenceData!$AQ$186),"")</f>
        <v>64.935000000000002</v>
      </c>
      <c r="AR186">
        <f ca="1">IFERROR(IF(0=LEN(ReferenceData!$AR$186),"",ReferenceData!$AR$186),"")</f>
        <v>79.019000000000005</v>
      </c>
      <c r="AS186">
        <f ca="1">IFERROR(IF(0=LEN(ReferenceData!$AS$186),"",ReferenceData!$AS$186),"")</f>
        <v>7.3470000000000004</v>
      </c>
      <c r="AT186">
        <f ca="1">IFERROR(IF(0=LEN(ReferenceData!$AT$186),"",ReferenceData!$AT$186),"")</f>
        <v>270.32</v>
      </c>
      <c r="AU186">
        <f ca="1">IFERROR(IF(0=LEN(ReferenceData!$AU$186),"",ReferenceData!$AU$186),"")</f>
        <v>21.222000000000001</v>
      </c>
      <c r="AV186">
        <f ca="1">IFERROR(IF(0=LEN(ReferenceData!$AV$186),"",ReferenceData!$AV$186),"")</f>
        <v>39.042000000000002</v>
      </c>
      <c r="AW186">
        <f ca="1">IFERROR(IF(0=LEN(ReferenceData!$AW$186),"",ReferenceData!$AW$186),"")</f>
        <v>137.77000000000001</v>
      </c>
      <c r="AX186">
        <f ca="1">IFERROR(IF(0=LEN(ReferenceData!$AX$186),"",ReferenceData!$AX$186),"")</f>
        <v>356.435</v>
      </c>
      <c r="AY186">
        <f ca="1">IFERROR(IF(0=LEN(ReferenceData!$AY$186),"",ReferenceData!$AY$186),"")</f>
        <v>8.2840000000000007</v>
      </c>
      <c r="AZ186">
        <f ca="1">IFERROR(IF(0=LEN(ReferenceData!$AZ$186),"",ReferenceData!$AZ$186),"")</f>
        <v>186.88200000000001</v>
      </c>
      <c r="BA186">
        <f ca="1">IFERROR(IF(0=LEN(ReferenceData!$BA$186),"",ReferenceData!$BA$186),"")</f>
        <v>12.78</v>
      </c>
      <c r="BB186">
        <f ca="1">IFERROR(IF(0=LEN(ReferenceData!$BB$186),"",ReferenceData!$BB$186),"")</f>
        <v>55.901000000000003</v>
      </c>
      <c r="BC186">
        <f ca="1">IFERROR(IF(0=LEN(ReferenceData!$BC$186),"",ReferenceData!$BC$186),"")</f>
        <v>6.1059999999999999</v>
      </c>
      <c r="BD186">
        <f ca="1">IFERROR(IF(0=LEN(ReferenceData!$BD$186),"",ReferenceData!$BD$186),"")</f>
        <v>2.2679999999999998</v>
      </c>
      <c r="BE186">
        <f ca="1">IFERROR(IF(0=LEN(ReferenceData!$BE$186),"",ReferenceData!$BE$186),"")</f>
        <v>2.8769999999999998</v>
      </c>
      <c r="BF186">
        <f ca="1">IFERROR(IF(0=LEN(ReferenceData!$BF$186),"",ReferenceData!$BF$186),"")</f>
        <v>3.4969999999999999</v>
      </c>
      <c r="BG186">
        <f ca="1">IFERROR(IF(0=LEN(ReferenceData!$BG$186),"",ReferenceData!$BG$186),"")</f>
        <v>1.5209999999999999</v>
      </c>
      <c r="BH186">
        <f ca="1">IFERROR(IF(0=LEN(ReferenceData!$BH$186),"",ReferenceData!$BH$186),"")</f>
        <v>33.576999999999998</v>
      </c>
      <c r="BI186">
        <f ca="1">IFERROR(IF(0=LEN(ReferenceData!$BI$186),"",ReferenceData!$BI$186),"")</f>
        <v>2.5009999999999999</v>
      </c>
      <c r="BJ186">
        <f ca="1">IFERROR(IF(0=LEN(ReferenceData!$BJ$186),"",ReferenceData!$BJ$186),"")</f>
        <v>0.34599999999999997</v>
      </c>
      <c r="BK186">
        <f ca="1">IFERROR(IF(0=LEN(ReferenceData!$BK$186),"",ReferenceData!$BK$186),"")</f>
        <v>7.1960000989999999</v>
      </c>
      <c r="BL186">
        <f ca="1">IFERROR(IF(0=LEN(ReferenceData!$BL$186),"",ReferenceData!$BL$186),"")</f>
        <v>6.7709999999999999</v>
      </c>
      <c r="BM186">
        <f ca="1">IFERROR(IF(0=LEN(ReferenceData!$BM$186),"",ReferenceData!$BM$186),"")</f>
        <v>21.466999999999999</v>
      </c>
    </row>
    <row r="187" spans="1:65">
      <c r="A187" t="str">
        <f>IFERROR(IF(0=LEN(ReferenceData!$A$187),"",ReferenceData!$A$187),"")</f>
        <v xml:space="preserve">    Camden Property Trust</v>
      </c>
      <c r="B187" t="str">
        <f>IFERROR(IF(0=LEN(ReferenceData!$B$187),"",ReferenceData!$B$187),"")</f>
        <v>CPT US Equity</v>
      </c>
      <c r="C187" t="str">
        <f>IFERROR(IF(0=LEN(ReferenceData!$C$187),"",ReferenceData!$C$187),"")</f>
        <v>RR253</v>
      </c>
      <c r="D187" t="str">
        <f>IFERROR(IF(0=LEN(ReferenceData!$D$187),"",ReferenceData!$D$187),"")</f>
        <v>CASH_AND_MARKETABLE_SECURITIES</v>
      </c>
      <c r="E187" t="str">
        <f>IFERROR(IF(0=LEN(ReferenceData!$E$187),"",ReferenceData!$E$187),"")</f>
        <v>动态</v>
      </c>
      <c r="F187" t="str">
        <f ca="1">IFERROR(IF(0=LEN(ReferenceData!$F$187),"",ReferenceData!$F$187),"")</f>
        <v/>
      </c>
      <c r="G187">
        <f ca="1">IFERROR(IF(0=LEN(ReferenceData!$G$187),"",ReferenceData!$G$187),"")</f>
        <v>368.49200000000002</v>
      </c>
      <c r="H187">
        <f ca="1">IFERROR(IF(0=LEN(ReferenceData!$H$187),"",ReferenceData!$H$187),"")</f>
        <v>350.274</v>
      </c>
      <c r="I187">
        <f ca="1">IFERROR(IF(0=LEN(ReferenceData!$I$187),"",ReferenceData!$I$187),"")</f>
        <v>16.318000000000001</v>
      </c>
      <c r="J187">
        <f ca="1">IFERROR(IF(0=LEN(ReferenceData!$J$187),"",ReferenceData!$J$187),"")</f>
        <v>245.529</v>
      </c>
      <c r="K187">
        <f ca="1">IFERROR(IF(0=LEN(ReferenceData!$K$187),"",ReferenceData!$K$187),"")</f>
        <v>237.364</v>
      </c>
      <c r="L187">
        <f ca="1">IFERROR(IF(0=LEN(ReferenceData!$L$187),"",ReferenceData!$L$187),"")</f>
        <v>313.74200000000002</v>
      </c>
      <c r="M187">
        <f ca="1">IFERROR(IF(0=LEN(ReferenceData!$M$187),"",ReferenceData!$M$187),"")</f>
        <v>341.726</v>
      </c>
      <c r="N187">
        <f ca="1">IFERROR(IF(0=LEN(ReferenceData!$N$187),"",ReferenceData!$N$187),"")</f>
        <v>6.9349999999999996</v>
      </c>
      <c r="O187">
        <f ca="1">IFERROR(IF(0=LEN(ReferenceData!$O$187),"",ReferenceData!$O$187),"")</f>
        <v>10.617000000000001</v>
      </c>
      <c r="P187">
        <f ca="1">IFERROR(IF(0=LEN(ReferenceData!$P$187),"",ReferenceData!$P$187),"")</f>
        <v>10.375</v>
      </c>
      <c r="Q187">
        <f ca="1">IFERROR(IF(0=LEN(ReferenceData!$Q$187),"",ReferenceData!$Q$187),"")</f>
        <v>16.507999999999999</v>
      </c>
      <c r="R187">
        <f ca="1">IFERROR(IF(0=LEN(ReferenceData!$R$187),"",ReferenceData!$R$187),"")</f>
        <v>174.35300000000001</v>
      </c>
      <c r="S187">
        <f ca="1">IFERROR(IF(0=LEN(ReferenceData!$S$187),"",ReferenceData!$S$187),"")</f>
        <v>153.91800000000001</v>
      </c>
      <c r="T187">
        <f ca="1">IFERROR(IF(0=LEN(ReferenceData!$T$187),"",ReferenceData!$T$187),"")</f>
        <v>66.126999999999995</v>
      </c>
      <c r="U187">
        <f ca="1">IFERROR(IF(0=LEN(ReferenceData!$U$187),"",ReferenceData!$U$187),"")</f>
        <v>16.068999999999999</v>
      </c>
      <c r="V187">
        <f ca="1">IFERROR(IF(0=LEN(ReferenceData!$V$187),"",ReferenceData!$V$187),"")</f>
        <v>16.768000000000001</v>
      </c>
      <c r="W187">
        <f ca="1">IFERROR(IF(0=LEN(ReferenceData!$W$187),"",ReferenceData!$W$187),"")</f>
        <v>17.794</v>
      </c>
      <c r="X187">
        <f ca="1">IFERROR(IF(0=LEN(ReferenceData!$X$187),"",ReferenceData!$X$187),"")</f>
        <v>4.7069999999999999</v>
      </c>
      <c r="Y187">
        <f ca="1">IFERROR(IF(0=LEN(ReferenceData!$Y$187),"",ReferenceData!$Y$187),"")</f>
        <v>6.5060000000000002</v>
      </c>
      <c r="Z187">
        <f ca="1">IFERROR(IF(0=LEN(ReferenceData!$Z$187),"",ReferenceData!$Z$187),"")</f>
        <v>59.642000000000003</v>
      </c>
      <c r="AA187">
        <f ca="1">IFERROR(IF(0=LEN(ReferenceData!$AA$187),"",ReferenceData!$AA$187),"")</f>
        <v>26.669</v>
      </c>
      <c r="AB187">
        <f ca="1">IFERROR(IF(0=LEN(ReferenceData!$AB$187),"",ReferenceData!$AB$187),"")</f>
        <v>5.59</v>
      </c>
      <c r="AC187">
        <f ca="1">IFERROR(IF(0=LEN(ReferenceData!$AC$187),"",ReferenceData!$AC$187),"")</f>
        <v>52.125999999999998</v>
      </c>
      <c r="AD187">
        <f ca="1">IFERROR(IF(0=LEN(ReferenceData!$AD$187),"",ReferenceData!$AD$187),"")</f>
        <v>49.701999999999998</v>
      </c>
      <c r="AE187">
        <f ca="1">IFERROR(IF(0=LEN(ReferenceData!$AE$187),"",ReferenceData!$AE$187),"")</f>
        <v>55.158999999999999</v>
      </c>
      <c r="AF187">
        <f ca="1">IFERROR(IF(0=LEN(ReferenceData!$AF$187),"",ReferenceData!$AF$187),"")</f>
        <v>56.098999999999997</v>
      </c>
      <c r="AG187">
        <f ca="1">IFERROR(IF(0=LEN(ReferenceData!$AG$187),"",ReferenceData!$AG$187),"")</f>
        <v>63.148000000000003</v>
      </c>
      <c r="AH187">
        <f ca="1">IFERROR(IF(0=LEN(ReferenceData!$AH$187),"",ReferenceData!$AH$187),"")</f>
        <v>98.771000000000001</v>
      </c>
      <c r="AI187">
        <f ca="1">IFERROR(IF(0=LEN(ReferenceData!$AI$187),"",ReferenceData!$AI$187),"")</f>
        <v>170.57499999999999</v>
      </c>
      <c r="AJ187">
        <f ca="1">IFERROR(IF(0=LEN(ReferenceData!$AJ$187),"",ReferenceData!$AJ$187),"")</f>
        <v>91.070999999999998</v>
      </c>
      <c r="AK187">
        <f ca="1">IFERROR(IF(0=LEN(ReferenceData!$AK$187),"",ReferenceData!$AK$187),"")</f>
        <v>128.155</v>
      </c>
      <c r="AL187">
        <f ca="1">IFERROR(IF(0=LEN(ReferenceData!$AL$187),"",ReferenceData!$AL$187),"")</f>
        <v>28.553000000000001</v>
      </c>
      <c r="AM187">
        <f ca="1">IFERROR(IF(0=LEN(ReferenceData!$AM$187),"",ReferenceData!$AM$187),"")</f>
        <v>64.156000000000006</v>
      </c>
      <c r="AN187">
        <f ca="1">IFERROR(IF(0=LEN(ReferenceData!$AN$187),"",ReferenceData!$AN$187),"")</f>
        <v>81.683000000000007</v>
      </c>
      <c r="AO187">
        <f ca="1">IFERROR(IF(0=LEN(ReferenceData!$AO$187),"",ReferenceData!$AO$187),"")</f>
        <v>157.66499999999999</v>
      </c>
      <c r="AP187">
        <f ca="1">IFERROR(IF(0=LEN(ReferenceData!$AP$187),"",ReferenceData!$AP$187),"")</f>
        <v>7.2560000000000002</v>
      </c>
      <c r="AQ187">
        <f ca="1">IFERROR(IF(0=LEN(ReferenceData!$AQ$187),"",ReferenceData!$AQ$187),"")</f>
        <v>7.407</v>
      </c>
      <c r="AR187">
        <f ca="1">IFERROR(IF(0=LEN(ReferenceData!$AR$187),"",ReferenceData!$AR$187),"")</f>
        <v>29.516999999999999</v>
      </c>
      <c r="AS187">
        <f ca="1">IFERROR(IF(0=LEN(ReferenceData!$AS$187),"",ReferenceData!$AS$187),"")</f>
        <v>1.242</v>
      </c>
      <c r="AT187">
        <f ca="1">IFERROR(IF(0=LEN(ReferenceData!$AT$187),"",ReferenceData!$AT$187),"")</f>
        <v>0.94699999999999995</v>
      </c>
      <c r="AU187">
        <f ca="1">IFERROR(IF(0=LEN(ReferenceData!$AU$187),"",ReferenceData!$AU$187),"")</f>
        <v>0.89700000000000002</v>
      </c>
      <c r="AV187">
        <f ca="1">IFERROR(IF(0=LEN(ReferenceData!$AV$187),"",ReferenceData!$AV$187),"")</f>
        <v>1.2070000000000001</v>
      </c>
      <c r="AW187">
        <f ca="1">IFERROR(IF(0=LEN(ReferenceData!$AW$187),"",ReferenceData!$AW$187),"")</f>
        <v>3.0579999999999998</v>
      </c>
      <c r="AX187">
        <f ca="1">IFERROR(IF(0=LEN(ReferenceData!$AX$187),"",ReferenceData!$AX$187),"")</f>
        <v>1.47</v>
      </c>
      <c r="AY187">
        <f ca="1">IFERROR(IF(0=LEN(ReferenceData!$AY$187),"",ReferenceData!$AY$187),"")</f>
        <v>1.034</v>
      </c>
      <c r="AZ187">
        <f ca="1">IFERROR(IF(0=LEN(ReferenceData!$AZ$187),"",ReferenceData!$AZ$187),"")</f>
        <v>8.0609999999999999</v>
      </c>
      <c r="BA187">
        <f ca="1">IFERROR(IF(0=LEN(ReferenceData!$BA$187),"",ReferenceData!$BA$187),"")</f>
        <v>49.7</v>
      </c>
      <c r="BB187">
        <f ca="1">IFERROR(IF(0=LEN(ReferenceData!$BB$187),"",ReferenceData!$BB$187),"")</f>
        <v>1.256</v>
      </c>
      <c r="BC187">
        <f ca="1">IFERROR(IF(0=LEN(ReferenceData!$BC$187),"",ReferenceData!$BC$187),"")</f>
        <v>1.5760000000000001</v>
      </c>
      <c r="BD187">
        <f ca="1">IFERROR(IF(0=LEN(ReferenceData!$BD$187),"",ReferenceData!$BD$187),"")</f>
        <v>1.0760000000000001</v>
      </c>
      <c r="BE187">
        <f ca="1">IFERROR(IF(0=LEN(ReferenceData!$BE$187),"",ReferenceData!$BE$187),"")</f>
        <v>6.4320000000000004</v>
      </c>
      <c r="BF187">
        <f ca="1">IFERROR(IF(0=LEN(ReferenceData!$BF$187),"",ReferenceData!$BF$187),"")</f>
        <v>6.351</v>
      </c>
      <c r="BG187">
        <f ca="1">IFERROR(IF(0=LEN(ReferenceData!$BG$187),"",ReferenceData!$BG$187),"")</f>
        <v>2.2530000000000001</v>
      </c>
      <c r="BH187">
        <f ca="1">IFERROR(IF(0=LEN(ReferenceData!$BH$187),"",ReferenceData!$BH$187),"")</f>
        <v>2.4649999999999999</v>
      </c>
      <c r="BI187">
        <f ca="1">IFERROR(IF(0=LEN(ReferenceData!$BI$187),"",ReferenceData!$BI$187),"")</f>
        <v>1.9219999999999999</v>
      </c>
      <c r="BJ187">
        <f ca="1">IFERROR(IF(0=LEN(ReferenceData!$BJ$187),"",ReferenceData!$BJ$187),"")</f>
        <v>3.8359999999999999</v>
      </c>
      <c r="BK187">
        <f ca="1">IFERROR(IF(0=LEN(ReferenceData!$BK$187),"",ReferenceData!$BK$187),"")</f>
        <v>3.3570001129999998</v>
      </c>
      <c r="BL187">
        <f ca="1">IFERROR(IF(0=LEN(ReferenceData!$BL$187),"",ReferenceData!$BL$187),"")</f>
        <v>2.3410000000000002</v>
      </c>
      <c r="BM187">
        <f ca="1">IFERROR(IF(0=LEN(ReferenceData!$BM$187),"",ReferenceData!$BM$187),"")</f>
        <v>1.55</v>
      </c>
    </row>
    <row r="188" spans="1:65">
      <c r="A188" t="str">
        <f>IFERROR(IF(0=LEN(ReferenceData!$A$188),"",ReferenceData!$A$188),"")</f>
        <v xml:space="preserve">    Education Realty Trust Inc</v>
      </c>
      <c r="B188" t="str">
        <f>IFERROR(IF(0=LEN(ReferenceData!$B$188),"",ReferenceData!$B$188),"")</f>
        <v>EDR US Equity</v>
      </c>
      <c r="C188" t="str">
        <f>IFERROR(IF(0=LEN(ReferenceData!$C$188),"",ReferenceData!$C$188),"")</f>
        <v>RR253</v>
      </c>
      <c r="D188" t="str">
        <f>IFERROR(IF(0=LEN(ReferenceData!$D$188),"",ReferenceData!$D$188),"")</f>
        <v>CASH_AND_MARKETABLE_SECURITIES</v>
      </c>
      <c r="E188" t="str">
        <f>IFERROR(IF(0=LEN(ReferenceData!$E$188),"",ReferenceData!$E$188),"")</f>
        <v>动态</v>
      </c>
      <c r="F188" t="str">
        <f ca="1">IFERROR(IF(0=LEN(ReferenceData!$F$188),"",ReferenceData!$F$188),"")</f>
        <v/>
      </c>
      <c r="G188">
        <f ca="1">IFERROR(IF(0=LEN(ReferenceData!$G$188),"",ReferenceData!$G$188),"")</f>
        <v>24.786999999999999</v>
      </c>
      <c r="H188">
        <f ca="1">IFERROR(IF(0=LEN(ReferenceData!$H$188),"",ReferenceData!$H$188),"")</f>
        <v>47.462000000000003</v>
      </c>
      <c r="I188">
        <f ca="1">IFERROR(IF(0=LEN(ReferenceData!$I$188),"",ReferenceData!$I$188),"")</f>
        <v>33.496000000000002</v>
      </c>
      <c r="J188">
        <f ca="1">IFERROR(IF(0=LEN(ReferenceData!$J$188),"",ReferenceData!$J$188),"")</f>
        <v>34.921999999999997</v>
      </c>
      <c r="K188">
        <f ca="1">IFERROR(IF(0=LEN(ReferenceData!$K$188),"",ReferenceData!$K$188),"")</f>
        <v>34.475000000000001</v>
      </c>
      <c r="L188">
        <f ca="1">IFERROR(IF(0=LEN(ReferenceData!$L$188),"",ReferenceData!$L$188),"")</f>
        <v>115.486</v>
      </c>
      <c r="M188">
        <f ca="1">IFERROR(IF(0=LEN(ReferenceData!$M$188),"",ReferenceData!$M$188),"")</f>
        <v>230.40199999999999</v>
      </c>
      <c r="N188">
        <f ca="1">IFERROR(IF(0=LEN(ReferenceData!$N$188),"",ReferenceData!$N$188),"")</f>
        <v>195.84800000000001</v>
      </c>
      <c r="O188">
        <f ca="1">IFERROR(IF(0=LEN(ReferenceData!$O$188),"",ReferenceData!$O$188),"")</f>
        <v>33.741999999999997</v>
      </c>
      <c r="P188">
        <f ca="1">IFERROR(IF(0=LEN(ReferenceData!$P$188),"",ReferenceData!$P$188),"")</f>
        <v>14.169</v>
      </c>
      <c r="Q188">
        <f ca="1">IFERROR(IF(0=LEN(ReferenceData!$Q$188),"",ReferenceData!$Q$188),"")</f>
        <v>17.082000000000001</v>
      </c>
      <c r="R188">
        <f ca="1">IFERROR(IF(0=LEN(ReferenceData!$R$188),"",ReferenceData!$R$188),"")</f>
        <v>23.64</v>
      </c>
      <c r="S188">
        <f ca="1">IFERROR(IF(0=LEN(ReferenceData!$S$188),"",ReferenceData!$S$188),"")</f>
        <v>18.385000000000002</v>
      </c>
      <c r="T188">
        <f ca="1">IFERROR(IF(0=LEN(ReferenceData!$T$188),"",ReferenceData!$T$188),"")</f>
        <v>18.422000000000001</v>
      </c>
      <c r="U188">
        <f ca="1">IFERROR(IF(0=LEN(ReferenceData!$U$188),"",ReferenceData!$U$188),"")</f>
        <v>11.162000000000001</v>
      </c>
      <c r="V188">
        <f ca="1">IFERROR(IF(0=LEN(ReferenceData!$V$188),"",ReferenceData!$V$188),"")</f>
        <v>8.9689999999999994</v>
      </c>
      <c r="W188">
        <f ca="1">IFERROR(IF(0=LEN(ReferenceData!$W$188),"",ReferenceData!$W$188),"")</f>
        <v>22.073</v>
      </c>
      <c r="X188">
        <f ca="1">IFERROR(IF(0=LEN(ReferenceData!$X$188),"",ReferenceData!$X$188),"")</f>
        <v>16.335000000000001</v>
      </c>
      <c r="Y188">
        <f ca="1">IFERROR(IF(0=LEN(ReferenceData!$Y$188),"",ReferenceData!$Y$188),"")</f>
        <v>10.964</v>
      </c>
      <c r="Z188">
        <f ca="1">IFERROR(IF(0=LEN(ReferenceData!$Z$188),"",ReferenceData!$Z$188),"")</f>
        <v>14.507999999999999</v>
      </c>
      <c r="AA188">
        <f ca="1">IFERROR(IF(0=LEN(ReferenceData!$AA$188),"",ReferenceData!$AA$188),"")</f>
        <v>17.039000000000001</v>
      </c>
      <c r="AB188">
        <f ca="1">IFERROR(IF(0=LEN(ReferenceData!$AB$188),"",ReferenceData!$AB$188),"")</f>
        <v>127.623</v>
      </c>
      <c r="AC188">
        <f ca="1">IFERROR(IF(0=LEN(ReferenceData!$AC$188),"",ReferenceData!$AC$188),"")</f>
        <v>8.4139999999999997</v>
      </c>
      <c r="AD188">
        <f ca="1">IFERROR(IF(0=LEN(ReferenceData!$AD$188),"",ReferenceData!$AD$188),"")</f>
        <v>21.305</v>
      </c>
      <c r="AE188">
        <f ca="1">IFERROR(IF(0=LEN(ReferenceData!$AE$188),"",ReferenceData!$AE$188),"")</f>
        <v>75.813000000000002</v>
      </c>
      <c r="AF188">
        <f ca="1">IFERROR(IF(0=LEN(ReferenceData!$AF$188),"",ReferenceData!$AF$188),"")</f>
        <v>47.341999999999999</v>
      </c>
      <c r="AG188">
        <f ca="1">IFERROR(IF(0=LEN(ReferenceData!$AG$188),"",ReferenceData!$AG$188),"")</f>
        <v>71.289000000000001</v>
      </c>
      <c r="AH188">
        <f ca="1">IFERROR(IF(0=LEN(ReferenceData!$AH$188),"",ReferenceData!$AH$188),"")</f>
        <v>75.608999999999995</v>
      </c>
      <c r="AI188">
        <f ca="1">IFERROR(IF(0=LEN(ReferenceData!$AI$188),"",ReferenceData!$AI$188),"")</f>
        <v>6.9580000000000002</v>
      </c>
      <c r="AJ188">
        <f ca="1">IFERROR(IF(0=LEN(ReferenceData!$AJ$188),"",ReferenceData!$AJ$188),"")</f>
        <v>27.96</v>
      </c>
      <c r="AK188">
        <f ca="1">IFERROR(IF(0=LEN(ReferenceData!$AK$188),"",ReferenceData!$AK$188),"")</f>
        <v>23.347999999999999</v>
      </c>
      <c r="AL188">
        <f ca="1">IFERROR(IF(0=LEN(ReferenceData!$AL$188),"",ReferenceData!$AL$188),"")</f>
        <v>28.384</v>
      </c>
      <c r="AM188">
        <f ca="1">IFERROR(IF(0=LEN(ReferenceData!$AM$188),"",ReferenceData!$AM$188),"")</f>
        <v>31.169</v>
      </c>
      <c r="AN188">
        <f ca="1">IFERROR(IF(0=LEN(ReferenceData!$AN$188),"",ReferenceData!$AN$188),"")</f>
        <v>83.94</v>
      </c>
      <c r="AO188">
        <f ca="1">IFERROR(IF(0=LEN(ReferenceData!$AO$188),"",ReferenceData!$AO$188),"")</f>
        <v>4.07</v>
      </c>
      <c r="AP188">
        <f ca="1">IFERROR(IF(0=LEN(ReferenceData!$AP$188),"",ReferenceData!$AP$188),"")</f>
        <v>8.8889999999999993</v>
      </c>
      <c r="AQ188">
        <f ca="1">IFERROR(IF(0=LEN(ReferenceData!$AQ$188),"",ReferenceData!$AQ$188),"")</f>
        <v>9.0030000000000001</v>
      </c>
      <c r="AR188">
        <f ca="1">IFERROR(IF(0=LEN(ReferenceData!$AR$188),"",ReferenceData!$AR$188),"")</f>
        <v>2.7559999999999998</v>
      </c>
      <c r="AS188">
        <f ca="1">IFERROR(IF(0=LEN(ReferenceData!$AS$188),"",ReferenceData!$AS$188),"")</f>
        <v>27.321999999999999</v>
      </c>
      <c r="AT188">
        <f ca="1">IFERROR(IF(0=LEN(ReferenceData!$AT$188),"",ReferenceData!$AT$188),"")</f>
        <v>3.056</v>
      </c>
      <c r="AU188">
        <f ca="1">IFERROR(IF(0=LEN(ReferenceData!$AU$188),"",ReferenceData!$AU$188),"")</f>
        <v>4.0339999999999998</v>
      </c>
      <c r="AV188">
        <f ca="1">IFERROR(IF(0=LEN(ReferenceData!$AV$188),"",ReferenceData!$AV$188),"")</f>
        <v>3.1709999999999998</v>
      </c>
      <c r="AW188">
        <f ca="1">IFERROR(IF(0=LEN(ReferenceData!$AW$188),"",ReferenceData!$AW$188),"")</f>
        <v>4.0810000000000004</v>
      </c>
      <c r="AX188">
        <f ca="1">IFERROR(IF(0=LEN(ReferenceData!$AX$188),"",ReferenceData!$AX$188),"")</f>
        <v>7.58</v>
      </c>
      <c r="AY188">
        <f ca="1">IFERROR(IF(0=LEN(ReferenceData!$AY$188),"",ReferenceData!$AY$188),"")</f>
        <v>6.4269999999999996</v>
      </c>
      <c r="AZ188">
        <f ca="1">IFERROR(IF(0=LEN(ReferenceData!$AZ$188),"",ReferenceData!$AZ$188),"")</f>
        <v>3.9</v>
      </c>
      <c r="BA188">
        <f ca="1">IFERROR(IF(0=LEN(ReferenceData!$BA$188),"",ReferenceData!$BA$188),"")</f>
        <v>5.2469999999999999</v>
      </c>
      <c r="BB188">
        <f ca="1">IFERROR(IF(0=LEN(ReferenceData!$BB$188),"",ReferenceData!$BB$188),"")</f>
        <v>4.3109999999999999</v>
      </c>
      <c r="BC188">
        <f ca="1">IFERROR(IF(0=LEN(ReferenceData!$BC$188),"",ReferenceData!$BC$188),"")</f>
        <v>61.661999999999999</v>
      </c>
      <c r="BD188">
        <f ca="1">IFERROR(IF(0=LEN(ReferenceData!$BD$188),"",ReferenceData!$BD$188),"")</f>
        <v>72.683000000000007</v>
      </c>
      <c r="BE188">
        <f ca="1">IFERROR(IF(0=LEN(ReferenceData!$BE$188),"",ReferenceData!$BE$188),"")</f>
        <v>22.039000000000001</v>
      </c>
      <c r="BF188">
        <f ca="1">IFERROR(IF(0=LEN(ReferenceData!$BF$188),"",ReferenceData!$BF$188),"")</f>
        <v>47.567999999999998</v>
      </c>
      <c r="BG188" t="str">
        <f ca="1">IFERROR(IF(0=LEN(ReferenceData!$BG$188),"",ReferenceData!$BG$188),"")</f>
        <v/>
      </c>
      <c r="BH188" t="str">
        <f ca="1">IFERROR(IF(0=LEN(ReferenceData!$BH$188),"",ReferenceData!$BH$188),"")</f>
        <v/>
      </c>
      <c r="BI188" t="str">
        <f ca="1">IFERROR(IF(0=LEN(ReferenceData!$BI$188),"",ReferenceData!$BI$188),"")</f>
        <v/>
      </c>
      <c r="BJ188" t="str">
        <f ca="1">IFERROR(IF(0=LEN(ReferenceData!$BJ$188),"",ReferenceData!$BJ$188),"")</f>
        <v/>
      </c>
      <c r="BK188" t="str">
        <f ca="1">IFERROR(IF(0=LEN(ReferenceData!$BK$188),"",ReferenceData!$BK$188),"")</f>
        <v/>
      </c>
      <c r="BL188" t="str">
        <f ca="1">IFERROR(IF(0=LEN(ReferenceData!$BL$188),"",ReferenceData!$BL$188),"")</f>
        <v/>
      </c>
      <c r="BM188" t="str">
        <f ca="1">IFERROR(IF(0=LEN(ReferenceData!$BM$188),"",ReferenceData!$BM$188),"")</f>
        <v/>
      </c>
    </row>
    <row r="189" spans="1:65">
      <c r="A189" t="str">
        <f>IFERROR(IF(0=LEN(ReferenceData!$A$189),"",ReferenceData!$A$189),"")</f>
        <v xml:space="preserve">    Equity Residential</v>
      </c>
      <c r="B189" t="str">
        <f>IFERROR(IF(0=LEN(ReferenceData!$B$189),"",ReferenceData!$B$189),"")</f>
        <v>EQR US Equity</v>
      </c>
      <c r="C189" t="str">
        <f>IFERROR(IF(0=LEN(ReferenceData!$C$189),"",ReferenceData!$C$189),"")</f>
        <v>RR253</v>
      </c>
      <c r="D189" t="str">
        <f>IFERROR(IF(0=LEN(ReferenceData!$D$189),"",ReferenceData!$D$189),"")</f>
        <v>CASH_AND_MARKETABLE_SECURITIES</v>
      </c>
      <c r="E189" t="str">
        <f>IFERROR(IF(0=LEN(ReferenceData!$E$189),"",ReferenceData!$E$189),"")</f>
        <v>动态</v>
      </c>
      <c r="F189" t="str">
        <f ca="1">IFERROR(IF(0=LEN(ReferenceData!$F$189),"",ReferenceData!$F$189),"")</f>
        <v/>
      </c>
      <c r="G189">
        <f ca="1">IFERROR(IF(0=LEN(ReferenceData!$G$189),"",ReferenceData!$G$189),"")</f>
        <v>50.646999999999998</v>
      </c>
      <c r="H189">
        <f ca="1">IFERROR(IF(0=LEN(ReferenceData!$H$189),"",ReferenceData!$H$189),"")</f>
        <v>46.564999999999998</v>
      </c>
      <c r="I189">
        <f ca="1">IFERROR(IF(0=LEN(ReferenceData!$I$189),"",ReferenceData!$I$189),"")</f>
        <v>37.719000000000001</v>
      </c>
      <c r="J189">
        <f ca="1">IFERROR(IF(0=LEN(ReferenceData!$J$189),"",ReferenceData!$J$189),"")</f>
        <v>42.139000000000003</v>
      </c>
      <c r="K189">
        <f ca="1">IFERROR(IF(0=LEN(ReferenceData!$K$189),"",ReferenceData!$K$189),"")</f>
        <v>77.206999999999994</v>
      </c>
      <c r="L189">
        <f ca="1">IFERROR(IF(0=LEN(ReferenceData!$L$189),"",ReferenceData!$L$189),"")</f>
        <v>517.58600000000001</v>
      </c>
      <c r="M189">
        <f ca="1">IFERROR(IF(0=LEN(ReferenceData!$M$189),"",ReferenceData!$M$189),"")</f>
        <v>497.84300000000002</v>
      </c>
      <c r="N189">
        <f ca="1">IFERROR(IF(0=LEN(ReferenceData!$N$189),"",ReferenceData!$N$189),"")</f>
        <v>368.04899999999998</v>
      </c>
      <c r="O189">
        <f ca="1">IFERROR(IF(0=LEN(ReferenceData!$O$189),"",ReferenceData!$O$189),"")</f>
        <v>42.276000000000003</v>
      </c>
      <c r="P189">
        <f ca="1">IFERROR(IF(0=LEN(ReferenceData!$P$189),"",ReferenceData!$P$189),"")</f>
        <v>37.366</v>
      </c>
      <c r="Q189">
        <f ca="1">IFERROR(IF(0=LEN(ReferenceData!$Q$189),"",ReferenceData!$Q$189),"")</f>
        <v>92.108999999999995</v>
      </c>
      <c r="R189">
        <f ca="1">IFERROR(IF(0=LEN(ReferenceData!$R$189),"",ReferenceData!$R$189),"")</f>
        <v>49.417999999999999</v>
      </c>
      <c r="S189">
        <f ca="1">IFERROR(IF(0=LEN(ReferenceData!$S$189),"",ReferenceData!$S$189),"")</f>
        <v>40.08</v>
      </c>
      <c r="T189">
        <f ca="1">IFERROR(IF(0=LEN(ReferenceData!$T$189),"",ReferenceData!$T$189),"")</f>
        <v>31.478000000000002</v>
      </c>
      <c r="U189">
        <f ca="1">IFERROR(IF(0=LEN(ReferenceData!$U$189),"",ReferenceData!$U$189),"")</f>
        <v>76.132000000000005</v>
      </c>
      <c r="V189">
        <f ca="1">IFERROR(IF(0=LEN(ReferenceData!$V$189),"",ReferenceData!$V$189),"")</f>
        <v>37.209000000000003</v>
      </c>
      <c r="W189">
        <f ca="1">IFERROR(IF(0=LEN(ReferenceData!$W$189),"",ReferenceData!$W$189),"")</f>
        <v>53.533999999999999</v>
      </c>
      <c r="X189">
        <f ca="1">IFERROR(IF(0=LEN(ReferenceData!$X$189),"",ReferenceData!$X$189),"")</f>
        <v>972.76099999999997</v>
      </c>
      <c r="Y189">
        <f ca="1">IFERROR(IF(0=LEN(ReferenceData!$Y$189),"",ReferenceData!$Y$189),"")</f>
        <v>152.56399999999999</v>
      </c>
      <c r="Z189">
        <f ca="1">IFERROR(IF(0=LEN(ReferenceData!$Z$189),"",ReferenceData!$Z$189),"")</f>
        <v>56.087000000000003</v>
      </c>
      <c r="AA189">
        <f ca="1">IFERROR(IF(0=LEN(ReferenceData!$AA$189),"",ReferenceData!$AA$189),"")</f>
        <v>612.59</v>
      </c>
      <c r="AB189">
        <f ca="1">IFERROR(IF(0=LEN(ReferenceData!$AB$189),"",ReferenceData!$AB$189),"")</f>
        <v>45.622999999999998</v>
      </c>
      <c r="AC189">
        <f ca="1">IFERROR(IF(0=LEN(ReferenceData!$AC$189),"",ReferenceData!$AC$189),"")</f>
        <v>44.585000000000001</v>
      </c>
      <c r="AD189">
        <f ca="1">IFERROR(IF(0=LEN(ReferenceData!$AD$189),"",ReferenceData!$AD$189),"")</f>
        <v>219.62799999999999</v>
      </c>
      <c r="AE189">
        <f ca="1">IFERROR(IF(0=LEN(ReferenceData!$AE$189),"",ReferenceData!$AE$189),"")</f>
        <v>383.92099999999999</v>
      </c>
      <c r="AF189">
        <f ca="1">IFERROR(IF(0=LEN(ReferenceData!$AF$189),"",ReferenceData!$AF$189),"")</f>
        <v>45.985999999999997</v>
      </c>
      <c r="AG189">
        <f ca="1">IFERROR(IF(0=LEN(ReferenceData!$AG$189),"",ReferenceData!$AG$189),"")</f>
        <v>604.76400000000001</v>
      </c>
      <c r="AH189">
        <f ca="1">IFERROR(IF(0=LEN(ReferenceData!$AH$189),"",ReferenceData!$AH$189),"")</f>
        <v>306.072</v>
      </c>
      <c r="AI189">
        <f ca="1">IFERROR(IF(0=LEN(ReferenceData!$AI$189),"",ReferenceData!$AI$189),"")</f>
        <v>431.40800000000002</v>
      </c>
      <c r="AJ189">
        <f ca="1">IFERROR(IF(0=LEN(ReferenceData!$AJ$189),"",ReferenceData!$AJ$189),"")</f>
        <v>43.66</v>
      </c>
      <c r="AK189">
        <f ca="1">IFERROR(IF(0=LEN(ReferenceData!$AK$189),"",ReferenceData!$AK$189),"")</f>
        <v>47.981999999999999</v>
      </c>
      <c r="AL189">
        <f ca="1">IFERROR(IF(0=LEN(ReferenceData!$AL$189),"",ReferenceData!$AL$189),"")</f>
        <v>60.186</v>
      </c>
      <c r="AM189">
        <f ca="1">IFERROR(IF(0=LEN(ReferenceData!$AM$189),"",ReferenceData!$AM$189),"")</f>
        <v>193.28800000000001</v>
      </c>
      <c r="AN189">
        <f ca="1">IFERROR(IF(0=LEN(ReferenceData!$AN$189),"",ReferenceData!$AN$189),"")</f>
        <v>637.58799999999997</v>
      </c>
      <c r="AO189">
        <f ca="1">IFERROR(IF(0=LEN(ReferenceData!$AO$189),"",ReferenceData!$AO$189),"")</f>
        <v>667.495</v>
      </c>
      <c r="AP189">
        <f ca="1">IFERROR(IF(0=LEN(ReferenceData!$AP$189),"",ReferenceData!$AP$189),"")</f>
        <v>428.596</v>
      </c>
      <c r="AQ189">
        <f ca="1">IFERROR(IF(0=LEN(ReferenceData!$AQ$189),"",ReferenceData!$AQ$189),"")</f>
        <v>890.79399999999998</v>
      </c>
      <c r="AR189">
        <f ca="1">IFERROR(IF(0=LEN(ReferenceData!$AR$189),"",ReferenceData!$AR$189),"")</f>
        <v>530.04999999999995</v>
      </c>
      <c r="AS189">
        <f ca="1">IFERROR(IF(0=LEN(ReferenceData!$AS$189),"",ReferenceData!$AS$189),"")</f>
        <v>273.60000000000002</v>
      </c>
      <c r="AT189">
        <f ca="1">IFERROR(IF(0=LEN(ReferenceData!$AT$189),"",ReferenceData!$AT$189),"")</f>
        <v>502.649</v>
      </c>
      <c r="AU189">
        <f ca="1">IFERROR(IF(0=LEN(ReferenceData!$AU$189),"",ReferenceData!$AU$189),"")</f>
        <v>50.831000000000003</v>
      </c>
      <c r="AV189">
        <f ca="1">IFERROR(IF(0=LEN(ReferenceData!$AV$189),"",ReferenceData!$AV$189),"")</f>
        <v>62.734000000000002</v>
      </c>
      <c r="AW189">
        <f ca="1">IFERROR(IF(0=LEN(ReferenceData!$AW$189),"",ReferenceData!$AW$189),"")</f>
        <v>66.266000000000005</v>
      </c>
      <c r="AX189">
        <f ca="1">IFERROR(IF(0=LEN(ReferenceData!$AX$189),"",ReferenceData!$AX$189),"")</f>
        <v>171.74199999999999</v>
      </c>
      <c r="AY189">
        <f ca="1">IFERROR(IF(0=LEN(ReferenceData!$AY$189),"",ReferenceData!$AY$189),"")</f>
        <v>260.27699999999999</v>
      </c>
      <c r="AZ189">
        <f ca="1">IFERROR(IF(0=LEN(ReferenceData!$AZ$189),"",ReferenceData!$AZ$189),"")</f>
        <v>76.323999999999998</v>
      </c>
      <c r="BA189">
        <f ca="1">IFERROR(IF(0=LEN(ReferenceData!$BA$189),"",ReferenceData!$BA$189),"")</f>
        <v>72.171999999999997</v>
      </c>
      <c r="BB189">
        <f ca="1">IFERROR(IF(0=LEN(ReferenceData!$BB$189),"",ReferenceData!$BB$189),"")</f>
        <v>86.777000000000001</v>
      </c>
      <c r="BC189">
        <f ca="1">IFERROR(IF(0=LEN(ReferenceData!$BC$189),"",ReferenceData!$BC$189),"")</f>
        <v>88.828000000000003</v>
      </c>
      <c r="BD189">
        <f ca="1">IFERROR(IF(0=LEN(ReferenceData!$BD$189),"",ReferenceData!$BD$189),"")</f>
        <v>306.93299999999999</v>
      </c>
      <c r="BE189">
        <f ca="1">IFERROR(IF(0=LEN(ReferenceData!$BE$189),"",ReferenceData!$BE$189),"")</f>
        <v>102.752</v>
      </c>
      <c r="BF189">
        <f ca="1">IFERROR(IF(0=LEN(ReferenceData!$BF$189),"",ReferenceData!$BF$189),"")</f>
        <v>91.067999999999998</v>
      </c>
      <c r="BG189">
        <f ca="1">IFERROR(IF(0=LEN(ReferenceData!$BG$189),"",ReferenceData!$BG$189),"")</f>
        <v>83.504999999999995</v>
      </c>
      <c r="BH189">
        <f ca="1">IFERROR(IF(0=LEN(ReferenceData!$BH$189),"",ReferenceData!$BH$189),"")</f>
        <v>64.992996000000005</v>
      </c>
      <c r="BI189">
        <f ca="1">IFERROR(IF(0=LEN(ReferenceData!$BI$189),"",ReferenceData!$BI$189),"")</f>
        <v>143.25199900000001</v>
      </c>
      <c r="BJ189">
        <f ca="1">IFERROR(IF(0=LEN(ReferenceData!$BJ$189),"",ReferenceData!$BJ$189),"")</f>
        <v>71.527000000000001</v>
      </c>
      <c r="BK189">
        <f ca="1">IFERROR(IF(0=LEN(ReferenceData!$BK$189),"",ReferenceData!$BK$189),"")</f>
        <v>49.578999000000003</v>
      </c>
      <c r="BL189">
        <f ca="1">IFERROR(IF(0=LEN(ReferenceData!$BL$189),"",ReferenceData!$BL$189),"")</f>
        <v>372.58599900000002</v>
      </c>
      <c r="BM189">
        <f ca="1">IFERROR(IF(0=LEN(ReferenceData!$BM$189),"",ReferenceData!$BM$189),"")</f>
        <v>243.83799999999999</v>
      </c>
    </row>
    <row r="190" spans="1:65">
      <c r="A190" t="str">
        <f>IFERROR(IF(0=LEN(ReferenceData!$A$190),"",ReferenceData!$A$190),"")</f>
        <v xml:space="preserve">    Essex Property Trust Inc</v>
      </c>
      <c r="B190" t="str">
        <f>IFERROR(IF(0=LEN(ReferenceData!$B$190),"",ReferenceData!$B$190),"")</f>
        <v>ESS US Equity</v>
      </c>
      <c r="C190" t="str">
        <f>IFERROR(IF(0=LEN(ReferenceData!$C$190),"",ReferenceData!$C$190),"")</f>
        <v>RR253</v>
      </c>
      <c r="D190" t="str">
        <f>IFERROR(IF(0=LEN(ReferenceData!$D$190),"",ReferenceData!$D$190),"")</f>
        <v>CASH_AND_MARKETABLE_SECURITIES</v>
      </c>
      <c r="E190" t="str">
        <f>IFERROR(IF(0=LEN(ReferenceData!$E$190),"",ReferenceData!$E$190),"")</f>
        <v>动态</v>
      </c>
      <c r="F190" t="str">
        <f ca="1">IFERROR(IF(0=LEN(ReferenceData!$F$190),"",ReferenceData!$F$190),"")</f>
        <v/>
      </c>
      <c r="G190">
        <f ca="1">IFERROR(IF(0=LEN(ReferenceData!$G$190),"",ReferenceData!$G$190),"")</f>
        <v>44.62</v>
      </c>
      <c r="H190">
        <f ca="1">IFERROR(IF(0=LEN(ReferenceData!$H$190),"",ReferenceData!$H$190),"")</f>
        <v>46.506999999999998</v>
      </c>
      <c r="I190">
        <f ca="1">IFERROR(IF(0=LEN(ReferenceData!$I$190),"",ReferenceData!$I$190),"")</f>
        <v>183.88499999999999</v>
      </c>
      <c r="J190">
        <f ca="1">IFERROR(IF(0=LEN(ReferenceData!$J$190),"",ReferenceData!$J$190),"")</f>
        <v>84.343999999999994</v>
      </c>
      <c r="K190">
        <f ca="1">IFERROR(IF(0=LEN(ReferenceData!$K$190),"",ReferenceData!$K$190),"")</f>
        <v>64.921000000000006</v>
      </c>
      <c r="L190">
        <f ca="1">IFERROR(IF(0=LEN(ReferenceData!$L$190),"",ReferenceData!$L$190),"")</f>
        <v>195.167</v>
      </c>
      <c r="M190">
        <f ca="1">IFERROR(IF(0=LEN(ReferenceData!$M$190),"",ReferenceData!$M$190),"")</f>
        <v>182.51499999999999</v>
      </c>
      <c r="N190">
        <f ca="1">IFERROR(IF(0=LEN(ReferenceData!$N$190),"",ReferenceData!$N$190),"")</f>
        <v>48.164000000000001</v>
      </c>
      <c r="O190">
        <f ca="1">IFERROR(IF(0=LEN(ReferenceData!$O$190),"",ReferenceData!$O$190),"")</f>
        <v>29.683</v>
      </c>
      <c r="P190">
        <f ca="1">IFERROR(IF(0=LEN(ReferenceData!$P$190),"",ReferenceData!$P$190),"")</f>
        <v>35.667999999999999</v>
      </c>
      <c r="Q190">
        <f ca="1">IFERROR(IF(0=LEN(ReferenceData!$Q$190),"",ReferenceData!$Q$190),"")</f>
        <v>30.242000000000001</v>
      </c>
      <c r="R190">
        <f ca="1">IFERROR(IF(0=LEN(ReferenceData!$R$190),"",ReferenceData!$R$190),"")</f>
        <v>219.2</v>
      </c>
      <c r="S190">
        <f ca="1">IFERROR(IF(0=LEN(ReferenceData!$S$190),"",ReferenceData!$S$190),"")</f>
        <v>25.61</v>
      </c>
      <c r="T190">
        <f ca="1">IFERROR(IF(0=LEN(ReferenceData!$T$190),"",ReferenceData!$T$190),"")</f>
        <v>17.876999999999999</v>
      </c>
      <c r="U190">
        <f ca="1">IFERROR(IF(0=LEN(ReferenceData!$U$190),"",ReferenceData!$U$190),"")</f>
        <v>17.946000000000002</v>
      </c>
      <c r="V190">
        <f ca="1">IFERROR(IF(0=LEN(ReferenceData!$V$190),"",ReferenceData!$V$190),"")</f>
        <v>19.917999999999999</v>
      </c>
      <c r="W190">
        <f ca="1">IFERROR(IF(0=LEN(ReferenceData!$W$190),"",ReferenceData!$W$190),"")</f>
        <v>18.491</v>
      </c>
      <c r="X190">
        <f ca="1">IFERROR(IF(0=LEN(ReferenceData!$X$190),"",ReferenceData!$X$190),"")</f>
        <v>9.5090000000000003</v>
      </c>
      <c r="Y190">
        <f ca="1">IFERROR(IF(0=LEN(ReferenceData!$Y$190),"",ReferenceData!$Y$190),"")</f>
        <v>20.216999999999999</v>
      </c>
      <c r="Z190">
        <f ca="1">IFERROR(IF(0=LEN(ReferenceData!$Z$190),"",ReferenceData!$Z$190),"")</f>
        <v>30.844000000000001</v>
      </c>
      <c r="AA190">
        <f ca="1">IFERROR(IF(0=LEN(ReferenceData!$AA$190),"",ReferenceData!$AA$190),"")</f>
        <v>18.606000000000002</v>
      </c>
      <c r="AB190">
        <f ca="1">IFERROR(IF(0=LEN(ReferenceData!$AB$190),"",ReferenceData!$AB$190),"")</f>
        <v>1.9430000000000001</v>
      </c>
      <c r="AC190">
        <f ca="1">IFERROR(IF(0=LEN(ReferenceData!$AC$190),"",ReferenceData!$AC$190),"")</f>
        <v>4.1319999999999997</v>
      </c>
      <c r="AD190">
        <f ca="1">IFERROR(IF(0=LEN(ReferenceData!$AD$190),"",ReferenceData!$AD$190),"")</f>
        <v>13.744</v>
      </c>
      <c r="AE190">
        <f ca="1">IFERROR(IF(0=LEN(ReferenceData!$AE$190),"",ReferenceData!$AE$190),"")</f>
        <v>12.888999999999999</v>
      </c>
      <c r="AF190">
        <f ca="1">IFERROR(IF(0=LEN(ReferenceData!$AF$190),"",ReferenceData!$AF$190),"")</f>
        <v>9.02</v>
      </c>
      <c r="AG190">
        <f ca="1">IFERROR(IF(0=LEN(ReferenceData!$AG$190),"",ReferenceData!$AG$190),"")</f>
        <v>8.8089999999999993</v>
      </c>
      <c r="AH190">
        <f ca="1">IFERROR(IF(0=LEN(ReferenceData!$AH$190),"",ReferenceData!$AH$190),"")</f>
        <v>97.683000000000007</v>
      </c>
      <c r="AI190">
        <f ca="1">IFERROR(IF(0=LEN(ReferenceData!$AI$190),"",ReferenceData!$AI$190),"")</f>
        <v>13.753</v>
      </c>
      <c r="AJ190">
        <f ca="1">IFERROR(IF(0=LEN(ReferenceData!$AJ$190),"",ReferenceData!$AJ$190),"")</f>
        <v>14.667999999999999</v>
      </c>
      <c r="AK190">
        <f ca="1">IFERROR(IF(0=LEN(ReferenceData!$AK$190),"",ReferenceData!$AK$190),"")</f>
        <v>8.3670000000000009</v>
      </c>
      <c r="AL190">
        <f ca="1">IFERROR(IF(0=LEN(ReferenceData!$AL$190),"",ReferenceData!$AL$190),"")</f>
        <v>22.312000000000001</v>
      </c>
      <c r="AM190">
        <f ca="1">IFERROR(IF(0=LEN(ReferenceData!$AM$190),"",ReferenceData!$AM$190),"")</f>
        <v>20.66</v>
      </c>
      <c r="AN190">
        <f ca="1">IFERROR(IF(0=LEN(ReferenceData!$AN$190),"",ReferenceData!$AN$190),"")</f>
        <v>81.941999999999993</v>
      </c>
      <c r="AO190">
        <f ca="1">IFERROR(IF(0=LEN(ReferenceData!$AO$190),"",ReferenceData!$AO$190),"")</f>
        <v>65.435000000000002</v>
      </c>
      <c r="AP190">
        <f ca="1">IFERROR(IF(0=LEN(ReferenceData!$AP$190),"",ReferenceData!$AP$190),"")</f>
        <v>65.212000000000003</v>
      </c>
      <c r="AQ190">
        <f ca="1">IFERROR(IF(0=LEN(ReferenceData!$AQ$190),"",ReferenceData!$AQ$190),"")</f>
        <v>41.908999999999999</v>
      </c>
      <c r="AR190">
        <f ca="1">IFERROR(IF(0=LEN(ReferenceData!$AR$190),"",ReferenceData!$AR$190),"")</f>
        <v>33.404000000000003</v>
      </c>
      <c r="AS190">
        <f ca="1">IFERROR(IF(0=LEN(ReferenceData!$AS$190),"",ReferenceData!$AS$190),"")</f>
        <v>20.995000000000001</v>
      </c>
      <c r="AT190">
        <f ca="1">IFERROR(IF(0=LEN(ReferenceData!$AT$190),"",ReferenceData!$AT$190),"")</f>
        <v>10.356999999999999</v>
      </c>
      <c r="AU190">
        <f ca="1">IFERROR(IF(0=LEN(ReferenceData!$AU$190),"",ReferenceData!$AU$190),"")</f>
        <v>9.9559999999999995</v>
      </c>
      <c r="AV190">
        <f ca="1">IFERROR(IF(0=LEN(ReferenceData!$AV$190),"",ReferenceData!$AV$190),"")</f>
        <v>10.239000000000001</v>
      </c>
      <c r="AW190">
        <f ca="1">IFERROR(IF(0=LEN(ReferenceData!$AW$190),"",ReferenceData!$AW$190),"")</f>
        <v>12.587</v>
      </c>
      <c r="AX190">
        <f ca="1">IFERROR(IF(0=LEN(ReferenceData!$AX$190),"",ReferenceData!$AX$190),"")</f>
        <v>15.038</v>
      </c>
      <c r="AY190">
        <f ca="1">IFERROR(IF(0=LEN(ReferenceData!$AY$190),"",ReferenceData!$AY$190),"")</f>
        <v>9.6620000000000008</v>
      </c>
      <c r="AZ190">
        <f ca="1">IFERROR(IF(0=LEN(ReferenceData!$AZ$190),"",ReferenceData!$AZ$190),"")</f>
        <v>30.141999999999999</v>
      </c>
      <c r="BA190">
        <f ca="1">IFERROR(IF(0=LEN(ReferenceData!$BA$190),"",ReferenceData!$BA$190),"")</f>
        <v>9.0220000000000002</v>
      </c>
      <c r="BB190">
        <f ca="1">IFERROR(IF(0=LEN(ReferenceData!$BB$190),"",ReferenceData!$BB$190),"")</f>
        <v>9.4090000000000007</v>
      </c>
      <c r="BC190">
        <f ca="1">IFERROR(IF(0=LEN(ReferenceData!$BC$190),"",ReferenceData!$BC$190),"")</f>
        <v>14.337</v>
      </c>
      <c r="BD190">
        <f ca="1">IFERROR(IF(0=LEN(ReferenceData!$BD$190),"",ReferenceData!$BD$190),"")</f>
        <v>19.364999999999998</v>
      </c>
      <c r="BE190">
        <f ca="1">IFERROR(IF(0=LEN(ReferenceData!$BE$190),"",ReferenceData!$BE$190),"")</f>
        <v>33.076000000000001</v>
      </c>
      <c r="BF190">
        <f ca="1">IFERROR(IF(0=LEN(ReferenceData!$BF$190),"",ReferenceData!$BF$190),"")</f>
        <v>12.516999999999999</v>
      </c>
      <c r="BG190">
        <f ca="1">IFERROR(IF(0=LEN(ReferenceData!$BG$190),"",ReferenceData!$BG$190),"")</f>
        <v>10.644</v>
      </c>
      <c r="BH190">
        <f ca="1">IFERROR(IF(0=LEN(ReferenceData!$BH$190),"",ReferenceData!$BH$190),"")</f>
        <v>16.224</v>
      </c>
      <c r="BI190">
        <f ca="1">IFERROR(IF(0=LEN(ReferenceData!$BI$190),"",ReferenceData!$BI$190),"")</f>
        <v>11.625999999999999</v>
      </c>
      <c r="BJ190">
        <f ca="1">IFERROR(IF(0=LEN(ReferenceData!$BJ$190),"",ReferenceData!$BJ$190),"")</f>
        <v>17.709</v>
      </c>
      <c r="BK190">
        <f ca="1">IFERROR(IF(0=LEN(ReferenceData!$BK$190),"",ReferenceData!$BK$190),"")</f>
        <v>14.768000000000001</v>
      </c>
      <c r="BL190">
        <f ca="1">IFERROR(IF(0=LEN(ReferenceData!$BL$190),"",ReferenceData!$BL$190),"")</f>
        <v>10.4</v>
      </c>
      <c r="BM190">
        <f ca="1">IFERROR(IF(0=LEN(ReferenceData!$BM$190),"",ReferenceData!$BM$190),"")</f>
        <v>8.8539999999999992</v>
      </c>
    </row>
    <row r="191" spans="1:65">
      <c r="A191" t="str">
        <f>IFERROR(IF(0=LEN(ReferenceData!$A$191),"",ReferenceData!$A$191),"")</f>
        <v xml:space="preserve">    Mid-America Apartment Communit</v>
      </c>
      <c r="B191" t="str">
        <f>IFERROR(IF(0=LEN(ReferenceData!$B$191),"",ReferenceData!$B$191),"")</f>
        <v>MAA US Equity</v>
      </c>
      <c r="C191" t="str">
        <f>IFERROR(IF(0=LEN(ReferenceData!$C$191),"",ReferenceData!$C$191),"")</f>
        <v>RR253</v>
      </c>
      <c r="D191" t="str">
        <f>IFERROR(IF(0=LEN(ReferenceData!$D$191),"",ReferenceData!$D$191),"")</f>
        <v>CASH_AND_MARKETABLE_SECURITIES</v>
      </c>
      <c r="E191" t="str">
        <f>IFERROR(IF(0=LEN(ReferenceData!$E$191),"",ReferenceData!$E$191),"")</f>
        <v>动态</v>
      </c>
      <c r="F191" t="str">
        <f ca="1">IFERROR(IF(0=LEN(ReferenceData!$F$191),"",ReferenceData!$F$191),"")</f>
        <v/>
      </c>
      <c r="G191">
        <f ca="1">IFERROR(IF(0=LEN(ReferenceData!$G$191),"",ReferenceData!$G$191),"")</f>
        <v>10.75</v>
      </c>
      <c r="H191">
        <f ca="1">IFERROR(IF(0=LEN(ReferenceData!$H$191),"",ReferenceData!$H$191),"")</f>
        <v>47.850999999999999</v>
      </c>
      <c r="I191">
        <f ca="1">IFERROR(IF(0=LEN(ReferenceData!$I$191),"",ReferenceData!$I$191),"")</f>
        <v>39.658999999999999</v>
      </c>
      <c r="J191">
        <f ca="1">IFERROR(IF(0=LEN(ReferenceData!$J$191),"",ReferenceData!$J$191),"")</f>
        <v>33.959000000000003</v>
      </c>
      <c r="K191">
        <f ca="1">IFERROR(IF(0=LEN(ReferenceData!$K$191),"",ReferenceData!$K$191),"")</f>
        <v>33.536000000000001</v>
      </c>
      <c r="L191">
        <f ca="1">IFERROR(IF(0=LEN(ReferenceData!$L$191),"",ReferenceData!$L$191),"")</f>
        <v>27.817</v>
      </c>
      <c r="M191">
        <f ca="1">IFERROR(IF(0=LEN(ReferenceData!$M$191),"",ReferenceData!$M$191),"")</f>
        <v>26.279</v>
      </c>
      <c r="N191">
        <f ca="1">IFERROR(IF(0=LEN(ReferenceData!$N$191),"",ReferenceData!$N$191),"")</f>
        <v>28.184000000000001</v>
      </c>
      <c r="O191">
        <f ca="1">IFERROR(IF(0=LEN(ReferenceData!$O$191),"",ReferenceData!$O$191),"")</f>
        <v>37.558999999999997</v>
      </c>
      <c r="P191">
        <f ca="1">IFERROR(IF(0=LEN(ReferenceData!$P$191),"",ReferenceData!$P$191),"")</f>
        <v>44.875999999999998</v>
      </c>
      <c r="Q191">
        <f ca="1">IFERROR(IF(0=LEN(ReferenceData!$Q$191),"",ReferenceData!$Q$191),"")</f>
        <v>30.03</v>
      </c>
      <c r="R191">
        <f ca="1">IFERROR(IF(0=LEN(ReferenceData!$R$191),"",ReferenceData!$R$191),"")</f>
        <v>18.331</v>
      </c>
      <c r="S191">
        <f ca="1">IFERROR(IF(0=LEN(ReferenceData!$S$191),"",ReferenceData!$S$191),"")</f>
        <v>26.652999999999999</v>
      </c>
      <c r="T191">
        <f ca="1">IFERROR(IF(0=LEN(ReferenceData!$T$191),"",ReferenceData!$T$191),"")</f>
        <v>87.766000000000005</v>
      </c>
      <c r="U191">
        <f ca="1">IFERROR(IF(0=LEN(ReferenceData!$U$191),"",ReferenceData!$U$191),"")</f>
        <v>26.318000000000001</v>
      </c>
      <c r="V191">
        <f ca="1">IFERROR(IF(0=LEN(ReferenceData!$V$191),"",ReferenceData!$V$191),"")</f>
        <v>121.901</v>
      </c>
      <c r="W191">
        <f ca="1">IFERROR(IF(0=LEN(ReferenceData!$W$191),"",ReferenceData!$W$191),"")</f>
        <v>89.332999999999998</v>
      </c>
      <c r="X191">
        <f ca="1">IFERROR(IF(0=LEN(ReferenceData!$X$191),"",ReferenceData!$X$191),"")</f>
        <v>181.10499999999999</v>
      </c>
      <c r="Y191">
        <f ca="1">IFERROR(IF(0=LEN(ReferenceData!$Y$191),"",ReferenceData!$Y$191),"")</f>
        <v>8.7919999999999998</v>
      </c>
      <c r="Z191">
        <f ca="1">IFERROR(IF(0=LEN(ReferenceData!$Z$191),"",ReferenceData!$Z$191),"")</f>
        <v>8.2240000000000002</v>
      </c>
      <c r="AA191">
        <f ca="1">IFERROR(IF(0=LEN(ReferenceData!$AA$191),"",ReferenceData!$AA$191),"")</f>
        <v>9.0749999999999993</v>
      </c>
      <c r="AB191">
        <f ca="1">IFERROR(IF(0=LEN(ReferenceData!$AB$191),"",ReferenceData!$AB$191),"")</f>
        <v>13.422000000000001</v>
      </c>
      <c r="AC191">
        <f ca="1">IFERROR(IF(0=LEN(ReferenceData!$AC$191),"",ReferenceData!$AC$191),"")</f>
        <v>22.341000000000001</v>
      </c>
      <c r="AD191">
        <f ca="1">IFERROR(IF(0=LEN(ReferenceData!$AD$191),"",ReferenceData!$AD$191),"")</f>
        <v>41.826000000000001</v>
      </c>
      <c r="AE191">
        <f ca="1">IFERROR(IF(0=LEN(ReferenceData!$AE$191),"",ReferenceData!$AE$191),"")</f>
        <v>57.317</v>
      </c>
      <c r="AF191">
        <f ca="1">IFERROR(IF(0=LEN(ReferenceData!$AF$191),"",ReferenceData!$AF$191),"")</f>
        <v>24.254000000000001</v>
      </c>
      <c r="AG191">
        <f ca="1">IFERROR(IF(0=LEN(ReferenceData!$AG$191),"",ReferenceData!$AG$191),"")</f>
        <v>12.837999999999999</v>
      </c>
      <c r="AH191">
        <f ca="1">IFERROR(IF(0=LEN(ReferenceData!$AH$191),"",ReferenceData!$AH$191),"")</f>
        <v>47.222000000000001</v>
      </c>
      <c r="AI191">
        <f ca="1">IFERROR(IF(0=LEN(ReferenceData!$AI$191),"",ReferenceData!$AI$191),"")</f>
        <v>45.942</v>
      </c>
      <c r="AJ191">
        <f ca="1">IFERROR(IF(0=LEN(ReferenceData!$AJ$191),"",ReferenceData!$AJ$191),"")</f>
        <v>100.09099999999999</v>
      </c>
      <c r="AK191">
        <f ca="1">IFERROR(IF(0=LEN(ReferenceData!$AK$191),"",ReferenceData!$AK$191),"")</f>
        <v>25.245000000000001</v>
      </c>
      <c r="AL191">
        <f ca="1">IFERROR(IF(0=LEN(ReferenceData!$AL$191),"",ReferenceData!$AL$191),"")</f>
        <v>32.329000000000001</v>
      </c>
      <c r="AM191">
        <f ca="1">IFERROR(IF(0=LEN(ReferenceData!$AM$191),"",ReferenceData!$AM$191),"")</f>
        <v>13.819000000000001</v>
      </c>
      <c r="AN191">
        <f ca="1">IFERROR(IF(0=LEN(ReferenceData!$AN$191),"",ReferenceData!$AN$191),"")</f>
        <v>16.489000000000001</v>
      </c>
      <c r="AO191">
        <f ca="1">IFERROR(IF(0=LEN(ReferenceData!$AO$191),"",ReferenceData!$AO$191),"")</f>
        <v>6.08</v>
      </c>
      <c r="AP191">
        <f ca="1">IFERROR(IF(0=LEN(ReferenceData!$AP$191),"",ReferenceData!$AP$191),"")</f>
        <v>47.665999999999997</v>
      </c>
      <c r="AQ191">
        <f ca="1">IFERROR(IF(0=LEN(ReferenceData!$AQ$191),"",ReferenceData!$AQ$191),"")</f>
        <v>9.4260000000000002</v>
      </c>
      <c r="AR191">
        <f ca="1">IFERROR(IF(0=LEN(ReferenceData!$AR$191),"",ReferenceData!$AR$191),"")</f>
        <v>43.668999999999997</v>
      </c>
      <c r="AS191">
        <f ca="1">IFERROR(IF(0=LEN(ReferenceData!$AS$191),"",ReferenceData!$AS$191),"")</f>
        <v>9.9770000000000003</v>
      </c>
      <c r="AT191">
        <f ca="1">IFERROR(IF(0=LEN(ReferenceData!$AT$191),"",ReferenceData!$AT$191),"")</f>
        <v>7.0590000000000002</v>
      </c>
      <c r="AU191">
        <f ca="1">IFERROR(IF(0=LEN(ReferenceData!$AU$191),"",ReferenceData!$AU$191),"")</f>
        <v>17.192</v>
      </c>
      <c r="AV191">
        <f ca="1">IFERROR(IF(0=LEN(ReferenceData!$AV$191),"",ReferenceData!$AV$191),"")</f>
        <v>4.0410000000000004</v>
      </c>
      <c r="AW191">
        <f ca="1">IFERROR(IF(0=LEN(ReferenceData!$AW$191),"",ReferenceData!$AW$191),"")</f>
        <v>4.2919999999999998</v>
      </c>
      <c r="AX191">
        <f ca="1">IFERROR(IF(0=LEN(ReferenceData!$AX$191),"",ReferenceData!$AX$191),"")</f>
        <v>6.375</v>
      </c>
      <c r="AY191">
        <f ca="1">IFERROR(IF(0=LEN(ReferenceData!$AY$191),"",ReferenceData!$AY$191),"")</f>
        <v>5.5449999999999999</v>
      </c>
      <c r="AZ191">
        <f ca="1">IFERROR(IF(0=LEN(ReferenceData!$AZ$191),"",ReferenceData!$AZ$191),"")</f>
        <v>7.6890000000000001</v>
      </c>
      <c r="BA191">
        <f ca="1">IFERROR(IF(0=LEN(ReferenceData!$BA$191),"",ReferenceData!$BA$191),"")</f>
        <v>11.366</v>
      </c>
      <c r="BB191">
        <f ca="1">IFERROR(IF(0=LEN(ReferenceData!$BB$191),"",ReferenceData!$BB$191),"")</f>
        <v>11.073</v>
      </c>
      <c r="BC191">
        <f ca="1">IFERROR(IF(0=LEN(ReferenceData!$BC$191),"",ReferenceData!$BC$191),"")</f>
        <v>14.064</v>
      </c>
      <c r="BD191">
        <f ca="1">IFERROR(IF(0=LEN(ReferenceData!$BD$191),"",ReferenceData!$BD$191),"")</f>
        <v>10.093</v>
      </c>
      <c r="BE191">
        <f ca="1">IFERROR(IF(0=LEN(ReferenceData!$BE$191),"",ReferenceData!$BE$191),"")</f>
        <v>6.6159999999999997</v>
      </c>
      <c r="BF191">
        <f ca="1">IFERROR(IF(0=LEN(ReferenceData!$BF$191),"",ReferenceData!$BF$191),"")</f>
        <v>6.0090000000000003</v>
      </c>
      <c r="BG191">
        <f ca="1">IFERROR(IF(0=LEN(ReferenceData!$BG$191),"",ReferenceData!$BG$191),"")</f>
        <v>9.1329999999999991</v>
      </c>
      <c r="BH191">
        <f ca="1">IFERROR(IF(0=LEN(ReferenceData!$BH$191),"",ReferenceData!$BH$191),"")</f>
        <v>9.4060000000000006</v>
      </c>
      <c r="BI191">
        <f ca="1">IFERROR(IF(0=LEN(ReferenceData!$BI$191),"",ReferenceData!$BI$191),"")</f>
        <v>38.907001000000001</v>
      </c>
      <c r="BJ191">
        <f ca="1">IFERROR(IF(0=LEN(ReferenceData!$BJ$191),"",ReferenceData!$BJ$191),"")</f>
        <v>8.3000000000000007</v>
      </c>
      <c r="BK191">
        <f ca="1">IFERROR(IF(0=LEN(ReferenceData!$BK$191),"",ReferenceData!$BK$191),"")</f>
        <v>10.152000429999999</v>
      </c>
      <c r="BL191">
        <f ca="1">IFERROR(IF(0=LEN(ReferenceData!$BL$191),"",ReferenceData!$BL$191),"")</f>
        <v>5.5759999999999996</v>
      </c>
      <c r="BM191">
        <f ca="1">IFERROR(IF(0=LEN(ReferenceData!$BM$191),"",ReferenceData!$BM$191),"")</f>
        <v>17.766999999999999</v>
      </c>
    </row>
    <row r="192" spans="1:65">
      <c r="A192" t="str">
        <f>IFERROR(IF(0=LEN(ReferenceData!$A$192),"",ReferenceData!$A$192),"")</f>
        <v xml:space="preserve">    UDR Inc</v>
      </c>
      <c r="B192" t="str">
        <f>IFERROR(IF(0=LEN(ReferenceData!$B$192),"",ReferenceData!$B$192),"")</f>
        <v>UDR US Equity</v>
      </c>
      <c r="C192" t="str">
        <f>IFERROR(IF(0=LEN(ReferenceData!$C$192),"",ReferenceData!$C$192),"")</f>
        <v>RR253</v>
      </c>
      <c r="D192" t="str">
        <f>IFERROR(IF(0=LEN(ReferenceData!$D$192),"",ReferenceData!$D$192),"")</f>
        <v>CASH_AND_MARKETABLE_SECURITIES</v>
      </c>
      <c r="E192" t="str">
        <f>IFERROR(IF(0=LEN(ReferenceData!$E$192),"",ReferenceData!$E$192),"")</f>
        <v>动态</v>
      </c>
      <c r="F192" t="str">
        <f ca="1">IFERROR(IF(0=LEN(ReferenceData!$F$192),"",ReferenceData!$F$192),"")</f>
        <v/>
      </c>
      <c r="G192">
        <f ca="1">IFERROR(IF(0=LEN(ReferenceData!$G$192),"",ReferenceData!$G$192),"")</f>
        <v>2.0379999999999998</v>
      </c>
      <c r="H192">
        <f ca="1">IFERROR(IF(0=LEN(ReferenceData!$H$192),"",ReferenceData!$H$192),"")</f>
        <v>1.788</v>
      </c>
      <c r="I192">
        <f ca="1">IFERROR(IF(0=LEN(ReferenceData!$I$192),"",ReferenceData!$I$192),"")</f>
        <v>1.411</v>
      </c>
      <c r="J192">
        <f ca="1">IFERROR(IF(0=LEN(ReferenceData!$J$192),"",ReferenceData!$J$192),"")</f>
        <v>2.46</v>
      </c>
      <c r="K192">
        <f ca="1">IFERROR(IF(0=LEN(ReferenceData!$K$192),"",ReferenceData!$K$192),"")</f>
        <v>2.1120000000000001</v>
      </c>
      <c r="L192">
        <f ca="1">IFERROR(IF(0=LEN(ReferenceData!$L$192),"",ReferenceData!$L$192),"")</f>
        <v>3.3010000000000002</v>
      </c>
      <c r="M192">
        <f ca="1">IFERROR(IF(0=LEN(ReferenceData!$M$192),"",ReferenceData!$M$192),"")</f>
        <v>5.1669999999999998</v>
      </c>
      <c r="N192">
        <f ca="1">IFERROR(IF(0=LEN(ReferenceData!$N$192),"",ReferenceData!$N$192),"")</f>
        <v>3.6680000000000001</v>
      </c>
      <c r="O192">
        <f ca="1">IFERROR(IF(0=LEN(ReferenceData!$O$192),"",ReferenceData!$O$192),"")</f>
        <v>6.742</v>
      </c>
      <c r="P192">
        <f ca="1">IFERROR(IF(0=LEN(ReferenceData!$P$192),"",ReferenceData!$P$192),"")</f>
        <v>1.321</v>
      </c>
      <c r="Q192">
        <f ca="1">IFERROR(IF(0=LEN(ReferenceData!$Q$192),"",ReferenceData!$Q$192),"")</f>
        <v>2.99</v>
      </c>
      <c r="R192">
        <f ca="1">IFERROR(IF(0=LEN(ReferenceData!$R$192),"",ReferenceData!$R$192),"")</f>
        <v>6.274</v>
      </c>
      <c r="S192">
        <f ca="1">IFERROR(IF(0=LEN(ReferenceData!$S$192),"",ReferenceData!$S$192),"")</f>
        <v>15.224</v>
      </c>
      <c r="T192">
        <f ca="1">IFERROR(IF(0=LEN(ReferenceData!$T$192),"",ReferenceData!$T$192),"")</f>
        <v>14.605</v>
      </c>
      <c r="U192">
        <f ca="1">IFERROR(IF(0=LEN(ReferenceData!$U$192),"",ReferenceData!$U$192),"")</f>
        <v>26.815999999999999</v>
      </c>
      <c r="V192">
        <f ca="1">IFERROR(IF(0=LEN(ReferenceData!$V$192),"",ReferenceData!$V$192),"")</f>
        <v>15.891</v>
      </c>
      <c r="W192">
        <f ca="1">IFERROR(IF(0=LEN(ReferenceData!$W$192),"",ReferenceData!$W$192),"")</f>
        <v>30.248999999999999</v>
      </c>
      <c r="X192">
        <f ca="1">IFERROR(IF(0=LEN(ReferenceData!$X$192),"",ReferenceData!$X$192),"")</f>
        <v>11.148999999999999</v>
      </c>
      <c r="Y192">
        <f ca="1">IFERROR(IF(0=LEN(ReferenceData!$Y$192),"",ReferenceData!$Y$192),"")</f>
        <v>9.0350000000000001</v>
      </c>
      <c r="Z192">
        <f ca="1">IFERROR(IF(0=LEN(ReferenceData!$Z$192),"",ReferenceData!$Z$192),"")</f>
        <v>7.1210000000000004</v>
      </c>
      <c r="AA192">
        <f ca="1">IFERROR(IF(0=LEN(ReferenceData!$AA$192),"",ReferenceData!$AA$192),"")</f>
        <v>12.115</v>
      </c>
      <c r="AB192">
        <f ca="1">IFERROR(IF(0=LEN(ReferenceData!$AB$192),"",ReferenceData!$AB$192),"")</f>
        <v>82.376999999999995</v>
      </c>
      <c r="AC192">
        <f ca="1">IFERROR(IF(0=LEN(ReferenceData!$AC$192),"",ReferenceData!$AC$192),"")</f>
        <v>184.11199999999999</v>
      </c>
      <c r="AD192">
        <f ca="1">IFERROR(IF(0=LEN(ReferenceData!$AD$192),"",ReferenceData!$AD$192),"")</f>
        <v>3.5579999999999998</v>
      </c>
      <c r="AE192">
        <f ca="1">IFERROR(IF(0=LEN(ReferenceData!$AE$192),"",ReferenceData!$AE$192),"")</f>
        <v>12.503</v>
      </c>
      <c r="AF192">
        <f ca="1">IFERROR(IF(0=LEN(ReferenceData!$AF$192),"",ReferenceData!$AF$192),"")</f>
        <v>13.481999999999999</v>
      </c>
      <c r="AG192">
        <f ca="1">IFERROR(IF(0=LEN(ReferenceData!$AG$192),"",ReferenceData!$AG$192),"")</f>
        <v>21.634</v>
      </c>
      <c r="AH192">
        <f ca="1">IFERROR(IF(0=LEN(ReferenceData!$AH$192),"",ReferenceData!$AH$192),"")</f>
        <v>11.692</v>
      </c>
      <c r="AI192">
        <f ca="1">IFERROR(IF(0=LEN(ReferenceData!$AI$192),"",ReferenceData!$AI$192),"")</f>
        <v>9.4860000000000007</v>
      </c>
      <c r="AJ192">
        <f ca="1">IFERROR(IF(0=LEN(ReferenceData!$AJ$192),"",ReferenceData!$AJ$192),"")</f>
        <v>10.106999999999999</v>
      </c>
      <c r="AK192">
        <f ca="1">IFERROR(IF(0=LEN(ReferenceData!$AK$192),"",ReferenceData!$AK$192),"")</f>
        <v>8.0739999999999998</v>
      </c>
      <c r="AL192">
        <f ca="1">IFERROR(IF(0=LEN(ReferenceData!$AL$192),"",ReferenceData!$AL$192),"")</f>
        <v>19.920000000000002</v>
      </c>
      <c r="AM192">
        <f ca="1">IFERROR(IF(0=LEN(ReferenceData!$AM$192),"",ReferenceData!$AM$192),"")</f>
        <v>5.9850000000000003</v>
      </c>
      <c r="AN192">
        <f ca="1">IFERROR(IF(0=LEN(ReferenceData!$AN$192),"",ReferenceData!$AN$192),"")</f>
        <v>24.954000000000001</v>
      </c>
      <c r="AO192">
        <f ca="1">IFERROR(IF(0=LEN(ReferenceData!$AO$192),"",ReferenceData!$AO$192),"")</f>
        <v>4.9829999999999997</v>
      </c>
      <c r="AP192">
        <f ca="1">IFERROR(IF(0=LEN(ReferenceData!$AP$192),"",ReferenceData!$AP$192),"")</f>
        <v>37.131999999999998</v>
      </c>
      <c r="AQ192">
        <f ca="1">IFERROR(IF(0=LEN(ReferenceData!$AQ$192),"",ReferenceData!$AQ$192),"")</f>
        <v>12.74</v>
      </c>
      <c r="AR192">
        <f ca="1">IFERROR(IF(0=LEN(ReferenceData!$AR$192),"",ReferenceData!$AR$192),"")</f>
        <v>2.8610000000000002</v>
      </c>
      <c r="AS192">
        <f ca="1">IFERROR(IF(0=LEN(ReferenceData!$AS$192),"",ReferenceData!$AS$192),"")</f>
        <v>1.4119999999999999</v>
      </c>
      <c r="AT192">
        <f ca="1">IFERROR(IF(0=LEN(ReferenceData!$AT$192),"",ReferenceData!$AT$192),"")</f>
        <v>60.186999999999998</v>
      </c>
      <c r="AU192">
        <f ca="1">IFERROR(IF(0=LEN(ReferenceData!$AU$192),"",ReferenceData!$AU$192),"")</f>
        <v>3.2189999999999999</v>
      </c>
      <c r="AV192">
        <f ca="1">IFERROR(IF(0=LEN(ReferenceData!$AV$192),"",ReferenceData!$AV$192),"")</f>
        <v>2.3530000000000002</v>
      </c>
      <c r="AW192">
        <f ca="1">IFERROR(IF(0=LEN(ReferenceData!$AW$192),"",ReferenceData!$AW$192),"")</f>
        <v>2.9279999999999999</v>
      </c>
      <c r="AX192">
        <f ca="1">IFERROR(IF(0=LEN(ReferenceData!$AX$192),"",ReferenceData!$AX$192),"")</f>
        <v>1.6759999999999999</v>
      </c>
      <c r="AY192">
        <f ca="1">IFERROR(IF(0=LEN(ReferenceData!$AY$192),"",ReferenceData!$AY$192),"")</f>
        <v>2.1429999999999998</v>
      </c>
      <c r="AZ192">
        <f ca="1">IFERROR(IF(0=LEN(ReferenceData!$AZ$192),"",ReferenceData!$AZ$192),"")</f>
        <v>28.748000000000001</v>
      </c>
      <c r="BA192">
        <f ca="1">IFERROR(IF(0=LEN(ReferenceData!$BA$192),"",ReferenceData!$BA$192),"")</f>
        <v>6.29</v>
      </c>
      <c r="BB192">
        <f ca="1">IFERROR(IF(0=LEN(ReferenceData!$BB$192),"",ReferenceData!$BB$192),"")</f>
        <v>36.335999999999999</v>
      </c>
      <c r="BC192">
        <f ca="1">IFERROR(IF(0=LEN(ReferenceData!$BC$192),"",ReferenceData!$BC$192),"")</f>
        <v>15.542999999999999</v>
      </c>
      <c r="BD192">
        <f ca="1">IFERROR(IF(0=LEN(ReferenceData!$BD$192),"",ReferenceData!$BD$192),"")</f>
        <v>5.48</v>
      </c>
      <c r="BE192">
        <f ca="1">IFERROR(IF(0=LEN(ReferenceData!$BE$192),"",ReferenceData!$BE$192),"")</f>
        <v>6.1669999999999998</v>
      </c>
      <c r="BF192">
        <f ca="1">IFERROR(IF(0=LEN(ReferenceData!$BF$192),"",ReferenceData!$BF$192),"")</f>
        <v>1.661</v>
      </c>
      <c r="BG192">
        <f ca="1">IFERROR(IF(0=LEN(ReferenceData!$BG$192),"",ReferenceData!$BG$192),"")</f>
        <v>7.9039999999999999</v>
      </c>
      <c r="BH192">
        <f ca="1">IFERROR(IF(0=LEN(ReferenceData!$BH$192),"",ReferenceData!$BH$192),"")</f>
        <v>1.988</v>
      </c>
      <c r="BI192">
        <f ca="1">IFERROR(IF(0=LEN(ReferenceData!$BI$192),"",ReferenceData!$BI$192),"")</f>
        <v>0.753</v>
      </c>
      <c r="BJ192">
        <f ca="1">IFERROR(IF(0=LEN(ReferenceData!$BJ$192),"",ReferenceData!$BJ$192),"")</f>
        <v>1.9730000000000001</v>
      </c>
      <c r="BK192">
        <f ca="1">IFERROR(IF(0=LEN(ReferenceData!$BK$192),"",ReferenceData!$BK$192),"")</f>
        <v>4.8239999999999998</v>
      </c>
      <c r="BL192">
        <f ca="1">IFERROR(IF(0=LEN(ReferenceData!$BL$192),"",ReferenceData!$BL$192),"")</f>
        <v>12.94</v>
      </c>
      <c r="BM192">
        <f ca="1">IFERROR(IF(0=LEN(ReferenceData!$BM$192),"",ReferenceData!$BM$192),"")</f>
        <v>1.627</v>
      </c>
    </row>
    <row r="193" spans="1:65">
      <c r="A193" t="str">
        <f>IFERROR(IF(0=LEN(ReferenceData!$A$193),"",ReferenceData!$A$193),"")</f>
        <v>自由现金流减去资本支出</v>
      </c>
      <c r="B193" t="str">
        <f>IFERROR(IF(0=LEN(ReferenceData!$B$193),"",ReferenceData!$B$193),"")</f>
        <v/>
      </c>
      <c r="C193" t="str">
        <f>IFERROR(IF(0=LEN(ReferenceData!$C$193),"",ReferenceData!$C$193),"")</f>
        <v/>
      </c>
      <c r="D193" t="str">
        <f>IFERROR(IF(0=LEN(ReferenceData!$D$193),"",ReferenceData!$D$193),"")</f>
        <v/>
      </c>
      <c r="E193" t="str">
        <f>IFERROR(IF(0=LEN(ReferenceData!$E$193),"",ReferenceData!$E$193),"")</f>
        <v>Median</v>
      </c>
      <c r="F193" t="str">
        <f ca="1">IFERROR(IF(0=LEN(ReferenceData!$F$193),"",ReferenceData!$F$193),"")</f>
        <v/>
      </c>
      <c r="G193">
        <f ca="1">IFERROR(IF(0=LEN(ReferenceData!$G$193),"",ReferenceData!$G$193),"")</f>
        <v>15.513499999999999</v>
      </c>
      <c r="H193">
        <f ca="1">IFERROR(IF(0=LEN(ReferenceData!$H$193),"",ReferenceData!$H$193),"")</f>
        <v>-10.688999999999993</v>
      </c>
      <c r="I193">
        <f ca="1">IFERROR(IF(0=LEN(ReferenceData!$I$193),"",ReferenceData!$I$193),"")</f>
        <v>34.576499999999996</v>
      </c>
      <c r="J193">
        <f ca="1">IFERROR(IF(0=LEN(ReferenceData!$J$193),"",ReferenceData!$J$193),"")</f>
        <v>-13.019</v>
      </c>
      <c r="K193">
        <f ca="1">IFERROR(IF(0=LEN(ReferenceData!$K$193),"",ReferenceData!$K$193),"")</f>
        <v>-61.790500000000002</v>
      </c>
      <c r="L193">
        <f ca="1">IFERROR(IF(0=LEN(ReferenceData!$L$193),"",ReferenceData!$L$193),"")</f>
        <v>7.3660000000000032</v>
      </c>
      <c r="M193">
        <f ca="1">IFERROR(IF(0=LEN(ReferenceData!$M$193),"",ReferenceData!$M$193),"")</f>
        <v>25.608499999999999</v>
      </c>
      <c r="N193">
        <f ca="1">IFERROR(IF(0=LEN(ReferenceData!$N$193),"",ReferenceData!$N$193),"")</f>
        <v>-9.5090000000000003</v>
      </c>
      <c r="O193">
        <f ca="1">IFERROR(IF(0=LEN(ReferenceData!$O$193),"",ReferenceData!$O$193),"")</f>
        <v>-35.662500000000001</v>
      </c>
      <c r="P193">
        <f ca="1">IFERROR(IF(0=LEN(ReferenceData!$P$193),"",ReferenceData!$P$193),"")</f>
        <v>10.415500000000002</v>
      </c>
      <c r="Q193">
        <f ca="1">IFERROR(IF(0=LEN(ReferenceData!$Q$193),"",ReferenceData!$Q$193),"")</f>
        <v>-38.652999999999999</v>
      </c>
      <c r="R193">
        <f ca="1">IFERROR(IF(0=LEN(ReferenceData!$R$193),"",ReferenceData!$R$193),"")</f>
        <v>-18.240000000000002</v>
      </c>
      <c r="S193">
        <f ca="1">IFERROR(IF(0=LEN(ReferenceData!$S$193),"",ReferenceData!$S$193),"")</f>
        <v>-31.512</v>
      </c>
      <c r="T193">
        <f ca="1">IFERROR(IF(0=LEN(ReferenceData!$T$193),"",ReferenceData!$T$193),"")</f>
        <v>-33.447499999999998</v>
      </c>
      <c r="U193">
        <f ca="1">IFERROR(IF(0=LEN(ReferenceData!$U$193),"",ReferenceData!$U$193),"")</f>
        <v>-54.951499999999996</v>
      </c>
      <c r="V193">
        <f ca="1">IFERROR(IF(0=LEN(ReferenceData!$V$193),"",ReferenceData!$V$193),"")</f>
        <v>-19.3355</v>
      </c>
      <c r="W193">
        <f ca="1">IFERROR(IF(0=LEN(ReferenceData!$W$193),"",ReferenceData!$W$193),"")</f>
        <v>-69.496499999999997</v>
      </c>
      <c r="X193">
        <f ca="1">IFERROR(IF(0=LEN(ReferenceData!$X$193),"",ReferenceData!$X$193),"")</f>
        <v>2.3134999999999999</v>
      </c>
      <c r="Y193">
        <f ca="1">IFERROR(IF(0=LEN(ReferenceData!$Y$193),"",ReferenceData!$Y$193),"")</f>
        <v>-28.063499999999998</v>
      </c>
      <c r="Z193">
        <f ca="1">IFERROR(IF(0=LEN(ReferenceData!$Z$193),"",ReferenceData!$Z$193),"")</f>
        <v>-35.418500000000002</v>
      </c>
      <c r="AA193">
        <f ca="1">IFERROR(IF(0=LEN(ReferenceData!$AA$193),"",ReferenceData!$AA$193),"")</f>
        <v>-174.26050000000001</v>
      </c>
      <c r="AB193">
        <f ca="1">IFERROR(IF(0=LEN(ReferenceData!$AB$193),"",ReferenceData!$AB$193),"")</f>
        <v>-65.638999999999996</v>
      </c>
      <c r="AC193">
        <f ca="1">IFERROR(IF(0=LEN(ReferenceData!$AC$193),"",ReferenceData!$AC$193),"")</f>
        <v>-25.190999999999999</v>
      </c>
      <c r="AD193">
        <f ca="1">IFERROR(IF(0=LEN(ReferenceData!$AD$193),"",ReferenceData!$AD$193),"")</f>
        <v>-13.494</v>
      </c>
      <c r="AE193">
        <f ca="1">IFERROR(IF(0=LEN(ReferenceData!$AE$193),"",ReferenceData!$AE$193),"")</f>
        <v>-67.525999999999996</v>
      </c>
      <c r="AF193">
        <f ca="1">IFERROR(IF(0=LEN(ReferenceData!$AF$193),"",ReferenceData!$AF$193),"")</f>
        <v>-34.024000000000001</v>
      </c>
      <c r="AG193">
        <f ca="1">IFERROR(IF(0=LEN(ReferenceData!$AG$193),"",ReferenceData!$AG$193),"")</f>
        <v>-77.774000000000001</v>
      </c>
      <c r="AH193">
        <f ca="1">IFERROR(IF(0=LEN(ReferenceData!$AH$193),"",ReferenceData!$AH$193),"")</f>
        <v>-14.978</v>
      </c>
      <c r="AI193">
        <f ca="1">IFERROR(IF(0=LEN(ReferenceData!$AI$193),"",ReferenceData!$AI$193),"")</f>
        <v>-2.7669999999999999</v>
      </c>
      <c r="AJ193">
        <f ca="1">IFERROR(IF(0=LEN(ReferenceData!$AJ$193),"",ReferenceData!$AJ$193),"")</f>
        <v>-100.72</v>
      </c>
      <c r="AK193">
        <f ca="1">IFERROR(IF(0=LEN(ReferenceData!$AK$193),"",ReferenceData!$AK$193),"")</f>
        <v>-8.3740000000000006</v>
      </c>
      <c r="AL193">
        <f ca="1">IFERROR(IF(0=LEN(ReferenceData!$AL$193),"",ReferenceData!$AL$193),"")</f>
        <v>0.79300000000000004</v>
      </c>
      <c r="AM193">
        <f ca="1">IFERROR(IF(0=LEN(ReferenceData!$AM$193),"",ReferenceData!$AM$193),"")</f>
        <v>-33.152999999999999</v>
      </c>
      <c r="AN193">
        <f ca="1">IFERROR(IF(0=LEN(ReferenceData!$AN$193),"",ReferenceData!$AN$193),"")</f>
        <v>20.754999999999999</v>
      </c>
      <c r="AO193">
        <f ca="1">IFERROR(IF(0=LEN(ReferenceData!$AO$193),"",ReferenceData!$AO$193),"")</f>
        <v>-2.2629999999999999</v>
      </c>
      <c r="AP193">
        <f ca="1">IFERROR(IF(0=LEN(ReferenceData!$AP$193),"",ReferenceData!$AP$193),"")</f>
        <v>17.809999999999999</v>
      </c>
      <c r="AQ193">
        <f ca="1">IFERROR(IF(0=LEN(ReferenceData!$AQ$193),"",ReferenceData!$AQ$193),"")</f>
        <v>-10.719999999999999</v>
      </c>
      <c r="AR193">
        <f ca="1">IFERROR(IF(0=LEN(ReferenceData!$AR$193),"",ReferenceData!$AR$193),"")</f>
        <v>-17.533999999999999</v>
      </c>
      <c r="AS193">
        <f ca="1">IFERROR(IF(0=LEN(ReferenceData!$AS$193),"",ReferenceData!$AS$193),"")</f>
        <v>-63.33</v>
      </c>
      <c r="AT193">
        <f ca="1">IFERROR(IF(0=LEN(ReferenceData!$AT$193),"",ReferenceData!$AT$193),"")</f>
        <v>-36.652000000000001</v>
      </c>
      <c r="AU193">
        <f ca="1">IFERROR(IF(0=LEN(ReferenceData!$AU$193),"",ReferenceData!$AU$193),"")</f>
        <v>-42.506999999999998</v>
      </c>
      <c r="AV193">
        <f ca="1">IFERROR(IF(0=LEN(ReferenceData!$AV$193),"",ReferenceData!$AV$193),"")</f>
        <v>-61.7</v>
      </c>
      <c r="AW193">
        <f ca="1">IFERROR(IF(0=LEN(ReferenceData!$AW$193),"",ReferenceData!$AW$193),"")</f>
        <v>-93.045999999999992</v>
      </c>
      <c r="AX193">
        <f ca="1">IFERROR(IF(0=LEN(ReferenceData!$AX$193),"",ReferenceData!$AX$193),"")</f>
        <v>-80.176999999999992</v>
      </c>
      <c r="AY193">
        <f ca="1">IFERROR(IF(0=LEN(ReferenceData!$AY$193),"",ReferenceData!$AY$193),"")</f>
        <v>-44.521999999999998</v>
      </c>
      <c r="AZ193">
        <f ca="1">IFERROR(IF(0=LEN(ReferenceData!$AZ$193),"",ReferenceData!$AZ$193),"")</f>
        <v>-73.748999999999995</v>
      </c>
      <c r="BA193">
        <f ca="1">IFERROR(IF(0=LEN(ReferenceData!$BA$193),"",ReferenceData!$BA$193),"")</f>
        <v>-51.1175</v>
      </c>
      <c r="BB193">
        <f ca="1">IFERROR(IF(0=LEN(ReferenceData!$BB$193),"",ReferenceData!$BB$193),"")</f>
        <v>-62.66</v>
      </c>
      <c r="BC193">
        <f ca="1">IFERROR(IF(0=LEN(ReferenceData!$BC$193),"",ReferenceData!$BC$193),"")</f>
        <v>-49.221000000000004</v>
      </c>
      <c r="BD193">
        <f ca="1">IFERROR(IF(0=LEN(ReferenceData!$BD$193),"",ReferenceData!$BD$193),"")</f>
        <v>-26.035499999999999</v>
      </c>
      <c r="BE193">
        <f ca="1">IFERROR(IF(0=LEN(ReferenceData!$BE$193),"",ReferenceData!$BE$193),"")</f>
        <v>-19.256</v>
      </c>
      <c r="BF193">
        <f ca="1">IFERROR(IF(0=LEN(ReferenceData!$BF$193),"",ReferenceData!$BF$193),"")</f>
        <v>-75.5505</v>
      </c>
      <c r="BG193">
        <f ca="1">IFERROR(IF(0=LEN(ReferenceData!$BG$193),"",ReferenceData!$BG$193),"")</f>
        <v>-70.261996999999994</v>
      </c>
      <c r="BH193">
        <f ca="1">IFERROR(IF(0=LEN(ReferenceData!$BH$193),"",ReferenceData!$BH$193),"")</f>
        <v>-18.295000999999999</v>
      </c>
      <c r="BI193">
        <f ca="1">IFERROR(IF(0=LEN(ReferenceData!$BI$193),"",ReferenceData!$BI$193),"")</f>
        <v>-21.364000010000002</v>
      </c>
      <c r="BJ193">
        <f ca="1">IFERROR(IF(0=LEN(ReferenceData!$BJ$193),"",ReferenceData!$BJ$193),"")</f>
        <v>-17.403998999999999</v>
      </c>
      <c r="BK193">
        <f ca="1">IFERROR(IF(0=LEN(ReferenceData!$BK$193),"",ReferenceData!$BK$193),"")</f>
        <v>-36.32700062</v>
      </c>
      <c r="BL193">
        <f ca="1">IFERROR(IF(0=LEN(ReferenceData!$BL$193),"",ReferenceData!$BL$193),"")</f>
        <v>11.9460005</v>
      </c>
      <c r="BM193">
        <f ca="1">IFERROR(IF(0=LEN(ReferenceData!$BM$193),"",ReferenceData!$BM$193),"")</f>
        <v>-16.5034995</v>
      </c>
    </row>
    <row r="194" spans="1:65">
      <c r="A194" t="str">
        <f>IFERROR(IF(0=LEN(ReferenceData!$A$194),"",ReferenceData!$A$194),"")</f>
        <v xml:space="preserve">    American Campus Communities In</v>
      </c>
      <c r="B194" t="str">
        <f>IFERROR(IF(0=LEN(ReferenceData!$B$194),"",ReferenceData!$B$194),"")</f>
        <v>ACC US Equity</v>
      </c>
      <c r="C194" t="str">
        <f>IFERROR(IF(0=LEN(ReferenceData!$C$194),"",ReferenceData!$C$194),"")</f>
        <v>RR008</v>
      </c>
      <c r="D194" t="str">
        <f>IFERROR(IF(0=LEN(ReferenceData!$D$194),"",ReferenceData!$D$194),"")</f>
        <v>CF_FREE_CASH_FLOW</v>
      </c>
      <c r="E194" t="str">
        <f>IFERROR(IF(0=LEN(ReferenceData!$E$194),"",ReferenceData!$E$194),"")</f>
        <v>动态</v>
      </c>
      <c r="F194" t="str">
        <f ca="1">IFERROR(IF(0=LEN(ReferenceData!$F$194),"",ReferenceData!$F$194),"")</f>
        <v/>
      </c>
      <c r="G194">
        <f ca="1">IFERROR(IF(0=LEN(ReferenceData!$G$194),"",ReferenceData!$G$194),"")</f>
        <v>-138.90600000000001</v>
      </c>
      <c r="H194">
        <f ca="1">IFERROR(IF(0=LEN(ReferenceData!$H$194),"",ReferenceData!$H$194),"")</f>
        <v>-218.74600000000001</v>
      </c>
      <c r="I194">
        <f ca="1">IFERROR(IF(0=LEN(ReferenceData!$I$194),"",ReferenceData!$I$194),"")</f>
        <v>-247.29300000000001</v>
      </c>
      <c r="J194">
        <f ca="1">IFERROR(IF(0=LEN(ReferenceData!$J$194),"",ReferenceData!$J$194),"")</f>
        <v>-76.588999999999999</v>
      </c>
      <c r="K194">
        <f ca="1">IFERROR(IF(0=LEN(ReferenceData!$K$194),"",ReferenceData!$K$194),"")</f>
        <v>-96.15</v>
      </c>
      <c r="L194">
        <f ca="1">IFERROR(IF(0=LEN(ReferenceData!$L$194),"",ReferenceData!$L$194),"")</f>
        <v>-73.646000000000001</v>
      </c>
      <c r="M194">
        <f ca="1">IFERROR(IF(0=LEN(ReferenceData!$M$194),"",ReferenceData!$M$194),"")</f>
        <v>-93.828999999999994</v>
      </c>
      <c r="N194">
        <f ca="1">IFERROR(IF(0=LEN(ReferenceData!$N$194),"",ReferenceData!$N$194),"")</f>
        <v>-24.271000000000001</v>
      </c>
      <c r="O194">
        <f ca="1">IFERROR(IF(0=LEN(ReferenceData!$O$194),"",ReferenceData!$O$194),"")</f>
        <v>-19.690000000000001</v>
      </c>
      <c r="P194">
        <f ca="1">IFERROR(IF(0=LEN(ReferenceData!$P$194),"",ReferenceData!$P$194),"")</f>
        <v>-87.966999999999999</v>
      </c>
      <c r="Q194">
        <f ca="1">IFERROR(IF(0=LEN(ReferenceData!$Q$194),"",ReferenceData!$Q$194),"")</f>
        <v>-132.386</v>
      </c>
      <c r="R194">
        <f ca="1">IFERROR(IF(0=LEN(ReferenceData!$R$194),"",ReferenceData!$R$194),"")</f>
        <v>-160.482</v>
      </c>
      <c r="S194">
        <f ca="1">IFERROR(IF(0=LEN(ReferenceData!$S$194),"",ReferenceData!$S$194),"")</f>
        <v>-85.954999999999998</v>
      </c>
      <c r="T194">
        <f ca="1">IFERROR(IF(0=LEN(ReferenceData!$T$194),"",ReferenceData!$T$194),"")</f>
        <v>-48.436999999999998</v>
      </c>
      <c r="U194">
        <f ca="1">IFERROR(IF(0=LEN(ReferenceData!$U$194),"",ReferenceData!$U$194),"")</f>
        <v>-30.286000000000001</v>
      </c>
      <c r="V194">
        <f ca="1">IFERROR(IF(0=LEN(ReferenceData!$V$194),"",ReferenceData!$V$194),"")</f>
        <v>-21.018999999999998</v>
      </c>
      <c r="W194">
        <f ca="1">IFERROR(IF(0=LEN(ReferenceData!$W$194),"",ReferenceData!$W$194),"")</f>
        <v>-175.48599999999999</v>
      </c>
      <c r="X194">
        <f ca="1">IFERROR(IF(0=LEN(ReferenceData!$X$194),"",ReferenceData!$X$194),"")</f>
        <v>-105.63500000000001</v>
      </c>
      <c r="Y194">
        <f ca="1">IFERROR(IF(0=LEN(ReferenceData!$Y$194),"",ReferenceData!$Y$194),"")</f>
        <v>-44.292000000000002</v>
      </c>
      <c r="Z194">
        <f ca="1">IFERROR(IF(0=LEN(ReferenceData!$Z$194),"",ReferenceData!$Z$194),"")</f>
        <v>-27.207000000000001</v>
      </c>
      <c r="AA194">
        <f ca="1">IFERROR(IF(0=LEN(ReferenceData!$AA$194),"",ReferenceData!$AA$194),"")</f>
        <v>-482.803</v>
      </c>
      <c r="AB194">
        <f ca="1">IFERROR(IF(0=LEN(ReferenceData!$AB$194),"",ReferenceData!$AB$194),"")</f>
        <v>-622.08299999999997</v>
      </c>
      <c r="AC194" t="str">
        <f ca="1">IFERROR(IF(0=LEN(ReferenceData!$AC$194),"",ReferenceData!$AC$194),"")</f>
        <v/>
      </c>
      <c r="AD194" t="str">
        <f ca="1">IFERROR(IF(0=LEN(ReferenceData!$AD$194),"",ReferenceData!$AD$194),"")</f>
        <v/>
      </c>
      <c r="AE194">
        <f ca="1">IFERROR(IF(0=LEN(ReferenceData!$AE$194),"",ReferenceData!$AE$194),"")</f>
        <v>-58.198</v>
      </c>
      <c r="AF194">
        <f ca="1">IFERROR(IF(0=LEN(ReferenceData!$AF$194),"",ReferenceData!$AF$194),"")</f>
        <v>-18.292000000000002</v>
      </c>
      <c r="AG194" t="str">
        <f ca="1">IFERROR(IF(0=LEN(ReferenceData!$AG$194),"",ReferenceData!$AG$194),"")</f>
        <v/>
      </c>
      <c r="AH194" t="str">
        <f ca="1">IFERROR(IF(0=LEN(ReferenceData!$AH$194),"",ReferenceData!$AH$194),"")</f>
        <v/>
      </c>
      <c r="AI194">
        <f ca="1">IFERROR(IF(0=LEN(ReferenceData!$AI$194),"",ReferenceData!$AI$194),"")</f>
        <v>-42.119</v>
      </c>
      <c r="AJ194" t="str">
        <f ca="1">IFERROR(IF(0=LEN(ReferenceData!$AJ$194),"",ReferenceData!$AJ$194),"")</f>
        <v/>
      </c>
      <c r="AK194" t="str">
        <f ca="1">IFERROR(IF(0=LEN(ReferenceData!$AK$194),"",ReferenceData!$AK$194),"")</f>
        <v/>
      </c>
      <c r="AL194" t="str">
        <f ca="1">IFERROR(IF(0=LEN(ReferenceData!$AL$194),"",ReferenceData!$AL$194),"")</f>
        <v/>
      </c>
      <c r="AM194" t="str">
        <f ca="1">IFERROR(IF(0=LEN(ReferenceData!$AM$194),"",ReferenceData!$AM$194),"")</f>
        <v/>
      </c>
      <c r="AN194" t="str">
        <f ca="1">IFERROR(IF(0=LEN(ReferenceData!$AN$194),"",ReferenceData!$AN$194),"")</f>
        <v/>
      </c>
      <c r="AO194" t="str">
        <f ca="1">IFERROR(IF(0=LEN(ReferenceData!$AO$194),"",ReferenceData!$AO$194),"")</f>
        <v/>
      </c>
      <c r="AP194" t="str">
        <f ca="1">IFERROR(IF(0=LEN(ReferenceData!$AP$194),"",ReferenceData!$AP$194),"")</f>
        <v/>
      </c>
      <c r="AQ194">
        <f ca="1">IFERROR(IF(0=LEN(ReferenceData!$AQ$194),"",ReferenceData!$AQ$194),"")</f>
        <v>9.6240000000000006</v>
      </c>
      <c r="AR194">
        <f ca="1">IFERROR(IF(0=LEN(ReferenceData!$AR$194),"",ReferenceData!$AR$194),"")</f>
        <v>-31.669</v>
      </c>
      <c r="AS194">
        <f ca="1">IFERROR(IF(0=LEN(ReferenceData!$AS$194),"",ReferenceData!$AS$194),"")</f>
        <v>-310.964</v>
      </c>
      <c r="AT194">
        <f ca="1">IFERROR(IF(0=LEN(ReferenceData!$AT$194),"",ReferenceData!$AT$194),"")</f>
        <v>-42.046999999999997</v>
      </c>
      <c r="AU194">
        <f ca="1">IFERROR(IF(0=LEN(ReferenceData!$AU$194),"",ReferenceData!$AU$194),"")</f>
        <v>-31.850999999999999</v>
      </c>
      <c r="AV194">
        <f ca="1">IFERROR(IF(0=LEN(ReferenceData!$AV$194),"",ReferenceData!$AV$194),"")</f>
        <v>-51.798000000000002</v>
      </c>
      <c r="AW194">
        <f ca="1">IFERROR(IF(0=LEN(ReferenceData!$AW$194),"",ReferenceData!$AW$194),"")</f>
        <v>-20.771999999999998</v>
      </c>
      <c r="AX194">
        <f ca="1">IFERROR(IF(0=LEN(ReferenceData!$AX$194),"",ReferenceData!$AX$194),"")</f>
        <v>-52.523000000000003</v>
      </c>
      <c r="AY194">
        <f ca="1">IFERROR(IF(0=LEN(ReferenceData!$AY$194),"",ReferenceData!$AY$194),"")</f>
        <v>-0.188</v>
      </c>
      <c r="AZ194">
        <f ca="1">IFERROR(IF(0=LEN(ReferenceData!$AZ$194),"",ReferenceData!$AZ$194),"")</f>
        <v>-19.059999999999999</v>
      </c>
      <c r="BA194">
        <f ca="1">IFERROR(IF(0=LEN(ReferenceData!$BA$194),"",ReferenceData!$BA$194),"")</f>
        <v>-20.245000000000001</v>
      </c>
      <c r="BB194">
        <f ca="1">IFERROR(IF(0=LEN(ReferenceData!$BB$194),"",ReferenceData!$BB$194),"")</f>
        <v>-78.033000000000001</v>
      </c>
      <c r="BC194">
        <f ca="1">IFERROR(IF(0=LEN(ReferenceData!$BC$194),"",ReferenceData!$BC$194),"")</f>
        <v>-7.351</v>
      </c>
      <c r="BD194">
        <f ca="1">IFERROR(IF(0=LEN(ReferenceData!$BD$194),"",ReferenceData!$BD$194),"")</f>
        <v>-9.1159999999999997</v>
      </c>
      <c r="BE194">
        <f ca="1">IFERROR(IF(0=LEN(ReferenceData!$BE$194),"",ReferenceData!$BE$194),"")</f>
        <v>-22.37</v>
      </c>
      <c r="BF194">
        <f ca="1">IFERROR(IF(0=LEN(ReferenceData!$BF$194),"",ReferenceData!$BF$194),"")</f>
        <v>-81.162999999999997</v>
      </c>
      <c r="BG194">
        <f ca="1">IFERROR(IF(0=LEN(ReferenceData!$BG$194),"",ReferenceData!$BG$194),"")</f>
        <v>-3.9060000000000001</v>
      </c>
      <c r="BH194">
        <f ca="1">IFERROR(IF(0=LEN(ReferenceData!$BH$194),"",ReferenceData!$BH$194),"")</f>
        <v>-6.8579999999999997</v>
      </c>
      <c r="BI194">
        <f ca="1">IFERROR(IF(0=LEN(ReferenceData!$BI$194),"",ReferenceData!$BI$194),"")</f>
        <v>-21.364000010000002</v>
      </c>
      <c r="BJ194">
        <f ca="1">IFERROR(IF(0=LEN(ReferenceData!$BJ$194),"",ReferenceData!$BJ$194),"")</f>
        <v>-13.71500026</v>
      </c>
      <c r="BK194" t="str">
        <f ca="1">IFERROR(IF(0=LEN(ReferenceData!$BK$194),"",ReferenceData!$BK$194),"")</f>
        <v/>
      </c>
      <c r="BL194" t="str">
        <f ca="1">IFERROR(IF(0=LEN(ReferenceData!$BL$194),"",ReferenceData!$BL$194),"")</f>
        <v/>
      </c>
      <c r="BM194" t="str">
        <f ca="1">IFERROR(IF(0=LEN(ReferenceData!$BM$194),"",ReferenceData!$BM$194),"")</f>
        <v/>
      </c>
    </row>
    <row r="195" spans="1:65">
      <c r="A195" t="str">
        <f>IFERROR(IF(0=LEN(ReferenceData!$A$195),"",ReferenceData!$A$195),"")</f>
        <v xml:space="preserve">    AvalonBay Communities Inc</v>
      </c>
      <c r="B195" t="str">
        <f>IFERROR(IF(0=LEN(ReferenceData!$B$195),"",ReferenceData!$B$195),"")</f>
        <v>AVB US Equity</v>
      </c>
      <c r="C195" t="str">
        <f>IFERROR(IF(0=LEN(ReferenceData!$C$195),"",ReferenceData!$C$195),"")</f>
        <v>RR008</v>
      </c>
      <c r="D195" t="str">
        <f>IFERROR(IF(0=LEN(ReferenceData!$D$195),"",ReferenceData!$D$195),"")</f>
        <v>CF_FREE_CASH_FLOW</v>
      </c>
      <c r="E195" t="str">
        <f>IFERROR(IF(0=LEN(ReferenceData!$E$195),"",ReferenceData!$E$195),"")</f>
        <v>动态</v>
      </c>
      <c r="F195" t="str">
        <f ca="1">IFERROR(IF(0=LEN(ReferenceData!$F$195),"",ReferenceData!$F$195),"")</f>
        <v/>
      </c>
      <c r="G195">
        <f ca="1">IFERROR(IF(0=LEN(ReferenceData!$G$195),"",ReferenceData!$G$195),"")</f>
        <v>-159.167</v>
      </c>
      <c r="H195">
        <f ca="1">IFERROR(IF(0=LEN(ReferenceData!$H$195),"",ReferenceData!$H$195),"")</f>
        <v>-138.57300000000001</v>
      </c>
      <c r="I195">
        <f ca="1">IFERROR(IF(0=LEN(ReferenceData!$I$195),"",ReferenceData!$I$195),"")</f>
        <v>14.298</v>
      </c>
      <c r="J195">
        <f ca="1">IFERROR(IF(0=LEN(ReferenceData!$J$195),"",ReferenceData!$J$195),"")</f>
        <v>23.445</v>
      </c>
      <c r="K195">
        <f ca="1">IFERROR(IF(0=LEN(ReferenceData!$K$195),"",ReferenceData!$K$195),"")</f>
        <v>-63.587000000000003</v>
      </c>
      <c r="L195">
        <f ca="1">IFERROR(IF(0=LEN(ReferenceData!$L$195),"",ReferenceData!$L$195),"")</f>
        <v>-219.71799999999999</v>
      </c>
      <c r="M195">
        <f ca="1">IFERROR(IF(0=LEN(ReferenceData!$M$195),"",ReferenceData!$M$195),"")</f>
        <v>-59.036000000000001</v>
      </c>
      <c r="N195">
        <f ca="1">IFERROR(IF(0=LEN(ReferenceData!$N$195),"",ReferenceData!$N$195),"")</f>
        <v>-173.71</v>
      </c>
      <c r="O195">
        <f ca="1">IFERROR(IF(0=LEN(ReferenceData!$O$195),"",ReferenceData!$O$195),"")</f>
        <v>-51.634999999999998</v>
      </c>
      <c r="P195">
        <f ca="1">IFERROR(IF(0=LEN(ReferenceData!$P$195),"",ReferenceData!$P$195),"")</f>
        <v>-91.191000000000003</v>
      </c>
      <c r="Q195">
        <f ca="1">IFERROR(IF(0=LEN(ReferenceData!$Q$195),"",ReferenceData!$Q$195),"")</f>
        <v>-74.680000000000007</v>
      </c>
      <c r="R195">
        <f ca="1">IFERROR(IF(0=LEN(ReferenceData!$R$195),"",ReferenceData!$R$195),"")</f>
        <v>-350.93099999999998</v>
      </c>
      <c r="S195">
        <f ca="1">IFERROR(IF(0=LEN(ReferenceData!$S$195),"",ReferenceData!$S$195),"")</f>
        <v>-222.15</v>
      </c>
      <c r="T195">
        <f ca="1">IFERROR(IF(0=LEN(ReferenceData!$T$195),"",ReferenceData!$T$195),"")</f>
        <v>-68.972999999999999</v>
      </c>
      <c r="U195">
        <f ca="1">IFERROR(IF(0=LEN(ReferenceData!$U$195),"",ReferenceData!$U$195),"")</f>
        <v>-94.271000000000001</v>
      </c>
      <c r="V195">
        <f ca="1">IFERROR(IF(0=LEN(ReferenceData!$V$195),"",ReferenceData!$V$195),"")</f>
        <v>-69.622</v>
      </c>
      <c r="W195">
        <f ca="1">IFERROR(IF(0=LEN(ReferenceData!$W$195),"",ReferenceData!$W$195),"")</f>
        <v>-222.10400000000001</v>
      </c>
      <c r="X195">
        <f ca="1">IFERROR(IF(0=LEN(ReferenceData!$X$195),"",ReferenceData!$X$195),"")</f>
        <v>-126.715</v>
      </c>
      <c r="Y195">
        <f ca="1">IFERROR(IF(0=LEN(ReferenceData!$Y$195),"",ReferenceData!$Y$195),"")</f>
        <v>-185.88800000000001</v>
      </c>
      <c r="Z195">
        <f ca="1">IFERROR(IF(0=LEN(ReferenceData!$Z$195),"",ReferenceData!$Z$195),"")</f>
        <v>-892.77700000000004</v>
      </c>
      <c r="AA195">
        <f ca="1">IFERROR(IF(0=LEN(ReferenceData!$AA$195),"",ReferenceData!$AA$195),"")</f>
        <v>-83.686000000000007</v>
      </c>
      <c r="AB195">
        <f ca="1">IFERROR(IF(0=LEN(ReferenceData!$AB$195),"",ReferenceData!$AB$195),"")</f>
        <v>-150.166</v>
      </c>
      <c r="AC195">
        <f ca="1">IFERROR(IF(0=LEN(ReferenceData!$AC$195),"",ReferenceData!$AC$195),"")</f>
        <v>-106.331</v>
      </c>
      <c r="AD195">
        <f ca="1">IFERROR(IF(0=LEN(ReferenceData!$AD$195),"",ReferenceData!$AD$195),"")</f>
        <v>-56.643999999999998</v>
      </c>
      <c r="AE195">
        <f ca="1">IFERROR(IF(0=LEN(ReferenceData!$AE$195),"",ReferenceData!$AE$195),"")</f>
        <v>-76.853999999999999</v>
      </c>
      <c r="AF195">
        <f ca="1">IFERROR(IF(0=LEN(ReferenceData!$AF$195),"",ReferenceData!$AF$195),"")</f>
        <v>-108.08199999999999</v>
      </c>
      <c r="AG195">
        <f ca="1">IFERROR(IF(0=LEN(ReferenceData!$AG$195),"",ReferenceData!$AG$195),"")</f>
        <v>-77.774000000000001</v>
      </c>
      <c r="AH195">
        <f ca="1">IFERROR(IF(0=LEN(ReferenceData!$AH$195),"",ReferenceData!$AH$195),"")</f>
        <v>-45.121000000000002</v>
      </c>
      <c r="AI195">
        <f ca="1">IFERROR(IF(0=LEN(ReferenceData!$AI$195),"",ReferenceData!$AI$195),"")</f>
        <v>-2.7669999999999999</v>
      </c>
      <c r="AJ195">
        <f ca="1">IFERROR(IF(0=LEN(ReferenceData!$AJ$195),"",ReferenceData!$AJ$195),"")</f>
        <v>-35.131</v>
      </c>
      <c r="AK195">
        <f ca="1">IFERROR(IF(0=LEN(ReferenceData!$AK$195),"",ReferenceData!$AK$195),"")</f>
        <v>-21.036000000000001</v>
      </c>
      <c r="AL195">
        <f ca="1">IFERROR(IF(0=LEN(ReferenceData!$AL$195),"",ReferenceData!$AL$195),"")</f>
        <v>-52.81</v>
      </c>
      <c r="AM195">
        <f ca="1">IFERROR(IF(0=LEN(ReferenceData!$AM$195),"",ReferenceData!$AM$195),"")</f>
        <v>-19.827000000000002</v>
      </c>
      <c r="AN195">
        <f ca="1">IFERROR(IF(0=LEN(ReferenceData!$AN$195),"",ReferenceData!$AN$195),"")</f>
        <v>-46.435000000000002</v>
      </c>
      <c r="AO195">
        <f ca="1">IFERROR(IF(0=LEN(ReferenceData!$AO$195),"",ReferenceData!$AO$195),"")</f>
        <v>-64.337000000000003</v>
      </c>
      <c r="AP195">
        <f ca="1">IFERROR(IF(0=LEN(ReferenceData!$AP$195),"",ReferenceData!$AP$195),"")</f>
        <v>-65.772999999999996</v>
      </c>
      <c r="AQ195">
        <f ca="1">IFERROR(IF(0=LEN(ReferenceData!$AQ$195),"",ReferenceData!$AQ$195),"")</f>
        <v>42.942999999999998</v>
      </c>
      <c r="AR195">
        <f ca="1">IFERROR(IF(0=LEN(ReferenceData!$AR$195),"",ReferenceData!$AR$195),"")</f>
        <v>-275.29300000000001</v>
      </c>
      <c r="AS195">
        <f ca="1">IFERROR(IF(0=LEN(ReferenceData!$AS$195),"",ReferenceData!$AS$195),"")</f>
        <v>-93.296999999999997</v>
      </c>
      <c r="AT195">
        <f ca="1">IFERROR(IF(0=LEN(ReferenceData!$AT$195),"",ReferenceData!$AT$195),"")</f>
        <v>-190.596</v>
      </c>
      <c r="AU195">
        <f ca="1">IFERROR(IF(0=LEN(ReferenceData!$AU$195),"",ReferenceData!$AU$195),"")</f>
        <v>-121.619</v>
      </c>
      <c r="AV195">
        <f ca="1">IFERROR(IF(0=LEN(ReferenceData!$AV$195),"",ReferenceData!$AV$195),"")</f>
        <v>-188.90299999999999</v>
      </c>
      <c r="AW195">
        <f ca="1">IFERROR(IF(0=LEN(ReferenceData!$AW$195),"",ReferenceData!$AW$195),"")</f>
        <v>-183.49299999999999</v>
      </c>
      <c r="AX195">
        <f ca="1">IFERROR(IF(0=LEN(ReferenceData!$AX$195),"",ReferenceData!$AX$195),"")</f>
        <v>-192.81700000000001</v>
      </c>
      <c r="AY195">
        <f ca="1">IFERROR(IF(0=LEN(ReferenceData!$AY$195),"",ReferenceData!$AY$195),"")</f>
        <v>-232.26900000000001</v>
      </c>
      <c r="AZ195">
        <f ca="1">IFERROR(IF(0=LEN(ReferenceData!$AZ$195),"",ReferenceData!$AZ$195),"")</f>
        <v>-117.163</v>
      </c>
      <c r="BA195">
        <f ca="1">IFERROR(IF(0=LEN(ReferenceData!$BA$195),"",ReferenceData!$BA$195),"")</f>
        <v>-86.206999999999994</v>
      </c>
      <c r="BB195">
        <f ca="1">IFERROR(IF(0=LEN(ReferenceData!$BB$195),"",ReferenceData!$BB$195),"")</f>
        <v>-45.037999999999997</v>
      </c>
      <c r="BC195">
        <f ca="1">IFERROR(IF(0=LEN(ReferenceData!$BC$195),"",ReferenceData!$BC$195),"")</f>
        <v>-44.593000000000004</v>
      </c>
      <c r="BD195">
        <f ca="1">IFERROR(IF(0=LEN(ReferenceData!$BD$195),"",ReferenceData!$BD$195),"")</f>
        <v>0.873</v>
      </c>
      <c r="BE195">
        <f ca="1">IFERROR(IF(0=LEN(ReferenceData!$BE$195),"",ReferenceData!$BE$195),"")</f>
        <v>-39.079000000000001</v>
      </c>
      <c r="BF195">
        <f ca="1">IFERROR(IF(0=LEN(ReferenceData!$BF$195),"",ReferenceData!$BF$195),"")</f>
        <v>-69.938000000000002</v>
      </c>
      <c r="BG195">
        <f ca="1">IFERROR(IF(0=LEN(ReferenceData!$BG$195),"",ReferenceData!$BG$195),"")</f>
        <v>-95.039000000000001</v>
      </c>
      <c r="BH195">
        <f ca="1">IFERROR(IF(0=LEN(ReferenceData!$BH$195),"",ReferenceData!$BH$195),"")</f>
        <v>-58.735999999999997</v>
      </c>
      <c r="BI195">
        <f ca="1">IFERROR(IF(0=LEN(ReferenceData!$BI$195),"",ReferenceData!$BI$195),"")</f>
        <v>-65.230999999999995</v>
      </c>
      <c r="BJ195">
        <f ca="1">IFERROR(IF(0=LEN(ReferenceData!$BJ$195),"",ReferenceData!$BJ$195),"")</f>
        <v>-3.3359999999999999</v>
      </c>
      <c r="BK195">
        <f ca="1">IFERROR(IF(0=LEN(ReferenceData!$BK$195),"",ReferenceData!$BK$195),"")</f>
        <v>-8.0799975400000008</v>
      </c>
      <c r="BL195">
        <f ca="1">IFERROR(IF(0=LEN(ReferenceData!$BL$195),"",ReferenceData!$BL$195),"")</f>
        <v>-49.07</v>
      </c>
      <c r="BM195">
        <f ca="1">IFERROR(IF(0=LEN(ReferenceData!$BM$195),"",ReferenceData!$BM$195),"")</f>
        <v>-34.93</v>
      </c>
    </row>
    <row r="196" spans="1:65">
      <c r="A196" t="str">
        <f>IFERROR(IF(0=LEN(ReferenceData!$A$196),"",ReferenceData!$A$196),"")</f>
        <v xml:space="preserve">    Camden Property Trust</v>
      </c>
      <c r="B196" t="str">
        <f>IFERROR(IF(0=LEN(ReferenceData!$B$196),"",ReferenceData!$B$196),"")</f>
        <v>CPT US Equity</v>
      </c>
      <c r="C196" t="str">
        <f>IFERROR(IF(0=LEN(ReferenceData!$C$196),"",ReferenceData!$C$196),"")</f>
        <v>RR008</v>
      </c>
      <c r="D196" t="str">
        <f>IFERROR(IF(0=LEN(ReferenceData!$D$196),"",ReferenceData!$D$196),"")</f>
        <v>CF_FREE_CASH_FLOW</v>
      </c>
      <c r="E196" t="str">
        <f>IFERROR(IF(0=LEN(ReferenceData!$E$196),"",ReferenceData!$E$196),"")</f>
        <v>动态</v>
      </c>
      <c r="F196" t="str">
        <f ca="1">IFERROR(IF(0=LEN(ReferenceData!$F$196),"",ReferenceData!$F$196),"")</f>
        <v/>
      </c>
      <c r="G196">
        <f ca="1">IFERROR(IF(0=LEN(ReferenceData!$G$196),"",ReferenceData!$G$196),"")</f>
        <v>21.515999999999998</v>
      </c>
      <c r="H196">
        <f ca="1">IFERROR(IF(0=LEN(ReferenceData!$H$196),"",ReferenceData!$H$196),"")</f>
        <v>58.634999999999998</v>
      </c>
      <c r="I196">
        <f ca="1">IFERROR(IF(0=LEN(ReferenceData!$I$196),"",ReferenceData!$I$196),"")</f>
        <v>45.216999999999999</v>
      </c>
      <c r="J196">
        <f ca="1">IFERROR(IF(0=LEN(ReferenceData!$J$196),"",ReferenceData!$J$196),"")</f>
        <v>10.202</v>
      </c>
      <c r="K196">
        <f ca="1">IFERROR(IF(0=LEN(ReferenceData!$K$196),"",ReferenceData!$K$196),"")</f>
        <v>5.2690000000000001</v>
      </c>
      <c r="L196">
        <f ca="1">IFERROR(IF(0=LEN(ReferenceData!$L$196),"",ReferenceData!$L$196),"")</f>
        <v>41.621000000000002</v>
      </c>
      <c r="M196">
        <f ca="1">IFERROR(IF(0=LEN(ReferenceData!$M$196),"",ReferenceData!$M$196),"")</f>
        <v>40.143000000000001</v>
      </c>
      <c r="N196">
        <f ca="1">IFERROR(IF(0=LEN(ReferenceData!$N$196),"",ReferenceData!$N$196),"")</f>
        <v>23.445</v>
      </c>
      <c r="O196">
        <f ca="1">IFERROR(IF(0=LEN(ReferenceData!$O$196),"",ReferenceData!$O$196),"")</f>
        <v>30.184000000000001</v>
      </c>
      <c r="P196">
        <f ca="1">IFERROR(IF(0=LEN(ReferenceData!$P$196),"",ReferenceData!$P$196),"")</f>
        <v>19.463000000000001</v>
      </c>
      <c r="Q196">
        <f ca="1">IFERROR(IF(0=LEN(ReferenceData!$Q$196),"",ReferenceData!$Q$196),"")</f>
        <v>-16.989999999999998</v>
      </c>
      <c r="R196">
        <f ca="1">IFERROR(IF(0=LEN(ReferenceData!$R$196),"",ReferenceData!$R$196),"")</f>
        <v>-21.218</v>
      </c>
      <c r="S196">
        <f ca="1">IFERROR(IF(0=LEN(ReferenceData!$S$196),"",ReferenceData!$S$196),"")</f>
        <v>-22.259</v>
      </c>
      <c r="T196">
        <f ca="1">IFERROR(IF(0=LEN(ReferenceData!$T$196),"",ReferenceData!$T$196),"")</f>
        <v>9.5960000000000001</v>
      </c>
      <c r="U196">
        <f ca="1">IFERROR(IF(0=LEN(ReferenceData!$U$196),"",ReferenceData!$U$196),"")</f>
        <v>-59.18</v>
      </c>
      <c r="V196">
        <f ca="1">IFERROR(IF(0=LEN(ReferenceData!$V$196),"",ReferenceData!$V$196),"")</f>
        <v>-17.652000000000001</v>
      </c>
      <c r="W196">
        <f ca="1">IFERROR(IF(0=LEN(ReferenceData!$W$196),"",ReferenceData!$W$196),"")</f>
        <v>-19.186</v>
      </c>
      <c r="X196">
        <f ca="1">IFERROR(IF(0=LEN(ReferenceData!$X$196),"",ReferenceData!$X$196),"")</f>
        <v>29.92</v>
      </c>
      <c r="Y196">
        <f ca="1">IFERROR(IF(0=LEN(ReferenceData!$Y$196),"",ReferenceData!$Y$196),"")</f>
        <v>-6.15</v>
      </c>
      <c r="Z196">
        <f ca="1">IFERROR(IF(0=LEN(ReferenceData!$Z$196),"",ReferenceData!$Z$196),"")</f>
        <v>25.395</v>
      </c>
      <c r="AA196">
        <f ca="1">IFERROR(IF(0=LEN(ReferenceData!$AA$196),"",ReferenceData!$AA$196),"")</f>
        <v>-24.236000000000001</v>
      </c>
      <c r="AB196">
        <f ca="1">IFERROR(IF(0=LEN(ReferenceData!$AB$196),"",ReferenceData!$AB$196),"")</f>
        <v>47.362000000000002</v>
      </c>
      <c r="AC196">
        <f ca="1">IFERROR(IF(0=LEN(ReferenceData!$AC$196),"",ReferenceData!$AC$196),"")</f>
        <v>-15.606999999999999</v>
      </c>
      <c r="AD196">
        <f ca="1">IFERROR(IF(0=LEN(ReferenceData!$AD$196),"",ReferenceData!$AD$196),"")</f>
        <v>15.51</v>
      </c>
      <c r="AE196">
        <f ca="1">IFERROR(IF(0=LEN(ReferenceData!$AE$196),"",ReferenceData!$AE$196),"")</f>
        <v>-28.640999999999998</v>
      </c>
      <c r="AF196">
        <f ca="1">IFERROR(IF(0=LEN(ReferenceData!$AF$196),"",ReferenceData!$AF$196),"")</f>
        <v>-1.448</v>
      </c>
      <c r="AG196">
        <f ca="1">IFERROR(IF(0=LEN(ReferenceData!$AG$196),"",ReferenceData!$AG$196),"")</f>
        <v>15.901999999999999</v>
      </c>
      <c r="AH196">
        <f ca="1">IFERROR(IF(0=LEN(ReferenceData!$AH$196),"",ReferenceData!$AH$196),"")</f>
        <v>31.265999999999998</v>
      </c>
      <c r="AI196">
        <f ca="1">IFERROR(IF(0=LEN(ReferenceData!$AI$196),"",ReferenceData!$AI$196),"")</f>
        <v>25.763000000000002</v>
      </c>
      <c r="AJ196">
        <f ca="1">IFERROR(IF(0=LEN(ReferenceData!$AJ$196),"",ReferenceData!$AJ$196),"")</f>
        <v>62.451000000000001</v>
      </c>
      <c r="AK196">
        <f ca="1">IFERROR(IF(0=LEN(ReferenceData!$AK$196),"",ReferenceData!$AK$196),"")</f>
        <v>41.393999999999998</v>
      </c>
      <c r="AL196">
        <f ca="1">IFERROR(IF(0=LEN(ReferenceData!$AL$196),"",ReferenceData!$AL$196),"")</f>
        <v>30.689</v>
      </c>
      <c r="AM196">
        <f ca="1">IFERROR(IF(0=LEN(ReferenceData!$AM$196),"",ReferenceData!$AM$196),"")</f>
        <v>14.582000000000001</v>
      </c>
      <c r="AN196">
        <f ca="1">IFERROR(IF(0=LEN(ReferenceData!$AN$196),"",ReferenceData!$AN$196),"")</f>
        <v>57.746000000000002</v>
      </c>
      <c r="AO196">
        <f ca="1">IFERROR(IF(0=LEN(ReferenceData!$AO$196),"",ReferenceData!$AO$196),"")</f>
        <v>40.03</v>
      </c>
      <c r="AP196">
        <f ca="1">IFERROR(IF(0=LEN(ReferenceData!$AP$196),"",ReferenceData!$AP$196),"")</f>
        <v>32.551000000000002</v>
      </c>
      <c r="AQ196">
        <f ca="1">IFERROR(IF(0=LEN(ReferenceData!$AQ$196),"",ReferenceData!$AQ$196),"")</f>
        <v>8.6479999999999997</v>
      </c>
      <c r="AR196">
        <f ca="1">IFERROR(IF(0=LEN(ReferenceData!$AR$196),"",ReferenceData!$AR$196),"")</f>
        <v>38.061999999999998</v>
      </c>
      <c r="AS196">
        <f ca="1">IFERROR(IF(0=LEN(ReferenceData!$AS$196),"",ReferenceData!$AS$196),"")</f>
        <v>2.9670000000000001</v>
      </c>
      <c r="AT196">
        <f ca="1">IFERROR(IF(0=LEN(ReferenceData!$AT$196),"",ReferenceData!$AT$196),"")</f>
        <v>-31.257000000000001</v>
      </c>
      <c r="AU196" t="str">
        <f ca="1">IFERROR(IF(0=LEN(ReferenceData!$AU$196),"",ReferenceData!$AU$196),"")</f>
        <v/>
      </c>
      <c r="AV196">
        <f ca="1">IFERROR(IF(0=LEN(ReferenceData!$AV$196),"",ReferenceData!$AV$196),"")</f>
        <v>-36.832999999999998</v>
      </c>
      <c r="AW196">
        <f ca="1">IFERROR(IF(0=LEN(ReferenceData!$AW$196),"",ReferenceData!$AW$196),"")</f>
        <v>-122.628</v>
      </c>
      <c r="AX196">
        <f ca="1">IFERROR(IF(0=LEN(ReferenceData!$AX$196),"",ReferenceData!$AX$196),"")</f>
        <v>-83.106999999999999</v>
      </c>
      <c r="AY196">
        <f ca="1">IFERROR(IF(0=LEN(ReferenceData!$AY$196),"",ReferenceData!$AY$196),"")</f>
        <v>-34.357999999999997</v>
      </c>
      <c r="AZ196">
        <f ca="1">IFERROR(IF(0=LEN(ReferenceData!$AZ$196),"",ReferenceData!$AZ$196),"")</f>
        <v>-45.182000000000002</v>
      </c>
      <c r="BA196">
        <f ca="1">IFERROR(IF(0=LEN(ReferenceData!$BA$196),"",ReferenceData!$BA$196),"")</f>
        <v>-46.323999999999998</v>
      </c>
      <c r="BB196">
        <f ca="1">IFERROR(IF(0=LEN(ReferenceData!$BB$196),"",ReferenceData!$BB$196),"")</f>
        <v>-90.066000000000003</v>
      </c>
      <c r="BC196">
        <f ca="1">IFERROR(IF(0=LEN(ReferenceData!$BC$196),"",ReferenceData!$BC$196),"")</f>
        <v>-60.118000000000002</v>
      </c>
      <c r="BD196">
        <f ca="1">IFERROR(IF(0=LEN(ReferenceData!$BD$196),"",ReferenceData!$BD$196),"")</f>
        <v>-54.286000000000001</v>
      </c>
      <c r="BE196">
        <f ca="1">IFERROR(IF(0=LEN(ReferenceData!$BE$196),"",ReferenceData!$BE$196),"")</f>
        <v>-0.23599999999999999</v>
      </c>
      <c r="BF196">
        <f ca="1">IFERROR(IF(0=LEN(ReferenceData!$BF$196),"",ReferenceData!$BF$196),"")</f>
        <v>14.598000000000001</v>
      </c>
      <c r="BG196">
        <f ca="1">IFERROR(IF(0=LEN(ReferenceData!$BG$196),"",ReferenceData!$BG$196),"")</f>
        <v>9.6120000000000001</v>
      </c>
      <c r="BH196">
        <f ca="1">IFERROR(IF(0=LEN(ReferenceData!$BH$196),"",ReferenceData!$BH$196),"")</f>
        <v>25.59</v>
      </c>
      <c r="BI196">
        <f ca="1">IFERROR(IF(0=LEN(ReferenceData!$BI$196),"",ReferenceData!$BI$196),"")</f>
        <v>-4.6790010000000004</v>
      </c>
      <c r="BJ196">
        <f ca="1">IFERROR(IF(0=LEN(ReferenceData!$BJ$196),"",ReferenceData!$BJ$196),"")</f>
        <v>15.045</v>
      </c>
      <c r="BK196">
        <f ca="1">IFERROR(IF(0=LEN(ReferenceData!$BK$196),"",ReferenceData!$BK$196),"")</f>
        <v>15.997998750000001</v>
      </c>
      <c r="BL196">
        <f ca="1">IFERROR(IF(0=LEN(ReferenceData!$BL$196),"",ReferenceData!$BL$196),"")</f>
        <v>22.638999999999999</v>
      </c>
      <c r="BM196">
        <f ca="1">IFERROR(IF(0=LEN(ReferenceData!$BM$196),"",ReferenceData!$BM$196),"")</f>
        <v>5.0209979999999996</v>
      </c>
    </row>
    <row r="197" spans="1:65">
      <c r="A197" t="str">
        <f>IFERROR(IF(0=LEN(ReferenceData!$A$197),"",ReferenceData!$A$197),"")</f>
        <v xml:space="preserve">    Education Realty Trust Inc</v>
      </c>
      <c r="B197" t="str">
        <f>IFERROR(IF(0=LEN(ReferenceData!$B$197),"",ReferenceData!$B$197),"")</f>
        <v>EDR US Equity</v>
      </c>
      <c r="C197" t="str">
        <f>IFERROR(IF(0=LEN(ReferenceData!$C$197),"",ReferenceData!$C$197),"")</f>
        <v>RR008</v>
      </c>
      <c r="D197" t="str">
        <f>IFERROR(IF(0=LEN(ReferenceData!$D$197),"",ReferenceData!$D$197),"")</f>
        <v>CF_FREE_CASH_FLOW</v>
      </c>
      <c r="E197" t="str">
        <f>IFERROR(IF(0=LEN(ReferenceData!$E$197),"",ReferenceData!$E$197),"")</f>
        <v>动态</v>
      </c>
      <c r="F197" t="str">
        <f ca="1">IFERROR(IF(0=LEN(ReferenceData!$F$197),"",ReferenceData!$F$197),"")</f>
        <v/>
      </c>
      <c r="G197">
        <f ca="1">IFERROR(IF(0=LEN(ReferenceData!$G$197),"",ReferenceData!$G$197),"")</f>
        <v>-116.33</v>
      </c>
      <c r="H197">
        <f ca="1">IFERROR(IF(0=LEN(ReferenceData!$H$197),"",ReferenceData!$H$197),"")</f>
        <v>-66.691999999999993</v>
      </c>
      <c r="I197">
        <f ca="1">IFERROR(IF(0=LEN(ReferenceData!$I$197),"",ReferenceData!$I$197),"")</f>
        <v>-74.242000000000004</v>
      </c>
      <c r="J197">
        <f ca="1">IFERROR(IF(0=LEN(ReferenceData!$J$197),"",ReferenceData!$J$197),"")</f>
        <v>-179.70599999999999</v>
      </c>
      <c r="K197">
        <f ca="1">IFERROR(IF(0=LEN(ReferenceData!$K$197),"",ReferenceData!$K$197),"")</f>
        <v>-85.629000000000005</v>
      </c>
      <c r="L197">
        <f ca="1">IFERROR(IF(0=LEN(ReferenceData!$L$197),"",ReferenceData!$L$197),"")</f>
        <v>-97.972999999999999</v>
      </c>
      <c r="M197">
        <f ca="1">IFERROR(IF(0=LEN(ReferenceData!$M$197),"",ReferenceData!$M$197),"")</f>
        <v>-232.33199999999999</v>
      </c>
      <c r="N197">
        <f ca="1">IFERROR(IF(0=LEN(ReferenceData!$N$197),"",ReferenceData!$N$197),"")</f>
        <v>-52.045000000000002</v>
      </c>
      <c r="O197">
        <f ca="1">IFERROR(IF(0=LEN(ReferenceData!$O$197),"",ReferenceData!$O$197),"")</f>
        <v>-13.378</v>
      </c>
      <c r="P197">
        <f ca="1">IFERROR(IF(0=LEN(ReferenceData!$P$197),"",ReferenceData!$P$197),"")</f>
        <v>-76.082999999999998</v>
      </c>
      <c r="Q197">
        <f ca="1">IFERROR(IF(0=LEN(ReferenceData!$Q$197),"",ReferenceData!$Q$197),"")</f>
        <v>-39.186999999999998</v>
      </c>
      <c r="R197">
        <f ca="1">IFERROR(IF(0=LEN(ReferenceData!$R$197),"",ReferenceData!$R$197),"")</f>
        <v>-15.262</v>
      </c>
      <c r="S197">
        <f ca="1">IFERROR(IF(0=LEN(ReferenceData!$S$197),"",ReferenceData!$S$197),"")</f>
        <v>-37.191000000000003</v>
      </c>
      <c r="T197">
        <f ca="1">IFERROR(IF(0=LEN(ReferenceData!$T$197),"",ReferenceData!$T$197),"")</f>
        <v>-160.89699999999999</v>
      </c>
      <c r="U197">
        <f ca="1">IFERROR(IF(0=LEN(ReferenceData!$U$197),"",ReferenceData!$U$197),"")</f>
        <v>-50.722999999999999</v>
      </c>
      <c r="V197">
        <f ca="1">IFERROR(IF(0=LEN(ReferenceData!$V$197),"",ReferenceData!$V$197),"")</f>
        <v>-36.25</v>
      </c>
      <c r="W197">
        <f ca="1">IFERROR(IF(0=LEN(ReferenceData!$W$197),"",ReferenceData!$W$197),"")</f>
        <v>-42.887999999999998</v>
      </c>
      <c r="X197">
        <f ca="1">IFERROR(IF(0=LEN(ReferenceData!$X$197),"",ReferenceData!$X$197),"")</f>
        <v>-126.726</v>
      </c>
      <c r="Y197">
        <f ca="1">IFERROR(IF(0=LEN(ReferenceData!$Y$197),"",ReferenceData!$Y$197),"")</f>
        <v>-44.496000000000002</v>
      </c>
      <c r="Z197">
        <f ca="1">IFERROR(IF(0=LEN(ReferenceData!$Z$197),"",ReferenceData!$Z$197),"")</f>
        <v>-43.63</v>
      </c>
      <c r="AA197">
        <f ca="1">IFERROR(IF(0=LEN(ReferenceData!$AA$197),"",ReferenceData!$AA$197),"")</f>
        <v>-216.30500000000001</v>
      </c>
      <c r="AB197">
        <f ca="1">IFERROR(IF(0=LEN(ReferenceData!$AB$197),"",ReferenceData!$AB$197),"")</f>
        <v>-77.573999999999998</v>
      </c>
      <c r="AC197">
        <f ca="1">IFERROR(IF(0=LEN(ReferenceData!$AC$197),"",ReferenceData!$AC$197),"")</f>
        <v>-25.190999999999999</v>
      </c>
      <c r="AD197">
        <f ca="1">IFERROR(IF(0=LEN(ReferenceData!$AD$197),"",ReferenceData!$AD$197),"")</f>
        <v>-41.118000000000002</v>
      </c>
      <c r="AE197">
        <f ca="1">IFERROR(IF(0=LEN(ReferenceData!$AE$197),"",ReferenceData!$AE$197),"")</f>
        <v>-121.959</v>
      </c>
      <c r="AF197">
        <f ca="1">IFERROR(IF(0=LEN(ReferenceData!$AF$197),"",ReferenceData!$AF$197),"")</f>
        <v>-49.756</v>
      </c>
      <c r="AG197">
        <f ca="1">IFERROR(IF(0=LEN(ReferenceData!$AG$197),"",ReferenceData!$AG$197),"")</f>
        <v>-14.129</v>
      </c>
      <c r="AH197">
        <f ca="1">IFERROR(IF(0=LEN(ReferenceData!$AH$197),"",ReferenceData!$AH$197),"")</f>
        <v>-20.390999999999998</v>
      </c>
      <c r="AI197">
        <f ca="1">IFERROR(IF(0=LEN(ReferenceData!$AI$197),"",ReferenceData!$AI$197),"")</f>
        <v>-31.518000000000001</v>
      </c>
      <c r="AJ197">
        <f ca="1">IFERROR(IF(0=LEN(ReferenceData!$AJ$197),"",ReferenceData!$AJ$197),"")</f>
        <v>13.654999999999999</v>
      </c>
      <c r="AK197">
        <f ca="1">IFERROR(IF(0=LEN(ReferenceData!$AK$197),"",ReferenceData!$AK$197),"")</f>
        <v>3.1989999999999998</v>
      </c>
      <c r="AL197">
        <f ca="1">IFERROR(IF(0=LEN(ReferenceData!$AL$197),"",ReferenceData!$AL$197),"")</f>
        <v>0.79300000000000004</v>
      </c>
      <c r="AM197">
        <f ca="1">IFERROR(IF(0=LEN(ReferenceData!$AM$197),"",ReferenceData!$AM$197),"")</f>
        <v>-11.553000000000001</v>
      </c>
      <c r="AN197">
        <f ca="1">IFERROR(IF(0=LEN(ReferenceData!$AN$197),"",ReferenceData!$AN$197),"")</f>
        <v>-6.0469999999999997</v>
      </c>
      <c r="AO197">
        <f ca="1">IFERROR(IF(0=LEN(ReferenceData!$AO$197),"",ReferenceData!$AO$197),"")</f>
        <v>-3.79</v>
      </c>
      <c r="AP197">
        <f ca="1">IFERROR(IF(0=LEN(ReferenceData!$AP$197),"",ReferenceData!$AP$197),"")</f>
        <v>0.434</v>
      </c>
      <c r="AQ197">
        <f ca="1">IFERROR(IF(0=LEN(ReferenceData!$AQ$197),"",ReferenceData!$AQ$197),"")</f>
        <v>-43.756999999999998</v>
      </c>
      <c r="AR197">
        <f ca="1">IFERROR(IF(0=LEN(ReferenceData!$AR$197),"",ReferenceData!$AR$197),"")</f>
        <v>-3.399</v>
      </c>
      <c r="AS197">
        <f ca="1">IFERROR(IF(0=LEN(ReferenceData!$AS$197),"",ReferenceData!$AS$197),"")</f>
        <v>3.4060000000000001</v>
      </c>
      <c r="AT197">
        <f ca="1">IFERROR(IF(0=LEN(ReferenceData!$AT$197),"",ReferenceData!$AT$197),"")</f>
        <v>2.5880000000000001</v>
      </c>
      <c r="AU197">
        <f ca="1">IFERROR(IF(0=LEN(ReferenceData!$AU$197),"",ReferenceData!$AU$197),"")</f>
        <v>-3.6230000000000002</v>
      </c>
      <c r="AV197">
        <f ca="1">IFERROR(IF(0=LEN(ReferenceData!$AV$197),"",ReferenceData!$AV$197),"")</f>
        <v>5.6</v>
      </c>
      <c r="AW197">
        <f ca="1">IFERROR(IF(0=LEN(ReferenceData!$AW$197),"",ReferenceData!$AW$197),"")</f>
        <v>4.7110000000000003</v>
      </c>
      <c r="AX197">
        <f ca="1">IFERROR(IF(0=LEN(ReferenceData!$AX$197),"",ReferenceData!$AX$197),"")</f>
        <v>2.8340000000000001</v>
      </c>
      <c r="AY197">
        <f ca="1">IFERROR(IF(0=LEN(ReferenceData!$AY$197),"",ReferenceData!$AY$197),"")</f>
        <v>4.1950000000000003</v>
      </c>
      <c r="AZ197">
        <f ca="1">IFERROR(IF(0=LEN(ReferenceData!$AZ$197),"",ReferenceData!$AZ$197),"")</f>
        <v>3.145</v>
      </c>
      <c r="BA197">
        <f ca="1">IFERROR(IF(0=LEN(ReferenceData!$BA$197),"",ReferenceData!$BA$197),"")</f>
        <v>-5.335</v>
      </c>
      <c r="BB197">
        <f ca="1">IFERROR(IF(0=LEN(ReferenceData!$BB$197),"",ReferenceData!$BB$197),"")</f>
        <v>-96.144000000000005</v>
      </c>
      <c r="BC197">
        <f ca="1">IFERROR(IF(0=LEN(ReferenceData!$BC$197),"",ReferenceData!$BC$197),"")</f>
        <v>2.593</v>
      </c>
      <c r="BD197">
        <f ca="1">IFERROR(IF(0=LEN(ReferenceData!$BD$197),"",ReferenceData!$BD$197),"")</f>
        <v>-9.16</v>
      </c>
      <c r="BE197">
        <f ca="1">IFERROR(IF(0=LEN(ReferenceData!$BE$197),"",ReferenceData!$BE$197),"")</f>
        <v>-16.141999999999999</v>
      </c>
      <c r="BF197">
        <f ca="1">IFERROR(IF(0=LEN(ReferenceData!$BF$197),"",ReferenceData!$BF$197),"")</f>
        <v>-152.80699999999999</v>
      </c>
      <c r="BG197" t="str">
        <f ca="1">IFERROR(IF(0=LEN(ReferenceData!$BG$197),"",ReferenceData!$BG$197),"")</f>
        <v/>
      </c>
      <c r="BH197" t="str">
        <f ca="1">IFERROR(IF(0=LEN(ReferenceData!$BH$197),"",ReferenceData!$BH$197),"")</f>
        <v/>
      </c>
      <c r="BI197" t="str">
        <f ca="1">IFERROR(IF(0=LEN(ReferenceData!$BI$197),"",ReferenceData!$BI$197),"")</f>
        <v/>
      </c>
      <c r="BJ197" t="str">
        <f ca="1">IFERROR(IF(0=LEN(ReferenceData!$BJ$197),"",ReferenceData!$BJ$197),"")</f>
        <v/>
      </c>
      <c r="BK197" t="str">
        <f ca="1">IFERROR(IF(0=LEN(ReferenceData!$BK$197),"",ReferenceData!$BK$197),"")</f>
        <v/>
      </c>
      <c r="BL197" t="str">
        <f ca="1">IFERROR(IF(0=LEN(ReferenceData!$BL$197),"",ReferenceData!$BL$197),"")</f>
        <v/>
      </c>
      <c r="BM197" t="str">
        <f ca="1">IFERROR(IF(0=LEN(ReferenceData!$BM$197),"",ReferenceData!$BM$197),"")</f>
        <v/>
      </c>
    </row>
    <row r="198" spans="1:65">
      <c r="A198" t="str">
        <f>IFERROR(IF(0=LEN(ReferenceData!$A$198),"",ReferenceData!$A$198),"")</f>
        <v xml:space="preserve">    Equity Residential</v>
      </c>
      <c r="B198" t="str">
        <f>IFERROR(IF(0=LEN(ReferenceData!$B$198),"",ReferenceData!$B$198),"")</f>
        <v>EQR US Equity</v>
      </c>
      <c r="C198" t="str">
        <f>IFERROR(IF(0=LEN(ReferenceData!$C$198),"",ReferenceData!$C$198),"")</f>
        <v>RR008</v>
      </c>
      <c r="D198" t="str">
        <f>IFERROR(IF(0=LEN(ReferenceData!$D$198),"",ReferenceData!$D$198),"")</f>
        <v>CF_FREE_CASH_FLOW</v>
      </c>
      <c r="E198" t="str">
        <f>IFERROR(IF(0=LEN(ReferenceData!$E$198),"",ReferenceData!$E$198),"")</f>
        <v>动态</v>
      </c>
      <c r="F198" t="str">
        <f ca="1">IFERROR(IF(0=LEN(ReferenceData!$F$198),"",ReferenceData!$F$198),"")</f>
        <v/>
      </c>
      <c r="G198">
        <f ca="1">IFERROR(IF(0=LEN(ReferenceData!$G$198),"",ReferenceData!$G$198),"")</f>
        <v>193.48099999999999</v>
      </c>
      <c r="H198">
        <f ca="1">IFERROR(IF(0=LEN(ReferenceData!$H$198),"",ReferenceData!$H$198),"")</f>
        <v>-101.711</v>
      </c>
      <c r="I198">
        <f ca="1">IFERROR(IF(0=LEN(ReferenceData!$I$198),"",ReferenceData!$I$198),"")</f>
        <v>76.721999999999994</v>
      </c>
      <c r="J198">
        <f ca="1">IFERROR(IF(0=LEN(ReferenceData!$J$198),"",ReferenceData!$J$198),"")</f>
        <v>150.40700000000001</v>
      </c>
      <c r="K198">
        <f ca="1">IFERROR(IF(0=LEN(ReferenceData!$K$198),"",ReferenceData!$K$198),"")</f>
        <v>130.95599999999999</v>
      </c>
      <c r="L198">
        <f ca="1">IFERROR(IF(0=LEN(ReferenceData!$L$198),"",ReferenceData!$L$198),"")</f>
        <v>106.086</v>
      </c>
      <c r="M198">
        <f ca="1">IFERROR(IF(0=LEN(ReferenceData!$M$198),"",ReferenceData!$M$198),"")</f>
        <v>68.403000000000006</v>
      </c>
      <c r="N198">
        <f ca="1">IFERROR(IF(0=LEN(ReferenceData!$N$198),"",ReferenceData!$N$198),"")</f>
        <v>-144.56899999999999</v>
      </c>
      <c r="O198">
        <f ca="1">IFERROR(IF(0=LEN(ReferenceData!$O$198),"",ReferenceData!$O$198),"")</f>
        <v>-96.028999999999996</v>
      </c>
      <c r="P198">
        <f ca="1">IFERROR(IF(0=LEN(ReferenceData!$P$198),"",ReferenceData!$P$198),"")</f>
        <v>151.399</v>
      </c>
      <c r="Q198">
        <f ca="1">IFERROR(IF(0=LEN(ReferenceData!$Q$198),"",ReferenceData!$Q$198),"")</f>
        <v>-26.55</v>
      </c>
      <c r="R198">
        <f ca="1">IFERROR(IF(0=LEN(ReferenceData!$R$198),"",ReferenceData!$R$198),"")</f>
        <v>156.34200000000001</v>
      </c>
      <c r="S198">
        <f ca="1">IFERROR(IF(0=LEN(ReferenceData!$S$198),"",ReferenceData!$S$198),"")</f>
        <v>39.158999999999999</v>
      </c>
      <c r="T198">
        <f ca="1">IFERROR(IF(0=LEN(ReferenceData!$T$198),"",ReferenceData!$T$198),"")</f>
        <v>63.668999999999997</v>
      </c>
      <c r="U198">
        <f ca="1">IFERROR(IF(0=LEN(ReferenceData!$U$198),"",ReferenceData!$U$198),"")</f>
        <v>-4.0309999999999997</v>
      </c>
      <c r="V198">
        <f ca="1">IFERROR(IF(0=LEN(ReferenceData!$V$198),"",ReferenceData!$V$198),"")</f>
        <v>33.656999999999996</v>
      </c>
      <c r="W198">
        <f ca="1">IFERROR(IF(0=LEN(ReferenceData!$W$198),"",ReferenceData!$W$198),"")</f>
        <v>-133.119</v>
      </c>
      <c r="X198">
        <f ca="1">IFERROR(IF(0=LEN(ReferenceData!$X$198),"",ReferenceData!$X$198),"")</f>
        <v>206.714</v>
      </c>
      <c r="Y198">
        <f ca="1">IFERROR(IF(0=LEN(ReferenceData!$Y$198),"",ReferenceData!$Y$198),"")</f>
        <v>-4.8600000000000003</v>
      </c>
      <c r="Z198">
        <f ca="1">IFERROR(IF(0=LEN(ReferenceData!$Z$198),"",ReferenceData!$Z$198),"")</f>
        <v>99.741</v>
      </c>
      <c r="AA198">
        <f ca="1">IFERROR(IF(0=LEN(ReferenceData!$AA$198),"",ReferenceData!$AA$198),"")</f>
        <v>-858.55399999999997</v>
      </c>
      <c r="AB198">
        <f ca="1">IFERROR(IF(0=LEN(ReferenceData!$AB$198),"",ReferenceData!$AB$198),"")</f>
        <v>-53.704000000000001</v>
      </c>
      <c r="AC198">
        <f ca="1">IFERROR(IF(0=LEN(ReferenceData!$AC$198),"",ReferenceData!$AC$198),"")</f>
        <v>-70.662000000000006</v>
      </c>
      <c r="AD198">
        <f ca="1">IFERROR(IF(0=LEN(ReferenceData!$AD$198),"",ReferenceData!$AD$198),"")</f>
        <v>-16.414999999999999</v>
      </c>
      <c r="AE198">
        <f ca="1">IFERROR(IF(0=LEN(ReferenceData!$AE$198),"",ReferenceData!$AE$198),"")</f>
        <v>-688.19500000000005</v>
      </c>
      <c r="AF198">
        <f ca="1">IFERROR(IF(0=LEN(ReferenceData!$AF$198),"",ReferenceData!$AF$198),"")</f>
        <v>-9.9120000000000008</v>
      </c>
      <c r="AG198">
        <f ca="1">IFERROR(IF(0=LEN(ReferenceData!$AG$198),"",ReferenceData!$AG$198),"")</f>
        <v>-216.58</v>
      </c>
      <c r="AH198">
        <f ca="1">IFERROR(IF(0=LEN(ReferenceData!$AH$198),"",ReferenceData!$AH$198),"")</f>
        <v>1.252</v>
      </c>
      <c r="AI198">
        <f ca="1">IFERROR(IF(0=LEN(ReferenceData!$AI$198),"",ReferenceData!$AI$198),"")</f>
        <v>6.4109999999999996</v>
      </c>
      <c r="AJ198">
        <f ca="1">IFERROR(IF(0=LEN(ReferenceData!$AJ$198),"",ReferenceData!$AJ$198),"")</f>
        <v>-289.61900000000003</v>
      </c>
      <c r="AK198">
        <f ca="1">IFERROR(IF(0=LEN(ReferenceData!$AK$198),"",ReferenceData!$AK$198),"")</f>
        <v>-48.920999999999999</v>
      </c>
      <c r="AL198">
        <f ca="1">IFERROR(IF(0=LEN(ReferenceData!$AL$198),"",ReferenceData!$AL$198),"")</f>
        <v>-403.54300000000001</v>
      </c>
      <c r="AM198">
        <f ca="1">IFERROR(IF(0=LEN(ReferenceData!$AM$198),"",ReferenceData!$AM$198),"")</f>
        <v>-110.848</v>
      </c>
      <c r="AN198">
        <f ca="1">IFERROR(IF(0=LEN(ReferenceData!$AN$198),"",ReferenceData!$AN$198),"")</f>
        <v>43.17</v>
      </c>
      <c r="AO198">
        <f ca="1">IFERROR(IF(0=LEN(ReferenceData!$AO$198),"",ReferenceData!$AO$198),"")</f>
        <v>75.096999999999994</v>
      </c>
      <c r="AP198">
        <f ca="1">IFERROR(IF(0=LEN(ReferenceData!$AP$198),"",ReferenceData!$AP$198),"")</f>
        <v>32.923999999999999</v>
      </c>
      <c r="AQ198">
        <f ca="1">IFERROR(IF(0=LEN(ReferenceData!$AQ$198),"",ReferenceData!$AQ$198),"")</f>
        <v>-20.065999999999999</v>
      </c>
      <c r="AR198">
        <f ca="1">IFERROR(IF(0=LEN(ReferenceData!$AR$198),"",ReferenceData!$AR$198),"")</f>
        <v>11.496</v>
      </c>
      <c r="AS198">
        <f ca="1">IFERROR(IF(0=LEN(ReferenceData!$AS$198),"",ReferenceData!$AS$198),"")</f>
        <v>-274.89600000000002</v>
      </c>
      <c r="AT198">
        <f ca="1">IFERROR(IF(0=LEN(ReferenceData!$AT$198),"",ReferenceData!$AT$198),"")</f>
        <v>-43.076000000000001</v>
      </c>
      <c r="AU198">
        <f ca="1">IFERROR(IF(0=LEN(ReferenceData!$AU$198),"",ReferenceData!$AU$198),"")</f>
        <v>-121.324</v>
      </c>
      <c r="AV198">
        <f ca="1">IFERROR(IF(0=LEN(ReferenceData!$AV$198),"",ReferenceData!$AV$198),"")</f>
        <v>-402.14600000000002</v>
      </c>
      <c r="AW198">
        <f ca="1">IFERROR(IF(0=LEN(ReferenceData!$AW$198),"",ReferenceData!$AW$198),"")</f>
        <v>-455.05500000000001</v>
      </c>
      <c r="AX198">
        <f ca="1">IFERROR(IF(0=LEN(ReferenceData!$AX$198),"",ReferenceData!$AX$198),"")</f>
        <v>-648.976</v>
      </c>
      <c r="AY198">
        <f ca="1">IFERROR(IF(0=LEN(ReferenceData!$AY$198),"",ReferenceData!$AY$198),"")</f>
        <v>-320.85300000000001</v>
      </c>
      <c r="AZ198">
        <f ca="1">IFERROR(IF(0=LEN(ReferenceData!$AZ$198),"",ReferenceData!$AZ$198),"")</f>
        <v>-421.49799999999999</v>
      </c>
      <c r="BA198">
        <f ca="1">IFERROR(IF(0=LEN(ReferenceData!$BA$198),"",ReferenceData!$BA$198),"")</f>
        <v>-405.84</v>
      </c>
      <c r="BB198">
        <f ca="1">IFERROR(IF(0=LEN(ReferenceData!$BB$198),"",ReferenceData!$BB$198),"")</f>
        <v>-371.69</v>
      </c>
      <c r="BC198">
        <f ca="1">IFERROR(IF(0=LEN(ReferenceData!$BC$198),"",ReferenceData!$BC$198),"")</f>
        <v>-1101.3499999999999</v>
      </c>
      <c r="BD198">
        <f ca="1">IFERROR(IF(0=LEN(ReferenceData!$BD$198),"",ReferenceData!$BD$198),"")</f>
        <v>-381.05200000000002</v>
      </c>
      <c r="BE198">
        <f ca="1">IFERROR(IF(0=LEN(ReferenceData!$BE$198),"",ReferenceData!$BE$198),"")</f>
        <v>-282.55500000000001</v>
      </c>
      <c r="BF198">
        <f ca="1">IFERROR(IF(0=LEN(ReferenceData!$BF$198),"",ReferenceData!$BF$198),"")</f>
        <v>-182.69399999999999</v>
      </c>
      <c r="BG198">
        <f ca="1">IFERROR(IF(0=LEN(ReferenceData!$BG$198),"",ReferenceData!$BG$198),"")</f>
        <v>-217.07300000000001</v>
      </c>
      <c r="BH198">
        <f ca="1">IFERROR(IF(0=LEN(ReferenceData!$BH$198),"",ReferenceData!$BH$198),"")</f>
        <v>-32.485999999999997</v>
      </c>
      <c r="BI198">
        <f ca="1">IFERROR(IF(0=LEN(ReferenceData!$BI$198),"",ReferenceData!$BI$198),"")</f>
        <v>-135.30311399999999</v>
      </c>
      <c r="BJ198">
        <f ca="1">IFERROR(IF(0=LEN(ReferenceData!$BJ$198),"",ReferenceData!$BJ$198),"")</f>
        <v>-51.098004000000003</v>
      </c>
      <c r="BK198" t="str">
        <f ca="1">IFERROR(IF(0=LEN(ReferenceData!$BK$198),"",ReferenceData!$BK$198),"")</f>
        <v/>
      </c>
      <c r="BL198">
        <f ca="1">IFERROR(IF(0=LEN(ReferenceData!$BL$198),"",ReferenceData!$BL$198),"")</f>
        <v>107.28299699999999</v>
      </c>
      <c r="BM198">
        <f ca="1">IFERROR(IF(0=LEN(ReferenceData!$BM$198),"",ReferenceData!$BM$198),"")</f>
        <v>-36.692008999999999</v>
      </c>
    </row>
    <row r="199" spans="1:65">
      <c r="A199" t="str">
        <f>IFERROR(IF(0=LEN(ReferenceData!$A$199),"",ReferenceData!$A$199),"")</f>
        <v xml:space="preserve">    Essex Property Trust Inc</v>
      </c>
      <c r="B199" t="str">
        <f>IFERROR(IF(0=LEN(ReferenceData!$B$199),"",ReferenceData!$B$199),"")</f>
        <v>ESS US Equity</v>
      </c>
      <c r="C199" t="str">
        <f>IFERROR(IF(0=LEN(ReferenceData!$C$199),"",ReferenceData!$C$199),"")</f>
        <v>RR008</v>
      </c>
      <c r="D199" t="str">
        <f>IFERROR(IF(0=LEN(ReferenceData!$D$199),"",ReferenceData!$D$199),"")</f>
        <v>CF_FREE_CASH_FLOW</v>
      </c>
      <c r="E199" t="str">
        <f>IFERROR(IF(0=LEN(ReferenceData!$E$199),"",ReferenceData!$E$199),"")</f>
        <v>动态</v>
      </c>
      <c r="F199" t="str">
        <f ca="1">IFERROR(IF(0=LEN(ReferenceData!$F$199),"",ReferenceData!$F$199),"")</f>
        <v/>
      </c>
      <c r="G199">
        <f ca="1">IFERROR(IF(0=LEN(ReferenceData!$G$199),"",ReferenceData!$G$199),"")</f>
        <v>50.084000000000003</v>
      </c>
      <c r="H199">
        <f ca="1">IFERROR(IF(0=LEN(ReferenceData!$H$199),"",ReferenceData!$H$199),"")</f>
        <v>160.06700000000001</v>
      </c>
      <c r="I199">
        <f ca="1">IFERROR(IF(0=LEN(ReferenceData!$I$199),"",ReferenceData!$I$199),"")</f>
        <v>89.385000000000005</v>
      </c>
      <c r="J199">
        <f ca="1">IFERROR(IF(0=LEN(ReferenceData!$J$199),"",ReferenceData!$J$199),"")</f>
        <v>-18.225999999999999</v>
      </c>
      <c r="K199">
        <f ca="1">IFERROR(IF(0=LEN(ReferenceData!$K$199),"",ReferenceData!$K$199),"")</f>
        <v>-117.5</v>
      </c>
      <c r="L199">
        <f ca="1">IFERROR(IF(0=LEN(ReferenceData!$L$199),"",ReferenceData!$L$199),"")</f>
        <v>164.005</v>
      </c>
      <c r="M199">
        <f ca="1">IFERROR(IF(0=LEN(ReferenceData!$M$199),"",ReferenceData!$M$199),"")</f>
        <v>92.570999999999998</v>
      </c>
      <c r="N199">
        <f ca="1">IFERROR(IF(0=LEN(ReferenceData!$N$199),"",ReferenceData!$N$199),"")</f>
        <v>37.805999999999997</v>
      </c>
      <c r="O199">
        <f ca="1">IFERROR(IF(0=LEN(ReferenceData!$O$199),"",ReferenceData!$O$199),"")</f>
        <v>-125.255</v>
      </c>
      <c r="P199">
        <f ca="1">IFERROR(IF(0=LEN(ReferenceData!$P$199),"",ReferenceData!$P$199),"")</f>
        <v>129.10400000000001</v>
      </c>
      <c r="Q199">
        <f ca="1">IFERROR(IF(0=LEN(ReferenceData!$Q$199),"",ReferenceData!$Q$199),"")</f>
        <v>-53.786000000000001</v>
      </c>
      <c r="R199">
        <f ca="1">IFERROR(IF(0=LEN(ReferenceData!$R$199),"",ReferenceData!$R$199),"")</f>
        <v>-162.90199999999999</v>
      </c>
      <c r="S199">
        <f ca="1">IFERROR(IF(0=LEN(ReferenceData!$S$199),"",ReferenceData!$S$199),"")</f>
        <v>58.286999999999999</v>
      </c>
      <c r="T199">
        <f ca="1">IFERROR(IF(0=LEN(ReferenceData!$T$199),"",ReferenceData!$T$199),"")</f>
        <v>-241.672</v>
      </c>
      <c r="U199">
        <f ca="1">IFERROR(IF(0=LEN(ReferenceData!$U$199),"",ReferenceData!$U$199),"")</f>
        <v>-49.081000000000003</v>
      </c>
      <c r="V199">
        <f ca="1">IFERROR(IF(0=LEN(ReferenceData!$V$199),"",ReferenceData!$V$199),"")</f>
        <v>25.172000000000001</v>
      </c>
      <c r="W199">
        <f ca="1">IFERROR(IF(0=LEN(ReferenceData!$W$199),"",ReferenceData!$W$199),"")</f>
        <v>-96.105000000000004</v>
      </c>
      <c r="X199">
        <f ca="1">IFERROR(IF(0=LEN(ReferenceData!$X$199),"",ReferenceData!$X$199),"")</f>
        <v>5.5540000000000003</v>
      </c>
      <c r="Y199">
        <f ca="1">IFERROR(IF(0=LEN(ReferenceData!$Y$199),"",ReferenceData!$Y$199),"")</f>
        <v>32.649000000000001</v>
      </c>
      <c r="Z199">
        <f ca="1">IFERROR(IF(0=LEN(ReferenceData!$Z$199),"",ReferenceData!$Z$199),"")</f>
        <v>-107.855</v>
      </c>
      <c r="AA199">
        <f ca="1">IFERROR(IF(0=LEN(ReferenceData!$AA$199),"",ReferenceData!$AA$199),"")</f>
        <v>-229.18199999999999</v>
      </c>
      <c r="AB199">
        <f ca="1">IFERROR(IF(0=LEN(ReferenceData!$AB$199),"",ReferenceData!$AB$199),"")</f>
        <v>-20.555</v>
      </c>
      <c r="AC199">
        <f ca="1">IFERROR(IF(0=LEN(ReferenceData!$AC$199),"",ReferenceData!$AC$199),"")</f>
        <v>-12.102</v>
      </c>
      <c r="AD199">
        <f ca="1">IFERROR(IF(0=LEN(ReferenceData!$AD$199),"",ReferenceData!$AD$199),"")</f>
        <v>14.356</v>
      </c>
      <c r="AE199">
        <f ca="1">IFERROR(IF(0=LEN(ReferenceData!$AE$199),"",ReferenceData!$AE$199),"")</f>
        <v>6.3879999999999999</v>
      </c>
      <c r="AF199">
        <f ca="1">IFERROR(IF(0=LEN(ReferenceData!$AF$199),"",ReferenceData!$AF$199),"")</f>
        <v>15.561999999999999</v>
      </c>
      <c r="AG199">
        <f ca="1">IFERROR(IF(0=LEN(ReferenceData!$AG$199),"",ReferenceData!$AG$199),"")</f>
        <v>-15.907999999999999</v>
      </c>
      <c r="AH199">
        <f ca="1">IFERROR(IF(0=LEN(ReferenceData!$AH$199),"",ReferenceData!$AH$199),"")</f>
        <v>-21.425000000000001</v>
      </c>
      <c r="AI199">
        <f ca="1">IFERROR(IF(0=LEN(ReferenceData!$AI$199),"",ReferenceData!$AI$199),"")</f>
        <v>-325.93400000000003</v>
      </c>
      <c r="AJ199">
        <f ca="1">IFERROR(IF(0=LEN(ReferenceData!$AJ$199),"",ReferenceData!$AJ$199),"")</f>
        <v>-100.72</v>
      </c>
      <c r="AK199">
        <f ca="1">IFERROR(IF(0=LEN(ReferenceData!$AK$199),"",ReferenceData!$AK$199),"")</f>
        <v>-8.3740000000000006</v>
      </c>
      <c r="AL199">
        <f ca="1">IFERROR(IF(0=LEN(ReferenceData!$AL$199),"",ReferenceData!$AL$199),"")</f>
        <v>18.620999999999999</v>
      </c>
      <c r="AM199">
        <f ca="1">IFERROR(IF(0=LEN(ReferenceData!$AM$199),"",ReferenceData!$AM$199),"")</f>
        <v>-67.878</v>
      </c>
      <c r="AN199">
        <f ca="1">IFERROR(IF(0=LEN(ReferenceData!$AN$199),"",ReferenceData!$AN$199),"")</f>
        <v>25.257000000000001</v>
      </c>
      <c r="AO199">
        <f ca="1">IFERROR(IF(0=LEN(ReferenceData!$AO$199),"",ReferenceData!$AO$199),"")</f>
        <v>-2.2629999999999999</v>
      </c>
      <c r="AP199">
        <f ca="1">IFERROR(IF(0=LEN(ReferenceData!$AP$199),"",ReferenceData!$AP$199),"")</f>
        <v>17.821000000000002</v>
      </c>
      <c r="AQ199">
        <f ca="1">IFERROR(IF(0=LEN(ReferenceData!$AQ$199),"",ReferenceData!$AQ$199),"")</f>
        <v>-109.925</v>
      </c>
      <c r="AR199">
        <f ca="1">IFERROR(IF(0=LEN(ReferenceData!$AR$199),"",ReferenceData!$AR$199),"")</f>
        <v>5.875</v>
      </c>
      <c r="AS199">
        <f ca="1">IFERROR(IF(0=LEN(ReferenceData!$AS$199),"",ReferenceData!$AS$199),"")</f>
        <v>-33.363</v>
      </c>
      <c r="AT199">
        <f ca="1">IFERROR(IF(0=LEN(ReferenceData!$AT$199),"",ReferenceData!$AT$199),"")</f>
        <v>15.936999999999999</v>
      </c>
      <c r="AU199">
        <f ca="1">IFERROR(IF(0=LEN(ReferenceData!$AU$199),"",ReferenceData!$AU$199),"")</f>
        <v>-42.506999999999998</v>
      </c>
      <c r="AV199">
        <f ca="1">IFERROR(IF(0=LEN(ReferenceData!$AV$199),"",ReferenceData!$AV$199),"")</f>
        <v>-99.99</v>
      </c>
      <c r="AW199">
        <f ca="1">IFERROR(IF(0=LEN(ReferenceData!$AW$199),"",ReferenceData!$AW$199),"")</f>
        <v>-146.08500000000001</v>
      </c>
      <c r="AX199">
        <f ca="1">IFERROR(IF(0=LEN(ReferenceData!$AX$199),"",ReferenceData!$AX$199),"")</f>
        <v>-77.247</v>
      </c>
      <c r="AY199">
        <f ca="1">IFERROR(IF(0=LEN(ReferenceData!$AY$199),"",ReferenceData!$AY$199),"")</f>
        <v>-54.686</v>
      </c>
      <c r="AZ199">
        <f ca="1">IFERROR(IF(0=LEN(ReferenceData!$AZ$199),"",ReferenceData!$AZ$199),"")</f>
        <v>-76.361000000000004</v>
      </c>
      <c r="BA199">
        <f ca="1">IFERROR(IF(0=LEN(ReferenceData!$BA$199),"",ReferenceData!$BA$199),"")</f>
        <v>1.0609999999999999</v>
      </c>
      <c r="BB199">
        <f ca="1">IFERROR(IF(0=LEN(ReferenceData!$BB$199),"",ReferenceData!$BB$199),"")</f>
        <v>-32.301000000000002</v>
      </c>
      <c r="BC199">
        <f ca="1">IFERROR(IF(0=LEN(ReferenceData!$BC$199),"",ReferenceData!$BC$199),"")</f>
        <v>-53.848999999999997</v>
      </c>
      <c r="BD199">
        <f ca="1">IFERROR(IF(0=LEN(ReferenceData!$BD$199),"",ReferenceData!$BD$199),"")</f>
        <v>8.0679999999999996</v>
      </c>
      <c r="BE199">
        <f ca="1">IFERROR(IF(0=LEN(ReferenceData!$BE$199),"",ReferenceData!$BE$199),"")</f>
        <v>2.9279999999999999</v>
      </c>
      <c r="BF199">
        <f ca="1">IFERROR(IF(0=LEN(ReferenceData!$BF$199),"",ReferenceData!$BF$199),"")</f>
        <v>30.242999999999999</v>
      </c>
      <c r="BG199">
        <f ca="1">IFERROR(IF(0=LEN(ReferenceData!$BG$199),"",ReferenceData!$BG$199),"")</f>
        <v>-50.141002999999998</v>
      </c>
      <c r="BH199">
        <f ca="1">IFERROR(IF(0=LEN(ReferenceData!$BH$199),"",ReferenceData!$BH$199),"")</f>
        <v>5.8730000000000002</v>
      </c>
      <c r="BI199">
        <f ca="1">IFERROR(IF(0=LEN(ReferenceData!$BI$199),"",ReferenceData!$BI$199),"")</f>
        <v>-19.008997999999998</v>
      </c>
      <c r="BJ199">
        <f ca="1">IFERROR(IF(0=LEN(ReferenceData!$BJ$199),"",ReferenceData!$BJ$199),"")</f>
        <v>-61.258997999999998</v>
      </c>
      <c r="BK199">
        <f ca="1">IFERROR(IF(0=LEN(ReferenceData!$BK$199),"",ReferenceData!$BK$199),"")</f>
        <v>-52.512003</v>
      </c>
      <c r="BL199">
        <f ca="1">IFERROR(IF(0=LEN(ReferenceData!$BL$199),"",ReferenceData!$BL$199),"")</f>
        <v>9.8070009999999996</v>
      </c>
      <c r="BM199">
        <f ca="1">IFERROR(IF(0=LEN(ReferenceData!$BM$199),"",ReferenceData!$BM$199),"")</f>
        <v>10.874000000000001</v>
      </c>
    </row>
    <row r="200" spans="1:65">
      <c r="A200" t="str">
        <f>IFERROR(IF(0=LEN(ReferenceData!$A$200),"",ReferenceData!$A$200),"")</f>
        <v xml:space="preserve">    Mid-America Apartment Communit</v>
      </c>
      <c r="B200" t="str">
        <f>IFERROR(IF(0=LEN(ReferenceData!$B$200),"",ReferenceData!$B$200),"")</f>
        <v>MAA US Equity</v>
      </c>
      <c r="C200" t="str">
        <f>IFERROR(IF(0=LEN(ReferenceData!$C$200),"",ReferenceData!$C$200),"")</f>
        <v>RR008</v>
      </c>
      <c r="D200" t="str">
        <f>IFERROR(IF(0=LEN(ReferenceData!$D$200),"",ReferenceData!$D$200),"")</f>
        <v>CF_FREE_CASH_FLOW</v>
      </c>
      <c r="E200" t="str">
        <f>IFERROR(IF(0=LEN(ReferenceData!$E$200),"",ReferenceData!$E$200),"")</f>
        <v>动态</v>
      </c>
      <c r="F200" t="str">
        <f ca="1">IFERROR(IF(0=LEN(ReferenceData!$F$200),"",ReferenceData!$F$200),"")</f>
        <v/>
      </c>
      <c r="G200">
        <f ca="1">IFERROR(IF(0=LEN(ReferenceData!$G$200),"",ReferenceData!$G$200),"")</f>
        <v>105.405</v>
      </c>
      <c r="H200">
        <f ca="1">IFERROR(IF(0=LEN(ReferenceData!$H$200),"",ReferenceData!$H$200),"")</f>
        <v>150.03</v>
      </c>
      <c r="I200">
        <f ca="1">IFERROR(IF(0=LEN(ReferenceData!$I$200),"",ReferenceData!$I$200),"")</f>
        <v>85.864000000000004</v>
      </c>
      <c r="J200">
        <f ca="1">IFERROR(IF(0=LEN(ReferenceData!$J$200),"",ReferenceData!$J$200),"")</f>
        <v>-7.8120000000000003</v>
      </c>
      <c r="K200">
        <f ca="1">IFERROR(IF(0=LEN(ReferenceData!$K$200),"",ReferenceData!$K$200),"")</f>
        <v>83.25</v>
      </c>
      <c r="L200">
        <f ca="1">IFERROR(IF(0=LEN(ReferenceData!$L$200),"",ReferenceData!$L$200),"")</f>
        <v>-26.888999999999999</v>
      </c>
      <c r="M200">
        <f ca="1">IFERROR(IF(0=LEN(ReferenceData!$M$200),"",ReferenceData!$M$200),"")</f>
        <v>11.074</v>
      </c>
      <c r="N200">
        <f ca="1">IFERROR(IF(0=LEN(ReferenceData!$N$200),"",ReferenceData!$N$200),"")</f>
        <v>5.2530000000000001</v>
      </c>
      <c r="O200">
        <f ca="1">IFERROR(IF(0=LEN(ReferenceData!$O$200),"",ReferenceData!$O$200),"")</f>
        <v>-17.388999999999999</v>
      </c>
      <c r="P200">
        <f ca="1">IFERROR(IF(0=LEN(ReferenceData!$P$200),"",ReferenceData!$P$200),"")</f>
        <v>1.3680000000000001</v>
      </c>
      <c r="Q200">
        <f ca="1">IFERROR(IF(0=LEN(ReferenceData!$Q$200),"",ReferenceData!$Q$200),"")</f>
        <v>-38.119</v>
      </c>
      <c r="R200">
        <f ca="1">IFERROR(IF(0=LEN(ReferenceData!$R$200),"",ReferenceData!$R$200),"")</f>
        <v>27.491</v>
      </c>
      <c r="S200">
        <f ca="1">IFERROR(IF(0=LEN(ReferenceData!$S$200),"",ReferenceData!$S$200),"")</f>
        <v>-102.301</v>
      </c>
      <c r="T200">
        <f ca="1">IFERROR(IF(0=LEN(ReferenceData!$T$200),"",ReferenceData!$T$200),"")</f>
        <v>49.704000000000001</v>
      </c>
      <c r="U200">
        <f ca="1">IFERROR(IF(0=LEN(ReferenceData!$U$200),"",ReferenceData!$U$200),"")</f>
        <v>-74.799000000000007</v>
      </c>
      <c r="V200">
        <f ca="1">IFERROR(IF(0=LEN(ReferenceData!$V$200),"",ReferenceData!$V$200),"")</f>
        <v>21.521999999999998</v>
      </c>
      <c r="W200">
        <f ca="1">IFERROR(IF(0=LEN(ReferenceData!$W$200),"",ReferenceData!$W$200),"")</f>
        <v>-7.0620000000000003</v>
      </c>
      <c r="X200">
        <f ca="1">IFERROR(IF(0=LEN(ReferenceData!$X$200),"",ReferenceData!$X$200),"")</f>
        <v>37.664999999999999</v>
      </c>
      <c r="Y200">
        <f ca="1">IFERROR(IF(0=LEN(ReferenceData!$Y$200),"",ReferenceData!$Y$200),"")</f>
        <v>-15.339</v>
      </c>
      <c r="Z200">
        <f ca="1">IFERROR(IF(0=LEN(ReferenceData!$Z$200),"",ReferenceData!$Z$200),"")</f>
        <v>-13.571999999999999</v>
      </c>
      <c r="AA200">
        <f ca="1">IFERROR(IF(0=LEN(ReferenceData!$AA$200),"",ReferenceData!$AA$200),"")</f>
        <v>22.521999999999998</v>
      </c>
      <c r="AB200">
        <f ca="1">IFERROR(IF(0=LEN(ReferenceData!$AB$200),"",ReferenceData!$AB$200),"")</f>
        <v>-187.279</v>
      </c>
      <c r="AC200">
        <f ca="1">IFERROR(IF(0=LEN(ReferenceData!$AC$200),"",ReferenceData!$AC$200),"")</f>
        <v>-68.715999999999994</v>
      </c>
      <c r="AD200">
        <f ca="1">IFERROR(IF(0=LEN(ReferenceData!$AD$200),"",ReferenceData!$AD$200),"")</f>
        <v>-3.194</v>
      </c>
      <c r="AE200">
        <f ca="1">IFERROR(IF(0=LEN(ReferenceData!$AE$200),"",ReferenceData!$AE$200),"")</f>
        <v>-85.558000000000007</v>
      </c>
      <c r="AF200">
        <f ca="1">IFERROR(IF(0=LEN(ReferenceData!$AF$200),"",ReferenceData!$AF$200),"")</f>
        <v>-59.884999999999998</v>
      </c>
      <c r="AG200">
        <f ca="1">IFERROR(IF(0=LEN(ReferenceData!$AG$200),"",ReferenceData!$AG$200),"")</f>
        <v>-127.816</v>
      </c>
      <c r="AH200">
        <f ca="1">IFERROR(IF(0=LEN(ReferenceData!$AH$200),"",ReferenceData!$AH$200),"")</f>
        <v>-14.978</v>
      </c>
      <c r="AI200" t="str">
        <f ca="1">IFERROR(IF(0=LEN(ReferenceData!$AI$200),"",ReferenceData!$AI$200),"")</f>
        <v/>
      </c>
      <c r="AJ200">
        <f ca="1">IFERROR(IF(0=LEN(ReferenceData!$AJ$200),"",ReferenceData!$AJ$200),"")</f>
        <v>-116.63</v>
      </c>
      <c r="AK200">
        <f ca="1">IFERROR(IF(0=LEN(ReferenceData!$AK$200),"",ReferenceData!$AK$200),"")</f>
        <v>-43.616</v>
      </c>
      <c r="AL200">
        <f ca="1">IFERROR(IF(0=LEN(ReferenceData!$AL$200),"",ReferenceData!$AL$200),"")</f>
        <v>15.361000000000001</v>
      </c>
      <c r="AM200">
        <f ca="1">IFERROR(IF(0=LEN(ReferenceData!$AM$200),"",ReferenceData!$AM$200),"")</f>
        <v>-113.69499999999999</v>
      </c>
      <c r="AN200">
        <f ca="1">IFERROR(IF(0=LEN(ReferenceData!$AN$200),"",ReferenceData!$AN$200),"")</f>
        <v>20.754999999999999</v>
      </c>
      <c r="AO200">
        <f ca="1">IFERROR(IF(0=LEN(ReferenceData!$AO$200),"",ReferenceData!$AO$200),"")</f>
        <v>8.5289999999999999</v>
      </c>
      <c r="AP200">
        <f ca="1">IFERROR(IF(0=LEN(ReferenceData!$AP$200),"",ReferenceData!$AP$200),"")</f>
        <v>17.809999999999999</v>
      </c>
      <c r="AQ200">
        <f ca="1">IFERROR(IF(0=LEN(ReferenceData!$AQ$200),"",ReferenceData!$AQ$200),"")</f>
        <v>-1.3740000000000001</v>
      </c>
      <c r="AR200">
        <f ca="1">IFERROR(IF(0=LEN(ReferenceData!$AR$200),"",ReferenceData!$AR$200),"")</f>
        <v>-84.998000000000005</v>
      </c>
      <c r="AS200">
        <f ca="1">IFERROR(IF(0=LEN(ReferenceData!$AS$200),"",ReferenceData!$AS$200),"")</f>
        <v>-19.247</v>
      </c>
      <c r="AT200">
        <f ca="1">IFERROR(IF(0=LEN(ReferenceData!$AT$200),"",ReferenceData!$AT$200),"")</f>
        <v>-8.298</v>
      </c>
      <c r="AU200">
        <f ca="1">IFERROR(IF(0=LEN(ReferenceData!$AU$200),"",ReferenceData!$AU$200),"")</f>
        <v>4.1260000000000003</v>
      </c>
      <c r="AV200">
        <f ca="1">IFERROR(IF(0=LEN(ReferenceData!$AV$200),"",ReferenceData!$AV$200),"")</f>
        <v>-28.335999999999999</v>
      </c>
      <c r="AW200">
        <f ca="1">IFERROR(IF(0=LEN(ReferenceData!$AW$200),"",ReferenceData!$AW$200),"")</f>
        <v>-13.616</v>
      </c>
      <c r="AX200">
        <f ca="1">IFERROR(IF(0=LEN(ReferenceData!$AX$200),"",ReferenceData!$AX$200),"")</f>
        <v>8.6630000000000003</v>
      </c>
      <c r="AY200">
        <f ca="1">IFERROR(IF(0=LEN(ReferenceData!$AY$200),"",ReferenceData!$AY$200),"")</f>
        <v>-31.023</v>
      </c>
      <c r="AZ200">
        <f ca="1">IFERROR(IF(0=LEN(ReferenceData!$AZ$200),"",ReferenceData!$AZ$200),"")</f>
        <v>-71.137</v>
      </c>
      <c r="BA200">
        <f ca="1">IFERROR(IF(0=LEN(ReferenceData!$BA$200),"",ReferenceData!$BA$200),"")</f>
        <v>-55.911000000000001</v>
      </c>
      <c r="BB200">
        <f ca="1">IFERROR(IF(0=LEN(ReferenceData!$BB$200),"",ReferenceData!$BB$200),"")</f>
        <v>17.004000000000001</v>
      </c>
      <c r="BC200">
        <f ca="1">IFERROR(IF(0=LEN(ReferenceData!$BC$200),"",ReferenceData!$BC$200),"")</f>
        <v>13.103999999999999</v>
      </c>
      <c r="BD200">
        <f ca="1">IFERROR(IF(0=LEN(ReferenceData!$BD$200),"",ReferenceData!$BD$200),"")</f>
        <v>-42.911000000000001</v>
      </c>
      <c r="BE200">
        <f ca="1">IFERROR(IF(0=LEN(ReferenceData!$BE$200),"",ReferenceData!$BE$200),"")</f>
        <v>28.748000000000001</v>
      </c>
      <c r="BF200">
        <f ca="1">IFERROR(IF(0=LEN(ReferenceData!$BF$200),"",ReferenceData!$BF$200),"")</f>
        <v>-31.599</v>
      </c>
      <c r="BG200">
        <f ca="1">IFERROR(IF(0=LEN(ReferenceData!$BG$200),"",ReferenceData!$BG$200),"")</f>
        <v>-70.261996999999994</v>
      </c>
      <c r="BH200">
        <f ca="1">IFERROR(IF(0=LEN(ReferenceData!$BH$200),"",ReferenceData!$BH$200),"")</f>
        <v>-18.295000999999999</v>
      </c>
      <c r="BI200">
        <f ca="1">IFERROR(IF(0=LEN(ReferenceData!$BI$200),"",ReferenceData!$BI$200),"")</f>
        <v>8.6890009999999993</v>
      </c>
      <c r="BJ200">
        <f ca="1">IFERROR(IF(0=LEN(ReferenceData!$BJ$200),"",ReferenceData!$BJ$200),"")</f>
        <v>-17.403998999999999</v>
      </c>
      <c r="BK200">
        <f ca="1">IFERROR(IF(0=LEN(ReferenceData!$BK$200),"",ReferenceData!$BK$200),"")</f>
        <v>-36.32700062</v>
      </c>
      <c r="BL200">
        <f ca="1">IFERROR(IF(0=LEN(ReferenceData!$BL$200),"",ReferenceData!$BL$200),"")</f>
        <v>-21.918001</v>
      </c>
      <c r="BM200">
        <f ca="1">IFERROR(IF(0=LEN(ReferenceData!$BM$200),"",ReferenceData!$BM$200),"")</f>
        <v>1.923001</v>
      </c>
    </row>
    <row r="201" spans="1:65">
      <c r="A201" t="str">
        <f>IFERROR(IF(0=LEN(ReferenceData!$A$201),"",ReferenceData!$A$201),"")</f>
        <v xml:space="preserve">    UDR Inc</v>
      </c>
      <c r="B201" t="str">
        <f>IFERROR(IF(0=LEN(ReferenceData!$B$201),"",ReferenceData!$B$201),"")</f>
        <v>UDR US Equity</v>
      </c>
      <c r="C201" t="str">
        <f>IFERROR(IF(0=LEN(ReferenceData!$C$201),"",ReferenceData!$C$201),"")</f>
        <v>RR008</v>
      </c>
      <c r="D201" t="str">
        <f>IFERROR(IF(0=LEN(ReferenceData!$D$201),"",ReferenceData!$D$201),"")</f>
        <v>CF_FREE_CASH_FLOW</v>
      </c>
      <c r="E201" t="str">
        <f>IFERROR(IF(0=LEN(ReferenceData!$E$201),"",ReferenceData!$E$201),"")</f>
        <v>动态</v>
      </c>
      <c r="F201" t="str">
        <f ca="1">IFERROR(IF(0=LEN(ReferenceData!$F$201),"",ReferenceData!$F$201),"")</f>
        <v/>
      </c>
      <c r="G201">
        <f ca="1">IFERROR(IF(0=LEN(ReferenceData!$G$201),"",ReferenceData!$G$201),"")</f>
        <v>9.5109999999999992</v>
      </c>
      <c r="H201">
        <f ca="1">IFERROR(IF(0=LEN(ReferenceData!$H$201),"",ReferenceData!$H$201),"")</f>
        <v>45.314</v>
      </c>
      <c r="I201">
        <f ca="1">IFERROR(IF(0=LEN(ReferenceData!$I$201),"",ReferenceData!$I$201),"")</f>
        <v>23.936</v>
      </c>
      <c r="J201">
        <f ca="1">IFERROR(IF(0=LEN(ReferenceData!$J$201),"",ReferenceData!$J$201),"")</f>
        <v>-31.093</v>
      </c>
      <c r="K201">
        <f ca="1">IFERROR(IF(0=LEN(ReferenceData!$K$201),"",ReferenceData!$K$201),"")</f>
        <v>-59.994</v>
      </c>
      <c r="L201">
        <f ca="1">IFERROR(IF(0=LEN(ReferenceData!$L$201),"",ReferenceData!$L$201),"")</f>
        <v>67.302000000000007</v>
      </c>
      <c r="M201">
        <f ca="1">IFERROR(IF(0=LEN(ReferenceData!$M$201),"",ReferenceData!$M$201),"")</f>
        <v>41.173000000000002</v>
      </c>
      <c r="N201">
        <f ca="1">IFERROR(IF(0=LEN(ReferenceData!$N$201),"",ReferenceData!$N$201),"")</f>
        <v>51.134999999999998</v>
      </c>
      <c r="O201">
        <f ca="1">IFERROR(IF(0=LEN(ReferenceData!$O$201),"",ReferenceData!$O$201),"")</f>
        <v>-138.41</v>
      </c>
      <c r="P201">
        <f ca="1">IFERROR(IF(0=LEN(ReferenceData!$P$201),"",ReferenceData!$P$201),"")</f>
        <v>29.802</v>
      </c>
      <c r="Q201">
        <f ca="1">IFERROR(IF(0=LEN(ReferenceData!$Q$201),"",ReferenceData!$Q$201),"")</f>
        <v>70.224999999999994</v>
      </c>
      <c r="R201">
        <f ca="1">IFERROR(IF(0=LEN(ReferenceData!$R$201),"",ReferenceData!$R$201),"")</f>
        <v>31.587</v>
      </c>
      <c r="S201">
        <f ca="1">IFERROR(IF(0=LEN(ReferenceData!$S$201),"",ReferenceData!$S$201),"")</f>
        <v>-25.832999999999998</v>
      </c>
      <c r="T201">
        <f ca="1">IFERROR(IF(0=LEN(ReferenceData!$T$201),"",ReferenceData!$T$201),"")</f>
        <v>-18.457999999999998</v>
      </c>
      <c r="U201">
        <f ca="1">IFERROR(IF(0=LEN(ReferenceData!$U$201),"",ReferenceData!$U$201),"")</f>
        <v>-63.067999999999998</v>
      </c>
      <c r="V201">
        <f ca="1">IFERROR(IF(0=LEN(ReferenceData!$V$201),"",ReferenceData!$V$201),"")</f>
        <v>-82.76</v>
      </c>
      <c r="W201">
        <f ca="1">IFERROR(IF(0=LEN(ReferenceData!$W$201),"",ReferenceData!$W$201),"")</f>
        <v>-14.667</v>
      </c>
      <c r="X201">
        <f ca="1">IFERROR(IF(0=LEN(ReferenceData!$X$201),"",ReferenceData!$X$201),"")</f>
        <v>-0.92700000000000005</v>
      </c>
      <c r="Y201">
        <f ca="1">IFERROR(IF(0=LEN(ReferenceData!$Y$201),"",ReferenceData!$Y$201),"")</f>
        <v>-40.787999999999997</v>
      </c>
      <c r="Z201">
        <f ca="1">IFERROR(IF(0=LEN(ReferenceData!$Z$201),"",ReferenceData!$Z$201),"")</f>
        <v>-45.634</v>
      </c>
      <c r="AA201">
        <f ca="1">IFERROR(IF(0=LEN(ReferenceData!$AA$201),"",ReferenceData!$AA$201),"")</f>
        <v>-132.21600000000001</v>
      </c>
      <c r="AB201">
        <f ca="1">IFERROR(IF(0=LEN(ReferenceData!$AB$201),"",ReferenceData!$AB$201),"")</f>
        <v>-14.452</v>
      </c>
      <c r="AC201">
        <f ca="1">IFERROR(IF(0=LEN(ReferenceData!$AC$201),"",ReferenceData!$AC$201),"")</f>
        <v>-22.126000000000001</v>
      </c>
      <c r="AD201">
        <f ca="1">IFERROR(IF(0=LEN(ReferenceData!$AD$201),"",ReferenceData!$AD$201),"")</f>
        <v>-13.494</v>
      </c>
      <c r="AE201">
        <f ca="1">IFERROR(IF(0=LEN(ReferenceData!$AE$201),"",ReferenceData!$AE$201),"")</f>
        <v>-37.136000000000003</v>
      </c>
      <c r="AF201">
        <f ca="1">IFERROR(IF(0=LEN(ReferenceData!$AF$201),"",ReferenceData!$AF$201),"")</f>
        <v>-832.29499999999996</v>
      </c>
      <c r="AG201">
        <f ca="1">IFERROR(IF(0=LEN(ReferenceData!$AG$201),"",ReferenceData!$AG$201),"")</f>
        <v>-88.864999999999995</v>
      </c>
      <c r="AH201">
        <f ca="1">IFERROR(IF(0=LEN(ReferenceData!$AH$201),"",ReferenceData!$AH$201),"")</f>
        <v>10.077</v>
      </c>
      <c r="AI201">
        <f ca="1">IFERROR(IF(0=LEN(ReferenceData!$AI$201),"",ReferenceData!$AI$201),"")</f>
        <v>19.741</v>
      </c>
      <c r="AJ201">
        <f ca="1">IFERROR(IF(0=LEN(ReferenceData!$AJ$201),"",ReferenceData!$AJ$201),"")</f>
        <v>-321.87</v>
      </c>
      <c r="AK201">
        <f ca="1">IFERROR(IF(0=LEN(ReferenceData!$AK$201),"",ReferenceData!$AK$201),"")</f>
        <v>0.82899999999999996</v>
      </c>
      <c r="AL201">
        <f ca="1">IFERROR(IF(0=LEN(ReferenceData!$AL$201),"",ReferenceData!$AL$201),"")</f>
        <v>0.10199999999999999</v>
      </c>
      <c r="AM201">
        <f ca="1">IFERROR(IF(0=LEN(ReferenceData!$AM$201),"",ReferenceData!$AM$201),"")</f>
        <v>-33.152999999999999</v>
      </c>
      <c r="AN201">
        <f ca="1">IFERROR(IF(0=LEN(ReferenceData!$AN$201),"",ReferenceData!$AN$201),"")</f>
        <v>-29.036000000000001</v>
      </c>
      <c r="AO201">
        <f ca="1">IFERROR(IF(0=LEN(ReferenceData!$AO$201),"",ReferenceData!$AO$201),"")</f>
        <v>-16.146999999999998</v>
      </c>
      <c r="AP201">
        <f ca="1">IFERROR(IF(0=LEN(ReferenceData!$AP$201),"",ReferenceData!$AP$201),"")</f>
        <v>4.3620000000000001</v>
      </c>
      <c r="AQ201">
        <f ca="1">IFERROR(IF(0=LEN(ReferenceData!$AQ$201),"",ReferenceData!$AQ$201),"")</f>
        <v>-149.56200000000001</v>
      </c>
      <c r="AR201">
        <f ca="1">IFERROR(IF(0=LEN(ReferenceData!$AR$201),"",ReferenceData!$AR$201),"")</f>
        <v>-382.89400000000001</v>
      </c>
      <c r="AS201">
        <f ca="1">IFERROR(IF(0=LEN(ReferenceData!$AS$201),"",ReferenceData!$AS$201),"")</f>
        <v>-97.3</v>
      </c>
      <c r="AT201">
        <f ca="1">IFERROR(IF(0=LEN(ReferenceData!$AT$201),"",ReferenceData!$AT$201),"")</f>
        <v>-546.96600000000001</v>
      </c>
      <c r="AU201">
        <f ca="1">IFERROR(IF(0=LEN(ReferenceData!$AU$201),"",ReferenceData!$AU$201),"")</f>
        <v>-239.827</v>
      </c>
      <c r="AV201">
        <f ca="1">IFERROR(IF(0=LEN(ReferenceData!$AV$201),"",ReferenceData!$AV$201),"")</f>
        <v>-71.602000000000004</v>
      </c>
      <c r="AW201">
        <f ca="1">IFERROR(IF(0=LEN(ReferenceData!$AW$201),"",ReferenceData!$AW$201),"")</f>
        <v>-63.463999999999999</v>
      </c>
      <c r="AX201">
        <f ca="1">IFERROR(IF(0=LEN(ReferenceData!$AX$201),"",ReferenceData!$AX$201),"")</f>
        <v>-92.257000000000005</v>
      </c>
      <c r="AY201">
        <f ca="1">IFERROR(IF(0=LEN(ReferenceData!$AY$201),"",ReferenceData!$AY$201),"")</f>
        <v>-83.512</v>
      </c>
      <c r="AZ201">
        <f ca="1">IFERROR(IF(0=LEN(ReferenceData!$AZ$201),"",ReferenceData!$AZ$201),"")</f>
        <v>-118.994</v>
      </c>
      <c r="BA201">
        <f ca="1">IFERROR(IF(0=LEN(ReferenceData!$BA$201),"",ReferenceData!$BA$201),"")</f>
        <v>-207.23500000000001</v>
      </c>
      <c r="BB201">
        <f ca="1">IFERROR(IF(0=LEN(ReferenceData!$BB$201),"",ReferenceData!$BB$201),"")</f>
        <v>-47.286999999999999</v>
      </c>
      <c r="BC201">
        <f ca="1">IFERROR(IF(0=LEN(ReferenceData!$BC$201),"",ReferenceData!$BC$201),"")</f>
        <v>-100.28700000000001</v>
      </c>
      <c r="BD201">
        <f ca="1">IFERROR(IF(0=LEN(ReferenceData!$BD$201),"",ReferenceData!$BD$201),"")</f>
        <v>-136.02199999999999</v>
      </c>
      <c r="BE201">
        <f ca="1">IFERROR(IF(0=LEN(ReferenceData!$BE$201),"",ReferenceData!$BE$201),"")</f>
        <v>-30.387</v>
      </c>
      <c r="BF201">
        <f ca="1">IFERROR(IF(0=LEN(ReferenceData!$BF$201),"",ReferenceData!$BF$201),"")</f>
        <v>-107.536</v>
      </c>
      <c r="BG201">
        <f ca="1">IFERROR(IF(0=LEN(ReferenceData!$BG$201),"",ReferenceData!$BG$201),"")</f>
        <v>-302.839</v>
      </c>
      <c r="BH201">
        <f ca="1">IFERROR(IF(0=LEN(ReferenceData!$BH$201),"",ReferenceData!$BH$201),"")</f>
        <v>-224.94200000000001</v>
      </c>
      <c r="BI201">
        <f ca="1">IFERROR(IF(0=LEN(ReferenceData!$BI$201),"",ReferenceData!$BI$201),"")</f>
        <v>-28.544</v>
      </c>
      <c r="BJ201">
        <f ca="1">IFERROR(IF(0=LEN(ReferenceData!$BJ$201),"",ReferenceData!$BJ$201),"")</f>
        <v>-50.481000000000002</v>
      </c>
      <c r="BK201">
        <f ca="1">IFERROR(IF(0=LEN(ReferenceData!$BK$201),"",ReferenceData!$BK$201),"")</f>
        <v>-100.878</v>
      </c>
      <c r="BL201">
        <f ca="1">IFERROR(IF(0=LEN(ReferenceData!$BL$201),"",ReferenceData!$BL$201),"")</f>
        <v>14.085000000000001</v>
      </c>
      <c r="BM201">
        <f ca="1">IFERROR(IF(0=LEN(ReferenceData!$BM$201),"",ReferenceData!$BM$201),"")</f>
        <v>-88.44</v>
      </c>
    </row>
    <row r="202" spans="1:65">
      <c r="A202" t="str">
        <f>IFERROR(IF(0=LEN(ReferenceData!$A$202),"",ReferenceData!$A$202),"")</f>
        <v>FFO支付比率(%)</v>
      </c>
      <c r="B202" t="str">
        <f>IFERROR(IF(0=LEN(ReferenceData!$B$202),"",ReferenceData!$B$202),"")</f>
        <v/>
      </c>
      <c r="C202" t="str">
        <f>IFERROR(IF(0=LEN(ReferenceData!$C$202),"",ReferenceData!$C$202),"")</f>
        <v/>
      </c>
      <c r="D202" t="str">
        <f>IFERROR(IF(0=LEN(ReferenceData!$D$202),"",ReferenceData!$D$202),"")</f>
        <v/>
      </c>
      <c r="E202" t="str">
        <f>IFERROR(IF(0=LEN(ReferenceData!$E$202),"",ReferenceData!$E$202),"")</f>
        <v>Median</v>
      </c>
      <c r="F202" t="str">
        <f ca="1">IFERROR(IF(0=LEN(ReferenceData!$F$202),"",ReferenceData!$F$202),"")</f>
        <v/>
      </c>
      <c r="G202">
        <f ca="1">IFERROR(IF(0=LEN(ReferenceData!$G$202),"",ReferenceData!$G$202),"")</f>
        <v>59.878257849999997</v>
      </c>
      <c r="H202">
        <f ca="1">IFERROR(IF(0=LEN(ReferenceData!$H$202),"",ReferenceData!$H$202),"")</f>
        <v>60.56049496</v>
      </c>
      <c r="I202">
        <f ca="1">IFERROR(IF(0=LEN(ReferenceData!$I$202),"",ReferenceData!$I$202),"")</f>
        <v>63.328863665</v>
      </c>
      <c r="J202">
        <f ca="1">IFERROR(IF(0=LEN(ReferenceData!$J$202),"",ReferenceData!$J$202),"")</f>
        <v>64.388561124999995</v>
      </c>
      <c r="K202">
        <f ca="1">IFERROR(IF(0=LEN(ReferenceData!$K$202),"",ReferenceData!$K$202),"")</f>
        <v>64.064623664999999</v>
      </c>
      <c r="L202">
        <f ca="1">IFERROR(IF(0=LEN(ReferenceData!$L$202),"",ReferenceData!$L$202),"")</f>
        <v>76.933650540000002</v>
      </c>
      <c r="M202">
        <f ca="1">IFERROR(IF(0=LEN(ReferenceData!$M$202),"",ReferenceData!$M$202),"")</f>
        <v>61.909134225000003</v>
      </c>
      <c r="N202">
        <f ca="1">IFERROR(IF(0=LEN(ReferenceData!$N$202),"",ReferenceData!$N$202),"")</f>
        <v>61.739505504999997</v>
      </c>
      <c r="O202">
        <f ca="1">IFERROR(IF(0=LEN(ReferenceData!$O$202),"",ReferenceData!$O$202),"")</f>
        <v>57.070769354999996</v>
      </c>
      <c r="P202">
        <f ca="1">IFERROR(IF(0=LEN(ReferenceData!$P$202),"",ReferenceData!$P$202),"")</f>
        <v>61.757958794999993</v>
      </c>
      <c r="Q202">
        <f ca="1">IFERROR(IF(0=LEN(ReferenceData!$Q$202),"",ReferenceData!$Q$202),"")</f>
        <v>59.999016165</v>
      </c>
      <c r="R202">
        <f ca="1">IFERROR(IF(0=LEN(ReferenceData!$R$202),"",ReferenceData!$R$202),"")</f>
        <v>62.75259758</v>
      </c>
      <c r="S202">
        <f ca="1">IFERROR(IF(0=LEN(ReferenceData!$S$202),"",ReferenceData!$S$202),"")</f>
        <v>58.12895108</v>
      </c>
      <c r="T202">
        <f ca="1">IFERROR(IF(0=LEN(ReferenceData!$T$202),"",ReferenceData!$T$202),"")</f>
        <v>59.09006187</v>
      </c>
      <c r="U202">
        <f ca="1">IFERROR(IF(0=LEN(ReferenceData!$U$202),"",ReferenceData!$U$202),"")</f>
        <v>65.131867240000005</v>
      </c>
      <c r="V202">
        <f ca="1">IFERROR(IF(0=LEN(ReferenceData!$V$202),"",ReferenceData!$V$202),"")</f>
        <v>64.855883555000005</v>
      </c>
      <c r="W202">
        <f ca="1">IFERROR(IF(0=LEN(ReferenceData!$W$202),"",ReferenceData!$W$202),"")</f>
        <v>67.225907390000003</v>
      </c>
      <c r="X202">
        <f ca="1">IFERROR(IF(0=LEN(ReferenceData!$X$202),"",ReferenceData!$X$202),"")</f>
        <v>60.745982069999997</v>
      </c>
      <c r="Y202">
        <f ca="1">IFERROR(IF(0=LEN(ReferenceData!$Y$202),"",ReferenceData!$Y$202),"")</f>
        <v>60.753335414999995</v>
      </c>
      <c r="Z202">
        <f ca="1">IFERROR(IF(0=LEN(ReferenceData!$Z$202),"",ReferenceData!$Z$202),"")</f>
        <v>61.576720960000003</v>
      </c>
      <c r="AA202">
        <f ca="1">IFERROR(IF(0=LEN(ReferenceData!$AA$202),"",ReferenceData!$AA$202),"")</f>
        <v>63.825971615</v>
      </c>
      <c r="AB202">
        <f ca="1">IFERROR(IF(0=LEN(ReferenceData!$AB$202),"",ReferenceData!$AB$202),"")</f>
        <v>63.844465959999994</v>
      </c>
      <c r="AC202">
        <f ca="1">IFERROR(IF(0=LEN(ReferenceData!$AC$202),"",ReferenceData!$AC$202),"")</f>
        <v>62.160786174999998</v>
      </c>
      <c r="AD202">
        <f ca="1">IFERROR(IF(0=LEN(ReferenceData!$AD$202),"",ReferenceData!$AD$202),"")</f>
        <v>58.976267489999998</v>
      </c>
      <c r="AE202">
        <f ca="1">IFERROR(IF(0=LEN(ReferenceData!$AE$202),"",ReferenceData!$AE$202),"")</f>
        <v>59.745832874999998</v>
      </c>
      <c r="AF202">
        <f ca="1">IFERROR(IF(0=LEN(ReferenceData!$AF$202),"",ReferenceData!$AF$202),"")</f>
        <v>64.603882949999999</v>
      </c>
      <c r="AG202">
        <f ca="1">IFERROR(IF(0=LEN(ReferenceData!$AG$202),"",ReferenceData!$AG$202),"")</f>
        <v>71.11085611499999</v>
      </c>
      <c r="AH202">
        <f ca="1">IFERROR(IF(0=LEN(ReferenceData!$AH$202),"",ReferenceData!$AH$202),"")</f>
        <v>61.222807299999999</v>
      </c>
      <c r="AI202">
        <f ca="1">IFERROR(IF(0=LEN(ReferenceData!$AI$202),"",ReferenceData!$AI$202),"")</f>
        <v>63.165364019999998</v>
      </c>
      <c r="AJ202">
        <f ca="1">IFERROR(IF(0=LEN(ReferenceData!$AJ$202),"",ReferenceData!$AJ$202),"")</f>
        <v>70.428380189999999</v>
      </c>
      <c r="AK202">
        <f ca="1">IFERROR(IF(0=LEN(ReferenceData!$AK$202),"",ReferenceData!$AK$202),"")</f>
        <v>68.321380304999991</v>
      </c>
      <c r="AL202">
        <f ca="1">IFERROR(IF(0=LEN(ReferenceData!$AL$202),"",ReferenceData!$AL$202),"")</f>
        <v>64.404061979999994</v>
      </c>
      <c r="AM202">
        <f ca="1">IFERROR(IF(0=LEN(ReferenceData!$AM$202),"",ReferenceData!$AM$202),"")</f>
        <v>68.307030060000002</v>
      </c>
      <c r="AN202">
        <f ca="1">IFERROR(IF(0=LEN(ReferenceData!$AN$202),"",ReferenceData!$AN$202),"")</f>
        <v>64.443066599999995</v>
      </c>
      <c r="AO202">
        <f ca="1">IFERROR(IF(0=LEN(ReferenceData!$AO$202),"",ReferenceData!$AO$202),"")</f>
        <v>71.972970680000003</v>
      </c>
      <c r="AP202">
        <f ca="1">IFERROR(IF(0=LEN(ReferenceData!$AP$202),"",ReferenceData!$AP$202),"")</f>
        <v>69.755586590000007</v>
      </c>
      <c r="AQ202">
        <f ca="1">IFERROR(IF(0=LEN(ReferenceData!$AQ$202),"",ReferenceData!$AQ$202),"")</f>
        <v>125.21020898500001</v>
      </c>
      <c r="AR202">
        <f ca="1">IFERROR(IF(0=LEN(ReferenceData!$AR$202),"",ReferenceData!$AR$202),"")</f>
        <v>69.968815039999996</v>
      </c>
      <c r="AS202">
        <f ca="1">IFERROR(IF(0=LEN(ReferenceData!$AS$202),"",ReferenceData!$AS$202),"")</f>
        <v>70.198379535000001</v>
      </c>
      <c r="AT202">
        <f ca="1">IFERROR(IF(0=LEN(ReferenceData!$AT$202),"",ReferenceData!$AT$202),"")</f>
        <v>70.598019454999999</v>
      </c>
      <c r="AU202">
        <f ca="1">IFERROR(IF(0=LEN(ReferenceData!$AU$202),"",ReferenceData!$AU$202),"")</f>
        <v>67.154578459999996</v>
      </c>
      <c r="AV202">
        <f ca="1">IFERROR(IF(0=LEN(ReferenceData!$AV$202),"",ReferenceData!$AV$202),"")</f>
        <v>70.810661690000003</v>
      </c>
      <c r="AW202">
        <f ca="1">IFERROR(IF(0=LEN(ReferenceData!$AW$202),"",ReferenceData!$AW$202),"")</f>
        <v>70.772453409999997</v>
      </c>
      <c r="AX202">
        <f ca="1">IFERROR(IF(0=LEN(ReferenceData!$AX$202),"",ReferenceData!$AX$202),"")</f>
        <v>73.689354255000012</v>
      </c>
      <c r="AY202">
        <f ca="1">IFERROR(IF(0=LEN(ReferenceData!$AY$202),"",ReferenceData!$AY$202),"")</f>
        <v>71.460305925</v>
      </c>
      <c r="AZ202">
        <f ca="1">IFERROR(IF(0=LEN(ReferenceData!$AZ$202),"",ReferenceData!$AZ$202),"")</f>
        <v>68.069400479999999</v>
      </c>
      <c r="BA202">
        <f ca="1">IFERROR(IF(0=LEN(ReferenceData!$BA$202),"",ReferenceData!$BA$202),"")</f>
        <v>68.378854654999998</v>
      </c>
      <c r="BB202">
        <f ca="1">IFERROR(IF(0=LEN(ReferenceData!$BB$202),"",ReferenceData!$BB$202),"")</f>
        <v>70.290000315</v>
      </c>
      <c r="BC202">
        <f ca="1">IFERROR(IF(0=LEN(ReferenceData!$BC$202),"",ReferenceData!$BC$202),"")</f>
        <v>79.084269149999997</v>
      </c>
      <c r="BD202">
        <f ca="1">IFERROR(IF(0=LEN(ReferenceData!$BD$202),"",ReferenceData!$BD$202),"")</f>
        <v>76.813860849999998</v>
      </c>
      <c r="BE202">
        <f ca="1">IFERROR(IF(0=LEN(ReferenceData!$BE$202),"",ReferenceData!$BE$202),"")</f>
        <v>71.120133670000001</v>
      </c>
      <c r="BF202">
        <f ca="1">IFERROR(IF(0=LEN(ReferenceData!$BF$202),"",ReferenceData!$BF$202),"")</f>
        <v>55.197599199999999</v>
      </c>
      <c r="BG202">
        <f ca="1">IFERROR(IF(0=LEN(ReferenceData!$BG$202),"",ReferenceData!$BG$202),"")</f>
        <v>69.158046350000006</v>
      </c>
      <c r="BH202">
        <f ca="1">IFERROR(IF(0=LEN(ReferenceData!$BH$202),"",ReferenceData!$BH$202),"")</f>
        <v>73.417673179999994</v>
      </c>
      <c r="BI202">
        <f ca="1">IFERROR(IF(0=LEN(ReferenceData!$BI$202),"",ReferenceData!$BI$202),"")</f>
        <v>72.94576687</v>
      </c>
      <c r="BJ202">
        <f ca="1">IFERROR(IF(0=LEN(ReferenceData!$BJ$202),"",ReferenceData!$BJ$202),"")</f>
        <v>69.102377779999998</v>
      </c>
      <c r="BK202">
        <f ca="1">IFERROR(IF(0=LEN(ReferenceData!$BK$202),"",ReferenceData!$BK$202),"")</f>
        <v>69.452619260000006</v>
      </c>
      <c r="BL202">
        <f ca="1">IFERROR(IF(0=LEN(ReferenceData!$BL$202),"",ReferenceData!$BL$202),"")</f>
        <v>73.028517614999998</v>
      </c>
      <c r="BM202">
        <f ca="1">IFERROR(IF(0=LEN(ReferenceData!$BM$202),"",ReferenceData!$BM$202),"")</f>
        <v>69.112201314999993</v>
      </c>
    </row>
    <row r="203" spans="1:65">
      <c r="A203" t="str">
        <f>IFERROR(IF(0=LEN(ReferenceData!$A$203),"",ReferenceData!$A$203),"")</f>
        <v xml:space="preserve">    American Campus Communities In</v>
      </c>
      <c r="B203" t="str">
        <f>IFERROR(IF(0=LEN(ReferenceData!$B$203),"",ReferenceData!$B$203),"")</f>
        <v>ACC US Equity</v>
      </c>
      <c r="C203" t="str">
        <f>IFERROR(IF(0=LEN(ReferenceData!$C$203),"",ReferenceData!$C$203),"")</f>
        <v>RR106</v>
      </c>
      <c r="D203" t="str">
        <f>IFERROR(IF(0=LEN(ReferenceData!$D$203),"",ReferenceData!$D$203),"")</f>
        <v>FFO_PAYOUT_RATIO</v>
      </c>
      <c r="E203" t="str">
        <f>IFERROR(IF(0=LEN(ReferenceData!$E$203),"",ReferenceData!$E$203),"")</f>
        <v>动态</v>
      </c>
      <c r="F203" t="str">
        <f ca="1">IFERROR(IF(0=LEN(ReferenceData!$F$203),"",ReferenceData!$F$203),"")</f>
        <v/>
      </c>
      <c r="G203">
        <f ca="1">IFERROR(IF(0=LEN(ReferenceData!$G$203),"",ReferenceData!$G$203),"")</f>
        <v>57.769454660000001</v>
      </c>
      <c r="H203">
        <f ca="1">IFERROR(IF(0=LEN(ReferenceData!$H$203),"",ReferenceData!$H$203),"")</f>
        <v>101.7809701</v>
      </c>
      <c r="I203">
        <f ca="1">IFERROR(IF(0=LEN(ReferenceData!$I$203),"",ReferenceData!$I$203),"")</f>
        <v>86.458820149999994</v>
      </c>
      <c r="J203">
        <f ca="1">IFERROR(IF(0=LEN(ReferenceData!$J$203),"",ReferenceData!$J$203),"")</f>
        <v>65.004043969999998</v>
      </c>
      <c r="K203">
        <f ca="1">IFERROR(IF(0=LEN(ReferenceData!$K$203),"",ReferenceData!$K$203),"")</f>
        <v>71.212555170000002</v>
      </c>
      <c r="L203">
        <f ca="1">IFERROR(IF(0=LEN(ReferenceData!$L$203),"",ReferenceData!$L$203),"")</f>
        <v>89.835040230000004</v>
      </c>
      <c r="M203">
        <f ca="1">IFERROR(IF(0=LEN(ReferenceData!$M$203),"",ReferenceData!$M$203),"")</f>
        <v>76.471608739999994</v>
      </c>
      <c r="N203">
        <f ca="1">IFERROR(IF(0=LEN(ReferenceData!$N$203),"",ReferenceData!$N$203),"")</f>
        <v>60.330857950000002</v>
      </c>
      <c r="O203">
        <f ca="1">IFERROR(IF(0=LEN(ReferenceData!$O$203),"",ReferenceData!$O$203),"")</f>
        <v>54.386674900000003</v>
      </c>
      <c r="P203">
        <f ca="1">IFERROR(IF(0=LEN(ReferenceData!$P$203),"",ReferenceData!$P$203),"")</f>
        <v>92.441635289999994</v>
      </c>
      <c r="Q203">
        <f ca="1">IFERROR(IF(0=LEN(ReferenceData!$Q$203),"",ReferenceData!$Q$203),"")</f>
        <v>71.179068650000005</v>
      </c>
      <c r="R203">
        <f ca="1">IFERROR(IF(0=LEN(ReferenceData!$R$203),"",ReferenceData!$R$203),"")</f>
        <v>54.729341789999999</v>
      </c>
      <c r="S203">
        <f ca="1">IFERROR(IF(0=LEN(ReferenceData!$S$203),"",ReferenceData!$S$203),"")</f>
        <v>51.266996149999997</v>
      </c>
      <c r="T203">
        <f ca="1">IFERROR(IF(0=LEN(ReferenceData!$T$203),"",ReferenceData!$T$203),"")</f>
        <v>87.305362630000005</v>
      </c>
      <c r="U203">
        <f ca="1">IFERROR(IF(0=LEN(ReferenceData!$U$203),"",ReferenceData!$U$203),"")</f>
        <v>65.131867240000005</v>
      </c>
      <c r="V203">
        <f ca="1">IFERROR(IF(0=LEN(ReferenceData!$V$203),"",ReferenceData!$V$203),"")</f>
        <v>51.138064890000003</v>
      </c>
      <c r="W203">
        <f ca="1">IFERROR(IF(0=LEN(ReferenceData!$W$203),"",ReferenceData!$W$203),"")</f>
        <v>51.804293180000002</v>
      </c>
      <c r="X203">
        <f ca="1">IFERROR(IF(0=LEN(ReferenceData!$X$203),"",ReferenceData!$X$203),"")</f>
        <v>94.525422640000002</v>
      </c>
      <c r="Y203">
        <f ca="1">IFERROR(IF(0=LEN(ReferenceData!$Y$203),"",ReferenceData!$Y$203),"")</f>
        <v>67.900018430000003</v>
      </c>
      <c r="Z203">
        <f ca="1">IFERROR(IF(0=LEN(ReferenceData!$Z$203),"",ReferenceData!$Z$203),"")</f>
        <v>51.582995590000003</v>
      </c>
      <c r="AA203">
        <f ca="1">IFERROR(IF(0=LEN(ReferenceData!$AA$203),"",ReferenceData!$AA$203),"")</f>
        <v>58.017921540000003</v>
      </c>
      <c r="AB203">
        <f ca="1">IFERROR(IF(0=LEN(ReferenceData!$AB$203),"",ReferenceData!$AB$203),"")</f>
        <v>104.2136936</v>
      </c>
      <c r="AC203">
        <f ca="1">IFERROR(IF(0=LEN(ReferenceData!$AC$203),"",ReferenceData!$AC$203),"")</f>
        <v>68.887481149999999</v>
      </c>
      <c r="AD203">
        <f ca="1">IFERROR(IF(0=LEN(ReferenceData!$AD$203),"",ReferenceData!$AD$203),"")</f>
        <v>56.418650419999999</v>
      </c>
      <c r="AE203">
        <f ca="1">IFERROR(IF(0=LEN(ReferenceData!$AE$203),"",ReferenceData!$AE$203),"")</f>
        <v>61.086003179999999</v>
      </c>
      <c r="AF203">
        <f ca="1">IFERROR(IF(0=LEN(ReferenceData!$AF$203),"",ReferenceData!$AF$203),"")</f>
        <v>99.590276709999998</v>
      </c>
      <c r="AG203">
        <f ca="1">IFERROR(IF(0=LEN(ReferenceData!$AG$203),"",ReferenceData!$AG$203),"")</f>
        <v>78.899855450000004</v>
      </c>
      <c r="AH203">
        <f ca="1">IFERROR(IF(0=LEN(ReferenceData!$AH$203),"",ReferenceData!$AH$203),"")</f>
        <v>56.774383460000003</v>
      </c>
      <c r="AI203">
        <f ca="1">IFERROR(IF(0=LEN(ReferenceData!$AI$203),"",ReferenceData!$AI$203),"")</f>
        <v>63.762981699999997</v>
      </c>
      <c r="AJ203">
        <f ca="1">IFERROR(IF(0=LEN(ReferenceData!$AJ$203),"",ReferenceData!$AJ$203),"")</f>
        <v>84.557894559999994</v>
      </c>
      <c r="AK203">
        <f ca="1">IFERROR(IF(0=LEN(ReferenceData!$AK$203),"",ReferenceData!$AK$203),"")</f>
        <v>94.557169029999997</v>
      </c>
      <c r="AL203">
        <f ca="1">IFERROR(IF(0=LEN(ReferenceData!$AL$203),"",ReferenceData!$AL$203),"")</f>
        <v>89.781675750000005</v>
      </c>
      <c r="AM203">
        <f ca="1">IFERROR(IF(0=LEN(ReferenceData!$AM$203),"",ReferenceData!$AM$203),"")</f>
        <v>68.307030060000002</v>
      </c>
      <c r="AN203">
        <f ca="1">IFERROR(IF(0=LEN(ReferenceData!$AN$203),"",ReferenceData!$AN$203),"")</f>
        <v>134.46382560000001</v>
      </c>
      <c r="AO203">
        <f ca="1">IFERROR(IF(0=LEN(ReferenceData!$AO$203),"",ReferenceData!$AO$203),"")</f>
        <v>105.1196752</v>
      </c>
      <c r="AP203">
        <f ca="1">IFERROR(IF(0=LEN(ReferenceData!$AP$203),"",ReferenceData!$AP$203),"")</f>
        <v>68.907558420000001</v>
      </c>
      <c r="AQ203">
        <f ca="1">IFERROR(IF(0=LEN(ReferenceData!$AQ$203),"",ReferenceData!$AQ$203),"")</f>
        <v>84.93930177</v>
      </c>
      <c r="AR203">
        <f ca="1">IFERROR(IF(0=LEN(ReferenceData!$AR$203),"",ReferenceData!$AR$203),"")</f>
        <v>279.36295109999998</v>
      </c>
      <c r="AS203">
        <f ca="1">IFERROR(IF(0=LEN(ReferenceData!$AS$203),"",ReferenceData!$AS$203),"")</f>
        <v>124.5221252</v>
      </c>
      <c r="AT203">
        <f ca="1">IFERROR(IF(0=LEN(ReferenceData!$AT$203),"",ReferenceData!$AT$203),"")</f>
        <v>70.068476259999997</v>
      </c>
      <c r="AU203">
        <f ca="1">IFERROR(IF(0=LEN(ReferenceData!$AU$203),"",ReferenceData!$AU$203),"")</f>
        <v>63.161701350000001</v>
      </c>
      <c r="AV203">
        <f ca="1">IFERROR(IF(0=LEN(ReferenceData!$AV$203),"",ReferenceData!$AV$203),"")</f>
        <v>152.0889694</v>
      </c>
      <c r="AW203">
        <f ca="1">IFERROR(IF(0=LEN(ReferenceData!$AW$203),"",ReferenceData!$AW$203),"")</f>
        <v>114.92592569999999</v>
      </c>
      <c r="AX203">
        <f ca="1">IFERROR(IF(0=LEN(ReferenceData!$AX$203),"",ReferenceData!$AX$203),"")</f>
        <v>399.13266700000003</v>
      </c>
      <c r="AY203">
        <f ca="1">IFERROR(IF(0=LEN(ReferenceData!$AY$203),"",ReferenceData!$AY$203),"")</f>
        <v>63.155826779999998</v>
      </c>
      <c r="AZ203">
        <f ca="1">IFERROR(IF(0=LEN(ReferenceData!$AZ$203),"",ReferenceData!$AZ$203),"")</f>
        <v>124.18942029999999</v>
      </c>
      <c r="BA203">
        <f ca="1">IFERROR(IF(0=LEN(ReferenceData!$BA$203),"",ReferenceData!$BA$203),"")</f>
        <v>121.21772470000001</v>
      </c>
      <c r="BB203">
        <f ca="1">IFERROR(IF(0=LEN(ReferenceData!$BB$203),"",ReferenceData!$BB$203),"")</f>
        <v>64.918971859999999</v>
      </c>
      <c r="BC203">
        <f ca="1">IFERROR(IF(0=LEN(ReferenceData!$BC$203),"",ReferenceData!$BC$203),"")</f>
        <v>91.160439339999996</v>
      </c>
      <c r="BD203">
        <f ca="1">IFERROR(IF(0=LEN(ReferenceData!$BD$203),"",ReferenceData!$BD$203),"")</f>
        <v>160.9011333</v>
      </c>
      <c r="BE203">
        <f ca="1">IFERROR(IF(0=LEN(ReferenceData!$BE$203),"",ReferenceData!$BE$203),"")</f>
        <v>167.76830039999999</v>
      </c>
      <c r="BF203">
        <f ca="1">IFERROR(IF(0=LEN(ReferenceData!$BF$203),"",ReferenceData!$BF$203),"")</f>
        <v>74.449037750000002</v>
      </c>
      <c r="BG203">
        <f ca="1">IFERROR(IF(0=LEN(ReferenceData!$BG$203),"",ReferenceData!$BG$203),"")</f>
        <v>69.728940109999996</v>
      </c>
      <c r="BH203">
        <f ca="1">IFERROR(IF(0=LEN(ReferenceData!$BH$203),"",ReferenceData!$BH$203),"")</f>
        <v>0</v>
      </c>
      <c r="BI203">
        <f ca="1">IFERROR(IF(0=LEN(ReferenceData!$BI$203),"",ReferenceData!$BI$203),"")</f>
        <v>0</v>
      </c>
      <c r="BJ203">
        <f ca="1">IFERROR(IF(0=LEN(ReferenceData!$BJ$203),"",ReferenceData!$BJ$203),"")</f>
        <v>0</v>
      </c>
      <c r="BK203" t="str">
        <f ca="1">IFERROR(IF(0=LEN(ReferenceData!$BK$203),"",ReferenceData!$BK$203),"")</f>
        <v/>
      </c>
      <c r="BL203" t="str">
        <f ca="1">IFERROR(IF(0=LEN(ReferenceData!$BL$203),"",ReferenceData!$BL$203),"")</f>
        <v/>
      </c>
      <c r="BM203" t="str">
        <f ca="1">IFERROR(IF(0=LEN(ReferenceData!$BM$203),"",ReferenceData!$BM$203),"")</f>
        <v/>
      </c>
    </row>
    <row r="204" spans="1:65">
      <c r="A204" t="str">
        <f>IFERROR(IF(0=LEN(ReferenceData!$A$204),"",ReferenceData!$A$204),"")</f>
        <v xml:space="preserve">    AvalonBay Communities Inc</v>
      </c>
      <c r="B204" t="str">
        <f>IFERROR(IF(0=LEN(ReferenceData!$B$204),"",ReferenceData!$B$204),"")</f>
        <v>AVB US Equity</v>
      </c>
      <c r="C204" t="str">
        <f>IFERROR(IF(0=LEN(ReferenceData!$C$204),"",ReferenceData!$C$204),"")</f>
        <v>RR106</v>
      </c>
      <c r="D204" t="str">
        <f>IFERROR(IF(0=LEN(ReferenceData!$D$204),"",ReferenceData!$D$204),"")</f>
        <v>FFO_PAYOUT_RATIO</v>
      </c>
      <c r="E204" t="str">
        <f>IFERROR(IF(0=LEN(ReferenceData!$E$204),"",ReferenceData!$E$204),"")</f>
        <v>动态</v>
      </c>
      <c r="F204" t="str">
        <f ca="1">IFERROR(IF(0=LEN(ReferenceData!$F$204),"",ReferenceData!$F$204),"")</f>
        <v/>
      </c>
      <c r="G204">
        <f ca="1">IFERROR(IF(0=LEN(ReferenceData!$G$204),"",ReferenceData!$G$204),"")</f>
        <v>65.102520519999999</v>
      </c>
      <c r="H204">
        <f ca="1">IFERROR(IF(0=LEN(ReferenceData!$H$204),"",ReferenceData!$H$204),"")</f>
        <v>60.610107040000003</v>
      </c>
      <c r="I204">
        <f ca="1">IFERROR(IF(0=LEN(ReferenceData!$I$204),"",ReferenceData!$I$204),"")</f>
        <v>74.754475859999999</v>
      </c>
      <c r="J204">
        <f ca="1">IFERROR(IF(0=LEN(ReferenceData!$J$204),"",ReferenceData!$J$204),"")</f>
        <v>69.828370750000005</v>
      </c>
      <c r="K204">
        <f ca="1">IFERROR(IF(0=LEN(ReferenceData!$K$204),"",ReferenceData!$K$204),"")</f>
        <v>64.356081639999999</v>
      </c>
      <c r="L204">
        <f ca="1">IFERROR(IF(0=LEN(ReferenceData!$L$204),"",ReferenceData!$L$204),"")</f>
        <v>64.03226085</v>
      </c>
      <c r="M204">
        <f ca="1">IFERROR(IF(0=LEN(ReferenceData!$M$204),"",ReferenceData!$M$204),"")</f>
        <v>67.755318369999998</v>
      </c>
      <c r="N204">
        <f ca="1">IFERROR(IF(0=LEN(ReferenceData!$N$204),"",ReferenceData!$N$204),"")</f>
        <v>65.065515989999994</v>
      </c>
      <c r="O204">
        <f ca="1">IFERROR(IF(0=LEN(ReferenceData!$O$204),"",ReferenceData!$O$204),"")</f>
        <v>63.390275950000003</v>
      </c>
      <c r="P204">
        <f ca="1">IFERROR(IF(0=LEN(ReferenceData!$P$204),"",ReferenceData!$P$204),"")</f>
        <v>62.930200569999997</v>
      </c>
      <c r="Q204">
        <f ca="1">IFERROR(IF(0=LEN(ReferenceData!$Q$204),"",ReferenceData!$Q$204),"")</f>
        <v>57.185496809999997</v>
      </c>
      <c r="R204">
        <f ca="1">IFERROR(IF(0=LEN(ReferenceData!$R$204),"",ReferenceData!$R$204),"")</f>
        <v>65.933824729999998</v>
      </c>
      <c r="S204">
        <f ca="1">IFERROR(IF(0=LEN(ReferenceData!$S$204),"",ReferenceData!$S$204),"")</f>
        <v>65.605351970000001</v>
      </c>
      <c r="T204">
        <f ca="1">IFERROR(IF(0=LEN(ReferenceData!$T$204),"",ReferenceData!$T$204),"")</f>
        <v>54.254998739999998</v>
      </c>
      <c r="U204">
        <f ca="1">IFERROR(IF(0=LEN(ReferenceData!$U$204),"",ReferenceData!$U$204),"")</f>
        <v>68.366998370000005</v>
      </c>
      <c r="V204">
        <f ca="1">IFERROR(IF(0=LEN(ReferenceData!$V$204),"",ReferenceData!$V$204),"")</f>
        <v>70.617115740000003</v>
      </c>
      <c r="W204">
        <f ca="1">IFERROR(IF(0=LEN(ReferenceData!$W$204),"",ReferenceData!$W$204),"")</f>
        <v>70.888279139999995</v>
      </c>
      <c r="X204">
        <f ca="1">IFERROR(IF(0=LEN(ReferenceData!$X$204),"",ReferenceData!$X$204),"")</f>
        <v>90.283057619999994</v>
      </c>
      <c r="Y204">
        <f ca="1">IFERROR(IF(0=LEN(ReferenceData!$Y$204),"",ReferenceData!$Y$204),"")</f>
        <v>69.030382799999998</v>
      </c>
      <c r="Z204">
        <f ca="1">IFERROR(IF(0=LEN(ReferenceData!$Z$204),"",ReferenceData!$Z$204),"")</f>
        <v>148.0061153</v>
      </c>
      <c r="AA204">
        <f ca="1">IFERROR(IF(0=LEN(ReferenceData!$AA$204),"",ReferenceData!$AA$204),"")</f>
        <v>84.947372450000003</v>
      </c>
      <c r="AB204">
        <f ca="1">IFERROR(IF(0=LEN(ReferenceData!$AB$204),"",ReferenceData!$AB$204),"")</f>
        <v>67.576721239999998</v>
      </c>
      <c r="AC204">
        <f ca="1">IFERROR(IF(0=LEN(ReferenceData!$AC$204),"",ReferenceData!$AC$204),"")</f>
        <v>73.084333779999994</v>
      </c>
      <c r="AD204">
        <f ca="1">IFERROR(IF(0=LEN(ReferenceData!$AD$204),"",ReferenceData!$AD$204),"")</f>
        <v>75.82212165</v>
      </c>
      <c r="AE204">
        <f ca="1">IFERROR(IF(0=LEN(ReferenceData!$AE$204),"",ReferenceData!$AE$204),"")</f>
        <v>74.899920640000005</v>
      </c>
      <c r="AF204">
        <f ca="1">IFERROR(IF(0=LEN(ReferenceData!$AF$204),"",ReferenceData!$AF$204),"")</f>
        <v>75.812234399999994</v>
      </c>
      <c r="AG204">
        <f ca="1">IFERROR(IF(0=LEN(ReferenceData!$AG$204),"",ReferenceData!$AG$204),"")</f>
        <v>79.18955425</v>
      </c>
      <c r="AH204">
        <f ca="1">IFERROR(IF(0=LEN(ReferenceData!$AH$204),"",ReferenceData!$AH$204),"")</f>
        <v>83.30910179</v>
      </c>
      <c r="AI204">
        <f ca="1">IFERROR(IF(0=LEN(ReferenceData!$AI$204),"",ReferenceData!$AI$204),"")</f>
        <v>88.294233489999996</v>
      </c>
      <c r="AJ204">
        <f ca="1">IFERROR(IF(0=LEN(ReferenceData!$AJ$204),"",ReferenceData!$AJ$204),"")</f>
        <v>90.1198172</v>
      </c>
      <c r="AK204">
        <f ca="1">IFERROR(IF(0=LEN(ReferenceData!$AK$204),"",ReferenceData!$AK$204),"")</f>
        <v>86.481099729999997</v>
      </c>
      <c r="AL204">
        <f ca="1">IFERROR(IF(0=LEN(ReferenceData!$AL$204),"",ReferenceData!$AL$204),"")</f>
        <v>93.11985061</v>
      </c>
      <c r="AM204">
        <f ca="1">IFERROR(IF(0=LEN(ReferenceData!$AM$204),"",ReferenceData!$AM$204),"")</f>
        <v>138.03471500000001</v>
      </c>
      <c r="AN204">
        <f ca="1">IFERROR(IF(0=LEN(ReferenceData!$AN$204),"",ReferenceData!$AN$204),"")</f>
        <v>82.732484580000005</v>
      </c>
      <c r="AO204">
        <f ca="1">IFERROR(IF(0=LEN(ReferenceData!$AO$204),"",ReferenceData!$AO$204),"")</f>
        <v>99.338569079999999</v>
      </c>
      <c r="AP204">
        <f ca="1">IFERROR(IF(0=LEN(ReferenceData!$AP$204),"",ReferenceData!$AP$204),"")</f>
        <v>70.603614759999999</v>
      </c>
      <c r="AQ204">
        <f ca="1">IFERROR(IF(0=LEN(ReferenceData!$AQ$204),"",ReferenceData!$AQ$204),"")</f>
        <v>0</v>
      </c>
      <c r="AR204">
        <f ca="1">IFERROR(IF(0=LEN(ReferenceData!$AR$204),"",ReferenceData!$AR$204),"")</f>
        <v>69.256469460000005</v>
      </c>
      <c r="AS204">
        <f ca="1">IFERROR(IF(0=LEN(ReferenceData!$AS$204),"",ReferenceData!$AS$204),"")</f>
        <v>70.006643980000007</v>
      </c>
      <c r="AT204">
        <f ca="1">IFERROR(IF(0=LEN(ReferenceData!$AT$204),"",ReferenceData!$AT$204),"")</f>
        <v>71.127562650000002</v>
      </c>
      <c r="AU204">
        <f ca="1">IFERROR(IF(0=LEN(ReferenceData!$AU$204),"",ReferenceData!$AU$204),"")</f>
        <v>73.900834009999997</v>
      </c>
      <c r="AV204">
        <f ca="1">IFERROR(IF(0=LEN(ReferenceData!$AV$204),"",ReferenceData!$AV$204),"")</f>
        <v>70.426877450000006</v>
      </c>
      <c r="AW204">
        <f ca="1">IFERROR(IF(0=LEN(ReferenceData!$AW$204),"",ReferenceData!$AW$204),"")</f>
        <v>71.791928630000001</v>
      </c>
      <c r="AX204">
        <f ca="1">IFERROR(IF(0=LEN(ReferenceData!$AX$204),"",ReferenceData!$AX$204),"")</f>
        <v>74.807721900000004</v>
      </c>
      <c r="AY204">
        <f ca="1">IFERROR(IF(0=LEN(ReferenceData!$AY$204),"",ReferenceData!$AY$204),"")</f>
        <v>72.603956019999998</v>
      </c>
      <c r="AZ204">
        <f ca="1">IFERROR(IF(0=LEN(ReferenceData!$AZ$204),"",ReferenceData!$AZ$204),"")</f>
        <v>71.248089780000001</v>
      </c>
      <c r="BA204">
        <f ca="1">IFERROR(IF(0=LEN(ReferenceData!$BA$204),"",ReferenceData!$BA$204),"")</f>
        <v>77.214112619999995</v>
      </c>
      <c r="BB204">
        <f ca="1">IFERROR(IF(0=LEN(ReferenceData!$BB$204),"",ReferenceData!$BB$204),"")</f>
        <v>71.459454320000006</v>
      </c>
      <c r="BC204">
        <f ca="1">IFERROR(IF(0=LEN(ReferenceData!$BC$204),"",ReferenceData!$BC$204),"")</f>
        <v>88.239187169999994</v>
      </c>
      <c r="BD204">
        <f ca="1">IFERROR(IF(0=LEN(ReferenceData!$BD$204),"",ReferenceData!$BD$204),"")</f>
        <v>76.321756089999994</v>
      </c>
      <c r="BE204">
        <f ca="1">IFERROR(IF(0=LEN(ReferenceData!$BE$204),"",ReferenceData!$BE$204),"")</f>
        <v>71.453260270000001</v>
      </c>
      <c r="BF204">
        <f ca="1">IFERROR(IF(0=LEN(ReferenceData!$BF$204),"",ReferenceData!$BF$204),"")</f>
        <v>72.243053560000007</v>
      </c>
      <c r="BG204">
        <f ca="1">IFERROR(IF(0=LEN(ReferenceData!$BG$204),"",ReferenceData!$BG$204),"")</f>
        <v>93.273718259999995</v>
      </c>
      <c r="BH204">
        <f ca="1">IFERROR(IF(0=LEN(ReferenceData!$BH$204),"",ReferenceData!$BH$204),"")</f>
        <v>79.00636987</v>
      </c>
      <c r="BI204">
        <f ca="1">IFERROR(IF(0=LEN(ReferenceData!$BI$204),"",ReferenceData!$BI$204),"")</f>
        <v>82.691480560000002</v>
      </c>
      <c r="BJ204">
        <f ca="1">IFERROR(IF(0=LEN(ReferenceData!$BJ$204),"",ReferenceData!$BJ$204),"")</f>
        <v>86.520966220000005</v>
      </c>
      <c r="BK204">
        <f ca="1">IFERROR(IF(0=LEN(ReferenceData!$BK$204),"",ReferenceData!$BK$204),"")</f>
        <v>84.516964549999997</v>
      </c>
      <c r="BL204">
        <f ca="1">IFERROR(IF(0=LEN(ReferenceData!$BL$204),"",ReferenceData!$BL$204),"")</f>
        <v>85.732398410000002</v>
      </c>
      <c r="BM204">
        <f ca="1">IFERROR(IF(0=LEN(ReferenceData!$BM$204),"",ReferenceData!$BM$204),"")</f>
        <v>82.343883959999999</v>
      </c>
    </row>
    <row r="205" spans="1:65">
      <c r="A205" t="str">
        <f>IFERROR(IF(0=LEN(ReferenceData!$A$205),"",ReferenceData!$A$205),"")</f>
        <v xml:space="preserve">    Camden Property Trust</v>
      </c>
      <c r="B205" t="str">
        <f>IFERROR(IF(0=LEN(ReferenceData!$B$205),"",ReferenceData!$B$205),"")</f>
        <v>CPT US Equity</v>
      </c>
      <c r="C205" t="str">
        <f>IFERROR(IF(0=LEN(ReferenceData!$C$205),"",ReferenceData!$C$205),"")</f>
        <v>RR106</v>
      </c>
      <c r="D205" t="str">
        <f>IFERROR(IF(0=LEN(ReferenceData!$D$205),"",ReferenceData!$D$205),"")</f>
        <v>FFO_PAYOUT_RATIO</v>
      </c>
      <c r="E205" t="str">
        <f>IFERROR(IF(0=LEN(ReferenceData!$E$205),"",ReferenceData!$E$205),"")</f>
        <v>动态</v>
      </c>
      <c r="F205" t="str">
        <f ca="1">IFERROR(IF(0=LEN(ReferenceData!$F$205),"",ReferenceData!$F$205),"")</f>
        <v/>
      </c>
      <c r="G205">
        <f ca="1">IFERROR(IF(0=LEN(ReferenceData!$G$205),"",ReferenceData!$G$205),"")</f>
        <v>62.136627910000001</v>
      </c>
      <c r="H205">
        <f ca="1">IFERROR(IF(0=LEN(ReferenceData!$H$205),"",ReferenceData!$H$205),"")</f>
        <v>66.150047970000003</v>
      </c>
      <c r="I205">
        <f ca="1">IFERROR(IF(0=LEN(ReferenceData!$I$205),"",ReferenceData!$I$205),"")</f>
        <v>63.766772349999997</v>
      </c>
      <c r="J205">
        <f ca="1">IFERROR(IF(0=LEN(ReferenceData!$J$205),"",ReferenceData!$J$205),"")</f>
        <v>67.205171640000003</v>
      </c>
      <c r="K205">
        <f ca="1">IFERROR(IF(0=LEN(ReferenceData!$K$205),"",ReferenceData!$K$205),"")</f>
        <v>63.773165689999999</v>
      </c>
      <c r="L205">
        <f ca="1">IFERROR(IF(0=LEN(ReferenceData!$L$205),"",ReferenceData!$L$205),"")</f>
        <v>430.14141530000001</v>
      </c>
      <c r="M205">
        <f ca="1">IFERROR(IF(0=LEN(ReferenceData!$M$205),"",ReferenceData!$M$205),"")</f>
        <v>63.620498589999997</v>
      </c>
      <c r="N205">
        <f ca="1">IFERROR(IF(0=LEN(ReferenceData!$N$205),"",ReferenceData!$N$205),"")</f>
        <v>60.855508129999997</v>
      </c>
      <c r="O205">
        <f ca="1">IFERROR(IF(0=LEN(ReferenceData!$O$205),"",ReferenceData!$O$205),"")</f>
        <v>56.964191200000002</v>
      </c>
      <c r="P205">
        <f ca="1">IFERROR(IF(0=LEN(ReferenceData!$P$205),"",ReferenceData!$P$205),"")</f>
        <v>59.815230100000001</v>
      </c>
      <c r="Q205">
        <f ca="1">IFERROR(IF(0=LEN(ReferenceData!$Q$205),"",ReferenceData!$Q$205),"")</f>
        <v>61.158847909999999</v>
      </c>
      <c r="R205">
        <f ca="1">IFERROR(IF(0=LEN(ReferenceData!$R$205),"",ReferenceData!$R$205),"")</f>
        <v>63.22152079</v>
      </c>
      <c r="S205">
        <f ca="1">IFERROR(IF(0=LEN(ReferenceData!$S$205),"",ReferenceData!$S$205),"")</f>
        <v>64.7944605</v>
      </c>
      <c r="T205">
        <f ca="1">IFERROR(IF(0=LEN(ReferenceData!$T$205),"",ReferenceData!$T$205),"")</f>
        <v>58.935448579999999</v>
      </c>
      <c r="U205">
        <f ca="1">IFERROR(IF(0=LEN(ReferenceData!$U$205),"",ReferenceData!$U$205),"")</f>
        <v>61.569674829999997</v>
      </c>
      <c r="V205">
        <f ca="1">IFERROR(IF(0=LEN(ReferenceData!$V$205),"",ReferenceData!$V$205),"")</f>
        <v>61.002256619999997</v>
      </c>
      <c r="W205">
        <f ca="1">IFERROR(IF(0=LEN(ReferenceData!$W$205),"",ReferenceData!$W$205),"")</f>
        <v>56.853674390000002</v>
      </c>
      <c r="X205">
        <f ca="1">IFERROR(IF(0=LEN(ReferenceData!$X$205),"",ReferenceData!$X$205),"")</f>
        <v>59.030183219999998</v>
      </c>
      <c r="Y205">
        <f ca="1">IFERROR(IF(0=LEN(ReferenceData!$Y$205),"",ReferenceData!$Y$205),"")</f>
        <v>60.068597859999997</v>
      </c>
      <c r="Z205">
        <f ca="1">IFERROR(IF(0=LEN(ReferenceData!$Z$205),"",ReferenceData!$Z$205),"")</f>
        <v>63.052360010000001</v>
      </c>
      <c r="AA205">
        <f ca="1">IFERROR(IF(0=LEN(ReferenceData!$AA$205),"",ReferenceData!$AA$205),"")</f>
        <v>56.241132110000002</v>
      </c>
      <c r="AB205">
        <f ca="1">IFERROR(IF(0=LEN(ReferenceData!$AB$205),"",ReferenceData!$AB$205),"")</f>
        <v>58.399230330000002</v>
      </c>
      <c r="AC205">
        <f ca="1">IFERROR(IF(0=LEN(ReferenceData!$AC$205),"",ReferenceData!$AC$205),"")</f>
        <v>60.757010440000002</v>
      </c>
      <c r="AD205">
        <f ca="1">IFERROR(IF(0=LEN(ReferenceData!$AD$205),"",ReferenceData!$AD$205),"")</f>
        <v>65.222703350000003</v>
      </c>
      <c r="AE205">
        <f ca="1">IFERROR(IF(0=LEN(ReferenceData!$AE$205),"",ReferenceData!$AE$205),"")</f>
        <v>56.04988796</v>
      </c>
      <c r="AF205">
        <f ca="1">IFERROR(IF(0=LEN(ReferenceData!$AF$205),"",ReferenceData!$AF$205),"")</f>
        <v>61.027734789999997</v>
      </c>
      <c r="AG205">
        <f ca="1">IFERROR(IF(0=LEN(ReferenceData!$AG$205),"",ReferenceData!$AG$205),"")</f>
        <v>116.7937465</v>
      </c>
      <c r="AH205">
        <f ca="1">IFERROR(IF(0=LEN(ReferenceData!$AH$205),"",ReferenceData!$AH$205),"")</f>
        <v>65.111784599999993</v>
      </c>
      <c r="AI205">
        <f ca="1">IFERROR(IF(0=LEN(ReferenceData!$AI$205),"",ReferenceData!$AI$205),"")</f>
        <v>58.986802109999999</v>
      </c>
      <c r="AJ205">
        <f ca="1">IFERROR(IF(0=LEN(ReferenceData!$AJ$205),"",ReferenceData!$AJ$205),"")</f>
        <v>66.613110539999994</v>
      </c>
      <c r="AK205">
        <f ca="1">IFERROR(IF(0=LEN(ReferenceData!$AK$205),"",ReferenceData!$AK$205),"")</f>
        <v>65.612754019999997</v>
      </c>
      <c r="AL205">
        <f ca="1">IFERROR(IF(0=LEN(ReferenceData!$AL$205),"",ReferenceData!$AL$205),"")</f>
        <v>63.670661099999997</v>
      </c>
      <c r="AM205" t="str">
        <f ca="1">IFERROR(IF(0=LEN(ReferenceData!$AM$205),"",ReferenceData!$AM$205),"")</f>
        <v/>
      </c>
      <c r="AN205">
        <f ca="1">IFERROR(IF(0=LEN(ReferenceData!$AN$205),"",ReferenceData!$AN$205),"")</f>
        <v>61.81888094</v>
      </c>
      <c r="AO205">
        <f ca="1">IFERROR(IF(0=LEN(ReferenceData!$AO$205),"",ReferenceData!$AO$205),"")</f>
        <v>59.42187534</v>
      </c>
      <c r="AP205">
        <f ca="1">IFERROR(IF(0=LEN(ReferenceData!$AP$205),"",ReferenceData!$AP$205),"")</f>
        <v>80.514142800000002</v>
      </c>
      <c r="AQ205">
        <f ca="1">IFERROR(IF(0=LEN(ReferenceData!$AQ$205),"",ReferenceData!$AQ$205),"")</f>
        <v>767.63064129999998</v>
      </c>
      <c r="AR205">
        <f ca="1">IFERROR(IF(0=LEN(ReferenceData!$AR$205),"",ReferenceData!$AR$205),"")</f>
        <v>74.129066809999998</v>
      </c>
      <c r="AS205">
        <f ca="1">IFERROR(IF(0=LEN(ReferenceData!$AS$205),"",ReferenceData!$AS$205),"")</f>
        <v>70.616206169999998</v>
      </c>
      <c r="AT205">
        <f ca="1">IFERROR(IF(0=LEN(ReferenceData!$AT$205),"",ReferenceData!$AT$205),"")</f>
        <v>73.524746800000003</v>
      </c>
      <c r="AU205">
        <f ca="1">IFERROR(IF(0=LEN(ReferenceData!$AU$205),"",ReferenceData!$AU$205),"")</f>
        <v>66.561892929999999</v>
      </c>
      <c r="AV205">
        <f ca="1">IFERROR(IF(0=LEN(ReferenceData!$AV$205),"",ReferenceData!$AV$205),"")</f>
        <v>71.194445930000001</v>
      </c>
      <c r="AW205">
        <f ca="1">IFERROR(IF(0=LEN(ReferenceData!$AW$205),"",ReferenceData!$AW$205),"")</f>
        <v>70.291392790000003</v>
      </c>
      <c r="AX205">
        <f ca="1">IFERROR(IF(0=LEN(ReferenceData!$AX$205),"",ReferenceData!$AX$205),"")</f>
        <v>72.570986610000006</v>
      </c>
      <c r="AY205">
        <f ca="1">IFERROR(IF(0=LEN(ReferenceData!$AY$205),"",ReferenceData!$AY$205),"")</f>
        <v>70.549228859999999</v>
      </c>
      <c r="AZ205">
        <f ca="1">IFERROR(IF(0=LEN(ReferenceData!$AZ$205),"",ReferenceData!$AZ$205),"")</f>
        <v>49.483038649999997</v>
      </c>
      <c r="BA205">
        <f ca="1">IFERROR(IF(0=LEN(ReferenceData!$BA$205),"",ReferenceData!$BA$205),"")</f>
        <v>68.599067469999994</v>
      </c>
      <c r="BB205">
        <f ca="1">IFERROR(IF(0=LEN(ReferenceData!$BB$205),"",ReferenceData!$BB$205),"")</f>
        <v>69.120546309999995</v>
      </c>
      <c r="BC205">
        <f ca="1">IFERROR(IF(0=LEN(ReferenceData!$BC$205),"",ReferenceData!$BC$205),"")</f>
        <v>69.929351130000001</v>
      </c>
      <c r="BD205">
        <f ca="1">IFERROR(IF(0=LEN(ReferenceData!$BD$205),"",ReferenceData!$BD$205),"")</f>
        <v>77.305965610000001</v>
      </c>
      <c r="BE205">
        <f ca="1">IFERROR(IF(0=LEN(ReferenceData!$BE$205),"",ReferenceData!$BE$205),"")</f>
        <v>72.626701060000002</v>
      </c>
      <c r="BF205">
        <f ca="1">IFERROR(IF(0=LEN(ReferenceData!$BF$205),"",ReferenceData!$BF$205),"")</f>
        <v>53.54072523</v>
      </c>
      <c r="BG205">
        <f ca="1">IFERROR(IF(0=LEN(ReferenceData!$BG$205),"",ReferenceData!$BG$205),"")</f>
        <v>69.158046350000006</v>
      </c>
      <c r="BH205">
        <f ca="1">IFERROR(IF(0=LEN(ReferenceData!$BH$205),"",ReferenceData!$BH$205),"")</f>
        <v>76.2532566</v>
      </c>
      <c r="BI205">
        <f ca="1">IFERROR(IF(0=LEN(ReferenceData!$BI$205),"",ReferenceData!$BI$205),"")</f>
        <v>72.94576687</v>
      </c>
      <c r="BJ205">
        <f ca="1">IFERROR(IF(0=LEN(ReferenceData!$BJ$205),"",ReferenceData!$BJ$205),"")</f>
        <v>69.102377779999998</v>
      </c>
      <c r="BK205">
        <f ca="1">IFERROR(IF(0=LEN(ReferenceData!$BK$205),"",ReferenceData!$BK$205),"")</f>
        <v>69.452619260000006</v>
      </c>
      <c r="BL205">
        <f ca="1">IFERROR(IF(0=LEN(ReferenceData!$BL$205),"",ReferenceData!$BL$205),"")</f>
        <v>76.029254179999995</v>
      </c>
      <c r="BM205">
        <f ca="1">IFERROR(IF(0=LEN(ReferenceData!$BM$205),"",ReferenceData!$BM$205),"")</f>
        <v>76.868230909999994</v>
      </c>
    </row>
    <row r="206" spans="1:65">
      <c r="A206" t="str">
        <f>IFERROR(IF(0=LEN(ReferenceData!$A$206),"",ReferenceData!$A$206),"")</f>
        <v xml:space="preserve">    Education Realty Trust Inc</v>
      </c>
      <c r="B206" t="str">
        <f>IFERROR(IF(0=LEN(ReferenceData!$B$206),"",ReferenceData!$B$206),"")</f>
        <v>EDR US Equity</v>
      </c>
      <c r="C206" t="str">
        <f>IFERROR(IF(0=LEN(ReferenceData!$C$206),"",ReferenceData!$C$206),"")</f>
        <v>RR106</v>
      </c>
      <c r="D206" t="str">
        <f>IFERROR(IF(0=LEN(ReferenceData!$D$206),"",ReferenceData!$D$206),"")</f>
        <v>FFO_PAYOUT_RATIO</v>
      </c>
      <c r="E206" t="str">
        <f>IFERROR(IF(0=LEN(ReferenceData!$E$206),"",ReferenceData!$E$206),"")</f>
        <v>动态</v>
      </c>
      <c r="F206" t="str">
        <f ca="1">IFERROR(IF(0=LEN(ReferenceData!$F$206),"",ReferenceData!$F$206),"")</f>
        <v/>
      </c>
      <c r="G206">
        <f ca="1">IFERROR(IF(0=LEN(ReferenceData!$G$206),"",ReferenceData!$G$206),"")</f>
        <v>61.405318289999997</v>
      </c>
      <c r="H206">
        <f ca="1">IFERROR(IF(0=LEN(ReferenceData!$H$206),"",ReferenceData!$H$206),"")</f>
        <v>129.4968006</v>
      </c>
      <c r="I206">
        <f ca="1">IFERROR(IF(0=LEN(ReferenceData!$I$206),"",ReferenceData!$I$206),"")</f>
        <v>93.674211479999997</v>
      </c>
      <c r="J206">
        <f ca="1">IFERROR(IF(0=LEN(ReferenceData!$J$206),"",ReferenceData!$J$206),"")</f>
        <v>66.043597500000004</v>
      </c>
      <c r="K206">
        <f ca="1">IFERROR(IF(0=LEN(ReferenceData!$K$206),"",ReferenceData!$K$206),"")</f>
        <v>70.229920390000004</v>
      </c>
      <c r="L206">
        <f ca="1">IFERROR(IF(0=LEN(ReferenceData!$L$206),"",ReferenceData!$L$206),"")</f>
        <v>149.04575650000001</v>
      </c>
      <c r="M206">
        <f ca="1">IFERROR(IF(0=LEN(ReferenceData!$M$206),"",ReferenceData!$M$206),"")</f>
        <v>101.3418022</v>
      </c>
      <c r="N206">
        <f ca="1">IFERROR(IF(0=LEN(ReferenceData!$N$206),"",ReferenceData!$N$206),"")</f>
        <v>101.7975067</v>
      </c>
      <c r="O206">
        <f ca="1">IFERROR(IF(0=LEN(ReferenceData!$O$206),"",ReferenceData!$O$206),"")</f>
        <v>63.686104139999998</v>
      </c>
      <c r="P206">
        <f ca="1">IFERROR(IF(0=LEN(ReferenceData!$P$206),"",ReferenceData!$P$206),"")</f>
        <v>136.62014909999999</v>
      </c>
      <c r="Q206">
        <f ca="1">IFERROR(IF(0=LEN(ReferenceData!$Q$206),"",ReferenceData!$Q$206),"")</f>
        <v>93.062503329999998</v>
      </c>
      <c r="R206">
        <f ca="1">IFERROR(IF(0=LEN(ReferenceData!$R$206),"",ReferenceData!$R$206),"")</f>
        <v>75.097159680000004</v>
      </c>
      <c r="S206">
        <f ca="1">IFERROR(IF(0=LEN(ReferenceData!$S$206),"",ReferenceData!$S$206),"")</f>
        <v>68.55896104</v>
      </c>
      <c r="T206">
        <f ca="1">IFERROR(IF(0=LEN(ReferenceData!$T$206),"",ReferenceData!$T$206),"")</f>
        <v>82.684019250000006</v>
      </c>
      <c r="U206">
        <f ca="1">IFERROR(IF(0=LEN(ReferenceData!$U$206),"",ReferenceData!$U$206),"")</f>
        <v>79.344412460000001</v>
      </c>
      <c r="V206">
        <f ca="1">IFERROR(IF(0=LEN(ReferenceData!$V$206),"",ReferenceData!$V$206),"")</f>
        <v>74.202580650000002</v>
      </c>
      <c r="W206">
        <f ca="1">IFERROR(IF(0=LEN(ReferenceData!$W$206),"",ReferenceData!$W$206),"")</f>
        <v>116.5890335</v>
      </c>
      <c r="X206">
        <f ca="1">IFERROR(IF(0=LEN(ReferenceData!$X$206),"",ReferenceData!$X$206),"")</f>
        <v>178.85568620000001</v>
      </c>
      <c r="Y206">
        <f ca="1">IFERROR(IF(0=LEN(ReferenceData!$Y$206),"",ReferenceData!$Y$206),"")</f>
        <v>96.341669479999993</v>
      </c>
      <c r="Z206">
        <f ca="1">IFERROR(IF(0=LEN(ReferenceData!$Z$206),"",ReferenceData!$Z$206),"")</f>
        <v>77.784242590000005</v>
      </c>
      <c r="AA206">
        <f ca="1">IFERROR(IF(0=LEN(ReferenceData!$AA$206),"",ReferenceData!$AA$206),"")</f>
        <v>141.53143</v>
      </c>
      <c r="AB206">
        <f ca="1">IFERROR(IF(0=LEN(ReferenceData!$AB$206),"",ReferenceData!$AB$206),"")</f>
        <v>229.83890360000001</v>
      </c>
      <c r="AC206">
        <f ca="1">IFERROR(IF(0=LEN(ReferenceData!$AC$206),"",ReferenceData!$AC$206),"")</f>
        <v>65.775782919999997</v>
      </c>
      <c r="AD206">
        <f ca="1">IFERROR(IF(0=LEN(ReferenceData!$AD$206),"",ReferenceData!$AD$206),"")</f>
        <v>59.607228470000003</v>
      </c>
      <c r="AE206">
        <f ca="1">IFERROR(IF(0=LEN(ReferenceData!$AE$206),"",ReferenceData!$AE$206),"")</f>
        <v>56.382499299999999</v>
      </c>
      <c r="AF206">
        <f ca="1">IFERROR(IF(0=LEN(ReferenceData!$AF$206),"",ReferenceData!$AF$206),"")</f>
        <v>1014.2</v>
      </c>
      <c r="AG206">
        <f ca="1">IFERROR(IF(0=LEN(ReferenceData!$AG$206),"",ReferenceData!$AG$206),"")</f>
        <v>56.413281249999997</v>
      </c>
      <c r="AH206">
        <f ca="1">IFERROR(IF(0=LEN(ReferenceData!$AH$206),"",ReferenceData!$AH$206),"")</f>
        <v>51.20104061</v>
      </c>
      <c r="AI206">
        <f ca="1">IFERROR(IF(0=LEN(ReferenceData!$AI$206),"",ReferenceData!$AI$206),"")</f>
        <v>52.971851319999999</v>
      </c>
      <c r="AJ206" t="str">
        <f ca="1">IFERROR(IF(0=LEN(ReferenceData!$AJ$206),"",ReferenceData!$AJ$206),"")</f>
        <v/>
      </c>
      <c r="AK206">
        <f ca="1">IFERROR(IF(0=LEN(ReferenceData!$AK$206),"",ReferenceData!$AK$206),"")</f>
        <v>41.28564394</v>
      </c>
      <c r="AL206">
        <f ca="1">IFERROR(IF(0=LEN(ReferenceData!$AL$206),"",ReferenceData!$AL$206),"")</f>
        <v>36.314729370000002</v>
      </c>
      <c r="AM206">
        <f ca="1">IFERROR(IF(0=LEN(ReferenceData!$AM$206),"",ReferenceData!$AM$206),"")</f>
        <v>38.872891809999999</v>
      </c>
      <c r="AN206" t="str">
        <f ca="1">IFERROR(IF(0=LEN(ReferenceData!$AN$206),"",ReferenceData!$AN$206),"")</f>
        <v/>
      </c>
      <c r="AO206">
        <f ca="1">IFERROR(IF(0=LEN(ReferenceData!$AO$206),"",ReferenceData!$AO$206),"")</f>
        <v>40.299631380000001</v>
      </c>
      <c r="AP206">
        <f ca="1">IFERROR(IF(0=LEN(ReferenceData!$AP$206),"",ReferenceData!$AP$206),"")</f>
        <v>37.497671650000001</v>
      </c>
      <c r="AQ206">
        <f ca="1">IFERROR(IF(0=LEN(ReferenceData!$AQ$206),"",ReferenceData!$AQ$206),"")</f>
        <v>226.3972521</v>
      </c>
      <c r="AR206" t="str">
        <f ca="1">IFERROR(IF(0=LEN(ReferenceData!$AR$206),"",ReferenceData!$AR$206),"")</f>
        <v/>
      </c>
      <c r="AS206">
        <f ca="1">IFERROR(IF(0=LEN(ReferenceData!$AS$206),"",ReferenceData!$AS$206),"")</f>
        <v>55.095018570000001</v>
      </c>
      <c r="AT206">
        <f ca="1">IFERROR(IF(0=LEN(ReferenceData!$AT$206),"",ReferenceData!$AT$206),"")</f>
        <v>64.40711417</v>
      </c>
      <c r="AU206">
        <f ca="1">IFERROR(IF(0=LEN(ReferenceData!$AU$206),"",ReferenceData!$AU$206),"")</f>
        <v>63.44177646</v>
      </c>
      <c r="AV206">
        <f ca="1">IFERROR(IF(0=LEN(ReferenceData!$AV$206),"",ReferenceData!$AV$206),"")</f>
        <v>317.65330119999999</v>
      </c>
      <c r="AW206">
        <f ca="1">IFERROR(IF(0=LEN(ReferenceData!$AW$206),"",ReferenceData!$AW$206),"")</f>
        <v>86.288751009999999</v>
      </c>
      <c r="AX206">
        <f ca="1">IFERROR(IF(0=LEN(ReferenceData!$AX$206),"",ReferenceData!$AX$206),"")</f>
        <v>67.850942439999997</v>
      </c>
      <c r="AY206">
        <f ca="1">IFERROR(IF(0=LEN(ReferenceData!$AY$206),"",ReferenceData!$AY$206),"")</f>
        <v>69.024778979999994</v>
      </c>
      <c r="AZ206">
        <f ca="1">IFERROR(IF(0=LEN(ReferenceData!$AZ$206),"",ReferenceData!$AZ$206),"")</f>
        <v>1776.2780680000001</v>
      </c>
      <c r="BA206">
        <f ca="1">IFERROR(IF(0=LEN(ReferenceData!$BA$206),"",ReferenceData!$BA$206),"")</f>
        <v>124.8439917</v>
      </c>
      <c r="BB206">
        <f ca="1">IFERROR(IF(0=LEN(ReferenceData!$BB$206),"",ReferenceData!$BB$206),"")</f>
        <v>93.481811390000004</v>
      </c>
      <c r="BC206">
        <f ca="1">IFERROR(IF(0=LEN(ReferenceData!$BC$206),"",ReferenceData!$BC$206),"")</f>
        <v>107.0199597</v>
      </c>
      <c r="BD206">
        <f ca="1">IFERROR(IF(0=LEN(ReferenceData!$BD$206),"",ReferenceData!$BD$206),"")</f>
        <v>674.56135380000001</v>
      </c>
      <c r="BE206" t="str">
        <f ca="1">IFERROR(IF(0=LEN(ReferenceData!$BE$206),"",ReferenceData!$BE$206),"")</f>
        <v/>
      </c>
      <c r="BF206">
        <f ca="1">IFERROR(IF(0=LEN(ReferenceData!$BF$206),"",ReferenceData!$BF$206),"")</f>
        <v>0</v>
      </c>
      <c r="BG206" t="str">
        <f ca="1">IFERROR(IF(0=LEN(ReferenceData!$BG$206),"",ReferenceData!$BG$206),"")</f>
        <v/>
      </c>
      <c r="BH206" t="str">
        <f ca="1">IFERROR(IF(0=LEN(ReferenceData!$BH$206),"",ReferenceData!$BH$206),"")</f>
        <v/>
      </c>
      <c r="BI206" t="str">
        <f ca="1">IFERROR(IF(0=LEN(ReferenceData!$BI$206),"",ReferenceData!$BI$206),"")</f>
        <v/>
      </c>
      <c r="BJ206" t="str">
        <f ca="1">IFERROR(IF(0=LEN(ReferenceData!$BJ$206),"",ReferenceData!$BJ$206),"")</f>
        <v/>
      </c>
      <c r="BK206" t="str">
        <f ca="1">IFERROR(IF(0=LEN(ReferenceData!$BK$206),"",ReferenceData!$BK$206),"")</f>
        <v/>
      </c>
      <c r="BL206" t="str">
        <f ca="1">IFERROR(IF(0=LEN(ReferenceData!$BL$206),"",ReferenceData!$BL$206),"")</f>
        <v/>
      </c>
      <c r="BM206" t="str">
        <f ca="1">IFERROR(IF(0=LEN(ReferenceData!$BM$206),"",ReferenceData!$BM$206),"")</f>
        <v/>
      </c>
    </row>
    <row r="207" spans="1:65">
      <c r="A207" t="str">
        <f>IFERROR(IF(0=LEN(ReferenceData!$A$207),"",ReferenceData!$A$207),"")</f>
        <v xml:space="preserve">    Equity Residential</v>
      </c>
      <c r="B207" t="str">
        <f>IFERROR(IF(0=LEN(ReferenceData!$B$207),"",ReferenceData!$B$207),"")</f>
        <v>EQR US Equity</v>
      </c>
      <c r="C207" t="str">
        <f>IFERROR(IF(0=LEN(ReferenceData!$C$207),"",ReferenceData!$C$207),"")</f>
        <v>RR106</v>
      </c>
      <c r="D207" t="str">
        <f>IFERROR(IF(0=LEN(ReferenceData!$D$207),"",ReferenceData!$D$207),"")</f>
        <v>FFO_PAYOUT_RATIO</v>
      </c>
      <c r="E207" t="str">
        <f>IFERROR(IF(0=LEN(ReferenceData!$E$207),"",ReferenceData!$E$207),"")</f>
        <v>动态</v>
      </c>
      <c r="F207" t="str">
        <f ca="1">IFERROR(IF(0=LEN(ReferenceData!$F$207),"",ReferenceData!$F$207),"")</f>
        <v/>
      </c>
      <c r="G207">
        <f ca="1">IFERROR(IF(0=LEN(ReferenceData!$G$207),"",ReferenceData!$G$207),"")</f>
        <v>59.13287485</v>
      </c>
      <c r="H207">
        <f ca="1">IFERROR(IF(0=LEN(ReferenceData!$H$207),"",ReferenceData!$H$207),"")</f>
        <v>59.931092329999998</v>
      </c>
      <c r="I207">
        <f ca="1">IFERROR(IF(0=LEN(ReferenceData!$I$207),"",ReferenceData!$I$207),"")</f>
        <v>62.890954979999997</v>
      </c>
      <c r="J207">
        <f ca="1">IFERROR(IF(0=LEN(ReferenceData!$J$207),"",ReferenceData!$J$207),"")</f>
        <v>63.77307828</v>
      </c>
      <c r="K207">
        <f ca="1">IFERROR(IF(0=LEN(ReferenceData!$K$207),"",ReferenceData!$K$207),"")</f>
        <v>60.282054729999999</v>
      </c>
      <c r="L207">
        <f ca="1">IFERROR(IF(0=LEN(ReferenceData!$L$207),"",ReferenceData!$L$207),"")</f>
        <v>804.64154340000005</v>
      </c>
      <c r="M207">
        <f ca="1">IFERROR(IF(0=LEN(ReferenceData!$M$207),"",ReferenceData!$M$207),"")</f>
        <v>53.352257260000002</v>
      </c>
      <c r="N207">
        <f ca="1">IFERROR(IF(0=LEN(ReferenceData!$N$207),"",ReferenceData!$N$207),"")</f>
        <v>3370.6419700000001</v>
      </c>
      <c r="O207">
        <f ca="1">IFERROR(IF(0=LEN(ReferenceData!$O$207),"",ReferenceData!$O$207),"")</f>
        <v>57.177347509999997</v>
      </c>
      <c r="P207">
        <f ca="1">IFERROR(IF(0=LEN(ReferenceData!$P$207),"",ReferenceData!$P$207),"")</f>
        <v>60.585717019999997</v>
      </c>
      <c r="Q207">
        <f ca="1">IFERROR(IF(0=LEN(ReferenceData!$Q$207),"",ReferenceData!$Q$207),"")</f>
        <v>58.839184420000002</v>
      </c>
      <c r="R207">
        <f ca="1">IFERROR(IF(0=LEN(ReferenceData!$R$207),"",ReferenceData!$R$207),"")</f>
        <v>67.013734349999993</v>
      </c>
      <c r="S207">
        <f ca="1">IFERROR(IF(0=LEN(ReferenceData!$S$207),"",ReferenceData!$S$207),"")</f>
        <v>55.069655089999998</v>
      </c>
      <c r="T207">
        <f ca="1">IFERROR(IF(0=LEN(ReferenceData!$T$207),"",ReferenceData!$T$207),"")</f>
        <v>59.09006187</v>
      </c>
      <c r="U207">
        <f ca="1">IFERROR(IF(0=LEN(ReferenceData!$U$207),"",ReferenceData!$U$207),"")</f>
        <v>62.042217919999999</v>
      </c>
      <c r="V207">
        <f ca="1">IFERROR(IF(0=LEN(ReferenceData!$V$207),"",ReferenceData!$V$207),"")</f>
        <v>67.850622090000002</v>
      </c>
      <c r="W207">
        <f ca="1">IFERROR(IF(0=LEN(ReferenceData!$W$207),"",ReferenceData!$W$207),"")</f>
        <v>93.04819311</v>
      </c>
      <c r="X207">
        <f ca="1">IFERROR(IF(0=LEN(ReferenceData!$X$207),"",ReferenceData!$X$207),"")</f>
        <v>53.849814790000003</v>
      </c>
      <c r="Y207">
        <f ca="1">IFERROR(IF(0=LEN(ReferenceData!$Y$207),"",ReferenceData!$Y$207),"")</f>
        <v>52.386123220000002</v>
      </c>
      <c r="Z207">
        <f ca="1">IFERROR(IF(0=LEN(ReferenceData!$Z$207),"",ReferenceData!$Z$207),"")</f>
        <v>170.66895890000001</v>
      </c>
      <c r="AA207">
        <f ca="1">IFERROR(IF(0=LEN(ReferenceData!$AA$207),"",ReferenceData!$AA$207),"")</f>
        <v>77.334497099999993</v>
      </c>
      <c r="AB207">
        <f ca="1">IFERROR(IF(0=LEN(ReferenceData!$AB$207),"",ReferenceData!$AB$207),"")</f>
        <v>34.792019459999999</v>
      </c>
      <c r="AC207">
        <f ca="1">IFERROR(IF(0=LEN(ReferenceData!$AC$207),"",ReferenceData!$AC$207),"")</f>
        <v>49.529291489999999</v>
      </c>
      <c r="AD207">
        <f ca="1">IFERROR(IF(0=LEN(ReferenceData!$AD$207),"",ReferenceData!$AD$207),"")</f>
        <v>53.556961569999999</v>
      </c>
      <c r="AE207">
        <f ca="1">IFERROR(IF(0=LEN(ReferenceData!$AE$207),"",ReferenceData!$AE$207),"")</f>
        <v>83.414936040000001</v>
      </c>
      <c r="AF207">
        <f ca="1">IFERROR(IF(0=LEN(ReferenceData!$AF$207),"",ReferenceData!$AF$207),"")</f>
        <v>50.787148190000003</v>
      </c>
      <c r="AG207">
        <f ca="1">IFERROR(IF(0=LEN(ReferenceData!$AG$207),"",ReferenceData!$AG$207),"")</f>
        <v>55.024933050000001</v>
      </c>
      <c r="AH207">
        <f ca="1">IFERROR(IF(0=LEN(ReferenceData!$AH$207),"",ReferenceData!$AH$207),"")</f>
        <v>56.989704879999998</v>
      </c>
      <c r="AI207">
        <f ca="1">IFERROR(IF(0=LEN(ReferenceData!$AI$207),"",ReferenceData!$AI$207),"")</f>
        <v>95.878157299999998</v>
      </c>
      <c r="AJ207">
        <f ca="1">IFERROR(IF(0=LEN(ReferenceData!$AJ$207),"",ReferenceData!$AJ$207),"")</f>
        <v>57.452770970000003</v>
      </c>
      <c r="AK207">
        <f ca="1">IFERROR(IF(0=LEN(ReferenceData!$AK$207),"",ReferenceData!$AK$207),"")</f>
        <v>54.46958368</v>
      </c>
      <c r="AL207">
        <f ca="1">IFERROR(IF(0=LEN(ReferenceData!$AL$207),"",ReferenceData!$AL$207),"")</f>
        <v>65.137462859999999</v>
      </c>
      <c r="AM207">
        <f ca="1">IFERROR(IF(0=LEN(ReferenceData!$AM$207),"",ReferenceData!$AM$207),"")</f>
        <v>73.339324160000004</v>
      </c>
      <c r="AN207">
        <f ca="1">IFERROR(IF(0=LEN(ReferenceData!$AN$207),"",ReferenceData!$AN$207),"")</f>
        <v>59.864128669999999</v>
      </c>
      <c r="AO207">
        <f ca="1">IFERROR(IF(0=LEN(ReferenceData!$AO$207),"",ReferenceData!$AO$207),"")</f>
        <v>78.148488360000002</v>
      </c>
      <c r="AP207">
        <f ca="1">IFERROR(IF(0=LEN(ReferenceData!$AP$207),"",ReferenceData!$AP$207),"")</f>
        <v>79.183513219999995</v>
      </c>
      <c r="AQ207">
        <f ca="1">IFERROR(IF(0=LEN(ReferenceData!$AQ$207),"",ReferenceData!$AQ$207),"")</f>
        <v>165.4811162</v>
      </c>
      <c r="AR207">
        <f ca="1">IFERROR(IF(0=LEN(ReferenceData!$AR$207),"",ReferenceData!$AR$207),"")</f>
        <v>69.968815039999996</v>
      </c>
      <c r="AS207">
        <f ca="1">IFERROR(IF(0=LEN(ReferenceData!$AS$207),"",ReferenceData!$AS$207),"")</f>
        <v>70.390115089999995</v>
      </c>
      <c r="AT207">
        <f ca="1">IFERROR(IF(0=LEN(ReferenceData!$AT$207),"",ReferenceData!$AT$207),"")</f>
        <v>77.179325739999996</v>
      </c>
      <c r="AU207">
        <f ca="1">IFERROR(IF(0=LEN(ReferenceData!$AU$207),"",ReferenceData!$AU$207),"")</f>
        <v>67.034982069999998</v>
      </c>
      <c r="AV207">
        <f ca="1">IFERROR(IF(0=LEN(ReferenceData!$AV$207),"",ReferenceData!$AV$207),"")</f>
        <v>73.079383379999996</v>
      </c>
      <c r="AW207">
        <f ca="1">IFERROR(IF(0=LEN(ReferenceData!$AW$207),"",ReferenceData!$AW$207),"")</f>
        <v>71.253514030000005</v>
      </c>
      <c r="AX207">
        <f ca="1">IFERROR(IF(0=LEN(ReferenceData!$AX$207),"",ReferenceData!$AX$207),"")</f>
        <v>78.122106529999996</v>
      </c>
      <c r="AY207">
        <f ca="1">IFERROR(IF(0=LEN(ReferenceData!$AY$207),"",ReferenceData!$AY$207),"")</f>
        <v>87.298871849999998</v>
      </c>
      <c r="AZ207">
        <f ca="1">IFERROR(IF(0=LEN(ReferenceData!$AZ$207),"",ReferenceData!$AZ$207),"")</f>
        <v>65.677433719999996</v>
      </c>
      <c r="BA207">
        <f ca="1">IFERROR(IF(0=LEN(ReferenceData!$BA$207),"",ReferenceData!$BA$207),"")</f>
        <v>66.716001599999998</v>
      </c>
      <c r="BB207">
        <f ca="1">IFERROR(IF(0=LEN(ReferenceData!$BB$207),"",ReferenceData!$BB$207),"")</f>
        <v>73.273986269999995</v>
      </c>
      <c r="BC207">
        <f ca="1">IFERROR(IF(0=LEN(ReferenceData!$BC$207),"",ReferenceData!$BC$207),"")</f>
        <v>61.618103230000003</v>
      </c>
      <c r="BD207">
        <f ca="1">IFERROR(IF(0=LEN(ReferenceData!$BD$207),"",ReferenceData!$BD$207),"")</f>
        <v>70.650323639999996</v>
      </c>
      <c r="BE207">
        <f ca="1">IFERROR(IF(0=LEN(ReferenceData!$BE$207),"",ReferenceData!$BE$207),"")</f>
        <v>71.120133670000001</v>
      </c>
      <c r="BF207">
        <f ca="1">IFERROR(IF(0=LEN(ReferenceData!$BF$207),"",ReferenceData!$BF$207),"")</f>
        <v>53.54303968</v>
      </c>
      <c r="BG207">
        <f ca="1">IFERROR(IF(0=LEN(ReferenceData!$BG$207),"",ReferenceData!$BG$207),"")</f>
        <v>72.41037833</v>
      </c>
      <c r="BH207">
        <f ca="1">IFERROR(IF(0=LEN(ReferenceData!$BH$207),"",ReferenceData!$BH$207),"")</f>
        <v>79.081238369999994</v>
      </c>
      <c r="BI207">
        <f ca="1">IFERROR(IF(0=LEN(ReferenceData!$BI$207),"",ReferenceData!$BI$207),"")</f>
        <v>834.0470464</v>
      </c>
      <c r="BJ207">
        <f ca="1">IFERROR(IF(0=LEN(ReferenceData!$BJ$207),"",ReferenceData!$BJ$207),"")</f>
        <v>76.881883479999999</v>
      </c>
      <c r="BK207" t="str">
        <f ca="1">IFERROR(IF(0=LEN(ReferenceData!$BK$207),"",ReferenceData!$BK$207),"")</f>
        <v/>
      </c>
      <c r="BL207">
        <f ca="1">IFERROR(IF(0=LEN(ReferenceData!$BL$207),"",ReferenceData!$BL$207),"")</f>
        <v>70.027781050000002</v>
      </c>
      <c r="BM207">
        <f ca="1">IFERROR(IF(0=LEN(ReferenceData!$BM$207),"",ReferenceData!$BM$207),"")</f>
        <v>69.029366460000006</v>
      </c>
    </row>
    <row r="208" spans="1:65">
      <c r="A208" t="str">
        <f>IFERROR(IF(0=LEN(ReferenceData!$A$208),"",ReferenceData!$A$208),"")</f>
        <v xml:space="preserve">    Essex Property Trust Inc</v>
      </c>
      <c r="B208" t="str">
        <f>IFERROR(IF(0=LEN(ReferenceData!$B$208),"",ReferenceData!$B$208),"")</f>
        <v>ESS US Equity</v>
      </c>
      <c r="C208" t="str">
        <f>IFERROR(IF(0=LEN(ReferenceData!$C$208),"",ReferenceData!$C$208),"")</f>
        <v>RR106</v>
      </c>
      <c r="D208" t="str">
        <f>IFERROR(IF(0=LEN(ReferenceData!$D$208),"",ReferenceData!$D$208),"")</f>
        <v>FFO_PAYOUT_RATIO</v>
      </c>
      <c r="E208" t="str">
        <f>IFERROR(IF(0=LEN(ReferenceData!$E$208),"",ReferenceData!$E$208),"")</f>
        <v>动态</v>
      </c>
      <c r="F208" t="str">
        <f ca="1">IFERROR(IF(0=LEN(ReferenceData!$F$208),"",ReferenceData!$F$208),"")</f>
        <v/>
      </c>
      <c r="G208">
        <f ca="1">IFERROR(IF(0=LEN(ReferenceData!$G$208),"",ReferenceData!$G$208),"")</f>
        <v>56.278304730000002</v>
      </c>
      <c r="H208">
        <f ca="1">IFERROR(IF(0=LEN(ReferenceData!$H$208),"",ReferenceData!$H$208),"")</f>
        <v>56.774965960000003</v>
      </c>
      <c r="I208">
        <f ca="1">IFERROR(IF(0=LEN(ReferenceData!$I$208),"",ReferenceData!$I$208),"")</f>
        <v>56.78551727</v>
      </c>
      <c r="J208">
        <f ca="1">IFERROR(IF(0=LEN(ReferenceData!$J$208),"",ReferenceData!$J$208),"")</f>
        <v>57.131272600000003</v>
      </c>
      <c r="K208">
        <f ca="1">IFERROR(IF(0=LEN(ReferenceData!$K$208),"",ReferenceData!$K$208),"")</f>
        <v>54.183836220000003</v>
      </c>
      <c r="L208">
        <f ca="1">IFERROR(IF(0=LEN(ReferenceData!$L$208),"",ReferenceData!$L$208),"")</f>
        <v>54.84595762</v>
      </c>
      <c r="M208">
        <f ca="1">IFERROR(IF(0=LEN(ReferenceData!$M$208),"",ReferenceData!$M$208),"")</f>
        <v>54.83447099</v>
      </c>
      <c r="N208">
        <f ca="1">IFERROR(IF(0=LEN(ReferenceData!$N$208),"",ReferenceData!$N$208),"")</f>
        <v>58.43475316</v>
      </c>
      <c r="O208">
        <f ca="1">IFERROR(IF(0=LEN(ReferenceData!$O$208),"",ReferenceData!$O$208),"")</f>
        <v>54.838926780000001</v>
      </c>
      <c r="P208">
        <f ca="1">IFERROR(IF(0=LEN(ReferenceData!$P$208),"",ReferenceData!$P$208),"")</f>
        <v>54.886522909999997</v>
      </c>
      <c r="Q208">
        <f ca="1">IFERROR(IF(0=LEN(ReferenceData!$Q$208),"",ReferenceData!$Q$208),"")</f>
        <v>58.304021990000003</v>
      </c>
      <c r="R208">
        <f ca="1">IFERROR(IF(0=LEN(ReferenceData!$R$208),"",ReferenceData!$R$208),"")</f>
        <v>62.243692539999998</v>
      </c>
      <c r="S208">
        <f ca="1">IFERROR(IF(0=LEN(ReferenceData!$S$208),"",ReferenceData!$S$208),"")</f>
        <v>54.721653910000001</v>
      </c>
      <c r="T208">
        <f ca="1">IFERROR(IF(0=LEN(ReferenceData!$T$208),"",ReferenceData!$T$208),"")</f>
        <v>60.141364869999997</v>
      </c>
      <c r="U208">
        <f ca="1">IFERROR(IF(0=LEN(ReferenceData!$U$208),"",ReferenceData!$U$208),"")</f>
        <v>72.680867199999994</v>
      </c>
      <c r="V208">
        <f ca="1">IFERROR(IF(0=LEN(ReferenceData!$V$208),"",ReferenceData!$V$208),"")</f>
        <v>69.669519030000004</v>
      </c>
      <c r="W208">
        <f ca="1">IFERROR(IF(0=LEN(ReferenceData!$W$208),"",ReferenceData!$W$208),"")</f>
        <v>63.563535639999998</v>
      </c>
      <c r="X208">
        <f ca="1">IFERROR(IF(0=LEN(ReferenceData!$X$208),"",ReferenceData!$X$208),"")</f>
        <v>61.555755400000002</v>
      </c>
      <c r="Y208">
        <f ca="1">IFERROR(IF(0=LEN(ReferenceData!$Y$208),"",ReferenceData!$Y$208),"")</f>
        <v>59.681768069999997</v>
      </c>
      <c r="Z208">
        <f ca="1">IFERROR(IF(0=LEN(ReferenceData!$Z$208),"",ReferenceData!$Z$208),"")</f>
        <v>60.101081909999998</v>
      </c>
      <c r="AA208">
        <f ca="1">IFERROR(IF(0=LEN(ReferenceData!$AA$208),"",ReferenceData!$AA$208),"")</f>
        <v>60.291571609999998</v>
      </c>
      <c r="AB208">
        <f ca="1">IFERROR(IF(0=LEN(ReferenceData!$AB$208),"",ReferenceData!$AB$208),"")</f>
        <v>64.173122739999997</v>
      </c>
      <c r="AC208">
        <f ca="1">IFERROR(IF(0=LEN(ReferenceData!$AC$208),"",ReferenceData!$AC$208),"")</f>
        <v>60.900099609999998</v>
      </c>
      <c r="AD208">
        <f ca="1">IFERROR(IF(0=LEN(ReferenceData!$AD$208),"",ReferenceData!$AD$208),"")</f>
        <v>65.717708999999999</v>
      </c>
      <c r="AE208">
        <f ca="1">IFERROR(IF(0=LEN(ReferenceData!$AE$208),"",ReferenceData!$AE$208),"")</f>
        <v>62.806589889999998</v>
      </c>
      <c r="AF208">
        <f ca="1">IFERROR(IF(0=LEN(ReferenceData!$AF$208),"",ReferenceData!$AF$208),"")</f>
        <v>68.180031110000002</v>
      </c>
      <c r="AG208">
        <f ca="1">IFERROR(IF(0=LEN(ReferenceData!$AG$208),"",ReferenceData!$AG$208),"")</f>
        <v>77.643965170000001</v>
      </c>
      <c r="AH208">
        <f ca="1">IFERROR(IF(0=LEN(ReferenceData!$AH$208),"",ReferenceData!$AH$208),"")</f>
        <v>69.923122899999996</v>
      </c>
      <c r="AI208">
        <f ca="1">IFERROR(IF(0=LEN(ReferenceData!$AI$208),"",ReferenceData!$AI$208),"")</f>
        <v>73.534212460000006</v>
      </c>
      <c r="AJ208">
        <f ca="1">IFERROR(IF(0=LEN(ReferenceData!$AJ$208),"",ReferenceData!$AJ$208),"")</f>
        <v>76.815042149999996</v>
      </c>
      <c r="AK208">
        <f ca="1">IFERROR(IF(0=LEN(ReferenceData!$AK$208),"",ReferenceData!$AK$208),"")</f>
        <v>71.030006589999999</v>
      </c>
      <c r="AL208">
        <f ca="1">IFERROR(IF(0=LEN(ReferenceData!$AL$208),"",ReferenceData!$AL$208),"")</f>
        <v>65.417209659999997</v>
      </c>
      <c r="AM208">
        <f ca="1">IFERROR(IF(0=LEN(ReferenceData!$AM$208),"",ReferenceData!$AM$208),"")</f>
        <v>81.314906840000006</v>
      </c>
      <c r="AN208">
        <f ca="1">IFERROR(IF(0=LEN(ReferenceData!$AN$208),"",ReferenceData!$AN$208),"")</f>
        <v>55.956291309999997</v>
      </c>
      <c r="AO208">
        <f ca="1">IFERROR(IF(0=LEN(ReferenceData!$AO$208),"",ReferenceData!$AO$208),"")</f>
        <v>65.797453000000004</v>
      </c>
      <c r="AP208">
        <f ca="1">IFERROR(IF(0=LEN(ReferenceData!$AP$208),"",ReferenceData!$AP$208),"")</f>
        <v>37.617076859999997</v>
      </c>
      <c r="AQ208">
        <f ca="1">IFERROR(IF(0=LEN(ReferenceData!$AQ$208),"",ReferenceData!$AQ$208),"")</f>
        <v>61.242100399999998</v>
      </c>
      <c r="AR208">
        <f ca="1">IFERROR(IF(0=LEN(ReferenceData!$AR$208),"",ReferenceData!$AR$208),"")</f>
        <v>60.852754099999999</v>
      </c>
      <c r="AS208">
        <f ca="1">IFERROR(IF(0=LEN(ReferenceData!$AS$208),"",ReferenceData!$AS$208),"")</f>
        <v>64.39148342</v>
      </c>
      <c r="AT208">
        <f ca="1">IFERROR(IF(0=LEN(ReferenceData!$AT$208),"",ReferenceData!$AT$208),"")</f>
        <v>56.31304042</v>
      </c>
      <c r="AU208">
        <f ca="1">IFERROR(IF(0=LEN(ReferenceData!$AU$208),"",ReferenceData!$AU$208),"")</f>
        <v>67.274174849999994</v>
      </c>
      <c r="AV208">
        <f ca="1">IFERROR(IF(0=LEN(ReferenceData!$AV$208),"",ReferenceData!$AV$208),"")</f>
        <v>62.707536249999997</v>
      </c>
      <c r="AW208">
        <f ca="1">IFERROR(IF(0=LEN(ReferenceData!$AW$208),"",ReferenceData!$AW$208),"")</f>
        <v>62.414030959999998</v>
      </c>
      <c r="AX208">
        <f ca="1">IFERROR(IF(0=LEN(ReferenceData!$AX$208),"",ReferenceData!$AX$208),"")</f>
        <v>48.014078189999999</v>
      </c>
      <c r="AY208">
        <f ca="1">IFERROR(IF(0=LEN(ReferenceData!$AY$208),"",ReferenceData!$AY$208),"")</f>
        <v>78.917360720000005</v>
      </c>
      <c r="AZ208">
        <f ca="1">IFERROR(IF(0=LEN(ReferenceData!$AZ$208),"",ReferenceData!$AZ$208),"")</f>
        <v>59.167869119999999</v>
      </c>
      <c r="BA208">
        <f ca="1">IFERROR(IF(0=LEN(ReferenceData!$BA$208),"",ReferenceData!$BA$208),"")</f>
        <v>51.889923770000003</v>
      </c>
      <c r="BB208">
        <f ca="1">IFERROR(IF(0=LEN(ReferenceData!$BB$208),"",ReferenceData!$BB$208),"")</f>
        <v>66.439506170000001</v>
      </c>
      <c r="BC208">
        <f ca="1">IFERROR(IF(0=LEN(ReferenceData!$BC$208),"",ReferenceData!$BC$208),"")</f>
        <v>95.439935629999994</v>
      </c>
      <c r="BD208">
        <f ca="1">IFERROR(IF(0=LEN(ReferenceData!$BD$208),"",ReferenceData!$BD$208),"")</f>
        <v>63.090139860000001</v>
      </c>
      <c r="BE208">
        <f ca="1">IFERROR(IF(0=LEN(ReferenceData!$BE$208),"",ReferenceData!$BE$208),"")</f>
        <v>67.851823530000004</v>
      </c>
      <c r="BF208">
        <f ca="1">IFERROR(IF(0=LEN(ReferenceData!$BF$208),"",ReferenceData!$BF$208),"")</f>
        <v>56.852158719999998</v>
      </c>
      <c r="BG208">
        <f ca="1">IFERROR(IF(0=LEN(ReferenceData!$BG$208),"",ReferenceData!$BG$208),"")</f>
        <v>61.953712119999999</v>
      </c>
      <c r="BH208">
        <f ca="1">IFERROR(IF(0=LEN(ReferenceData!$BH$208),"",ReferenceData!$BH$208),"")</f>
        <v>52.575953030000001</v>
      </c>
      <c r="BI208">
        <f ca="1">IFERROR(IF(0=LEN(ReferenceData!$BI$208),"",ReferenceData!$BI$208),"")</f>
        <v>72.939355390000003</v>
      </c>
      <c r="BJ208">
        <f ca="1">IFERROR(IF(0=LEN(ReferenceData!$BJ$208),"",ReferenceData!$BJ$208),"")</f>
        <v>73.767685990000004</v>
      </c>
      <c r="BK208">
        <f ca="1">IFERROR(IF(0=LEN(ReferenceData!$BK$208),"",ReferenceData!$BK$208),"")</f>
        <v>75.666062760000003</v>
      </c>
      <c r="BL208">
        <f ca="1">IFERROR(IF(0=LEN(ReferenceData!$BL$208),"",ReferenceData!$BL$208),"")</f>
        <v>66.200197610000004</v>
      </c>
      <c r="BM208">
        <f ca="1">IFERROR(IF(0=LEN(ReferenceData!$BM$208),"",ReferenceData!$BM$208),"")</f>
        <v>66.244102150000003</v>
      </c>
    </row>
    <row r="209" spans="1:65">
      <c r="A209" t="str">
        <f>IFERROR(IF(0=LEN(ReferenceData!$A$209),"",ReferenceData!$A$209),"")</f>
        <v xml:space="preserve">    Mid-America Apartment Communit</v>
      </c>
      <c r="B209" t="str">
        <f>IFERROR(IF(0=LEN(ReferenceData!$B$209),"",ReferenceData!$B$209),"")</f>
        <v>MAA US Equity</v>
      </c>
      <c r="C209" t="str">
        <f>IFERROR(IF(0=LEN(ReferenceData!$C$209),"",ReferenceData!$C$209),"")</f>
        <v>RR106</v>
      </c>
      <c r="D209" t="str">
        <f>IFERROR(IF(0=LEN(ReferenceData!$D$209),"",ReferenceData!$D$209),"")</f>
        <v>FFO_PAYOUT_RATIO</v>
      </c>
      <c r="E209" t="str">
        <f>IFERROR(IF(0=LEN(ReferenceData!$E$209),"",ReferenceData!$E$209),"")</f>
        <v>动态</v>
      </c>
      <c r="F209" t="str">
        <f ca="1">IFERROR(IF(0=LEN(ReferenceData!$F$209),"",ReferenceData!$F$209),"")</f>
        <v/>
      </c>
      <c r="G209">
        <f ca="1">IFERROR(IF(0=LEN(ReferenceData!$G$209),"",ReferenceData!$G$209),"")</f>
        <v>59.063760240000001</v>
      </c>
      <c r="H209">
        <f ca="1">IFERROR(IF(0=LEN(ReferenceData!$H$209),"",ReferenceData!$H$209),"")</f>
        <v>56.00184994</v>
      </c>
      <c r="I209">
        <f ca="1">IFERROR(IF(0=LEN(ReferenceData!$I$209),"",ReferenceData!$I$209),"")</f>
        <v>56.554263900000002</v>
      </c>
      <c r="J209">
        <f ca="1">IFERROR(IF(0=LEN(ReferenceData!$J$209),"",ReferenceData!$J$209),"")</f>
        <v>57.432455570000002</v>
      </c>
      <c r="K209">
        <f ca="1">IFERROR(IF(0=LEN(ReferenceData!$K$209),"",ReferenceData!$K$209),"")</f>
        <v>73.582043850000005</v>
      </c>
      <c r="L209">
        <f ca="1">IFERROR(IF(0=LEN(ReferenceData!$L$209),"",ReferenceData!$L$209),"")</f>
        <v>52.657843120000003</v>
      </c>
      <c r="M209">
        <f ca="1">IFERROR(IF(0=LEN(ReferenceData!$M$209),"",ReferenceData!$M$209),"")</f>
        <v>50.362368029999999</v>
      </c>
      <c r="N209">
        <f ca="1">IFERROR(IF(0=LEN(ReferenceData!$N$209),"",ReferenceData!$N$209),"")</f>
        <v>51.874251350000002</v>
      </c>
      <c r="O209">
        <f ca="1">IFERROR(IF(0=LEN(ReferenceData!$O$209),"",ReferenceData!$O$209),"")</f>
        <v>52.009361720000001</v>
      </c>
      <c r="P209">
        <f ca="1">IFERROR(IF(0=LEN(ReferenceData!$P$209),"",ReferenceData!$P$209),"")</f>
        <v>50.542152270000003</v>
      </c>
      <c r="Q209">
        <f ca="1">IFERROR(IF(0=LEN(ReferenceData!$Q$209),"",ReferenceData!$Q$209),"")</f>
        <v>51.512424350000003</v>
      </c>
      <c r="R209">
        <f ca="1">IFERROR(IF(0=LEN(ReferenceData!$R$209),"",ReferenceData!$R$209),"")</f>
        <v>54.290151170000001</v>
      </c>
      <c r="S209">
        <f ca="1">IFERROR(IF(0=LEN(ReferenceData!$S$209),"",ReferenceData!$S$209),"")</f>
        <v>53.8637151</v>
      </c>
      <c r="T209">
        <f ca="1">IFERROR(IF(0=LEN(ReferenceData!$T$209),"",ReferenceData!$T$209),"")</f>
        <v>52.88866204</v>
      </c>
      <c r="U209">
        <f ca="1">IFERROR(IF(0=LEN(ReferenceData!$U$209),"",ReferenceData!$U$209),"")</f>
        <v>57.282296649999999</v>
      </c>
      <c r="V209">
        <f ca="1">IFERROR(IF(0=LEN(ReferenceData!$V$209),"",ReferenceData!$V$209),"")</f>
        <v>56.086883729999997</v>
      </c>
      <c r="W209">
        <f ca="1">IFERROR(IF(0=LEN(ReferenceData!$W$209),"",ReferenceData!$W$209),"")</f>
        <v>72.779788839999995</v>
      </c>
      <c r="X209">
        <f ca="1">IFERROR(IF(0=LEN(ReferenceData!$X$209),"",ReferenceData!$X$209),"")</f>
        <v>59.294114120000003</v>
      </c>
      <c r="Y209">
        <f ca="1">IFERROR(IF(0=LEN(ReferenceData!$Y$209),"",ReferenceData!$Y$209),"")</f>
        <v>58.489229860000002</v>
      </c>
      <c r="Z209">
        <f ca="1">IFERROR(IF(0=LEN(ReferenceData!$Z$209),"",ReferenceData!$Z$209),"")</f>
        <v>53.738749339999998</v>
      </c>
      <c r="AA209">
        <f ca="1">IFERROR(IF(0=LEN(ReferenceData!$AA$209),"",ReferenceData!$AA$209),"")</f>
        <v>55.481285929999999</v>
      </c>
      <c r="AB209">
        <f ca="1">IFERROR(IF(0=LEN(ReferenceData!$AB$209),"",ReferenceData!$AB$209),"")</f>
        <v>57.434971249999997</v>
      </c>
      <c r="AC209">
        <f ca="1">IFERROR(IF(0=LEN(ReferenceData!$AC$209),"",ReferenceData!$AC$209),"")</f>
        <v>56.021332559999998</v>
      </c>
      <c r="AD209">
        <f ca="1">IFERROR(IF(0=LEN(ReferenceData!$AD$209),"",ReferenceData!$AD$209),"")</f>
        <v>58.196615420000001</v>
      </c>
      <c r="AE209">
        <f ca="1">IFERROR(IF(0=LEN(ReferenceData!$AE$209),"",ReferenceData!$AE$209),"")</f>
        <v>58.405662569999997</v>
      </c>
      <c r="AF209">
        <f ca="1">IFERROR(IF(0=LEN(ReferenceData!$AF$209),"",ReferenceData!$AF$209),"")</f>
        <v>60.37250306</v>
      </c>
      <c r="AG209">
        <f ca="1">IFERROR(IF(0=LEN(ReferenceData!$AG$209),"",ReferenceData!$AG$209),"")</f>
        <v>64.577747059999993</v>
      </c>
      <c r="AH209">
        <f ca="1">IFERROR(IF(0=LEN(ReferenceData!$AH$209),"",ReferenceData!$AH$209),"")</f>
        <v>62.035161629999998</v>
      </c>
      <c r="AI209">
        <f ca="1">IFERROR(IF(0=LEN(ReferenceData!$AI$209),"",ReferenceData!$AI$209),"")</f>
        <v>62.183300119999998</v>
      </c>
      <c r="AJ209">
        <f ca="1">IFERROR(IF(0=LEN(ReferenceData!$AJ$209),"",ReferenceData!$AJ$209),"")</f>
        <v>70.428380189999999</v>
      </c>
      <c r="AK209">
        <f ca="1">IFERROR(IF(0=LEN(ReferenceData!$AK$209),"",ReferenceData!$AK$209),"")</f>
        <v>75.099382879999993</v>
      </c>
      <c r="AL209">
        <f ca="1">IFERROR(IF(0=LEN(ReferenceData!$AL$209),"",ReferenceData!$AL$209),"")</f>
        <v>58.953566950000003</v>
      </c>
      <c r="AM209">
        <f ca="1">IFERROR(IF(0=LEN(ReferenceData!$AM$209),"",ReferenceData!$AM$209),"")</f>
        <v>61.720729669999997</v>
      </c>
      <c r="AN209">
        <f ca="1">IFERROR(IF(0=LEN(ReferenceData!$AN$209),"",ReferenceData!$AN$209),"")</f>
        <v>64.443066599999995</v>
      </c>
      <c r="AO209">
        <f ca="1">IFERROR(IF(0=LEN(ReferenceData!$AO$209),"",ReferenceData!$AO$209),"")</f>
        <v>57.955254160000003</v>
      </c>
      <c r="AP209">
        <f ca="1">IFERROR(IF(0=LEN(ReferenceData!$AP$209),"",ReferenceData!$AP$209),"")</f>
        <v>56.215703820000002</v>
      </c>
      <c r="AQ209">
        <f ca="1">IFERROR(IF(0=LEN(ReferenceData!$AQ$209),"",ReferenceData!$AQ$209),"")</f>
        <v>61.39276564</v>
      </c>
      <c r="AR209">
        <f ca="1">IFERROR(IF(0=LEN(ReferenceData!$AR$209),"",ReferenceData!$AR$209),"")</f>
        <v>62.95975705</v>
      </c>
      <c r="AS209">
        <f ca="1">IFERROR(IF(0=LEN(ReferenceData!$AS$209),"",ReferenceData!$AS$209),"")</f>
        <v>60.55052465</v>
      </c>
      <c r="AT209">
        <f ca="1">IFERROR(IF(0=LEN(ReferenceData!$AT$209),"",ReferenceData!$AT$209),"")</f>
        <v>58.094285079999999</v>
      </c>
      <c r="AU209">
        <f ca="1">IFERROR(IF(0=LEN(ReferenceData!$AU$209),"",ReferenceData!$AU$209),"")</f>
        <v>72.931180800000007</v>
      </c>
      <c r="AV209">
        <f ca="1">IFERROR(IF(0=LEN(ReferenceData!$AV$209),"",ReferenceData!$AV$209),"")</f>
        <v>59.989092190000001</v>
      </c>
      <c r="AW209">
        <f ca="1">IFERROR(IF(0=LEN(ReferenceData!$AW$209),"",ReferenceData!$AW$209),"")</f>
        <v>65.392545729999995</v>
      </c>
      <c r="AX209">
        <f ca="1">IFERROR(IF(0=LEN(ReferenceData!$AX$209),"",ReferenceData!$AX$209),"")</f>
        <v>62.998651000000002</v>
      </c>
      <c r="AY209">
        <f ca="1">IFERROR(IF(0=LEN(ReferenceData!$AY$209),"",ReferenceData!$AY$209),"")</f>
        <v>72.371382990000001</v>
      </c>
      <c r="AZ209">
        <f ca="1">IFERROR(IF(0=LEN(ReferenceData!$AZ$209),"",ReferenceData!$AZ$209),"")</f>
        <v>64.964727839999995</v>
      </c>
      <c r="BA209">
        <f ca="1">IFERROR(IF(0=LEN(ReferenceData!$BA$209),"",ReferenceData!$BA$209),"")</f>
        <v>62.967682949999997</v>
      </c>
      <c r="BB209">
        <f ca="1">IFERROR(IF(0=LEN(ReferenceData!$BB$209),"",ReferenceData!$BB$209),"")</f>
        <v>126.7477985</v>
      </c>
      <c r="BC209">
        <f ca="1">IFERROR(IF(0=LEN(ReferenceData!$BC$209),"",ReferenceData!$BC$209),"")</f>
        <v>62.973027379999998</v>
      </c>
      <c r="BD209">
        <f ca="1">IFERROR(IF(0=LEN(ReferenceData!$BD$209),"",ReferenceData!$BD$209),"")</f>
        <v>138.95098089999999</v>
      </c>
      <c r="BE209">
        <f ca="1">IFERROR(IF(0=LEN(ReferenceData!$BE$209),"",ReferenceData!$BE$209),"")</f>
        <v>60.922519749999999</v>
      </c>
      <c r="BF209">
        <f ca="1">IFERROR(IF(0=LEN(ReferenceData!$BF$209),"",ReferenceData!$BF$209),"")</f>
        <v>32.663358410000001</v>
      </c>
      <c r="BG209">
        <f ca="1">IFERROR(IF(0=LEN(ReferenceData!$BG$209),"",ReferenceData!$BG$209),"")</f>
        <v>67.682985669999994</v>
      </c>
      <c r="BH209">
        <f ca="1">IFERROR(IF(0=LEN(ReferenceData!$BH$209),"",ReferenceData!$BH$209),"")</f>
        <v>69.436825209999995</v>
      </c>
      <c r="BI209">
        <f ca="1">IFERROR(IF(0=LEN(ReferenceData!$BI$209),"",ReferenceData!$BI$209),"")</f>
        <v>69.707670039999996</v>
      </c>
      <c r="BJ209">
        <f ca="1">IFERROR(IF(0=LEN(ReferenceData!$BJ$209),"",ReferenceData!$BJ$209),"")</f>
        <v>67.017327030000004</v>
      </c>
      <c r="BK209">
        <f ca="1">IFERROR(IF(0=LEN(ReferenceData!$BK$209),"",ReferenceData!$BK$209),"")</f>
        <v>68.169872249999997</v>
      </c>
      <c r="BL209">
        <f ca="1">IFERROR(IF(0=LEN(ReferenceData!$BL$209),"",ReferenceData!$BL$209),"")</f>
        <v>123.7088388</v>
      </c>
      <c r="BM209">
        <f ca="1">IFERROR(IF(0=LEN(ReferenceData!$BM$209),"",ReferenceData!$BM$209),"")</f>
        <v>69.195036169999995</v>
      </c>
    </row>
    <row r="210" spans="1:65">
      <c r="A210" t="str">
        <f>IFERROR(IF(0=LEN(ReferenceData!$A$210),"",ReferenceData!$A$210),"")</f>
        <v xml:space="preserve">    UDR Inc</v>
      </c>
      <c r="B210" t="str">
        <f>IFERROR(IF(0=LEN(ReferenceData!$B$210),"",ReferenceData!$B$210),"")</f>
        <v>UDR US Equity</v>
      </c>
      <c r="C210" t="str">
        <f>IFERROR(IF(0=LEN(ReferenceData!$C$210),"",ReferenceData!$C$210),"")</f>
        <v>RR106</v>
      </c>
      <c r="D210" t="str">
        <f>IFERROR(IF(0=LEN(ReferenceData!$D$210),"",ReferenceData!$D$210),"")</f>
        <v>FFO_PAYOUT_RATIO</v>
      </c>
      <c r="E210" t="str">
        <f>IFERROR(IF(0=LEN(ReferenceData!$E$210),"",ReferenceData!$E$210),"")</f>
        <v>动态</v>
      </c>
      <c r="F210" t="str">
        <f ca="1">IFERROR(IF(0=LEN(ReferenceData!$F$210),"",ReferenceData!$F$210),"")</f>
        <v/>
      </c>
      <c r="G210">
        <f ca="1">IFERROR(IF(0=LEN(ReferenceData!$G$210),"",ReferenceData!$G$210),"")</f>
        <v>60.623640850000001</v>
      </c>
      <c r="H210">
        <f ca="1">IFERROR(IF(0=LEN(ReferenceData!$H$210),"",ReferenceData!$H$210),"")</f>
        <v>60.510882879999997</v>
      </c>
      <c r="I210">
        <f ca="1">IFERROR(IF(0=LEN(ReferenceData!$I$210),"",ReferenceData!$I$210),"")</f>
        <v>61.895842819999999</v>
      </c>
      <c r="J210">
        <f ca="1">IFERROR(IF(0=LEN(ReferenceData!$J$210),"",ReferenceData!$J$210),"")</f>
        <v>61.713202219999999</v>
      </c>
      <c r="K210">
        <f ca="1">IFERROR(IF(0=LEN(ReferenceData!$K$210),"",ReferenceData!$K$210),"")</f>
        <v>56.92953129</v>
      </c>
      <c r="L210">
        <f ca="1">IFERROR(IF(0=LEN(ReferenceData!$L$210),"",ReferenceData!$L$210),"")</f>
        <v>57.844673479999997</v>
      </c>
      <c r="M210">
        <f ca="1">IFERROR(IF(0=LEN(ReferenceData!$M$210),"",ReferenceData!$M$210),"")</f>
        <v>60.197769860000001</v>
      </c>
      <c r="N210">
        <f ca="1">IFERROR(IF(0=LEN(ReferenceData!$N$210),"",ReferenceData!$N$210),"")</f>
        <v>62.623502879999997</v>
      </c>
      <c r="O210">
        <f ca="1">IFERROR(IF(0=LEN(ReferenceData!$O$210),"",ReferenceData!$O$210),"")</f>
        <v>61.104162799999997</v>
      </c>
      <c r="P210">
        <f ca="1">IFERROR(IF(0=LEN(ReferenceData!$P$210),"",ReferenceData!$P$210),"")</f>
        <v>63.263036800000002</v>
      </c>
      <c r="Q210">
        <f ca="1">IFERROR(IF(0=LEN(ReferenceData!$Q$210),"",ReferenceData!$Q$210),"")</f>
        <v>65.753925789999997</v>
      </c>
      <c r="R210">
        <f ca="1">IFERROR(IF(0=LEN(ReferenceData!$R$210),"",ReferenceData!$R$210),"")</f>
        <v>62.28367437</v>
      </c>
      <c r="S210">
        <f ca="1">IFERROR(IF(0=LEN(ReferenceData!$S$210),"",ReferenceData!$S$210),"")</f>
        <v>61.188247070000003</v>
      </c>
      <c r="T210" t="str">
        <f ca="1">IFERROR(IF(0=LEN(ReferenceData!$T$210),"",ReferenceData!$T$210),"")</f>
        <v/>
      </c>
      <c r="U210" t="str">
        <f ca="1">IFERROR(IF(0=LEN(ReferenceData!$U$210),"",ReferenceData!$U$210),"")</f>
        <v/>
      </c>
      <c r="V210">
        <f ca="1">IFERROR(IF(0=LEN(ReferenceData!$V$210),"",ReferenceData!$V$210),"")</f>
        <v>61.861145020000002</v>
      </c>
      <c r="W210">
        <f ca="1">IFERROR(IF(0=LEN(ReferenceData!$W$210),"",ReferenceData!$W$210),"")</f>
        <v>62.739962310000003</v>
      </c>
      <c r="X210">
        <f ca="1">IFERROR(IF(0=LEN(ReferenceData!$X$210),"",ReferenceData!$X$210),"")</f>
        <v>59.936208739999998</v>
      </c>
      <c r="Y210">
        <f ca="1">IFERROR(IF(0=LEN(ReferenceData!$Y$210),"",ReferenceData!$Y$210),"")</f>
        <v>61.43807297</v>
      </c>
      <c r="Z210">
        <f ca="1">IFERROR(IF(0=LEN(ReferenceData!$Z$210),"",ReferenceData!$Z$210),"")</f>
        <v>59.67325099</v>
      </c>
      <c r="AA210">
        <f ca="1">IFERROR(IF(0=LEN(ReferenceData!$AA$210),"",ReferenceData!$AA$210),"")</f>
        <v>67.360371619999995</v>
      </c>
      <c r="AB210">
        <f ca="1">IFERROR(IF(0=LEN(ReferenceData!$AB$210),"",ReferenceData!$AB$210),"")</f>
        <v>63.515809179999998</v>
      </c>
      <c r="AC210">
        <f ca="1">IFERROR(IF(0=LEN(ReferenceData!$AC$210),"",ReferenceData!$AC$210),"")</f>
        <v>63.421472739999999</v>
      </c>
      <c r="AD210">
        <f ca="1">IFERROR(IF(0=LEN(ReferenceData!$AD$210),"",ReferenceData!$AD$210),"")</f>
        <v>58.34530651</v>
      </c>
      <c r="AE210">
        <f ca="1">IFERROR(IF(0=LEN(ReferenceData!$AE$210),"",ReferenceData!$AE$210),"")</f>
        <v>58.399771800000003</v>
      </c>
      <c r="AF210">
        <f ca="1">IFERROR(IF(0=LEN(ReferenceData!$AF$210),"",ReferenceData!$AF$210),"")</f>
        <v>58.593371060000003</v>
      </c>
      <c r="AG210">
        <f ca="1">IFERROR(IF(0=LEN(ReferenceData!$AG$210),"",ReferenceData!$AG$210),"")</f>
        <v>59.92166855</v>
      </c>
      <c r="AH210">
        <f ca="1">IFERROR(IF(0=LEN(ReferenceData!$AH$210),"",ReferenceData!$AH$210),"")</f>
        <v>60.410452970000001</v>
      </c>
      <c r="AI210">
        <f ca="1">IFERROR(IF(0=LEN(ReferenceData!$AI$210),"",ReferenceData!$AI$210),"")</f>
        <v>62.567746339999999</v>
      </c>
      <c r="AJ210">
        <f ca="1">IFERROR(IF(0=LEN(ReferenceData!$AJ$210),"",ReferenceData!$AJ$210),"")</f>
        <v>65.262343509999994</v>
      </c>
      <c r="AK210">
        <f ca="1">IFERROR(IF(0=LEN(ReferenceData!$AK$210),"",ReferenceData!$AK$210),"")</f>
        <v>63.425567800000003</v>
      </c>
      <c r="AL210">
        <f ca="1">IFERROR(IF(0=LEN(ReferenceData!$AL$210),"",ReferenceData!$AL$210),"")</f>
        <v>63.502137310000002</v>
      </c>
      <c r="AM210">
        <f ca="1">IFERROR(IF(0=LEN(ReferenceData!$AM$210),"",ReferenceData!$AM$210),"")</f>
        <v>63.002269650000002</v>
      </c>
      <c r="AN210">
        <f ca="1">IFERROR(IF(0=LEN(ReferenceData!$AN$210),"",ReferenceData!$AN$210),"")</f>
        <v>93.776048900000006</v>
      </c>
      <c r="AO210">
        <f ca="1">IFERROR(IF(0=LEN(ReferenceData!$AO$210),"",ReferenceData!$AO$210),"")</f>
        <v>135.09849019999999</v>
      </c>
      <c r="AP210">
        <f ca="1">IFERROR(IF(0=LEN(ReferenceData!$AP$210),"",ReferenceData!$AP$210),"")</f>
        <v>79.946331180000001</v>
      </c>
      <c r="AQ210">
        <f ca="1">IFERROR(IF(0=LEN(ReferenceData!$AQ$210),"",ReferenceData!$AQ$210),"")</f>
        <v>331.57183939999999</v>
      </c>
      <c r="AR210">
        <f ca="1">IFERROR(IF(0=LEN(ReferenceData!$AR$210),"",ReferenceData!$AR$210),"")</f>
        <v>192.83267029999999</v>
      </c>
      <c r="AS210">
        <f ca="1">IFERROR(IF(0=LEN(ReferenceData!$AS$210),"",ReferenceData!$AS$210),"")</f>
        <v>99.767223240000007</v>
      </c>
      <c r="AT210">
        <f ca="1">IFERROR(IF(0=LEN(ReferenceData!$AT$210),"",ReferenceData!$AT$210),"")</f>
        <v>76.021837259999998</v>
      </c>
      <c r="AU210">
        <f ca="1">IFERROR(IF(0=LEN(ReferenceData!$AU$210),"",ReferenceData!$AU$210),"")</f>
        <v>76.509582379999998</v>
      </c>
      <c r="AV210">
        <f ca="1">IFERROR(IF(0=LEN(ReferenceData!$AV$210),"",ReferenceData!$AV$210),"")</f>
        <v>65.190560520000005</v>
      </c>
      <c r="AW210">
        <f ca="1">IFERROR(IF(0=LEN(ReferenceData!$AW$210),"",ReferenceData!$AW$210),"")</f>
        <v>68.074152900000001</v>
      </c>
      <c r="AX210">
        <f ca="1">IFERROR(IF(0=LEN(ReferenceData!$AX$210),"",ReferenceData!$AX$210),"")</f>
        <v>77.9541112</v>
      </c>
      <c r="AY210">
        <f ca="1">IFERROR(IF(0=LEN(ReferenceData!$AY$210),"",ReferenceData!$AY$210),"")</f>
        <v>69.081462160000001</v>
      </c>
      <c r="AZ210">
        <f ca="1">IFERROR(IF(0=LEN(ReferenceData!$AZ$210),"",ReferenceData!$AZ$210),"")</f>
        <v>70.461367240000001</v>
      </c>
      <c r="BA210">
        <f ca="1">IFERROR(IF(0=LEN(ReferenceData!$BA$210),"",ReferenceData!$BA$210),"")</f>
        <v>68.158641840000001</v>
      </c>
      <c r="BB210">
        <f ca="1">IFERROR(IF(0=LEN(ReferenceData!$BB$210),"",ReferenceData!$BB$210),"")</f>
        <v>67.896045439999995</v>
      </c>
      <c r="BC210">
        <f ca="1">IFERROR(IF(0=LEN(ReferenceData!$BC$210),"",ReferenceData!$BC$210),"")</f>
        <v>60.05098314</v>
      </c>
      <c r="BD210">
        <f ca="1">IFERROR(IF(0=LEN(ReferenceData!$BD$210),"",ReferenceData!$BD$210),"")</f>
        <v>69.956573770000006</v>
      </c>
      <c r="BE210">
        <f ca="1">IFERROR(IF(0=LEN(ReferenceData!$BE$210),"",ReferenceData!$BE$210),"")</f>
        <v>70.964435260000002</v>
      </c>
      <c r="BF210">
        <f ca="1">IFERROR(IF(0=LEN(ReferenceData!$BF$210),"",ReferenceData!$BF$210),"")</f>
        <v>71.017415060000005</v>
      </c>
      <c r="BG210">
        <f ca="1">IFERROR(IF(0=LEN(ReferenceData!$BG$210),"",ReferenceData!$BG$210),"")</f>
        <v>68.053740059999996</v>
      </c>
      <c r="BH210">
        <f ca="1">IFERROR(IF(0=LEN(ReferenceData!$BH$210),"",ReferenceData!$BH$210),"")</f>
        <v>73.417673179999994</v>
      </c>
      <c r="BI210">
        <f ca="1">IFERROR(IF(0=LEN(ReferenceData!$BI$210),"",ReferenceData!$BI$210),"")</f>
        <v>132.3205543</v>
      </c>
      <c r="BJ210">
        <f ca="1">IFERROR(IF(0=LEN(ReferenceData!$BJ$210),"",ReferenceData!$BJ$210),"")</f>
        <v>68.367719550000004</v>
      </c>
      <c r="BK210">
        <f ca="1">IFERROR(IF(0=LEN(ReferenceData!$BK$210),"",ReferenceData!$BK$210),"")</f>
        <v>59.863237699999999</v>
      </c>
      <c r="BL210">
        <f ca="1">IFERROR(IF(0=LEN(ReferenceData!$BL$210),"",ReferenceData!$BL$210),"")</f>
        <v>63.411450860000002</v>
      </c>
      <c r="BM210">
        <f ca="1">IFERROR(IF(0=LEN(ReferenceData!$BM$210),"",ReferenceData!$BM$210),"")</f>
        <v>61.144357329999998</v>
      </c>
    </row>
  </sheetData>
  <phoneticPr fontId="1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U440"/>
  <sheetViews>
    <sheetView workbookViewId="0"/>
  </sheetViews>
  <sheetFormatPr defaultRowHeight="13.5"/>
  <cols>
    <col min="1" max="1" width="56.375" customWidth="1"/>
    <col min="2" max="2" width="15.75" customWidth="1"/>
    <col min="3" max="125" width="9.125" bestFit="1" customWidth="1"/>
  </cols>
  <sheetData>
    <row r="1" spans="1:125" ht="1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</row>
    <row r="2" spans="1:125" ht="15">
      <c r="A2" s="1" t="str">
        <f>"简述"</f>
        <v>简述</v>
      </c>
      <c r="B2" s="1" t="str">
        <f>"代码"</f>
        <v>代码</v>
      </c>
      <c r="C2" s="1" t="str">
        <f>"栏目ID"</f>
        <v>栏目ID</v>
      </c>
      <c r="D2" s="1" t="str">
        <f>"栏目助记符"</f>
        <v>栏目助记符</v>
      </c>
      <c r="E2" s="1" t="str">
        <f>"数据状态"</f>
        <v>数据状态</v>
      </c>
      <c r="F2" s="1" t="str">
        <f>ReferenceData!$C$431</f>
        <v>2018 Q1</v>
      </c>
      <c r="G2" s="1" t="str">
        <f>ReferenceData!$D$431</f>
        <v>2017 Q4</v>
      </c>
      <c r="H2" s="1" t="str">
        <f>ReferenceData!$E$431</f>
        <v>2017 Q3</v>
      </c>
      <c r="I2" s="1" t="str">
        <f>ReferenceData!$F$431</f>
        <v>2017 Q2</v>
      </c>
      <c r="J2" s="1" t="str">
        <f>ReferenceData!$G$431</f>
        <v>2017 Q1</v>
      </c>
      <c r="K2" s="1" t="str">
        <f>ReferenceData!$H$431</f>
        <v>2016 Q4</v>
      </c>
      <c r="L2" s="1" t="str">
        <f>ReferenceData!$I$431</f>
        <v>2016 Q3</v>
      </c>
      <c r="M2" s="1" t="str">
        <f>ReferenceData!$J$431</f>
        <v>2016 Q2</v>
      </c>
      <c r="N2" s="1" t="str">
        <f>ReferenceData!$K$431</f>
        <v>2016 Q1</v>
      </c>
      <c r="O2" s="1" t="str">
        <f>ReferenceData!$L$431</f>
        <v>2015 Q4</v>
      </c>
      <c r="P2" s="1" t="str">
        <f>ReferenceData!$M$431</f>
        <v>2015 Q3</v>
      </c>
      <c r="Q2" s="1" t="str">
        <f>ReferenceData!$N$431</f>
        <v>2015 Q2</v>
      </c>
      <c r="R2" s="1" t="str">
        <f>ReferenceData!$O$431</f>
        <v>2015 Q1</v>
      </c>
      <c r="S2" s="1" t="str">
        <f>ReferenceData!$P$431</f>
        <v>2014 Q4</v>
      </c>
      <c r="T2" s="1" t="str">
        <f>ReferenceData!$Q$431</f>
        <v>2014 Q3</v>
      </c>
      <c r="U2" s="1" t="str">
        <f>ReferenceData!$R$431</f>
        <v>2014 Q2</v>
      </c>
      <c r="V2" s="1" t="str">
        <f>ReferenceData!$S$431</f>
        <v>2014 Q1</v>
      </c>
      <c r="W2" s="1" t="str">
        <f>ReferenceData!$T$431</f>
        <v>2013 Q4</v>
      </c>
      <c r="X2" s="1" t="str">
        <f>ReferenceData!$U$431</f>
        <v>2013 Q3</v>
      </c>
      <c r="Y2" s="1" t="str">
        <f>ReferenceData!$V$431</f>
        <v>2013 Q2</v>
      </c>
      <c r="Z2" s="1" t="str">
        <f>ReferenceData!$W$431</f>
        <v>2013 Q1</v>
      </c>
      <c r="AA2" s="1" t="str">
        <f>ReferenceData!$X$431</f>
        <v>2012 Q4</v>
      </c>
      <c r="AB2" s="1" t="str">
        <f>ReferenceData!$Y$431</f>
        <v>2012 Q3</v>
      </c>
      <c r="AC2" s="1" t="str">
        <f>ReferenceData!$Z$431</f>
        <v>2012 Q2</v>
      </c>
      <c r="AD2" s="1" t="str">
        <f>ReferenceData!$AA$431</f>
        <v>2012 Q1</v>
      </c>
      <c r="AE2" s="1" t="str">
        <f>ReferenceData!$AB$431</f>
        <v>2011 Q4</v>
      </c>
      <c r="AF2" s="1" t="str">
        <f>ReferenceData!$AC$431</f>
        <v>2011 Q3</v>
      </c>
      <c r="AG2" s="1" t="str">
        <f>ReferenceData!$AD$431</f>
        <v>2011 Q2</v>
      </c>
      <c r="AH2" s="1" t="str">
        <f>ReferenceData!$AE$431</f>
        <v>2011 Q1</v>
      </c>
      <c r="AI2" s="1" t="str">
        <f>ReferenceData!$AF$431</f>
        <v>2010 Q4</v>
      </c>
      <c r="AJ2" s="1" t="str">
        <f>ReferenceData!$AG$431</f>
        <v>2010 Q3</v>
      </c>
      <c r="AK2" s="1" t="str">
        <f>ReferenceData!$AH$431</f>
        <v>2010 Q2</v>
      </c>
      <c r="AL2" s="1" t="str">
        <f>ReferenceData!$AI$431</f>
        <v>2010 Q1</v>
      </c>
      <c r="AM2" s="1" t="str">
        <f>ReferenceData!$AJ$431</f>
        <v>2009 Q4</v>
      </c>
      <c r="AN2" s="1" t="str">
        <f>ReferenceData!$AK$431</f>
        <v>2009 Q3</v>
      </c>
      <c r="AO2" s="1" t="str">
        <f>ReferenceData!$AL$431</f>
        <v>2009 Q2</v>
      </c>
      <c r="AP2" s="1" t="str">
        <f>ReferenceData!$AM$431</f>
        <v>2009 Q1</v>
      </c>
      <c r="AQ2" s="1" t="str">
        <f>ReferenceData!$AN$431</f>
        <v>2008 Q4</v>
      </c>
      <c r="AR2" s="1" t="str">
        <f>ReferenceData!$AO$431</f>
        <v>2008 Q3</v>
      </c>
      <c r="AS2" s="1" t="str">
        <f>ReferenceData!$AP$431</f>
        <v>2008 Q2</v>
      </c>
      <c r="AT2" s="1" t="str">
        <f>ReferenceData!$AQ$431</f>
        <v>2008 Q1</v>
      </c>
      <c r="AU2" s="1" t="str">
        <f>ReferenceData!$AR$431</f>
        <v>2007 Q4</v>
      </c>
      <c r="AV2" s="1" t="str">
        <f>ReferenceData!$AS$431</f>
        <v>2007 Q3</v>
      </c>
      <c r="AW2" s="1" t="str">
        <f>ReferenceData!$AT$431</f>
        <v>2007 Q2</v>
      </c>
      <c r="AX2" s="1" t="str">
        <f>ReferenceData!$AU$431</f>
        <v>2007 Q1</v>
      </c>
      <c r="AY2" s="1" t="str">
        <f>ReferenceData!$AV$431</f>
        <v>2006 Q4</v>
      </c>
      <c r="AZ2" s="1" t="str">
        <f>ReferenceData!$AW$431</f>
        <v>2006 Q3</v>
      </c>
      <c r="BA2" s="1" t="str">
        <f>ReferenceData!$AX$431</f>
        <v>2006 Q2</v>
      </c>
      <c r="BB2" s="1" t="str">
        <f>ReferenceData!$AY$431</f>
        <v>2006 Q1</v>
      </c>
      <c r="BC2" s="1" t="str">
        <f>ReferenceData!$AZ$431</f>
        <v>2005 Q4</v>
      </c>
      <c r="BD2" s="1" t="str">
        <f>ReferenceData!$BA$431</f>
        <v>2005 Q3</v>
      </c>
      <c r="BE2" s="1" t="str">
        <f>ReferenceData!$BB$431</f>
        <v>2005 Q2</v>
      </c>
      <c r="BF2" s="1" t="str">
        <f>ReferenceData!$BC$431</f>
        <v>2005 Q1</v>
      </c>
      <c r="BG2" s="1" t="str">
        <f>ReferenceData!$BD$431</f>
        <v>2004 Q4</v>
      </c>
      <c r="BH2" s="1" t="str">
        <f>ReferenceData!$BE$431</f>
        <v>2004 Q3</v>
      </c>
      <c r="BI2" s="1" t="str">
        <f>ReferenceData!$BF$431</f>
        <v>2004 Q2</v>
      </c>
      <c r="BJ2" s="1" t="str">
        <f>ReferenceData!$BG$431</f>
        <v>2004 Q1</v>
      </c>
      <c r="BK2" s="1" t="str">
        <f>ReferenceData!$BH$431</f>
        <v>2003 Q4</v>
      </c>
      <c r="BL2" s="1" t="str">
        <f>ReferenceData!$BI$431</f>
        <v>2003 Q3</v>
      </c>
      <c r="BM2" s="1" t="str">
        <f>ReferenceData!$BJ$431</f>
        <v>2003 Q2</v>
      </c>
      <c r="BN2" t="str">
        <f>$C$431</f>
        <v>2018 Q1</v>
      </c>
      <c r="BO2" t="str">
        <f>$D$431</f>
        <v>2017 Q4</v>
      </c>
      <c r="BP2" t="str">
        <f>$E$431</f>
        <v>2017 Q3</v>
      </c>
      <c r="BQ2" t="str">
        <f>$F$431</f>
        <v>2017 Q2</v>
      </c>
      <c r="BR2" t="str">
        <f>$G$431</f>
        <v>2017 Q1</v>
      </c>
      <c r="BS2" t="str">
        <f>$H$431</f>
        <v>2016 Q4</v>
      </c>
      <c r="BT2" t="str">
        <f>$I$431</f>
        <v>2016 Q3</v>
      </c>
      <c r="BU2" t="str">
        <f>$J$431</f>
        <v>2016 Q2</v>
      </c>
      <c r="BV2" t="str">
        <f>$K$431</f>
        <v>2016 Q1</v>
      </c>
      <c r="BW2" t="str">
        <f>$L$431</f>
        <v>2015 Q4</v>
      </c>
      <c r="BX2" t="str">
        <f>$M$431</f>
        <v>2015 Q3</v>
      </c>
      <c r="BY2" t="str">
        <f>$N$431</f>
        <v>2015 Q2</v>
      </c>
      <c r="BZ2" t="str">
        <f>$O$431</f>
        <v>2015 Q1</v>
      </c>
      <c r="CA2" t="str">
        <f>$P$431</f>
        <v>2014 Q4</v>
      </c>
      <c r="CB2" t="str">
        <f>$Q$431</f>
        <v>2014 Q3</v>
      </c>
      <c r="CC2" t="str">
        <f>$R$431</f>
        <v>2014 Q2</v>
      </c>
      <c r="CD2" t="str">
        <f>$S$431</f>
        <v>2014 Q1</v>
      </c>
      <c r="CE2" t="str">
        <f>$T$431</f>
        <v>2013 Q4</v>
      </c>
      <c r="CF2" t="str">
        <f>$U$431</f>
        <v>2013 Q3</v>
      </c>
      <c r="CG2" t="str">
        <f>$V$431</f>
        <v>2013 Q2</v>
      </c>
      <c r="CH2" t="str">
        <f>$W$431</f>
        <v>2013 Q1</v>
      </c>
      <c r="CI2" t="str">
        <f>$X$431</f>
        <v>2012 Q4</v>
      </c>
      <c r="CJ2" t="str">
        <f>$Y$431</f>
        <v>2012 Q3</v>
      </c>
      <c r="CK2" t="str">
        <f>$Z$431</f>
        <v>2012 Q2</v>
      </c>
      <c r="CL2" t="str">
        <f>$AA$431</f>
        <v>2012 Q1</v>
      </c>
      <c r="CM2" t="str">
        <f>$AB$431</f>
        <v>2011 Q4</v>
      </c>
      <c r="CN2" t="str">
        <f>$AC$431</f>
        <v>2011 Q3</v>
      </c>
      <c r="CO2" t="str">
        <f>$AD$431</f>
        <v>2011 Q2</v>
      </c>
      <c r="CP2" t="str">
        <f>$AE$431</f>
        <v>2011 Q1</v>
      </c>
      <c r="CQ2" t="str">
        <f>$AF$431</f>
        <v>2010 Q4</v>
      </c>
      <c r="CR2" t="str">
        <f>$AG$431</f>
        <v>2010 Q3</v>
      </c>
      <c r="CS2" t="str">
        <f>$AH$431</f>
        <v>2010 Q2</v>
      </c>
      <c r="CT2" t="str">
        <f>$AI$431</f>
        <v>2010 Q1</v>
      </c>
      <c r="CU2" t="str">
        <f>$AJ$431</f>
        <v>2009 Q4</v>
      </c>
      <c r="CV2" t="str">
        <f>$AK$431</f>
        <v>2009 Q3</v>
      </c>
      <c r="CW2" t="str">
        <f>$AL$431</f>
        <v>2009 Q2</v>
      </c>
      <c r="CX2" t="str">
        <f>$AM$431</f>
        <v>2009 Q1</v>
      </c>
      <c r="CY2" t="str">
        <f>$AN$431</f>
        <v>2008 Q4</v>
      </c>
      <c r="CZ2" t="str">
        <f>$AO$431</f>
        <v>2008 Q3</v>
      </c>
      <c r="DA2" t="str">
        <f>$AP$431</f>
        <v>2008 Q2</v>
      </c>
      <c r="DB2" t="str">
        <f>$AQ$431</f>
        <v>2008 Q1</v>
      </c>
      <c r="DC2" t="str">
        <f>$AR$431</f>
        <v>2007 Q4</v>
      </c>
      <c r="DD2" t="str">
        <f>$AS$431</f>
        <v>2007 Q3</v>
      </c>
      <c r="DE2" t="str">
        <f>$AT$431</f>
        <v>2007 Q2</v>
      </c>
      <c r="DF2" t="str">
        <f>$AU$431</f>
        <v>2007 Q1</v>
      </c>
      <c r="DG2" t="str">
        <f>$AV$431</f>
        <v>2006 Q4</v>
      </c>
      <c r="DH2" t="str">
        <f>$AW$431</f>
        <v>2006 Q3</v>
      </c>
      <c r="DI2" t="str">
        <f>$AX$431</f>
        <v>2006 Q2</v>
      </c>
      <c r="DJ2" t="str">
        <f>$AY$431</f>
        <v>2006 Q1</v>
      </c>
      <c r="DK2" t="str">
        <f>$AZ$431</f>
        <v>2005 Q4</v>
      </c>
      <c r="DL2" t="str">
        <f>$BA$431</f>
        <v>2005 Q3</v>
      </c>
      <c r="DM2" t="str">
        <f>$BB$431</f>
        <v>2005 Q2</v>
      </c>
      <c r="DN2" t="str">
        <f>$BC$431</f>
        <v>2005 Q1</v>
      </c>
      <c r="DO2" t="str">
        <f>$BD$431</f>
        <v>2004 Q4</v>
      </c>
      <c r="DP2" t="str">
        <f>$BE$431</f>
        <v>2004 Q3</v>
      </c>
      <c r="DQ2" t="str">
        <f>$BF$431</f>
        <v>2004 Q2</v>
      </c>
      <c r="DR2" t="str">
        <f>$BG$431</f>
        <v>2004 Q1</v>
      </c>
      <c r="DS2" t="str">
        <f>$BH$431</f>
        <v>2003 Q4</v>
      </c>
      <c r="DT2" t="str">
        <f>$BI$431</f>
        <v>2003 Q3</v>
      </c>
      <c r="DU2" t="str">
        <f>$BJ$431</f>
        <v>2003 Q2</v>
      </c>
    </row>
    <row r="3" spans="1:125">
      <c r="A3" t="str">
        <f>"盈利摘要"</f>
        <v>盈利摘要</v>
      </c>
      <c r="B3" t="str">
        <f>""</f>
        <v/>
      </c>
      <c r="E3" t="str">
        <f>"标题"</f>
        <v>标题</v>
      </c>
      <c r="BN3" t="str">
        <f>""</f>
        <v/>
      </c>
      <c r="BO3" t="str">
        <f>""</f>
        <v/>
      </c>
      <c r="BP3" t="str">
        <f>""</f>
        <v/>
      </c>
      <c r="BQ3" t="str">
        <f>""</f>
        <v/>
      </c>
      <c r="BR3" t="str">
        <f>""</f>
        <v/>
      </c>
      <c r="BS3" t="str">
        <f>""</f>
        <v/>
      </c>
      <c r="BT3" t="str">
        <f>""</f>
        <v/>
      </c>
      <c r="BU3" t="str">
        <f>""</f>
        <v/>
      </c>
      <c r="BV3" t="str">
        <f>""</f>
        <v/>
      </c>
      <c r="BW3" t="str">
        <f>""</f>
        <v/>
      </c>
      <c r="BX3" t="str">
        <f>""</f>
        <v/>
      </c>
      <c r="BY3" t="str">
        <f>""</f>
        <v/>
      </c>
      <c r="BZ3" t="str">
        <f>""</f>
        <v/>
      </c>
      <c r="CA3" t="str">
        <f>""</f>
        <v/>
      </c>
      <c r="CB3" t="str">
        <f>""</f>
        <v/>
      </c>
      <c r="CC3" t="str">
        <f>""</f>
        <v/>
      </c>
      <c r="CD3" t="str">
        <f>""</f>
        <v/>
      </c>
      <c r="CE3" t="str">
        <f>""</f>
        <v/>
      </c>
      <c r="CF3" t="str">
        <f>""</f>
        <v/>
      </c>
      <c r="CG3" t="str">
        <f>""</f>
        <v/>
      </c>
      <c r="CH3" t="str">
        <f>""</f>
        <v/>
      </c>
      <c r="CI3" t="str">
        <f>""</f>
        <v/>
      </c>
      <c r="CJ3" t="str">
        <f>""</f>
        <v/>
      </c>
      <c r="CK3" t="str">
        <f>""</f>
        <v/>
      </c>
      <c r="CL3" t="str">
        <f>""</f>
        <v/>
      </c>
      <c r="CM3" t="str">
        <f>""</f>
        <v/>
      </c>
      <c r="CN3" t="str">
        <f>""</f>
        <v/>
      </c>
      <c r="CO3" t="str">
        <f>""</f>
        <v/>
      </c>
      <c r="CP3" t="str">
        <f>""</f>
        <v/>
      </c>
      <c r="CQ3" t="str">
        <f>""</f>
        <v/>
      </c>
      <c r="CR3" t="str">
        <f>""</f>
        <v/>
      </c>
      <c r="CS3" t="str">
        <f>""</f>
        <v/>
      </c>
      <c r="CT3" t="str">
        <f>""</f>
        <v/>
      </c>
      <c r="CU3" t="str">
        <f>""</f>
        <v/>
      </c>
      <c r="CV3" t="str">
        <f>""</f>
        <v/>
      </c>
      <c r="CW3" t="str">
        <f>""</f>
        <v/>
      </c>
      <c r="CX3" t="str">
        <f>""</f>
        <v/>
      </c>
      <c r="CY3" t="str">
        <f>""</f>
        <v/>
      </c>
      <c r="CZ3" t="str">
        <f>""</f>
        <v/>
      </c>
      <c r="DA3" t="str">
        <f>""</f>
        <v/>
      </c>
      <c r="DB3" t="str">
        <f>""</f>
        <v/>
      </c>
      <c r="DC3" t="str">
        <f>""</f>
        <v/>
      </c>
      <c r="DD3" t="str">
        <f>""</f>
        <v/>
      </c>
      <c r="DE3" t="str">
        <f>""</f>
        <v/>
      </c>
      <c r="DF3" t="str">
        <f>""</f>
        <v/>
      </c>
      <c r="DG3" t="str">
        <f>""</f>
        <v/>
      </c>
      <c r="DH3" t="str">
        <f>""</f>
        <v/>
      </c>
      <c r="DI3" t="str">
        <f>""</f>
        <v/>
      </c>
      <c r="DJ3" t="str">
        <f>""</f>
        <v/>
      </c>
      <c r="DK3" t="str">
        <f>""</f>
        <v/>
      </c>
      <c r="DL3" t="str">
        <f>""</f>
        <v/>
      </c>
      <c r="DM3" t="str">
        <f>""</f>
        <v/>
      </c>
      <c r="DN3" t="str">
        <f>""</f>
        <v/>
      </c>
      <c r="DO3" t="str">
        <f>""</f>
        <v/>
      </c>
      <c r="DP3" t="str">
        <f>""</f>
        <v/>
      </c>
      <c r="DQ3" t="str">
        <f>""</f>
        <v/>
      </c>
      <c r="DR3" t="str">
        <f>""</f>
        <v/>
      </c>
      <c r="DS3" t="str">
        <f>""</f>
        <v/>
      </c>
      <c r="DT3" t="str">
        <f>""</f>
        <v/>
      </c>
      <c r="DU3" t="str">
        <f>""</f>
        <v/>
      </c>
    </row>
    <row r="4" spans="1:125">
      <c r="A4" t="str">
        <f>"租赁收入"</f>
        <v>租赁收入</v>
      </c>
      <c r="B4" t="str">
        <f>""</f>
        <v/>
      </c>
      <c r="E4" t="str">
        <f>"Median"</f>
        <v>Median</v>
      </c>
      <c r="F4" t="str">
        <f ca="1">IF(ISERROR(IF(MEDIAN($F$5:$F$12) = 0, "", MEDIAN($F$5:$F$12))), "", (IF(MEDIAN($F$5:$F$12) = 0, "", MEDIAN($F$5:$F$12))))</f>
        <v/>
      </c>
      <c r="G4">
        <f ca="1">IF(ISERROR(IF(MEDIAN($G$5:$G$12) = 0, "", MEDIAN($G$5:$G$12))), "", (IF(MEDIAN($G$5:$G$12) = 0, "", MEDIAN($G$5:$G$12))))</f>
        <v>296.26650000000001</v>
      </c>
      <c r="H4">
        <f ca="1">IF(ISERROR(IF(MEDIAN($H$5:$H$12) = 0, "", MEDIAN($H$5:$H$12))), "", (IF(MEDIAN($H$5:$H$12) = 0, "", MEDIAN($H$5:$H$12))))</f>
        <v>295.11900000000003</v>
      </c>
      <c r="I4">
        <f ca="1">IF(ISERROR(IF(MEDIAN($I$5:$I$12) = 0, "", MEDIAN($I$5:$I$12))), "", (IF(MEDIAN($I$5:$I$12) = 0, "", MEDIAN($I$5:$I$12))))</f>
        <v>290.71199999999999</v>
      </c>
      <c r="J4">
        <f ca="1">IF(ISERROR(IF(MEDIAN($J$5:$J$12) = 0, "", MEDIAN($J$5:$J$12))), "", (IF(MEDIAN($J$5:$J$12) = 0, "", MEDIAN($J$5:$J$12))))</f>
        <v>287.21949999999998</v>
      </c>
      <c r="K4">
        <f ca="1">IF(ISERROR(IF(MEDIAN($K$5:$K$12) = 0, "", MEDIAN($K$5:$K$12))), "", (IF(MEDIAN($K$5:$K$12) = 0, "", MEDIAN($K$5:$K$12))))</f>
        <v>262.26900000000001</v>
      </c>
      <c r="L4">
        <f ca="1">IF(ISERROR(IF(MEDIAN($L$5:$L$12) = 0, "", MEDIAN($L$5:$L$12))), "", (IF(MEDIAN($L$5:$L$12) = 0, "", MEDIAN($L$5:$L$12))))</f>
        <v>247.208</v>
      </c>
      <c r="M4">
        <f ca="1">IF(ISERROR(IF(MEDIAN($M$5:$M$12) = 0, "", MEDIAN($M$5:$M$12))), "", (IF(MEDIAN($M$5:$M$12) = 0, "", MEDIAN($M$5:$M$12))))</f>
        <v>242.74700000000001</v>
      </c>
      <c r="N4">
        <f ca="1">IF(ISERROR(IF(MEDIAN($N$5:$N$12) = 0, "", MEDIAN($N$5:$N$12))), "", (IF(MEDIAN($N$5:$N$12) = 0, "", MEDIAN($N$5:$N$12))))</f>
        <v>238.81099999999998</v>
      </c>
      <c r="O4">
        <f ca="1">IF(ISERROR(IF(MEDIAN($O$5:$O$12) = 0, "", MEDIAN($O$5:$O$12))), "", (IF(MEDIAN($O$5:$O$12) = 0, "", MEDIAN($O$5:$O$12))))</f>
        <v>237.88650000000001</v>
      </c>
      <c r="P4">
        <f ca="1">IF(ISERROR(IF(MEDIAN($P$5:$P$12) = 0, "", MEDIAN($P$5:$P$12))), "", (IF(MEDIAN($P$5:$P$12) = 0, "", MEDIAN($P$5:$P$12))))</f>
        <v>228.71749999999997</v>
      </c>
      <c r="Q4">
        <f ca="1">IF(ISERROR(IF(MEDIAN($Q$5:$Q$12) = 0, "", MEDIAN($Q$5:$Q$12))), "", (IF(MEDIAN($Q$5:$Q$12) = 0, "", MEDIAN($Q$5:$Q$12))))</f>
        <v>224.46449999999999</v>
      </c>
      <c r="R4">
        <f ca="1">IF(ISERROR(IF(MEDIAN($R$5:$R$12) = 0, "", MEDIAN($R$5:$R$12))), "", (IF(MEDIAN($R$5:$R$12) = 0, "", MEDIAN($R$5:$R$12))))</f>
        <v>220.994</v>
      </c>
      <c r="S4">
        <f ca="1">IF(ISERROR(IF(MEDIAN($S$5:$S$12) = 0, "", MEDIAN($S$5:$S$12))), "", (IF(MEDIAN($S$5:$S$12) = 0, "", MEDIAN($S$5:$S$12))))</f>
        <v>218.29300000000001</v>
      </c>
      <c r="T4">
        <f ca="1">IF(ISERROR(IF(MEDIAN($T$5:$T$12) = 0, "", MEDIAN($T$5:$T$12))), "", (IF(MEDIAN($T$5:$T$12) = 0, "", MEDIAN($T$5:$T$12))))</f>
        <v>215.0855</v>
      </c>
      <c r="U4">
        <f ca="1">IF(ISERROR(IF(MEDIAN($U$5:$U$12) = 0, "", MEDIAN($U$5:$U$12))), "", (IF(MEDIAN($U$5:$U$12) = 0, "", MEDIAN($U$5:$U$12))))</f>
        <v>212.16</v>
      </c>
      <c r="V4">
        <f ca="1">IF(ISERROR(IF(MEDIAN($V$5:$V$12) = 0, "", MEDIAN($V$5:$V$12))), "", (IF(MEDIAN($V$5:$V$12) = 0, "", MEDIAN($V$5:$V$12))))</f>
        <v>187.245</v>
      </c>
      <c r="W4">
        <f ca="1">IF(ISERROR(IF(MEDIAN($W$5:$W$12) = 0, "", MEDIAN($W$5:$W$12))), "", (IF(MEDIAN($W$5:$W$12) = 0, "", MEDIAN($W$5:$W$12))))</f>
        <v>184.6985</v>
      </c>
      <c r="X4">
        <f ca="1">IF(ISERROR(IF(MEDIAN($X$5:$X$12) = 0, "", MEDIAN($X$5:$X$12))), "", (IF(MEDIAN($X$5:$X$12) = 0, "", MEDIAN($X$5:$X$12))))</f>
        <v>164.137</v>
      </c>
      <c r="Y4">
        <f ca="1">IF(ISERROR(IF(MEDIAN($Y$5:$Y$12) = 0, "", MEDIAN($Y$5:$Y$12))), "", (IF(MEDIAN($Y$5:$Y$12) = 0, "", MEDIAN($Y$5:$Y$12))))</f>
        <v>159.46749999999997</v>
      </c>
      <c r="Z4">
        <f ca="1">IF(ISERROR(IF(MEDIAN($Z$5:$Z$12) = 0, "", MEDIAN($Z$5:$Z$12))), "", (IF(MEDIAN($Z$5:$Z$12) = 0, "", MEDIAN($Z$5:$Z$12))))</f>
        <v>162.38499999999999</v>
      </c>
      <c r="AA4">
        <f ca="1">IF(ISERROR(IF(MEDIAN($AA$5:$AA$12) = 0, "", MEDIAN($AA$5:$AA$12))), "", (IF(MEDIAN($AA$5:$AA$12) = 0, "", MEDIAN($AA$5:$AA$12))))</f>
        <v>152.45499999999998</v>
      </c>
      <c r="AB4">
        <f ca="1">IF(ISERROR(IF(MEDIAN($AB$5:$AB$12) = 0, "", MEDIAN($AB$5:$AB$12))), "", (IF(MEDIAN($AB$5:$AB$12) = 0, "", MEDIAN($AB$5:$AB$12))))</f>
        <v>145.52699999999999</v>
      </c>
      <c r="AC4">
        <f ca="1">IF(ISERROR(IF(MEDIAN($AC$5:$AC$12) = 0, "", MEDIAN($AC$5:$AC$12))), "", (IF(MEDIAN($AC$5:$AC$12) = 0, "", MEDIAN($AC$5:$AC$12))))</f>
        <v>140.76999999999998</v>
      </c>
      <c r="AD4">
        <f ca="1">IF(ISERROR(IF(MEDIAN($AD$5:$AD$12) = 0, "", MEDIAN($AD$5:$AD$12))), "", (IF(MEDIAN($AD$5:$AD$12) = 0, "", MEDIAN($AD$5:$AD$12))))</f>
        <v>135.864</v>
      </c>
      <c r="AE4">
        <f ca="1">IF(ISERROR(IF(MEDIAN($AE$5:$AE$12) = 0, "", MEDIAN($AE$5:$AE$12))), "", (IF(MEDIAN($AE$5:$AE$12) = 0, "", MEDIAN($AE$5:$AE$12))))</f>
        <v>129.74299999999999</v>
      </c>
      <c r="AF4">
        <f ca="1">IF(ISERROR(IF(MEDIAN($AF$5:$AF$12) = 0, "", MEDIAN($AF$5:$AF$12))), "", (IF(MEDIAN($AF$5:$AF$12) = 0, "", MEDIAN($AF$5:$AF$12))))</f>
        <v>128.779</v>
      </c>
      <c r="AG4">
        <f ca="1">IF(ISERROR(IF(MEDIAN($AG$5:$AG$12) = 0, "", MEDIAN($AG$5:$AG$12))), "", (IF(MEDIAN($AG$5:$AG$12) = 0, "", MEDIAN($AG$5:$AG$12))))</f>
        <v>126.5365</v>
      </c>
      <c r="AH4">
        <f ca="1">IF(ISERROR(IF(MEDIAN($AH$5:$AH$12) = 0, "", MEDIAN($AH$5:$AH$12))), "", (IF(MEDIAN($AH$5:$AH$12) = 0, "", MEDIAN($AH$5:$AH$12))))</f>
        <v>123.5215</v>
      </c>
      <c r="AI4">
        <f ca="1">IF(ISERROR(IF(MEDIAN($AI$5:$AI$12) = 0, "", MEDIAN($AI$5:$AI$12))), "", (IF(MEDIAN($AI$5:$AI$12) = 0, "", MEDIAN($AI$5:$AI$12))))</f>
        <v>119.7795</v>
      </c>
      <c r="AJ4">
        <f ca="1">IF(ISERROR(IF(MEDIAN($AJ$5:$AJ$12) = 0, "", MEDIAN($AJ$5:$AJ$12))), "", (IF(MEDIAN($AJ$5:$AJ$12) = 0, "", MEDIAN($AJ$5:$AJ$12))))</f>
        <v>117.6395</v>
      </c>
      <c r="AK4">
        <f ca="1">IF(ISERROR(IF(MEDIAN($AK$5:$AK$12) = 0, "", MEDIAN($AK$5:$AK$12))), "", (IF(MEDIAN($AK$5:$AK$12) = 0, "", MEDIAN($AK$5:$AK$12))))</f>
        <v>114.38849999999999</v>
      </c>
      <c r="AL4">
        <f ca="1">IF(ISERROR(IF(MEDIAN($AL$5:$AL$12) = 0, "", MEDIAN($AL$5:$AL$12))), "", (IF(MEDIAN($AL$5:$AL$12) = 0, "", MEDIAN($AL$5:$AL$12))))</f>
        <v>114.27850000000001</v>
      </c>
      <c r="AM4">
        <f ca="1">IF(ISERROR(IF(MEDIAN($AM$5:$AM$12) = 0, "", MEDIAN($AM$5:$AM$12))), "", (IF(MEDIAN($AM$5:$AM$12) = 0, "", MEDIAN($AM$5:$AM$12))))</f>
        <v>114.49950000000001</v>
      </c>
      <c r="AN4">
        <f ca="1">IF(ISERROR(IF(MEDIAN($AN$5:$AN$12) = 0, "", MEDIAN($AN$5:$AN$12))), "", (IF(MEDIAN($AN$5:$AN$12) = 0, "", MEDIAN($AN$5:$AN$12))))</f>
        <v>116.714</v>
      </c>
      <c r="AO4">
        <f ca="1">IF(ISERROR(IF(MEDIAN($AO$5:$AO$12) = 0, "", MEDIAN($AO$5:$AO$12))), "", (IF(MEDIAN($AO$5:$AO$12) = 0, "", MEDIAN($AO$5:$AO$12))))</f>
        <v>118.66500000000001</v>
      </c>
      <c r="AP4">
        <f ca="1">IF(ISERROR(IF(MEDIAN($AP$5:$AP$12) = 0, "", MEDIAN($AP$5:$AP$12))), "", (IF(MEDIAN($AP$5:$AP$12) = 0, "", MEDIAN($AP$5:$AP$12))))</f>
        <v>120.20699999999999</v>
      </c>
      <c r="AQ4">
        <f ca="1">IF(ISERROR(IF(MEDIAN($AQ$5:$AQ$12) = 0, "", MEDIAN($AQ$5:$AQ$12))), "", (IF(MEDIAN($AQ$5:$AQ$12) = 0, "", MEDIAN($AQ$5:$AQ$12))))</f>
        <v>120.816</v>
      </c>
      <c r="AR4">
        <f ca="1">IF(ISERROR(IF(MEDIAN($AR$5:$AR$12) = 0, "", MEDIAN($AR$5:$AR$12))), "", (IF(MEDIAN($AR$5:$AR$12) = 0, "", MEDIAN($AR$5:$AR$12))))</f>
        <v>120.4605</v>
      </c>
      <c r="AS4">
        <f ca="1">IF(ISERROR(IF(MEDIAN($AS$5:$AS$12) = 0, "", MEDIAN($AS$5:$AS$12))), "", (IF(MEDIAN($AS$5:$AS$12) = 0, "", MEDIAN($AS$5:$AS$12))))</f>
        <v>118.337</v>
      </c>
      <c r="AT4">
        <f ca="1">IF(ISERROR(IF(MEDIAN($AT$5:$AT$12) = 0, "", MEDIAN($AT$5:$AT$12))), "", (IF(MEDIAN($AT$5:$AT$12) = 0, "", MEDIAN($AT$5:$AT$12))))</f>
        <v>112.14750000000001</v>
      </c>
      <c r="AU4">
        <f ca="1">IF(ISERROR(IF(MEDIAN($AU$5:$AU$12) = 0, "", MEDIAN($AU$5:$AU$12))), "", (IF(MEDIAN($AU$5:$AU$12) = 0, "", MEDIAN($AU$5:$AU$12))))</f>
        <v>111.477</v>
      </c>
      <c r="AV4">
        <f ca="1">IF(ISERROR(IF(MEDIAN($AV$5:$AV$12) = 0, "", MEDIAN($AV$5:$AV$12))), "", (IF(MEDIAN($AV$5:$AV$12) = 0, "", MEDIAN($AV$5:$AV$12))))</f>
        <v>111.602</v>
      </c>
      <c r="AW4">
        <f ca="1">IF(ISERROR(IF(MEDIAN($AW$5:$AW$12) = 0, "", MEDIAN($AW$5:$AW$12))), "", (IF(MEDIAN($AW$5:$AW$12) = 0, "", MEDIAN($AW$5:$AW$12))))</f>
        <v>108.94149999999999</v>
      </c>
      <c r="AX4">
        <f ca="1">IF(ISERROR(IF(MEDIAN($AX$5:$AX$12) = 0, "", MEDIAN($AX$5:$AX$12))), "", (IF(MEDIAN($AX$5:$AX$12) = 0, "", MEDIAN($AX$5:$AX$12))))</f>
        <v>105.536</v>
      </c>
      <c r="AY4">
        <f ca="1">IF(ISERROR(IF(MEDIAN($AY$5:$AY$12) = 0, "", MEDIAN($AY$5:$AY$12))), "", (IF(MEDIAN($AY$5:$AY$12) = 0, "", MEDIAN($AY$5:$AY$12))))</f>
        <v>107.571</v>
      </c>
      <c r="AZ4">
        <f ca="1">IF(ISERROR(IF(MEDIAN($AZ$5:$AZ$12) = 0, "", MEDIAN($AZ$5:$AZ$12))), "", (IF(MEDIAN($AZ$5:$AZ$12) = 0, "", MEDIAN($AZ$5:$AZ$12))))</f>
        <v>111.03099999999999</v>
      </c>
      <c r="BA4">
        <f ca="1">IF(ISERROR(IF(MEDIAN($BA$5:$BA$12) = 0, "", MEDIAN($BA$5:$BA$12))), "", (IF(MEDIAN($BA$5:$BA$12) = 0, "", MEDIAN($BA$5:$BA$12))))</f>
        <v>107.7285</v>
      </c>
      <c r="BB4">
        <f ca="1">IF(ISERROR(IF(MEDIAN($BB$5:$BB$12) = 0, "", MEDIAN($BB$5:$BB$12))), "", (IF(MEDIAN($BB$5:$BB$12) = 0, "", MEDIAN($BB$5:$BB$12))))</f>
        <v>107.744</v>
      </c>
      <c r="BC4">
        <f ca="1">IF(ISERROR(IF(MEDIAN($BC$5:$BC$12) = 0, "", MEDIAN($BC$5:$BC$12))), "", (IF(MEDIAN($BC$5:$BC$12) = 0, "", MEDIAN($BC$5:$BC$12))))</f>
        <v>102.086</v>
      </c>
      <c r="BD4">
        <f ca="1">IF(ISERROR(IF(MEDIAN($BD$5:$BD$12) = 0, "", MEDIAN($BD$5:$BD$12))), "", (IF(MEDIAN($BD$5:$BD$12) = 0, "", MEDIAN($BD$5:$BD$12))))</f>
        <v>109.2565</v>
      </c>
      <c r="BE4">
        <f ca="1">IF(ISERROR(IF(MEDIAN($BE$5:$BE$12) = 0, "", MEDIAN($BE$5:$BE$12))), "", (IF(MEDIAN($BE$5:$BE$12) = 0, "", MEDIAN($BE$5:$BE$12))))</f>
        <v>101.55199999999999</v>
      </c>
      <c r="BF4">
        <f ca="1">IF(ISERROR(IF(MEDIAN($BF$5:$BF$12) = 0, "", MEDIAN($BF$5:$BF$12))), "", (IF(MEDIAN($BF$5:$BF$12) = 0, "", MEDIAN($BF$5:$BF$12))))</f>
        <v>89.481999999999999</v>
      </c>
      <c r="BG4">
        <f ca="1">IF(ISERROR(IF(MEDIAN($BG$5:$BG$12) = 0, "", MEDIAN($BG$5:$BG$12))), "", (IF(MEDIAN($BG$5:$BG$12) = 0, "", MEDIAN($BG$5:$BG$12))))</f>
        <v>90.849000000000004</v>
      </c>
      <c r="BH4">
        <f ca="1">IF(ISERROR(IF(MEDIAN($BH$5:$BH$12) = 0, "", MEDIAN($BH$5:$BH$12))), "", (IF(MEDIAN($BH$5:$BH$12) = 0, "", MEDIAN($BH$5:$BH$12))))</f>
        <v>92.346999999999994</v>
      </c>
      <c r="BI4">
        <f ca="1">IF(ISERROR(IF(MEDIAN($BI$5:$BI$12) = 0, "", MEDIAN($BI$5:$BI$12))), "", (IF(MEDIAN($BI$5:$BI$12) = 0, "", MEDIAN($BI$5:$BI$12))))</f>
        <v>93.226996999999997</v>
      </c>
      <c r="BJ4">
        <f ca="1">IF(ISERROR(IF(MEDIAN($BJ$5:$BJ$12) = 0, "", MEDIAN($BJ$5:$BJ$12))), "", (IF(MEDIAN($BJ$5:$BJ$12) = 0, "", MEDIAN($BJ$5:$BJ$12))))</f>
        <v>96.305000000000007</v>
      </c>
      <c r="BK4">
        <f ca="1">IF(ISERROR(IF(MEDIAN($BK$5:$BK$12) = 0, "", MEDIAN($BK$5:$BK$12))), "", (IF(MEDIAN($BK$5:$BK$12) = 0, "", MEDIAN($BK$5:$BK$12))))</f>
        <v>96.035003660000001</v>
      </c>
      <c r="BL4">
        <f ca="1">IF(ISERROR(IF(MEDIAN($BL$5:$BL$12) = 0, "", MEDIAN($BL$5:$BL$12))), "", (IF(MEDIAN($BL$5:$BL$12) = 0, "", MEDIAN($BL$5:$BL$12))))</f>
        <v>117.7254985</v>
      </c>
      <c r="BM4">
        <f ca="1">IF(ISERROR(IF(MEDIAN($BM$5:$BM$12) = 0, "", MEDIAN($BM$5:$BM$12))), "", (IF(MEDIAN($BM$5:$BM$12) = 0, "", MEDIAN($BM$5:$BM$12))))</f>
        <v>117.769999</v>
      </c>
      <c r="BN4" t="str">
        <f>""</f>
        <v/>
      </c>
      <c r="BO4">
        <f>296.2665</f>
        <v>296.26650000000001</v>
      </c>
      <c r="BP4">
        <f>295.119</f>
        <v>295.11900000000003</v>
      </c>
      <c r="BQ4">
        <f>290.712</f>
        <v>290.71199999999999</v>
      </c>
      <c r="BR4">
        <f>287.2195</f>
        <v>287.21949999999998</v>
      </c>
      <c r="BS4">
        <f>262.269</f>
        <v>262.26900000000001</v>
      </c>
      <c r="BT4">
        <f>247.208</f>
        <v>247.208</v>
      </c>
      <c r="BU4">
        <f>242.747</f>
        <v>242.74700000000001</v>
      </c>
      <c r="BV4">
        <f>238.811</f>
        <v>238.81100000000001</v>
      </c>
      <c r="BW4">
        <f>237.8865</f>
        <v>237.88650000000001</v>
      </c>
      <c r="BX4">
        <f>228.7175</f>
        <v>228.7175</v>
      </c>
      <c r="BY4">
        <f>224.4645</f>
        <v>224.46449999999999</v>
      </c>
      <c r="BZ4">
        <f>220.994</f>
        <v>220.994</v>
      </c>
      <c r="CA4">
        <f>218.293</f>
        <v>218.29300000000001</v>
      </c>
      <c r="CB4">
        <f>215.0855</f>
        <v>215.0855</v>
      </c>
      <c r="CC4">
        <f>212.16</f>
        <v>212.16</v>
      </c>
      <c r="CD4">
        <f>187.245</f>
        <v>187.245</v>
      </c>
      <c r="CE4">
        <f>184.6985</f>
        <v>184.6985</v>
      </c>
      <c r="CF4">
        <f>164.137</f>
        <v>164.137</v>
      </c>
      <c r="CG4">
        <f>159.4675</f>
        <v>159.4675</v>
      </c>
      <c r="CH4">
        <f>162.385</f>
        <v>162.38499999999999</v>
      </c>
      <c r="CI4">
        <f>152.455</f>
        <v>152.45500000000001</v>
      </c>
      <c r="CJ4">
        <f>145.527</f>
        <v>145.52699999999999</v>
      </c>
      <c r="CK4">
        <f>140.77</f>
        <v>140.77000000000001</v>
      </c>
      <c r="CL4">
        <f>135.864</f>
        <v>135.864</v>
      </c>
      <c r="CM4">
        <f>129.743</f>
        <v>129.74299999999999</v>
      </c>
      <c r="CN4">
        <f>128.779</f>
        <v>128.779</v>
      </c>
      <c r="CO4">
        <f>126.5365</f>
        <v>126.5365</v>
      </c>
      <c r="CP4">
        <f>123.5215</f>
        <v>123.5215</v>
      </c>
      <c r="CQ4">
        <f>119.7795</f>
        <v>119.7795</v>
      </c>
      <c r="CR4">
        <f>117.6395</f>
        <v>117.6395</v>
      </c>
      <c r="CS4">
        <f>114.3885</f>
        <v>114.38849999999999</v>
      </c>
      <c r="CT4">
        <f>114.2785</f>
        <v>114.27849999999999</v>
      </c>
      <c r="CU4">
        <f>114.4995</f>
        <v>114.4995</v>
      </c>
      <c r="CV4">
        <f>116.714</f>
        <v>116.714</v>
      </c>
      <c r="CW4">
        <f>118.665</f>
        <v>118.66500000000001</v>
      </c>
      <c r="CX4">
        <f>120.207</f>
        <v>120.20699999999999</v>
      </c>
      <c r="CY4">
        <f>120.816</f>
        <v>120.816</v>
      </c>
      <c r="CZ4">
        <f>120.4605</f>
        <v>120.4605</v>
      </c>
      <c r="DA4">
        <f>118.337</f>
        <v>118.337</v>
      </c>
      <c r="DB4">
        <f>112.1475</f>
        <v>112.14749999999999</v>
      </c>
      <c r="DC4">
        <f>111.477</f>
        <v>111.477</v>
      </c>
      <c r="DD4">
        <f>111.602</f>
        <v>111.602</v>
      </c>
      <c r="DE4">
        <f>108.9415</f>
        <v>108.9415</v>
      </c>
      <c r="DF4">
        <f>105.536</f>
        <v>105.536</v>
      </c>
      <c r="DG4">
        <f>107.571</f>
        <v>107.571</v>
      </c>
      <c r="DH4">
        <f>111.031</f>
        <v>111.03100000000001</v>
      </c>
      <c r="DI4">
        <f>107.7285</f>
        <v>107.7285</v>
      </c>
      <c r="DJ4">
        <f>107.744</f>
        <v>107.744</v>
      </c>
      <c r="DK4">
        <f>102.086</f>
        <v>102.086</v>
      </c>
      <c r="DL4">
        <f>109.2565</f>
        <v>109.2565</v>
      </c>
      <c r="DM4">
        <f>101.552</f>
        <v>101.55200000000001</v>
      </c>
      <c r="DN4">
        <f>89.482</f>
        <v>89.481999999999999</v>
      </c>
      <c r="DO4">
        <f>90.849</f>
        <v>90.849000000000004</v>
      </c>
      <c r="DP4">
        <f>92.347</f>
        <v>92.346999999999994</v>
      </c>
      <c r="DQ4">
        <f>93.226997</f>
        <v>93.226996999999997</v>
      </c>
      <c r="DR4">
        <f>96.305</f>
        <v>96.305000000000007</v>
      </c>
      <c r="DS4">
        <f>96.03500366</f>
        <v>96.035003660000001</v>
      </c>
      <c r="DT4">
        <f>117.7254985</f>
        <v>117.7254985</v>
      </c>
      <c r="DU4">
        <f>117.769999</f>
        <v>117.769999</v>
      </c>
    </row>
    <row r="5" spans="1:125">
      <c r="A5" t="str">
        <f>"    American Campus Communities In"</f>
        <v xml:space="preserve">    American Campus Communities In</v>
      </c>
      <c r="B5" t="str">
        <f>"ACC US Equity"</f>
        <v>ACC US Equity</v>
      </c>
      <c r="C5" t="str">
        <f t="shared" ref="C5:C12" si="0">"IS030"</f>
        <v>IS030</v>
      </c>
      <c r="D5" t="str">
        <f t="shared" ref="D5:D12" si="1">"IS_RENT_INC"</f>
        <v>IS_RENT_INC</v>
      </c>
      <c r="E5" t="str">
        <f t="shared" ref="E5:E12" si="2">"动态"</f>
        <v>动态</v>
      </c>
      <c r="F5" t="str">
        <f ca="1">IF(AND(ISNUMBER($F$228),$B$226=1),$F$228,HLOOKUP(INDIRECT(ADDRESS(2,COLUMN())),OFFSET($BN$2,0,0,ROW()-1,60),ROW()-1,FALSE))</f>
        <v/>
      </c>
      <c r="G5">
        <f ca="1">IF(AND(ISNUMBER($G$228),$B$226=1),$G$228,HLOOKUP(INDIRECT(ADDRESS(2,COLUMN())),OFFSET($BN$2,0,0,ROW()-1,60),ROW()-1,FALSE))</f>
        <v>217.971</v>
      </c>
      <c r="H5">
        <f ca="1">IF(AND(ISNUMBER($H$228),$B$226=1),$H$228,HLOOKUP(INDIRECT(ADDRESS(2,COLUMN())),OFFSET($BN$2,0,0,ROW()-1,60),ROW()-1,FALSE))</f>
        <v>190.36799999999999</v>
      </c>
      <c r="I5">
        <f ca="1">IF(AND(ISNUMBER($I$228),$B$226=1),$I$228,HLOOKUP(INDIRECT(ADDRESS(2,COLUMN())),OFFSET($BN$2,0,0,ROW()-1,60),ROW()-1,FALSE))</f>
        <v>175.327</v>
      </c>
      <c r="J5">
        <f ca="1">IF(AND(ISNUMBER($J$228),$B$226=1),$J$228,HLOOKUP(INDIRECT(ADDRESS(2,COLUMN())),OFFSET($BN$2,0,0,ROW()-1,60),ROW()-1,FALSE))</f>
        <v>188.989</v>
      </c>
      <c r="K5">
        <f ca="1">IF(AND(ISNUMBER($K$228),$B$226=1),$K$228,HLOOKUP(INDIRECT(ADDRESS(2,COLUMN())),OFFSET($BN$2,0,0,ROW()-1,60),ROW()-1,FALSE))</f>
        <v>199.72900000000001</v>
      </c>
      <c r="L5">
        <f ca="1">IF(AND(ISNUMBER($L$228),$B$226=1),$L$228,HLOOKUP(INDIRECT(ADDRESS(2,COLUMN())),OFFSET($BN$2,0,0,ROW()-1,60),ROW()-1,FALSE))</f>
        <v>192.452</v>
      </c>
      <c r="M5">
        <f ca="1">IF(AND(ISNUMBER($M$228),$B$226=1),$M$228,HLOOKUP(INDIRECT(ADDRESS(2,COLUMN())),OFFSET($BN$2,0,0,ROW()-1,60),ROW()-1,FALSE))</f>
        <v>180.89599999999999</v>
      </c>
      <c r="N5">
        <f ca="1">IF(AND(ISNUMBER($N$228),$B$226=1),$N$228,HLOOKUP(INDIRECT(ADDRESS(2,COLUMN())),OFFSET($BN$2,0,0,ROW()-1,60),ROW()-1,FALSE))</f>
        <v>195.74799999999999</v>
      </c>
      <c r="O5">
        <f ca="1">IF(AND(ISNUMBER($O$228),$B$226=1),$O$228,HLOOKUP(INDIRECT(ADDRESS(2,COLUMN())),OFFSET($BN$2,0,0,ROW()-1,60),ROW()-1,FALSE))</f>
        <v>197.38499999999999</v>
      </c>
      <c r="P5">
        <f ca="1">IF(AND(ISNUMBER($P$228),$B$226=1),$P$228,HLOOKUP(INDIRECT(ADDRESS(2,COLUMN())),OFFSET($BN$2,0,0,ROW()-1,60),ROW()-1,FALSE))</f>
        <v>176.84</v>
      </c>
      <c r="Q5">
        <f ca="1">IF(AND(ISNUMBER($Q$228),$B$226=1),$Q$228,HLOOKUP(INDIRECT(ADDRESS(2,COLUMN())),OFFSET($BN$2,0,0,ROW()-1,60),ROW()-1,FALSE))</f>
        <v>173.172</v>
      </c>
      <c r="R5">
        <f ca="1">IF(AND(ISNUMBER($R$228),$B$226=1),$R$228,HLOOKUP(INDIRECT(ADDRESS(2,COLUMN())),OFFSET($BN$2,0,0,ROW()-1,60),ROW()-1,FALSE))</f>
        <v>189.09800000000001</v>
      </c>
      <c r="S5">
        <f ca="1">IF(AND(ISNUMBER($S$228),$B$226=1),$S$228,HLOOKUP(INDIRECT(ADDRESS(2,COLUMN())),OFFSET($BN$2,0,0,ROW()-1,60),ROW()-1,FALSE))</f>
        <v>193.58500000000001</v>
      </c>
      <c r="T5">
        <f ca="1">IF(AND(ISNUMBER($T$228),$B$226=1),$T$228,HLOOKUP(INDIRECT(ADDRESS(2,COLUMN())),OFFSET($BN$2,0,0,ROW()-1,60),ROW()-1,FALSE))</f>
        <v>177.602</v>
      </c>
      <c r="U5">
        <f ca="1">IF(AND(ISNUMBER($U$228),$B$226=1),$U$228,HLOOKUP(INDIRECT(ADDRESS(2,COLUMN())),OFFSET($BN$2,0,0,ROW()-1,60),ROW()-1,FALSE))</f>
        <v>167.791</v>
      </c>
      <c r="V5">
        <f ca="1">IF(AND(ISNUMBER($V$228),$B$226=1),$V$228,HLOOKUP(INDIRECT(ADDRESS(2,COLUMN())),OFFSET($BN$2,0,0,ROW()-1,60),ROW()-1,FALSE))</f>
        <v>180.13800000000001</v>
      </c>
      <c r="W5">
        <f ca="1">IF(AND(ISNUMBER($W$228),$B$226=1),$W$228,HLOOKUP(INDIRECT(ADDRESS(2,COLUMN())),OFFSET($BN$2,0,0,ROW()-1,60),ROW()-1,FALSE))</f>
        <v>179.07599999999999</v>
      </c>
      <c r="X5">
        <f ca="1">IF(AND(ISNUMBER($X$228),$B$226=1),$X$228,HLOOKUP(INDIRECT(ADDRESS(2,COLUMN())),OFFSET($BN$2,0,0,ROW()-1,60),ROW()-1,FALSE))</f>
        <v>155.73400000000001</v>
      </c>
      <c r="Y5">
        <f ca="1">IF(AND(ISNUMBER($Y$228),$B$226=1),$Y$228,HLOOKUP(INDIRECT(ADDRESS(2,COLUMN())),OFFSET($BN$2,0,0,ROW()-1,60),ROW()-1,FALSE))</f>
        <v>150.30099999999999</v>
      </c>
      <c r="Z5">
        <f ca="1">IF(AND(ISNUMBER($Z$228),$B$226=1),$Z$228,HLOOKUP(INDIRECT(ADDRESS(2,COLUMN())),OFFSET($BN$2,0,0,ROW()-1,60),ROW()-1,FALSE))</f>
        <v>160.37700000000001</v>
      </c>
      <c r="AA5">
        <f ca="1">IF(AND(ISNUMBER($AA$228),$B$226=1),$AA$228,HLOOKUP(INDIRECT(ADDRESS(2,COLUMN())),OFFSET($BN$2,0,0,ROW()-1,60),ROW()-1,FALSE))</f>
        <v>145.703</v>
      </c>
      <c r="AB5">
        <f ca="1">IF(AND(ISNUMBER($AB$228),$B$226=1),$AB$228,HLOOKUP(INDIRECT(ADDRESS(2,COLUMN())),OFFSET($BN$2,0,0,ROW()-1,60),ROW()-1,FALSE))</f>
        <v>109.149</v>
      </c>
      <c r="AC5">
        <f ca="1">IF(AND(ISNUMBER($AC$228),$B$226=1),$AC$228,HLOOKUP(INDIRECT(ADDRESS(2,COLUMN())),OFFSET($BN$2,0,0,ROW()-1,60),ROW()-1,FALSE))</f>
        <v>95.221999999999994</v>
      </c>
      <c r="AD5">
        <f ca="1">IF(AND(ISNUMBER($AD$228),$B$226=1),$AD$228,HLOOKUP(INDIRECT(ADDRESS(2,COLUMN())),OFFSET($BN$2,0,0,ROW()-1,60),ROW()-1,FALSE))</f>
        <v>102.786</v>
      </c>
      <c r="AE5">
        <f ca="1">IF(AND(ISNUMBER($AE$228),$B$226=1),$AE$228,HLOOKUP(INDIRECT(ADDRESS(2,COLUMN())),OFFSET($BN$2,0,0,ROW()-1,60),ROW()-1,FALSE))</f>
        <v>101.429</v>
      </c>
      <c r="AF5">
        <f ca="1">IF(AND(ISNUMBER($AF$228),$B$226=1),$AF$228,HLOOKUP(INDIRECT(ADDRESS(2,COLUMN())),OFFSET($BN$2,0,0,ROW()-1,60),ROW()-1,FALSE))</f>
        <v>91.430999999999997</v>
      </c>
      <c r="AG5">
        <f ca="1">IF(AND(ISNUMBER($AG$228),$B$226=1),$AG$228,HLOOKUP(INDIRECT(ADDRESS(2,COLUMN())),OFFSET($BN$2,0,0,ROW()-1,60),ROW()-1,FALSE))</f>
        <v>86.257999999999996</v>
      </c>
      <c r="AH5">
        <f ca="1">IF(AND(ISNUMBER($AH$228),$B$226=1),$AH$228,HLOOKUP(INDIRECT(ADDRESS(2,COLUMN())),OFFSET($BN$2,0,0,ROW()-1,60),ROW()-1,FALSE))</f>
        <v>93.272000000000006</v>
      </c>
      <c r="AI5">
        <f ca="1">IF(AND(ISNUMBER($AI$228),$B$226=1),$AI$228,HLOOKUP(INDIRECT(ADDRESS(2,COLUMN())),OFFSET($BN$2,0,0,ROW()-1,60),ROW()-1,FALSE))</f>
        <v>90.653000000000006</v>
      </c>
      <c r="AJ5">
        <f ca="1">IF(AND(ISNUMBER($AJ$228),$B$226=1),$AJ$228,HLOOKUP(INDIRECT(ADDRESS(2,COLUMN())),OFFSET($BN$2,0,0,ROW()-1,60),ROW()-1,FALSE))</f>
        <v>76.968000000000004</v>
      </c>
      <c r="AK5">
        <f ca="1">IF(AND(ISNUMBER($AK$228),$B$226=1),$AK$228,HLOOKUP(INDIRECT(ADDRESS(2,COLUMN())),OFFSET($BN$2,0,0,ROW()-1,60),ROW()-1,FALSE))</f>
        <v>69.917000000000002</v>
      </c>
      <c r="AL5">
        <f ca="1">IF(AND(ISNUMBER($AL$228),$B$226=1),$AL$228,HLOOKUP(INDIRECT(ADDRESS(2,COLUMN())),OFFSET($BN$2,0,0,ROW()-1,60),ROW()-1,FALSE))</f>
        <v>76.930000000000007</v>
      </c>
      <c r="AM5">
        <f ca="1">IF(AND(ISNUMBER($AM$228),$B$226=1),$AM$228,HLOOKUP(INDIRECT(ADDRESS(2,COLUMN())),OFFSET($BN$2,0,0,ROW()-1,60),ROW()-1,FALSE))</f>
        <v>77.590999999999994</v>
      </c>
      <c r="AN5">
        <f ca="1">IF(AND(ISNUMBER($AN$228),$B$226=1),$AN$228,HLOOKUP(INDIRECT(ADDRESS(2,COLUMN())),OFFSET($BN$2,0,0,ROW()-1,60),ROW()-1,FALSE))</f>
        <v>72.146000000000001</v>
      </c>
      <c r="AO5">
        <f ca="1">IF(AND(ISNUMBER($AO$228),$B$226=1),$AO$228,HLOOKUP(INDIRECT(ADDRESS(2,COLUMN())),OFFSET($BN$2,0,0,ROW()-1,60),ROW()-1,FALSE))</f>
        <v>68.075000000000003</v>
      </c>
      <c r="AP5">
        <f ca="1">IF(AND(ISNUMBER($AP$228),$B$226=1),$AP$228,HLOOKUP(INDIRECT(ADDRESS(2,COLUMN())),OFFSET($BN$2,0,0,ROW()-1,60),ROW()-1,FALSE))</f>
        <v>72.209000000000003</v>
      </c>
      <c r="AQ5">
        <f ca="1">IF(AND(ISNUMBER($AQ$228),$B$226=1),$AQ$228,HLOOKUP(INDIRECT(ADDRESS(2,COLUMN())),OFFSET($BN$2,0,0,ROW()-1,60),ROW()-1,FALSE))</f>
        <v>73.090999999999994</v>
      </c>
      <c r="AR5">
        <f ca="1">IF(AND(ISNUMBER($AR$228),$B$226=1),$AR$228,HLOOKUP(INDIRECT(ADDRESS(2,COLUMN())),OFFSET($BN$2,0,0,ROW()-1,60),ROW()-1,FALSE))</f>
        <v>64.963999999999999</v>
      </c>
      <c r="AS5">
        <f ca="1">IF(AND(ISNUMBER($AS$228),$B$226=1),$AS$228,HLOOKUP(INDIRECT(ADDRESS(2,COLUMN())),OFFSET($BN$2,0,0,ROW()-1,60),ROW()-1,FALSE))</f>
        <v>41.241999999999997</v>
      </c>
      <c r="AT5">
        <f ca="1">IF(AND(ISNUMBER($AT$228),$B$226=1),$AT$228,HLOOKUP(INDIRECT(ADDRESS(2,COLUMN())),OFFSET($BN$2,0,0,ROW()-1,60),ROW()-1,FALSE))</f>
        <v>38.424999999999997</v>
      </c>
      <c r="AU5">
        <f ca="1">IF(AND(ISNUMBER($AU$228),$B$226=1),$AU$228,HLOOKUP(INDIRECT(ADDRESS(2,COLUMN())),OFFSET($BN$2,0,0,ROW()-1,60),ROW()-1,FALSE))</f>
        <v>37.895000000000003</v>
      </c>
      <c r="AV5">
        <f ca="1">IF(AND(ISNUMBER($AV$228),$B$226=1),$AV$228,HLOOKUP(INDIRECT(ADDRESS(2,COLUMN())),OFFSET($BN$2,0,0,ROW()-1,60),ROW()-1,FALSE))</f>
        <v>34.128</v>
      </c>
      <c r="AW5">
        <f ca="1">IF(AND(ISNUMBER($AW$228),$B$226=1),$AW$228,HLOOKUP(INDIRECT(ADDRESS(2,COLUMN())),OFFSET($BN$2,0,0,ROW()-1,60),ROW()-1,FALSE))</f>
        <v>31.747</v>
      </c>
      <c r="AX5">
        <f ca="1">IF(AND(ISNUMBER($AX$228),$B$226=1),$AX$228,HLOOKUP(INDIRECT(ADDRESS(2,COLUMN())),OFFSET($BN$2,0,0,ROW()-1,60),ROW()-1,FALSE))</f>
        <v>33.481999999999999</v>
      </c>
      <c r="AY5">
        <f ca="1">IF(AND(ISNUMBER($AY$228),$B$226=1),$AY$228,HLOOKUP(INDIRECT(ADDRESS(2,COLUMN())),OFFSET($BN$2,0,0,ROW()-1,60),ROW()-1,FALSE))</f>
        <v>31.087</v>
      </c>
      <c r="AZ5">
        <f ca="1">IF(AND(ISNUMBER($AZ$228),$B$226=1),$AZ$228,HLOOKUP(INDIRECT(ADDRESS(2,COLUMN())),OFFSET($BN$2,0,0,ROW()-1,60),ROW()-1,FALSE))</f>
        <v>28.311</v>
      </c>
      <c r="BA5">
        <f ca="1">IF(AND(ISNUMBER($BA$228),$B$226=1),$BA$228,HLOOKUP(INDIRECT(ADDRESS(2,COLUMN())),OFFSET($BN$2,0,0,ROW()-1,60),ROW()-1,FALSE))</f>
        <v>25.718</v>
      </c>
      <c r="BB5">
        <f ca="1">IF(AND(ISNUMBER($BB$228),$B$226=1),$BB$228,HLOOKUP(INDIRECT(ADDRESS(2,COLUMN())),OFFSET($BN$2,0,0,ROW()-1,60),ROW()-1,FALSE))</f>
        <v>24.106999999999999</v>
      </c>
      <c r="BC5">
        <f ca="1">IF(AND(ISNUMBER($BC$228),$B$226=1),$BC$228,HLOOKUP(INDIRECT(ADDRESS(2,COLUMN())),OFFSET($BN$2,0,0,ROW()-1,60),ROW()-1,FALSE))</f>
        <v>21.353000000000002</v>
      </c>
      <c r="BD5">
        <f ca="1">IF(AND(ISNUMBER($BD$228),$B$226=1),$BD$228,HLOOKUP(INDIRECT(ADDRESS(2,COLUMN())),OFFSET($BN$2,0,0,ROW()-1,60),ROW()-1,FALSE))</f>
        <v>17.792000000000002</v>
      </c>
      <c r="BE5">
        <f ca="1">IF(AND(ISNUMBER($BE$228),$B$226=1),$BE$228,HLOOKUP(INDIRECT(ADDRESS(2,COLUMN())),OFFSET($BN$2,0,0,ROW()-1,60),ROW()-1,FALSE))</f>
        <v>17.896999999999998</v>
      </c>
      <c r="BF5">
        <f ca="1">IF(AND(ISNUMBER($BF$228),$B$226=1),$BF$228,HLOOKUP(INDIRECT(ADDRESS(2,COLUMN())),OFFSET($BN$2,0,0,ROW()-1,60),ROW()-1,FALSE))</f>
        <v>17.981999999999999</v>
      </c>
      <c r="BG5">
        <f ca="1">IF(AND(ISNUMBER($BG$228),$B$226=1),$BG$228,HLOOKUP(INDIRECT(ADDRESS(2,COLUMN())),OFFSET($BN$2,0,0,ROW()-1,60),ROW()-1,FALSE))</f>
        <v>16.050999999999998</v>
      </c>
      <c r="BH5">
        <f ca="1">IF(AND(ISNUMBER($BH$228),$B$226=1),$BH$228,HLOOKUP(INDIRECT(ADDRESS(2,COLUMN())),OFFSET($BN$2,0,0,ROW()-1,60),ROW()-1,FALSE))</f>
        <v>7.5279999999999996</v>
      </c>
      <c r="BI5">
        <f ca="1">IF(AND(ISNUMBER($BI$228),$B$226=1),$BI$228,HLOOKUP(INDIRECT(ADDRESS(2,COLUMN())),OFFSET($BN$2,0,0,ROW()-1,60),ROW()-1,FALSE))</f>
        <v>10.928000450000001</v>
      </c>
      <c r="BJ5">
        <f ca="1">IF(AND(ISNUMBER($BJ$228),$B$226=1),$BJ$228,HLOOKUP(INDIRECT(ADDRESS(2,COLUMN())),OFFSET($BN$2,0,0,ROW()-1,60),ROW()-1,FALSE))</f>
        <v>14.102000240000001</v>
      </c>
      <c r="BK5">
        <f ca="1">IF(AND(ISNUMBER($BK$228),$B$226=1),$BK$228,HLOOKUP(INDIRECT(ADDRESS(2,COLUMN())),OFFSET($BN$2,0,0,ROW()-1,60),ROW()-1,FALSE))</f>
        <v>13.277000429999999</v>
      </c>
      <c r="BL5" t="str">
        <f ca="1">IF(AND(ISNUMBER($BL$228),$B$226=1),$BL$228,HLOOKUP(INDIRECT(ADDRESS(2,COLUMN())),OFFSET($BN$2,0,0,ROW()-1,60),ROW()-1,FALSE))</f>
        <v/>
      </c>
      <c r="BM5" t="str">
        <f ca="1">IF(AND(ISNUMBER($BM$228),$B$226=1),$BM$228,HLOOKUP(INDIRECT(ADDRESS(2,COLUMN())),OFFSET($BN$2,0,0,ROW()-1,60),ROW()-1,FALSE))</f>
        <v/>
      </c>
      <c r="BN5" t="str">
        <f>""</f>
        <v/>
      </c>
      <c r="BO5">
        <f>217.971</f>
        <v>217.971</v>
      </c>
      <c r="BP5">
        <f>190.368</f>
        <v>190.36799999999999</v>
      </c>
      <c r="BQ5">
        <f>175.327</f>
        <v>175.327</v>
      </c>
      <c r="BR5">
        <f>188.989</f>
        <v>188.989</v>
      </c>
      <c r="BS5">
        <f>199.729</f>
        <v>199.72900000000001</v>
      </c>
      <c r="BT5">
        <f>192.452</f>
        <v>192.452</v>
      </c>
      <c r="BU5">
        <f>180.896</f>
        <v>180.89599999999999</v>
      </c>
      <c r="BV5">
        <f>195.748</f>
        <v>195.74799999999999</v>
      </c>
      <c r="BW5">
        <f>197.385</f>
        <v>197.38499999999999</v>
      </c>
      <c r="BX5">
        <f>176.84</f>
        <v>176.84</v>
      </c>
      <c r="BY5">
        <f>173.172</f>
        <v>173.172</v>
      </c>
      <c r="BZ5">
        <f>189.098</f>
        <v>189.09800000000001</v>
      </c>
      <c r="CA5">
        <f>193.585</f>
        <v>193.58500000000001</v>
      </c>
      <c r="CB5">
        <f>177.602</f>
        <v>177.602</v>
      </c>
      <c r="CC5">
        <f>167.791</f>
        <v>167.791</v>
      </c>
      <c r="CD5">
        <f>180.138</f>
        <v>180.13800000000001</v>
      </c>
      <c r="CE5">
        <f>179.076</f>
        <v>179.07599999999999</v>
      </c>
      <c r="CF5">
        <f>155.734</f>
        <v>155.73400000000001</v>
      </c>
      <c r="CG5">
        <f>150.301</f>
        <v>150.30099999999999</v>
      </c>
      <c r="CH5">
        <f>160.377</f>
        <v>160.37700000000001</v>
      </c>
      <c r="CI5">
        <f>145.703</f>
        <v>145.703</v>
      </c>
      <c r="CJ5">
        <f>109.149</f>
        <v>109.149</v>
      </c>
      <c r="CK5">
        <f>95.222</f>
        <v>95.221999999999994</v>
      </c>
      <c r="CL5">
        <f>102.786</f>
        <v>102.786</v>
      </c>
      <c r="CM5">
        <f>101.429</f>
        <v>101.429</v>
      </c>
      <c r="CN5">
        <f>91.431</f>
        <v>91.430999999999997</v>
      </c>
      <c r="CO5">
        <f>86.258</f>
        <v>86.257999999999996</v>
      </c>
      <c r="CP5">
        <f>93.272</f>
        <v>93.272000000000006</v>
      </c>
      <c r="CQ5">
        <f>90.653</f>
        <v>90.653000000000006</v>
      </c>
      <c r="CR5">
        <f>76.968</f>
        <v>76.968000000000004</v>
      </c>
      <c r="CS5">
        <f>69.917</f>
        <v>69.917000000000002</v>
      </c>
      <c r="CT5">
        <f>76.93</f>
        <v>76.930000000000007</v>
      </c>
      <c r="CU5">
        <f>77.591</f>
        <v>77.590999999999994</v>
      </c>
      <c r="CV5">
        <f>72.146</f>
        <v>72.146000000000001</v>
      </c>
      <c r="CW5">
        <f>68.075</f>
        <v>68.075000000000003</v>
      </c>
      <c r="CX5">
        <f>72.209</f>
        <v>72.209000000000003</v>
      </c>
      <c r="CY5">
        <f>73.091</f>
        <v>73.090999999999994</v>
      </c>
      <c r="CZ5">
        <f>64.964</f>
        <v>64.963999999999999</v>
      </c>
      <c r="DA5">
        <f>41.242</f>
        <v>41.241999999999997</v>
      </c>
      <c r="DB5">
        <f>38.425</f>
        <v>38.424999999999997</v>
      </c>
      <c r="DC5">
        <f>37.895</f>
        <v>37.895000000000003</v>
      </c>
      <c r="DD5">
        <f>34.128</f>
        <v>34.128</v>
      </c>
      <c r="DE5">
        <f>31.747</f>
        <v>31.747</v>
      </c>
      <c r="DF5">
        <f>33.482</f>
        <v>33.481999999999999</v>
      </c>
      <c r="DG5">
        <f>31.087</f>
        <v>31.087</v>
      </c>
      <c r="DH5">
        <f>28.311</f>
        <v>28.311</v>
      </c>
      <c r="DI5">
        <f>25.718</f>
        <v>25.718</v>
      </c>
      <c r="DJ5">
        <f>24.107</f>
        <v>24.106999999999999</v>
      </c>
      <c r="DK5">
        <f>21.353</f>
        <v>21.353000000000002</v>
      </c>
      <c r="DL5">
        <f>17.792</f>
        <v>17.792000000000002</v>
      </c>
      <c r="DM5">
        <f>17.897</f>
        <v>17.896999999999998</v>
      </c>
      <c r="DN5">
        <f>17.982</f>
        <v>17.981999999999999</v>
      </c>
      <c r="DO5">
        <f>16.051</f>
        <v>16.050999999999998</v>
      </c>
      <c r="DP5">
        <f>7.528</f>
        <v>7.5279999999999996</v>
      </c>
      <c r="DQ5">
        <f>10.92800045</f>
        <v>10.928000450000001</v>
      </c>
      <c r="DR5">
        <f>14.10200024</f>
        <v>14.102000240000001</v>
      </c>
      <c r="DS5">
        <f>13.27700043</f>
        <v>13.277000429999999</v>
      </c>
      <c r="DT5" t="str">
        <f>""</f>
        <v/>
      </c>
      <c r="DU5" t="str">
        <f>""</f>
        <v/>
      </c>
    </row>
    <row r="6" spans="1:125">
      <c r="A6" t="str">
        <f>"    AvalonBay Communities Inc"</f>
        <v xml:space="preserve">    AvalonBay Communities Inc</v>
      </c>
      <c r="B6" t="str">
        <f>"AVB US Equity"</f>
        <v>AVB US Equity</v>
      </c>
      <c r="C6" t="str">
        <f t="shared" si="0"/>
        <v>IS030</v>
      </c>
      <c r="D6" t="str">
        <f t="shared" si="1"/>
        <v>IS_RENT_INC</v>
      </c>
      <c r="E6" t="str">
        <f t="shared" si="2"/>
        <v>动态</v>
      </c>
      <c r="F6" t="str">
        <f ca="1">IF(AND(ISNUMBER($F$229),$B$226=1),$F$229,HLOOKUP(INDIRECT(ADDRESS(2,COLUMN())),OFFSET($BN$2,0,0,ROW()-1,60),ROW()-1,FALSE))</f>
        <v/>
      </c>
      <c r="G6">
        <f ca="1">IF(AND(ISNUMBER($G$229),$B$226=1),$G$229,HLOOKUP(INDIRECT(ADDRESS(2,COLUMN())),OFFSET($BN$2,0,0,ROW()-1,60),ROW()-1,FALSE))</f>
        <v>554.43499999999995</v>
      </c>
      <c r="H6">
        <f ca="1">IF(AND(ISNUMBER($H$229),$B$226=1),$H$229,HLOOKUP(INDIRECT(ADDRESS(2,COLUMN())),OFFSET($BN$2,0,0,ROW()-1,60),ROW()-1,FALSE))</f>
        <v>549.50699999999995</v>
      </c>
      <c r="I6">
        <f ca="1">IF(AND(ISNUMBER($I$229),$B$226=1),$I$229,HLOOKUP(INDIRECT(ADDRESS(2,COLUMN())),OFFSET($BN$2,0,0,ROW()-1,60),ROW()-1,FALSE))</f>
        <v>529.41399999999999</v>
      </c>
      <c r="J6">
        <f ca="1">IF(AND(ISNUMBER($J$229),$B$226=1),$J$229,HLOOKUP(INDIRECT(ADDRESS(2,COLUMN())),OFFSET($BN$2,0,0,ROW()-1,60),ROW()-1,FALSE))</f>
        <v>521.12599999999998</v>
      </c>
      <c r="K6">
        <f ca="1">IF(AND(ISNUMBER($K$229),$B$226=1),$K$229,HLOOKUP(INDIRECT(ADDRESS(2,COLUMN())),OFFSET($BN$2,0,0,ROW()-1,60),ROW()-1,FALSE))</f>
        <v>516.952</v>
      </c>
      <c r="L6">
        <f ca="1">IF(AND(ISNUMBER($L$229),$B$226=1),$L$229,HLOOKUP(INDIRECT(ADDRESS(2,COLUMN())),OFFSET($BN$2,0,0,ROW()-1,60),ROW()-1,FALSE))</f>
        <v>514.89099999999996</v>
      </c>
      <c r="M6">
        <f ca="1">IF(AND(ISNUMBER($M$229),$B$226=1),$M$229,HLOOKUP(INDIRECT(ADDRESS(2,COLUMN())),OFFSET($BN$2,0,0,ROW()-1,60),ROW()-1,FALSE))</f>
        <v>500.84</v>
      </c>
      <c r="N6">
        <f ca="1">IF(AND(ISNUMBER($N$229),$B$226=1),$N$229,HLOOKUP(INDIRECT(ADDRESS(2,COLUMN())),OFFSET($BN$2,0,0,ROW()-1,60),ROW()-1,FALSE))</f>
        <v>506.97399999999999</v>
      </c>
      <c r="O6">
        <f ca="1">IF(AND(ISNUMBER($O$229),$B$226=1),$O$229,HLOOKUP(INDIRECT(ADDRESS(2,COLUMN())),OFFSET($BN$2,0,0,ROW()-1,60),ROW()-1,FALSE))</f>
        <v>478.60700000000003</v>
      </c>
      <c r="P6">
        <f ca="1">IF(AND(ISNUMBER($P$229),$B$226=1),$P$229,HLOOKUP(INDIRECT(ADDRESS(2,COLUMN())),OFFSET($BN$2,0,0,ROW()-1,60),ROW()-1,FALSE))</f>
        <v>473.19900000000001</v>
      </c>
      <c r="Q6">
        <f ca="1">IF(AND(ISNUMBER($Q$229),$B$226=1),$Q$229,HLOOKUP(INDIRECT(ADDRESS(2,COLUMN())),OFFSET($BN$2,0,0,ROW()-1,60),ROW()-1,FALSE))</f>
        <v>454.517</v>
      </c>
      <c r="R6">
        <f ca="1">IF(AND(ISNUMBER($R$229),$B$226=1),$R$229,HLOOKUP(INDIRECT(ADDRESS(2,COLUMN())),OFFSET($BN$2,0,0,ROW()-1,60),ROW()-1,FALSE))</f>
        <v>439.75599999999997</v>
      </c>
      <c r="S6">
        <f ca="1">IF(AND(ISNUMBER($S$229),$B$226=1),$S$229,HLOOKUP(INDIRECT(ADDRESS(2,COLUMN())),OFFSET($BN$2,0,0,ROW()-1,60),ROW()-1,FALSE))</f>
        <v>437.85899999999998</v>
      </c>
      <c r="T6">
        <f ca="1">IF(AND(ISNUMBER($T$229),$B$226=1),$T$229,HLOOKUP(INDIRECT(ADDRESS(2,COLUMN())),OFFSET($BN$2,0,0,ROW()-1,60),ROW()-1,FALSE))</f>
        <v>428.02199999999999</v>
      </c>
      <c r="U6">
        <f ca="1">IF(AND(ISNUMBER($U$229),$B$226=1),$U$229,HLOOKUP(INDIRECT(ADDRESS(2,COLUMN())),OFFSET($BN$2,0,0,ROW()-1,60),ROW()-1,FALSE))</f>
        <v>411.13400000000001</v>
      </c>
      <c r="V6">
        <f ca="1">IF(AND(ISNUMBER($V$229),$B$226=1),$V$229,HLOOKUP(INDIRECT(ADDRESS(2,COLUMN())),OFFSET($BN$2,0,0,ROW()-1,60),ROW()-1,FALSE))</f>
        <v>396.99799999999999</v>
      </c>
      <c r="W6">
        <f ca="1">IF(AND(ISNUMBER($W$229),$B$226=1),$W$229,HLOOKUP(INDIRECT(ADDRESS(2,COLUMN())),OFFSET($BN$2,0,0,ROW()-1,60),ROW()-1,FALSE))</f>
        <v>390.86599999999999</v>
      </c>
      <c r="X6">
        <f ca="1">IF(AND(ISNUMBER($X$229),$B$226=1),$X$229,HLOOKUP(INDIRECT(ADDRESS(2,COLUMN())),OFFSET($BN$2,0,0,ROW()-1,60),ROW()-1,FALSE))</f>
        <v>386.17500000000001</v>
      </c>
      <c r="Y6">
        <f ca="1">IF(AND(ISNUMBER($Y$229),$B$226=1),$Y$229,HLOOKUP(INDIRECT(ADDRESS(2,COLUMN())),OFFSET($BN$2,0,0,ROW()-1,60),ROW()-1,FALSE))</f>
        <v>375.29399999999998</v>
      </c>
      <c r="Z6">
        <f ca="1">IF(AND(ISNUMBER($Z$229),$B$226=1),$Z$229,HLOOKUP(INDIRECT(ADDRESS(2,COLUMN())),OFFSET($BN$2,0,0,ROW()-1,60),ROW()-1,FALSE))</f>
        <v>299.08499999999998</v>
      </c>
      <c r="AA6">
        <f ca="1">IF(AND(ISNUMBER($AA$229),$B$226=1),$AA$229,HLOOKUP(INDIRECT(ADDRESS(2,COLUMN())),OFFSET($BN$2,0,0,ROW()-1,60),ROW()-1,FALSE))</f>
        <v>259.16899999999998</v>
      </c>
      <c r="AB6">
        <f ca="1">IF(AND(ISNUMBER($AB$229),$B$226=1),$AB$229,HLOOKUP(INDIRECT(ADDRESS(2,COLUMN())),OFFSET($BN$2,0,0,ROW()-1,60),ROW()-1,FALSE))</f>
        <v>258.78800000000001</v>
      </c>
      <c r="AC6">
        <f ca="1">IF(AND(ISNUMBER($AC$229),$B$226=1),$AC$229,HLOOKUP(INDIRECT(ADDRESS(2,COLUMN())),OFFSET($BN$2,0,0,ROW()-1,60),ROW()-1,FALSE))</f>
        <v>249.67500000000001</v>
      </c>
      <c r="AD6">
        <f ca="1">IF(AND(ISNUMBER($AD$229),$B$226=1),$AD$229,HLOOKUP(INDIRECT(ADDRESS(2,COLUMN())),OFFSET($BN$2,0,0,ROW()-1,60),ROW()-1,FALSE))</f>
        <v>243.483</v>
      </c>
      <c r="AE6">
        <f ca="1">IF(AND(ISNUMBER($AE$229),$B$226=1),$AE$229,HLOOKUP(INDIRECT(ADDRESS(2,COLUMN())),OFFSET($BN$2,0,0,ROW()-1,60),ROW()-1,FALSE))</f>
        <v>240.518</v>
      </c>
      <c r="AF6">
        <f ca="1">IF(AND(ISNUMBER($AF$229),$B$226=1),$AF$229,HLOOKUP(INDIRECT(ADDRESS(2,COLUMN())),OFFSET($BN$2,0,0,ROW()-1,60),ROW()-1,FALSE))</f>
        <v>241.286</v>
      </c>
      <c r="AG6">
        <f ca="1">IF(AND(ISNUMBER($AG$229),$B$226=1),$AG$229,HLOOKUP(INDIRECT(ADDRESS(2,COLUMN())),OFFSET($BN$2,0,0,ROW()-1,60),ROW()-1,FALSE))</f>
        <v>233.249</v>
      </c>
      <c r="AH6">
        <f ca="1">IF(AND(ISNUMBER($AH$229),$B$226=1),$AH$229,HLOOKUP(INDIRECT(ADDRESS(2,COLUMN())),OFFSET($BN$2,0,0,ROW()-1,60),ROW()-1,FALSE))</f>
        <v>226.21</v>
      </c>
      <c r="AI6">
        <f ca="1">IF(AND(ISNUMBER($AI$229),$B$226=1),$AI$229,HLOOKUP(INDIRECT(ADDRESS(2,COLUMN())),OFFSET($BN$2,0,0,ROW()-1,60),ROW()-1,FALSE))</f>
        <v>224.53100000000001</v>
      </c>
      <c r="AJ6">
        <f ca="1">IF(AND(ISNUMBER($AJ$229),$B$226=1),$AJ$229,HLOOKUP(INDIRECT(ADDRESS(2,COLUMN())),OFFSET($BN$2,0,0,ROW()-1,60),ROW()-1,FALSE))</f>
        <v>223.75800000000001</v>
      </c>
      <c r="AK6">
        <f ca="1">IF(AND(ISNUMBER($AK$229),$B$226=1),$AK$229,HLOOKUP(INDIRECT(ADDRESS(2,COLUMN())),OFFSET($BN$2,0,0,ROW()-1,60),ROW()-1,FALSE))</f>
        <v>218.65799999999999</v>
      </c>
      <c r="AL6">
        <f ca="1">IF(AND(ISNUMBER($AL$229),$B$226=1),$AL$229,HLOOKUP(INDIRECT(ADDRESS(2,COLUMN())),OFFSET($BN$2,0,0,ROW()-1,60),ROW()-1,FALSE))</f>
        <v>213.6</v>
      </c>
      <c r="AM6">
        <f ca="1">IF(AND(ISNUMBER($AM$229),$B$226=1),$AM$229,HLOOKUP(INDIRECT(ADDRESS(2,COLUMN())),OFFSET($BN$2,0,0,ROW()-1,60),ROW()-1,FALSE))</f>
        <v>212.38800000000001</v>
      </c>
      <c r="AN6">
        <f ca="1">IF(AND(ISNUMBER($AN$229),$B$226=1),$AN$229,HLOOKUP(INDIRECT(ADDRESS(2,COLUMN())),OFFSET($BN$2,0,0,ROW()-1,60),ROW()-1,FALSE))</f>
        <v>213.16499999999999</v>
      </c>
      <c r="AO6">
        <f ca="1">IF(AND(ISNUMBER($AO$229),$B$226=1),$AO$229,HLOOKUP(INDIRECT(ADDRESS(2,COLUMN())),OFFSET($BN$2,0,0,ROW()-1,60),ROW()-1,FALSE))</f>
        <v>210.18199999999999</v>
      </c>
      <c r="AP6">
        <f ca="1">IF(AND(ISNUMBER($AP$229),$B$226=1),$AP$229,HLOOKUP(INDIRECT(ADDRESS(2,COLUMN())),OFFSET($BN$2,0,0,ROW()-1,60),ROW()-1,FALSE))</f>
        <v>208.26499999999999</v>
      </c>
      <c r="AQ6">
        <f ca="1">IF(AND(ISNUMBER($AQ$229),$B$226=1),$AQ$229,HLOOKUP(INDIRECT(ADDRESS(2,COLUMN())),OFFSET($BN$2,0,0,ROW()-1,60),ROW()-1,FALSE))</f>
        <v>218.59</v>
      </c>
      <c r="AR6">
        <f ca="1">IF(AND(ISNUMBER($AR$229),$B$226=1),$AR$229,HLOOKUP(INDIRECT(ADDRESS(2,COLUMN())),OFFSET($BN$2,0,0,ROW()-1,60),ROW()-1,FALSE))</f>
        <v>213.768</v>
      </c>
      <c r="AS6">
        <f ca="1">IF(AND(ISNUMBER($AS$229),$B$226=1),$AS$229,HLOOKUP(INDIRECT(ADDRESS(2,COLUMN())),OFFSET($BN$2,0,0,ROW()-1,60),ROW()-1,FALSE))</f>
        <v>209.61199999999999</v>
      </c>
      <c r="AT6">
        <f ca="1">IF(AND(ISNUMBER($AT$229),$B$226=1),$AT$229,HLOOKUP(INDIRECT(ADDRESS(2,COLUMN())),OFFSET($BN$2,0,0,ROW()-1,60),ROW()-1,FALSE))</f>
        <v>202.535</v>
      </c>
      <c r="AU6">
        <f ca="1">IF(AND(ISNUMBER($AU$229),$B$226=1),$AU$229,HLOOKUP(INDIRECT(ADDRESS(2,COLUMN())),OFFSET($BN$2,0,0,ROW()-1,60),ROW()-1,FALSE))</f>
        <v>198.83099999999999</v>
      </c>
      <c r="AV6">
        <f ca="1">IF(AND(ISNUMBER($AV$229),$B$226=1),$AV$229,HLOOKUP(INDIRECT(ADDRESS(2,COLUMN())),OFFSET($BN$2,0,0,ROW()-1,60),ROW()-1,FALSE))</f>
        <v>195.042</v>
      </c>
      <c r="AW6">
        <f ca="1">IF(AND(ISNUMBER($AW$229),$B$226=1),$AW$229,HLOOKUP(INDIRECT(ADDRESS(2,COLUMN())),OFFSET($BN$2,0,0,ROW()-1,60),ROW()-1,FALSE))</f>
        <v>189.43600000000001</v>
      </c>
      <c r="AX6">
        <f ca="1">IF(AND(ISNUMBER($AX$229),$B$226=1),$AX$229,HLOOKUP(INDIRECT(ADDRESS(2,COLUMN())),OFFSET($BN$2,0,0,ROW()-1,60),ROW()-1,FALSE))</f>
        <v>187.17099999999999</v>
      </c>
      <c r="AY6">
        <f ca="1">IF(AND(ISNUMBER($AY$229),$B$226=1),$AY$229,HLOOKUP(INDIRECT(ADDRESS(2,COLUMN())),OFFSET($BN$2,0,0,ROW()-1,60),ROW()-1,FALSE))</f>
        <v>187.715</v>
      </c>
      <c r="AZ6">
        <f ca="1">IF(AND(ISNUMBER($AZ$229),$B$226=1),$AZ$229,HLOOKUP(INDIRECT(ADDRESS(2,COLUMN())),OFFSET($BN$2,0,0,ROW()-1,60),ROW()-1,FALSE))</f>
        <v>182.06100000000001</v>
      </c>
      <c r="BA6">
        <f ca="1">IF(AND(ISNUMBER($BA$229),$B$226=1),$BA$229,HLOOKUP(INDIRECT(ADDRESS(2,COLUMN())),OFFSET($BN$2,0,0,ROW()-1,60),ROW()-1,FALSE))</f>
        <v>177.68799999999999</v>
      </c>
      <c r="BB6">
        <f ca="1">IF(AND(ISNUMBER($BB$229),$B$226=1),$BB$229,HLOOKUP(INDIRECT(ADDRESS(2,COLUMN())),OFFSET($BN$2,0,0,ROW()-1,60),ROW()-1,FALSE))</f>
        <v>173.952</v>
      </c>
      <c r="BC6">
        <f ca="1">IF(AND(ISNUMBER($BC$229),$B$226=1),$BC$229,HLOOKUP(INDIRECT(ADDRESS(2,COLUMN())),OFFSET($BN$2,0,0,ROW()-1,60),ROW()-1,FALSE))</f>
        <v>171.96899999999999</v>
      </c>
      <c r="BD6">
        <f ca="1">IF(AND(ISNUMBER($BD$229),$B$226=1),$BD$229,HLOOKUP(INDIRECT(ADDRESS(2,COLUMN())),OFFSET($BN$2,0,0,ROW()-1,60),ROW()-1,FALSE))</f>
        <v>169.43799999999999</v>
      </c>
      <c r="BE6">
        <f ca="1">IF(AND(ISNUMBER($BE$229),$B$226=1),$BE$229,HLOOKUP(INDIRECT(ADDRESS(2,COLUMN())),OFFSET($BN$2,0,0,ROW()-1,60),ROW()-1,FALSE))</f>
        <v>164.28899999999999</v>
      </c>
      <c r="BF6">
        <f ca="1">IF(AND(ISNUMBER($BF$229),$B$226=1),$BF$229,HLOOKUP(INDIRECT(ADDRESS(2,COLUMN())),OFFSET($BN$2,0,0,ROW()-1,60),ROW()-1,FALSE))</f>
        <v>159.54499999999999</v>
      </c>
      <c r="BG6">
        <f ca="1">IF(AND(ISNUMBER($BG$229),$B$226=1),$BG$229,HLOOKUP(INDIRECT(ADDRESS(2,COLUMN())),OFFSET($BN$2,0,0,ROW()-1,60),ROW()-1,FALSE))</f>
        <v>138.65199999999999</v>
      </c>
      <c r="BH6">
        <f ca="1">IF(AND(ISNUMBER($BH$229),$B$226=1),$BH$229,HLOOKUP(INDIRECT(ADDRESS(2,COLUMN())),OFFSET($BN$2,0,0,ROW()-1,60),ROW()-1,FALSE))</f>
        <v>155.756</v>
      </c>
      <c r="BI6">
        <f ca="1">IF(AND(ISNUMBER($BI$229),$B$226=1),$BI$229,HLOOKUP(INDIRECT(ADDRESS(2,COLUMN())),OFFSET($BN$2,0,0,ROW()-1,60),ROW()-1,FALSE))</f>
        <v>162.101</v>
      </c>
      <c r="BJ6">
        <f ca="1">IF(AND(ISNUMBER($BJ$229),$B$226=1),$BJ$229,HLOOKUP(INDIRECT(ADDRESS(2,COLUMN())),OFFSET($BN$2,0,0,ROW()-1,60),ROW()-1,FALSE))</f>
        <v>156.73099999999999</v>
      </c>
      <c r="BK6">
        <f ca="1">IF(AND(ISNUMBER($BK$229),$B$226=1),$BK$229,HLOOKUP(INDIRECT(ADDRESS(2,COLUMN())),OFFSET($BN$2,0,0,ROW()-1,60),ROW()-1,FALSE))</f>
        <v>151.7440033</v>
      </c>
      <c r="BL6">
        <f ca="1">IF(AND(ISNUMBER($BL$229),$B$226=1),$BL$229,HLOOKUP(INDIRECT(ADDRESS(2,COLUMN())),OFFSET($BN$2,0,0,ROW()-1,60),ROW()-1,FALSE))</f>
        <v>150.94800000000001</v>
      </c>
      <c r="BM6">
        <f ca="1">IF(AND(ISNUMBER($BM$229),$B$226=1),$BM$229,HLOOKUP(INDIRECT(ADDRESS(2,COLUMN())),OFFSET($BN$2,0,0,ROW()-1,60),ROW()-1,FALSE))</f>
        <v>149.101</v>
      </c>
      <c r="BN6" t="str">
        <f>""</f>
        <v/>
      </c>
      <c r="BO6">
        <f>554.435</f>
        <v>554.43499999999995</v>
      </c>
      <c r="BP6">
        <f>549.507</f>
        <v>549.50699999999995</v>
      </c>
      <c r="BQ6">
        <f>529.414</f>
        <v>529.41399999999999</v>
      </c>
      <c r="BR6">
        <f>521.126</f>
        <v>521.12599999999998</v>
      </c>
      <c r="BS6">
        <f>516.952</f>
        <v>516.952</v>
      </c>
      <c r="BT6">
        <f>514.891</f>
        <v>514.89099999999996</v>
      </c>
      <c r="BU6">
        <f>500.84</f>
        <v>500.84</v>
      </c>
      <c r="BV6">
        <f>506.974</f>
        <v>506.97399999999999</v>
      </c>
      <c r="BW6">
        <f>478.607</f>
        <v>478.60700000000003</v>
      </c>
      <c r="BX6">
        <f>473.199</f>
        <v>473.19900000000001</v>
      </c>
      <c r="BY6">
        <f>454.517</f>
        <v>454.517</v>
      </c>
      <c r="BZ6">
        <f>439.756</f>
        <v>439.75599999999997</v>
      </c>
      <c r="CA6">
        <f>437.859</f>
        <v>437.85899999999998</v>
      </c>
      <c r="CB6">
        <f>428.022</f>
        <v>428.02199999999999</v>
      </c>
      <c r="CC6">
        <f>411.134</f>
        <v>411.13400000000001</v>
      </c>
      <c r="CD6">
        <f>396.998</f>
        <v>396.99799999999999</v>
      </c>
      <c r="CE6">
        <f>390.866</f>
        <v>390.86599999999999</v>
      </c>
      <c r="CF6">
        <f>386.175</f>
        <v>386.17500000000001</v>
      </c>
      <c r="CG6">
        <f>375.294</f>
        <v>375.29399999999998</v>
      </c>
      <c r="CH6">
        <f>299.085</f>
        <v>299.08499999999998</v>
      </c>
      <c r="CI6">
        <f>259.169</f>
        <v>259.16899999999998</v>
      </c>
      <c r="CJ6">
        <f>258.788</f>
        <v>258.78800000000001</v>
      </c>
      <c r="CK6">
        <f>249.675</f>
        <v>249.67500000000001</v>
      </c>
      <c r="CL6">
        <f>243.483</f>
        <v>243.483</v>
      </c>
      <c r="CM6">
        <f>240.518</f>
        <v>240.518</v>
      </c>
      <c r="CN6">
        <f>241.286</f>
        <v>241.286</v>
      </c>
      <c r="CO6">
        <f>233.249</f>
        <v>233.249</v>
      </c>
      <c r="CP6">
        <f>226.21</f>
        <v>226.21</v>
      </c>
      <c r="CQ6">
        <f>224.531</f>
        <v>224.53100000000001</v>
      </c>
      <c r="CR6">
        <f>223.758</f>
        <v>223.75800000000001</v>
      </c>
      <c r="CS6">
        <f>218.658</f>
        <v>218.65799999999999</v>
      </c>
      <c r="CT6">
        <f>213.6</f>
        <v>213.6</v>
      </c>
      <c r="CU6">
        <f>212.388</f>
        <v>212.38800000000001</v>
      </c>
      <c r="CV6">
        <f>213.165</f>
        <v>213.16499999999999</v>
      </c>
      <c r="CW6">
        <f>210.182</f>
        <v>210.18199999999999</v>
      </c>
      <c r="CX6">
        <f>208.265</f>
        <v>208.26499999999999</v>
      </c>
      <c r="CY6">
        <f>218.59</f>
        <v>218.59</v>
      </c>
      <c r="CZ6">
        <f>213.768</f>
        <v>213.768</v>
      </c>
      <c r="DA6">
        <f>209.612</f>
        <v>209.61199999999999</v>
      </c>
      <c r="DB6">
        <f>202.535</f>
        <v>202.535</v>
      </c>
      <c r="DC6">
        <f>198.831</f>
        <v>198.83099999999999</v>
      </c>
      <c r="DD6">
        <f>195.042</f>
        <v>195.042</v>
      </c>
      <c r="DE6">
        <f>189.436</f>
        <v>189.43600000000001</v>
      </c>
      <c r="DF6">
        <f>187.171</f>
        <v>187.17099999999999</v>
      </c>
      <c r="DG6">
        <f>187.715</f>
        <v>187.715</v>
      </c>
      <c r="DH6">
        <f>182.061</f>
        <v>182.06100000000001</v>
      </c>
      <c r="DI6">
        <f>177.688</f>
        <v>177.68799999999999</v>
      </c>
      <c r="DJ6">
        <f>173.952</f>
        <v>173.952</v>
      </c>
      <c r="DK6">
        <f>171.969</f>
        <v>171.96899999999999</v>
      </c>
      <c r="DL6">
        <f>169.438</f>
        <v>169.43799999999999</v>
      </c>
      <c r="DM6">
        <f>164.289</f>
        <v>164.28899999999999</v>
      </c>
      <c r="DN6">
        <f>159.545</f>
        <v>159.54499999999999</v>
      </c>
      <c r="DO6">
        <f>138.652</f>
        <v>138.65199999999999</v>
      </c>
      <c r="DP6">
        <f>155.756</f>
        <v>155.756</v>
      </c>
      <c r="DQ6">
        <f>162.101</f>
        <v>162.101</v>
      </c>
      <c r="DR6">
        <f>156.731</f>
        <v>156.73099999999999</v>
      </c>
      <c r="DS6">
        <f>151.7440033</f>
        <v>151.7440033</v>
      </c>
      <c r="DT6">
        <f>150.948</f>
        <v>150.94800000000001</v>
      </c>
      <c r="DU6">
        <f>149.101</f>
        <v>149.101</v>
      </c>
    </row>
    <row r="7" spans="1:125">
      <c r="A7" t="str">
        <f>"    Camden Property Trust"</f>
        <v xml:space="preserve">    Camden Property Trust</v>
      </c>
      <c r="B7" t="str">
        <f>"CPT US Equity"</f>
        <v>CPT US Equity</v>
      </c>
      <c r="C7" t="str">
        <f t="shared" si="0"/>
        <v>IS030</v>
      </c>
      <c r="D7" t="str">
        <f t="shared" si="1"/>
        <v>IS_RENT_INC</v>
      </c>
      <c r="E7" t="str">
        <f t="shared" si="2"/>
        <v>动态</v>
      </c>
      <c r="F7" t="str">
        <f ca="1">IF(AND(ISNUMBER($F$230),$B$226=1),$F$230,HLOOKUP(INDIRECT(ADDRESS(2,COLUMN())),OFFSET($BN$2,0,0,ROW()-1,60),ROW()-1,FALSE))</f>
        <v/>
      </c>
      <c r="G7">
        <f ca="1">IF(AND(ISNUMBER($G$230),$B$226=1),$G$230,HLOOKUP(INDIRECT(ADDRESS(2,COLUMN())),OFFSET($BN$2,0,0,ROW()-1,60),ROW()-1,FALSE))</f>
        <v>197.27799999999999</v>
      </c>
      <c r="H7">
        <f ca="1">IF(AND(ISNUMBER($H$230),$B$226=1),$H$230,HLOOKUP(INDIRECT(ADDRESS(2,COLUMN())),OFFSET($BN$2,0,0,ROW()-1,60),ROW()-1,FALSE))</f>
        <v>194.69</v>
      </c>
      <c r="I7">
        <f ca="1">IF(AND(ISNUMBER($I$230),$B$226=1),$I$230,HLOOKUP(INDIRECT(ADDRESS(2,COLUMN())),OFFSET($BN$2,0,0,ROW()-1,60),ROW()-1,FALSE))</f>
        <v>190.47</v>
      </c>
      <c r="J7">
        <f ca="1">IF(AND(ISNUMBER($J$230),$B$226=1),$J$230,HLOOKUP(INDIRECT(ADDRESS(2,COLUMN())),OFFSET($BN$2,0,0,ROW()-1,60),ROW()-1,FALSE))</f>
        <v>188.102</v>
      </c>
      <c r="K7">
        <f ca="1">IF(AND(ISNUMBER($K$230),$B$226=1),$K$230,HLOOKUP(INDIRECT(ADDRESS(2,COLUMN())),OFFSET($BN$2,0,0,ROW()-1,60),ROW()-1,FALSE))</f>
        <v>186.46100000000001</v>
      </c>
      <c r="L7">
        <f ca="1">IF(AND(ISNUMBER($L$230),$B$226=1),$L$230,HLOOKUP(INDIRECT(ADDRESS(2,COLUMN())),OFFSET($BN$2,0,0,ROW()-1,60),ROW()-1,FALSE))</f>
        <v>187.77099999999999</v>
      </c>
      <c r="M7">
        <f ca="1">IF(AND(ISNUMBER($M$230),$B$226=1),$M$230,HLOOKUP(INDIRECT(ADDRESS(2,COLUMN())),OFFSET($BN$2,0,0,ROW()-1,60),ROW()-1,FALSE))</f>
        <v>189.24600000000001</v>
      </c>
      <c r="N7">
        <f ca="1">IF(AND(ISNUMBER($N$230),$B$226=1),$N$230,HLOOKUP(INDIRECT(ADDRESS(2,COLUMN())),OFFSET($BN$2,0,0,ROW()-1,60),ROW()-1,FALSE))</f>
        <v>187.119</v>
      </c>
      <c r="O7">
        <f ca="1">IF(AND(ISNUMBER($O$230),$B$226=1),$O$230,HLOOKUP(INDIRECT(ADDRESS(2,COLUMN())),OFFSET($BN$2,0,0,ROW()-1,60),ROW()-1,FALSE))</f>
        <v>185.63300000000001</v>
      </c>
      <c r="P7">
        <f ca="1">IF(AND(ISNUMBER($P$230),$B$226=1),$P$230,HLOOKUP(INDIRECT(ADDRESS(2,COLUMN())),OFFSET($BN$2,0,0,ROW()-1,60),ROW()-1,FALSE))</f>
        <v>182.65</v>
      </c>
      <c r="Q7">
        <f ca="1">IF(AND(ISNUMBER($Q$230),$B$226=1),$Q$230,HLOOKUP(INDIRECT(ADDRESS(2,COLUMN())),OFFSET($BN$2,0,0,ROW()-1,60),ROW()-1,FALSE))</f>
        <v>178.31299999999999</v>
      </c>
      <c r="R7">
        <f ca="1">IF(AND(ISNUMBER($R$230),$B$226=1),$R$230,HLOOKUP(INDIRECT(ADDRESS(2,COLUMN())),OFFSET($BN$2,0,0,ROW()-1,60),ROW()-1,FALSE))</f>
        <v>186.857</v>
      </c>
      <c r="S7">
        <f ca="1">IF(AND(ISNUMBER($S$230),$B$226=1),$S$230,HLOOKUP(INDIRECT(ADDRESS(2,COLUMN())),OFFSET($BN$2,0,0,ROW()-1,60),ROW()-1,FALSE))</f>
        <v>188.22499999999999</v>
      </c>
      <c r="T7">
        <f ca="1">IF(AND(ISNUMBER($T$230),$B$226=1),$T$230,HLOOKUP(INDIRECT(ADDRESS(2,COLUMN())),OFFSET($BN$2,0,0,ROW()-1,60),ROW()-1,FALSE))</f>
        <v>184.24700000000001</v>
      </c>
      <c r="U7">
        <f ca="1">IF(AND(ISNUMBER($U$230),$B$226=1),$U$230,HLOOKUP(INDIRECT(ADDRESS(2,COLUMN())),OFFSET($BN$2,0,0,ROW()-1,60),ROW()-1,FALSE))</f>
        <v>180.43799999999999</v>
      </c>
      <c r="V7">
        <f ca="1">IF(AND(ISNUMBER($V$230),$B$226=1),$V$230,HLOOKUP(INDIRECT(ADDRESS(2,COLUMN())),OFFSET($BN$2,0,0,ROW()-1,60),ROW()-1,FALSE))</f>
        <v>178.964</v>
      </c>
      <c r="W7">
        <f ca="1">IF(AND(ISNUMBER($W$230),$B$226=1),$W$230,HLOOKUP(INDIRECT(ADDRESS(2,COLUMN())),OFFSET($BN$2,0,0,ROW()-1,60),ROW()-1,FALSE))</f>
        <v>177.79499999999999</v>
      </c>
      <c r="X7">
        <f ca="1">IF(AND(ISNUMBER($X$230),$B$226=1),$X$230,HLOOKUP(INDIRECT(ADDRESS(2,COLUMN())),OFFSET($BN$2,0,0,ROW()-1,60),ROW()-1,FALSE))</f>
        <v>172.54</v>
      </c>
      <c r="Y7">
        <f ca="1">IF(AND(ISNUMBER($Y$230),$B$226=1),$Y$230,HLOOKUP(INDIRECT(ADDRESS(2,COLUMN())),OFFSET($BN$2,0,0,ROW()-1,60),ROW()-1,FALSE))</f>
        <v>168.63399999999999</v>
      </c>
      <c r="Z7">
        <f ca="1">IF(AND(ISNUMBER($Z$230),$B$226=1),$Z$230,HLOOKUP(INDIRECT(ADDRESS(2,COLUMN())),OFFSET($BN$2,0,0,ROW()-1,60),ROW()-1,FALSE))</f>
        <v>164.393</v>
      </c>
      <c r="AA7">
        <f ca="1">IF(AND(ISNUMBER($AA$230),$B$226=1),$AA$230,HLOOKUP(INDIRECT(ADDRESS(2,COLUMN())),OFFSET($BN$2,0,0,ROW()-1,60),ROW()-1,FALSE))</f>
        <v>159.20699999999999</v>
      </c>
      <c r="AB7">
        <f ca="1">IF(AND(ISNUMBER($AB$230),$B$226=1),$AB$230,HLOOKUP(INDIRECT(ADDRESS(2,COLUMN())),OFFSET($BN$2,0,0,ROW()-1,60),ROW()-1,FALSE))</f>
        <v>155.98400000000001</v>
      </c>
      <c r="AC7">
        <f ca="1">IF(AND(ISNUMBER($AC$230),$B$226=1),$AC$230,HLOOKUP(INDIRECT(ADDRESS(2,COLUMN())),OFFSET($BN$2,0,0,ROW()-1,60),ROW()-1,FALSE))</f>
        <v>151.77500000000001</v>
      </c>
      <c r="AD7">
        <f ca="1">IF(AND(ISNUMBER($AD$230),$B$226=1),$AD$230,HLOOKUP(INDIRECT(ADDRESS(2,COLUMN())),OFFSET($BN$2,0,0,ROW()-1,60),ROW()-1,FALSE))</f>
        <v>146.25399999999999</v>
      </c>
      <c r="AE7">
        <f ca="1">IF(AND(ISNUMBER($AE$230),$B$226=1),$AE$230,HLOOKUP(INDIRECT(ADDRESS(2,COLUMN())),OFFSET($BN$2,0,0,ROW()-1,60),ROW()-1,FALSE))</f>
        <v>137.113</v>
      </c>
      <c r="AF7">
        <f ca="1">IF(AND(ISNUMBER($AF$230),$B$226=1),$AF$230,HLOOKUP(INDIRECT(ADDRESS(2,COLUMN())),OFFSET($BN$2,0,0,ROW()-1,60),ROW()-1,FALSE))</f>
        <v>140.33199999999999</v>
      </c>
      <c r="AG7">
        <f ca="1">IF(AND(ISNUMBER($AG$230),$B$226=1),$AG$230,HLOOKUP(INDIRECT(ADDRESS(2,COLUMN())),OFFSET($BN$2,0,0,ROW()-1,60),ROW()-1,FALSE))</f>
        <v>138.167</v>
      </c>
      <c r="AH7">
        <f ca="1">IF(AND(ISNUMBER($AH$230),$B$226=1),$AH$230,HLOOKUP(INDIRECT(ADDRESS(2,COLUMN())),OFFSET($BN$2,0,0,ROW()-1,60),ROW()-1,FALSE))</f>
        <v>135.83500000000001</v>
      </c>
      <c r="AI7">
        <f ca="1">IF(AND(ISNUMBER($AI$230),$B$226=1),$AI$230,HLOOKUP(INDIRECT(ADDRESS(2,COLUMN())),OFFSET($BN$2,0,0,ROW()-1,60),ROW()-1,FALSE))</f>
        <v>132.09399999999999</v>
      </c>
      <c r="AJ7">
        <f ca="1">IF(AND(ISNUMBER($AJ$230),$B$226=1),$AJ$230,HLOOKUP(INDIRECT(ADDRESS(2,COLUMN())),OFFSET($BN$2,0,0,ROW()-1,60),ROW()-1,FALSE))</f>
        <v>131.911</v>
      </c>
      <c r="AK7">
        <f ca="1">IF(AND(ISNUMBER($AK$230),$B$226=1),$AK$230,HLOOKUP(INDIRECT(ADDRESS(2,COLUMN())),OFFSET($BN$2,0,0,ROW()-1,60),ROW()-1,FALSE))</f>
        <v>129.614</v>
      </c>
      <c r="AL7">
        <f ca="1">IF(AND(ISNUMBER($AL$230),$B$226=1),$AL$230,HLOOKUP(INDIRECT(ADDRESS(2,COLUMN())),OFFSET($BN$2,0,0,ROW()-1,60),ROW()-1,FALSE))</f>
        <v>128.851</v>
      </c>
      <c r="AM7">
        <f ca="1">IF(AND(ISNUMBER($AM$230),$B$226=1),$AM$230,HLOOKUP(INDIRECT(ADDRESS(2,COLUMN())),OFFSET($BN$2,0,0,ROW()-1,60),ROW()-1,FALSE))</f>
        <v>128.995</v>
      </c>
      <c r="AN7">
        <f ca="1">IF(AND(ISNUMBER($AN$230),$B$226=1),$AN$230,HLOOKUP(INDIRECT(ADDRESS(2,COLUMN())),OFFSET($BN$2,0,0,ROW()-1,60),ROW()-1,FALSE))</f>
        <v>132.75800000000001</v>
      </c>
      <c r="AO7">
        <f ca="1">IF(AND(ISNUMBER($AO$230),$B$226=1),$AO$230,HLOOKUP(INDIRECT(ADDRESS(2,COLUMN())),OFFSET($BN$2,0,0,ROW()-1,60),ROW()-1,FALSE))</f>
        <v>134.85400000000001</v>
      </c>
      <c r="AP7">
        <f ca="1">IF(AND(ISNUMBER($AP$230),$B$226=1),$AP$230,HLOOKUP(INDIRECT(ADDRESS(2,COLUMN())),OFFSET($BN$2,0,0,ROW()-1,60),ROW()-1,FALSE))</f>
        <v>136.5</v>
      </c>
      <c r="AQ7">
        <f ca="1">IF(AND(ISNUMBER($AQ$230),$B$226=1),$AQ$230,HLOOKUP(INDIRECT(ADDRESS(2,COLUMN())),OFFSET($BN$2,0,0,ROW()-1,60),ROW()-1,FALSE))</f>
        <v>137.92099999999999</v>
      </c>
      <c r="AR7">
        <f ca="1">IF(AND(ISNUMBER($AR$230),$B$226=1),$AR$230,HLOOKUP(INDIRECT(ADDRESS(2,COLUMN())),OFFSET($BN$2,0,0,ROW()-1,60),ROW()-1,FALSE))</f>
        <v>138.97900000000001</v>
      </c>
      <c r="AS7">
        <f ca="1">IF(AND(ISNUMBER($AS$230),$B$226=1),$AS$230,HLOOKUP(INDIRECT(ADDRESS(2,COLUMN())),OFFSET($BN$2,0,0,ROW()-1,60),ROW()-1,FALSE))</f>
        <v>136.55500000000001</v>
      </c>
      <c r="AT7">
        <f ca="1">IF(AND(ISNUMBER($AT$230),$B$226=1),$AT$230,HLOOKUP(INDIRECT(ADDRESS(2,COLUMN())),OFFSET($BN$2,0,0,ROW()-1,60),ROW()-1,FALSE))</f>
        <v>134.26300000000001</v>
      </c>
      <c r="AU7">
        <f ca="1">IF(AND(ISNUMBER($AU$230),$B$226=1),$AU$230,HLOOKUP(INDIRECT(ADDRESS(2,COLUMN())),OFFSET($BN$2,0,0,ROW()-1,60),ROW()-1,FALSE))</f>
        <v>124.742</v>
      </c>
      <c r="AV7">
        <f ca="1">IF(AND(ISNUMBER($AV$230),$B$226=1),$AV$230,HLOOKUP(INDIRECT(ADDRESS(2,COLUMN())),OFFSET($BN$2,0,0,ROW()-1,60),ROW()-1,FALSE))</f>
        <v>133.92099999999999</v>
      </c>
      <c r="AW7">
        <f ca="1">IF(AND(ISNUMBER($AW$230),$B$226=1),$AW$230,HLOOKUP(INDIRECT(ADDRESS(2,COLUMN())),OFFSET($BN$2,0,0,ROW()-1,60),ROW()-1,FALSE))</f>
        <v>133.798</v>
      </c>
      <c r="AX7">
        <f ca="1">IF(AND(ISNUMBER($AX$230),$B$226=1),$AX$230,HLOOKUP(INDIRECT(ADDRESS(2,COLUMN())),OFFSET($BN$2,0,0,ROW()-1,60),ROW()-1,FALSE))</f>
        <v>133.036</v>
      </c>
      <c r="AY7">
        <f ca="1">IF(AND(ISNUMBER($AY$230),$B$226=1),$AY$230,HLOOKUP(INDIRECT(ADDRESS(2,COLUMN())),OFFSET($BN$2,0,0,ROW()-1,60),ROW()-1,FALSE))</f>
        <v>131.505</v>
      </c>
      <c r="AZ7">
        <f ca="1">IF(AND(ISNUMBER($AZ$230),$B$226=1),$AZ$230,HLOOKUP(INDIRECT(ADDRESS(2,COLUMN())),OFFSET($BN$2,0,0,ROW()-1,60),ROW()-1,FALSE))</f>
        <v>135.21199999999999</v>
      </c>
      <c r="BA7">
        <f ca="1">IF(AND(ISNUMBER($BA$230),$B$226=1),$BA$230,HLOOKUP(INDIRECT(ADDRESS(2,COLUMN())),OFFSET($BN$2,0,0,ROW()-1,60),ROW()-1,FALSE))</f>
        <v>131.74</v>
      </c>
      <c r="BB7">
        <f ca="1">IF(AND(ISNUMBER($BB$230),$B$226=1),$BB$230,HLOOKUP(INDIRECT(ADDRESS(2,COLUMN())),OFFSET($BN$2,0,0,ROW()-1,60),ROW()-1,FALSE))</f>
        <v>133.255</v>
      </c>
      <c r="BC7">
        <f ca="1">IF(AND(ISNUMBER($BC$230),$B$226=1),$BC$230,HLOOKUP(INDIRECT(ADDRESS(2,COLUMN())),OFFSET($BN$2,0,0,ROW()-1,60),ROW()-1,FALSE))</f>
        <v>118.46</v>
      </c>
      <c r="BD7">
        <f ca="1">IF(AND(ISNUMBER($BD$230),$B$226=1),$BD$230,HLOOKUP(INDIRECT(ADDRESS(2,COLUMN())),OFFSET($BN$2,0,0,ROW()-1,60),ROW()-1,FALSE))</f>
        <v>136.63200000000001</v>
      </c>
      <c r="BE7">
        <f ca="1">IF(AND(ISNUMBER($BE$230),$B$226=1),$BE$230,HLOOKUP(INDIRECT(ADDRESS(2,COLUMN())),OFFSET($BN$2,0,0,ROW()-1,60),ROW()-1,FALSE))</f>
        <v>123.44199999999999</v>
      </c>
      <c r="BF7">
        <f ca="1">IF(AND(ISNUMBER($BF$230),$B$226=1),$BF$230,HLOOKUP(INDIRECT(ADDRESS(2,COLUMN())),OFFSET($BN$2,0,0,ROW()-1,60),ROW()-1,FALSE))</f>
        <v>100.687</v>
      </c>
      <c r="BG7">
        <f ca="1">IF(AND(ISNUMBER($BG$230),$B$226=1),$BG$230,HLOOKUP(INDIRECT(ADDRESS(2,COLUMN())),OFFSET($BN$2,0,0,ROW()-1,60),ROW()-1,FALSE))</f>
        <v>90.849000000000004</v>
      </c>
      <c r="BH7">
        <f ca="1">IF(AND(ISNUMBER($BH$230),$B$226=1),$BH$230,HLOOKUP(INDIRECT(ADDRESS(2,COLUMN())),OFFSET($BN$2,0,0,ROW()-1,60),ROW()-1,FALSE))</f>
        <v>92.346999999999994</v>
      </c>
      <c r="BI7">
        <f ca="1">IF(AND(ISNUMBER($BI$230),$B$226=1),$BI$230,HLOOKUP(INDIRECT(ADDRESS(2,COLUMN())),OFFSET($BN$2,0,0,ROW()-1,60),ROW()-1,FALSE))</f>
        <v>93.226996999999997</v>
      </c>
      <c r="BJ7">
        <f ca="1">IF(AND(ISNUMBER($BJ$230),$B$226=1),$BJ$230,HLOOKUP(INDIRECT(ADDRESS(2,COLUMN())),OFFSET($BN$2,0,0,ROW()-1,60),ROW()-1,FALSE))</f>
        <v>96.305000000000007</v>
      </c>
      <c r="BK7">
        <f ca="1">IF(AND(ISNUMBER($BK$230),$B$226=1),$BK$230,HLOOKUP(INDIRECT(ADDRESS(2,COLUMN())),OFFSET($BN$2,0,0,ROW()-1,60),ROW()-1,FALSE))</f>
        <v>96.035003660000001</v>
      </c>
      <c r="BL7">
        <f ca="1">IF(AND(ISNUMBER($BL$230),$B$226=1),$BL$230,HLOOKUP(INDIRECT(ADDRESS(2,COLUMN())),OFFSET($BN$2,0,0,ROW()-1,60),ROW()-1,FALSE))</f>
        <v>93.587997000000001</v>
      </c>
      <c r="BM7">
        <f ca="1">IF(AND(ISNUMBER($BM$230),$B$226=1),$BM$230,HLOOKUP(INDIRECT(ADDRESS(2,COLUMN())),OFFSET($BN$2,0,0,ROW()-1,60),ROW()-1,FALSE))</f>
        <v>91.599997999999999</v>
      </c>
      <c r="BN7" t="str">
        <f>""</f>
        <v/>
      </c>
      <c r="BO7">
        <f>197.278</f>
        <v>197.27799999999999</v>
      </c>
      <c r="BP7">
        <f>194.69</f>
        <v>194.69</v>
      </c>
      <c r="BQ7">
        <f>190.47</f>
        <v>190.47</v>
      </c>
      <c r="BR7">
        <f>188.102</f>
        <v>188.102</v>
      </c>
      <c r="BS7">
        <f>186.461</f>
        <v>186.46100000000001</v>
      </c>
      <c r="BT7">
        <f>187.771</f>
        <v>187.77099999999999</v>
      </c>
      <c r="BU7">
        <f>189.246</f>
        <v>189.24600000000001</v>
      </c>
      <c r="BV7">
        <f>187.119</f>
        <v>187.119</v>
      </c>
      <c r="BW7">
        <f>185.633</f>
        <v>185.63300000000001</v>
      </c>
      <c r="BX7">
        <f>182.65</f>
        <v>182.65</v>
      </c>
      <c r="BY7">
        <f>178.313</f>
        <v>178.31299999999999</v>
      </c>
      <c r="BZ7">
        <f>186.857</f>
        <v>186.857</v>
      </c>
      <c r="CA7">
        <f>188.225</f>
        <v>188.22499999999999</v>
      </c>
      <c r="CB7">
        <f>184.247</f>
        <v>184.24700000000001</v>
      </c>
      <c r="CC7">
        <f>180.438</f>
        <v>180.43799999999999</v>
      </c>
      <c r="CD7">
        <f>178.964</f>
        <v>178.964</v>
      </c>
      <c r="CE7">
        <f>177.795</f>
        <v>177.79499999999999</v>
      </c>
      <c r="CF7">
        <f>172.54</f>
        <v>172.54</v>
      </c>
      <c r="CG7">
        <f>168.634</f>
        <v>168.63399999999999</v>
      </c>
      <c r="CH7">
        <f>164.393</f>
        <v>164.393</v>
      </c>
      <c r="CI7">
        <f>159.207</f>
        <v>159.20699999999999</v>
      </c>
      <c r="CJ7">
        <f>155.984</f>
        <v>155.98400000000001</v>
      </c>
      <c r="CK7">
        <f>151.775</f>
        <v>151.77500000000001</v>
      </c>
      <c r="CL7">
        <f>146.254</f>
        <v>146.25399999999999</v>
      </c>
      <c r="CM7">
        <f>137.113</f>
        <v>137.113</v>
      </c>
      <c r="CN7">
        <f>140.332</f>
        <v>140.33199999999999</v>
      </c>
      <c r="CO7">
        <f>138.167</f>
        <v>138.167</v>
      </c>
      <c r="CP7">
        <f>135.835</f>
        <v>135.83500000000001</v>
      </c>
      <c r="CQ7">
        <f>132.094</f>
        <v>132.09399999999999</v>
      </c>
      <c r="CR7">
        <f>131.911</f>
        <v>131.911</v>
      </c>
      <c r="CS7">
        <f>129.614</f>
        <v>129.614</v>
      </c>
      <c r="CT7">
        <f>128.851</f>
        <v>128.851</v>
      </c>
      <c r="CU7">
        <f>128.995</f>
        <v>128.995</v>
      </c>
      <c r="CV7">
        <f>132.758</f>
        <v>132.75800000000001</v>
      </c>
      <c r="CW7">
        <f>134.854</f>
        <v>134.85400000000001</v>
      </c>
      <c r="CX7">
        <f>136.5</f>
        <v>136.5</v>
      </c>
      <c r="CY7">
        <f>137.921</f>
        <v>137.92099999999999</v>
      </c>
      <c r="CZ7">
        <f>138.979</f>
        <v>138.97900000000001</v>
      </c>
      <c r="DA7">
        <f>136.555</f>
        <v>136.55500000000001</v>
      </c>
      <c r="DB7">
        <f>134.263</f>
        <v>134.26300000000001</v>
      </c>
      <c r="DC7">
        <f>124.742</f>
        <v>124.742</v>
      </c>
      <c r="DD7">
        <f>133.921</f>
        <v>133.92099999999999</v>
      </c>
      <c r="DE7">
        <f>133.798</f>
        <v>133.798</v>
      </c>
      <c r="DF7">
        <f>133.036</f>
        <v>133.036</v>
      </c>
      <c r="DG7">
        <f>131.505</f>
        <v>131.505</v>
      </c>
      <c r="DH7">
        <f>135.212</f>
        <v>135.21199999999999</v>
      </c>
      <c r="DI7">
        <f>131.74</f>
        <v>131.74</v>
      </c>
      <c r="DJ7">
        <f>133.255</f>
        <v>133.255</v>
      </c>
      <c r="DK7">
        <f>118.46</f>
        <v>118.46</v>
      </c>
      <c r="DL7">
        <f>136.632</f>
        <v>136.63200000000001</v>
      </c>
      <c r="DM7">
        <f>123.442</f>
        <v>123.44199999999999</v>
      </c>
      <c r="DN7">
        <f>100.687</f>
        <v>100.687</v>
      </c>
      <c r="DO7">
        <f>90.849</f>
        <v>90.849000000000004</v>
      </c>
      <c r="DP7">
        <f>92.347</f>
        <v>92.346999999999994</v>
      </c>
      <c r="DQ7">
        <f>93.226997</f>
        <v>93.226996999999997</v>
      </c>
      <c r="DR7">
        <f>96.305</f>
        <v>96.305000000000007</v>
      </c>
      <c r="DS7">
        <f>96.03500366</f>
        <v>96.035003660000001</v>
      </c>
      <c r="DT7">
        <f>93.587997</f>
        <v>93.587997000000001</v>
      </c>
      <c r="DU7">
        <f>91.599998</f>
        <v>91.599997999999999</v>
      </c>
    </row>
    <row r="8" spans="1:125">
      <c r="A8" t="str">
        <f>"    Education Realty Trust Inc"</f>
        <v xml:space="preserve">    Education Realty Trust Inc</v>
      </c>
      <c r="B8" t="str">
        <f>"EDR US Equity"</f>
        <v>EDR US Equity</v>
      </c>
      <c r="C8" t="str">
        <f t="shared" si="0"/>
        <v>IS030</v>
      </c>
      <c r="D8" t="str">
        <f t="shared" si="1"/>
        <v>IS_RENT_INC</v>
      </c>
      <c r="E8" t="str">
        <f t="shared" si="2"/>
        <v>动态</v>
      </c>
      <c r="F8" t="str">
        <f ca="1">IF(AND(ISNUMBER($F$231),$B$226=1),$F$231,HLOOKUP(INDIRECT(ADDRESS(2,COLUMN())),OFFSET($BN$2,0,0,ROW()-1,60),ROW()-1,FALSE))</f>
        <v/>
      </c>
      <c r="G8">
        <f ca="1">IF(AND(ISNUMBER($G$231),$B$226=1),$G$231,HLOOKUP(INDIRECT(ADDRESS(2,COLUMN())),OFFSET($BN$2,0,0,ROW()-1,60),ROW()-1,FALSE))</f>
        <v>93.700999999999993</v>
      </c>
      <c r="H8">
        <f ca="1">IF(AND(ISNUMBER($H$231),$B$226=1),$H$231,HLOOKUP(INDIRECT(ADDRESS(2,COLUMN())),OFFSET($BN$2,0,0,ROW()-1,60),ROW()-1,FALSE))</f>
        <v>73.28</v>
      </c>
      <c r="I8">
        <f ca="1">IF(AND(ISNUMBER($I$231),$B$226=1),$I$231,HLOOKUP(INDIRECT(ADDRESS(2,COLUMN())),OFFSET($BN$2,0,0,ROW()-1,60),ROW()-1,FALSE))</f>
        <v>72.055000000000007</v>
      </c>
      <c r="J8">
        <f ca="1">IF(AND(ISNUMBER($J$231),$B$226=1),$J$231,HLOOKUP(INDIRECT(ADDRESS(2,COLUMN())),OFFSET($BN$2,0,0,ROW()-1,60),ROW()-1,FALSE))</f>
        <v>83.037999999999997</v>
      </c>
      <c r="K8">
        <f ca="1">IF(AND(ISNUMBER($K$231),$B$226=1),$K$231,HLOOKUP(INDIRECT(ADDRESS(2,COLUMN())),OFFSET($BN$2,0,0,ROW()-1,60),ROW()-1,FALSE))</f>
        <v>82.555999999999997</v>
      </c>
      <c r="L8">
        <f ca="1">IF(AND(ISNUMBER($L$231),$B$226=1),$L$231,HLOOKUP(INDIRECT(ADDRESS(2,COLUMN())),OFFSET($BN$2,0,0,ROW()-1,60),ROW()-1,FALSE))</f>
        <v>64.481999999999999</v>
      </c>
      <c r="M8">
        <f ca="1">IF(AND(ISNUMBER($M$231),$B$226=1),$M$231,HLOOKUP(INDIRECT(ADDRESS(2,COLUMN())),OFFSET($BN$2,0,0,ROW()-1,60),ROW()-1,FALSE))</f>
        <v>63.975999999999999</v>
      </c>
      <c r="N8">
        <f ca="1">IF(AND(ISNUMBER($N$231),$B$226=1),$N$231,HLOOKUP(INDIRECT(ADDRESS(2,COLUMN())),OFFSET($BN$2,0,0,ROW()-1,60),ROW()-1,FALSE))</f>
        <v>72.001999999999995</v>
      </c>
      <c r="O8">
        <f ca="1">IF(AND(ISNUMBER($O$231),$B$226=1),$O$231,HLOOKUP(INDIRECT(ADDRESS(2,COLUMN())),OFFSET($BN$2,0,0,ROW()-1,60),ROW()-1,FALSE))</f>
        <v>73.846000000000004</v>
      </c>
      <c r="P8">
        <f ca="1">IF(AND(ISNUMBER($P$231),$B$226=1),$P$231,HLOOKUP(INDIRECT(ADDRESS(2,COLUMN())),OFFSET($BN$2,0,0,ROW()-1,60),ROW()-1,FALSE))</f>
        <v>56.834000000000003</v>
      </c>
      <c r="Q8">
        <f ca="1">IF(AND(ISNUMBER($Q$231),$B$226=1),$Q$231,HLOOKUP(INDIRECT(ADDRESS(2,COLUMN())),OFFSET($BN$2,0,0,ROW()-1,60),ROW()-1,FALSE))</f>
        <v>56.1</v>
      </c>
      <c r="R8">
        <f ca="1">IF(AND(ISNUMBER($R$231),$B$226=1),$R$231,HLOOKUP(INDIRECT(ADDRESS(2,COLUMN())),OFFSET($BN$2,0,0,ROW()-1,60),ROW()-1,FALSE))</f>
        <v>62.478999999999999</v>
      </c>
      <c r="S8">
        <f ca="1">IF(AND(ISNUMBER($S$231),$B$226=1),$S$231,HLOOKUP(INDIRECT(ADDRESS(2,COLUMN())),OFFSET($BN$2,0,0,ROW()-1,60),ROW()-1,FALSE))</f>
        <v>63.86</v>
      </c>
      <c r="T8">
        <f ca="1">IF(AND(ISNUMBER($T$231),$B$226=1),$T$231,HLOOKUP(INDIRECT(ADDRESS(2,COLUMN())),OFFSET($BN$2,0,0,ROW()-1,60),ROW()-1,FALSE))</f>
        <v>49.947000000000003</v>
      </c>
      <c r="U8">
        <f ca="1">IF(AND(ISNUMBER($U$231),$B$226=1),$U$231,HLOOKUP(INDIRECT(ADDRESS(2,COLUMN())),OFFSET($BN$2,0,0,ROW()-1,60),ROW()-1,FALSE))</f>
        <v>48.497</v>
      </c>
      <c r="V8">
        <f ca="1">IF(AND(ISNUMBER($V$231),$B$226=1),$V$231,HLOOKUP(INDIRECT(ADDRESS(2,COLUMN())),OFFSET($BN$2,0,0,ROW()-1,60),ROW()-1,FALSE))</f>
        <v>52.725000000000001</v>
      </c>
      <c r="W8">
        <f ca="1">IF(AND(ISNUMBER($W$231),$B$226=1),$W$231,HLOOKUP(INDIRECT(ADDRESS(2,COLUMN())),OFFSET($BN$2,0,0,ROW()-1,60),ROW()-1,FALSE))</f>
        <v>53.212000000000003</v>
      </c>
      <c r="X8">
        <f ca="1">IF(AND(ISNUMBER($X$231),$B$226=1),$X$231,HLOOKUP(INDIRECT(ADDRESS(2,COLUMN())),OFFSET($BN$2,0,0,ROW()-1,60),ROW()-1,FALSE))</f>
        <v>41.712000000000003</v>
      </c>
      <c r="Y8">
        <f ca="1">IF(AND(ISNUMBER($Y$231),$B$226=1),$Y$231,HLOOKUP(INDIRECT(ADDRESS(2,COLUMN())),OFFSET($BN$2,0,0,ROW()-1,60),ROW()-1,FALSE))</f>
        <v>39.456000000000003</v>
      </c>
      <c r="Z8">
        <f ca="1">IF(AND(ISNUMBER($Z$231),$B$226=1),$Z$231,HLOOKUP(INDIRECT(ADDRESS(2,COLUMN())),OFFSET($BN$2,0,0,ROW()-1,60),ROW()-1,FALSE))</f>
        <v>43.311</v>
      </c>
      <c r="AA8">
        <f ca="1">IF(AND(ISNUMBER($AA$231),$B$226=1),$AA$231,HLOOKUP(INDIRECT(ADDRESS(2,COLUMN())),OFFSET($BN$2,0,0,ROW()-1,60),ROW()-1,FALSE))</f>
        <v>39.874000000000002</v>
      </c>
      <c r="AB8">
        <f ca="1">IF(AND(ISNUMBER($AB$231),$B$226=1),$AB$231,HLOOKUP(INDIRECT(ADDRESS(2,COLUMN())),OFFSET($BN$2,0,0,ROW()-1,60),ROW()-1,FALSE))</f>
        <v>31.844000000000001</v>
      </c>
      <c r="AC8">
        <f ca="1">IF(AND(ISNUMBER($AC$231),$B$226=1),$AC$231,HLOOKUP(INDIRECT(ADDRESS(2,COLUMN())),OFFSET($BN$2,0,0,ROW()-1,60),ROW()-1,FALSE))</f>
        <v>31.576000000000001</v>
      </c>
      <c r="AD8">
        <f ca="1">IF(AND(ISNUMBER($AD$231),$B$226=1),$AD$231,HLOOKUP(INDIRECT(ADDRESS(2,COLUMN())),OFFSET($BN$2,0,0,ROW()-1,60),ROW()-1,FALSE))</f>
        <v>33.749000000000002</v>
      </c>
      <c r="AE8">
        <f ca="1">IF(AND(ISNUMBER($AE$231),$B$226=1),$AE$231,HLOOKUP(INDIRECT(ADDRESS(2,COLUMN())),OFFSET($BN$2,0,0,ROW()-1,60),ROW()-1,FALSE))</f>
        <v>31.161000000000001</v>
      </c>
      <c r="AF8">
        <f ca="1">IF(AND(ISNUMBER($AF$231),$B$226=1),$AF$231,HLOOKUP(INDIRECT(ADDRESS(2,COLUMN())),OFFSET($BN$2,0,0,ROW()-1,60),ROW()-1,FALSE))</f>
        <v>25.934000000000001</v>
      </c>
      <c r="AG8">
        <f ca="1">IF(AND(ISNUMBER($AG$231),$B$226=1),$AG$231,HLOOKUP(INDIRECT(ADDRESS(2,COLUMN())),OFFSET($BN$2,0,0,ROW()-1,60),ROW()-1,FALSE))</f>
        <v>27.631</v>
      </c>
      <c r="AH8">
        <f ca="1">IF(AND(ISNUMBER($AH$231),$B$226=1),$AH$231,HLOOKUP(INDIRECT(ADDRESS(2,COLUMN())),OFFSET($BN$2,0,0,ROW()-1,60),ROW()-1,FALSE))</f>
        <v>28.555</v>
      </c>
      <c r="AI8">
        <f ca="1">IF(AND(ISNUMBER($AI$231),$B$226=1),$AI$231,HLOOKUP(INDIRECT(ADDRESS(2,COLUMN())),OFFSET($BN$2,0,0,ROW()-1,60),ROW()-1,FALSE))</f>
        <v>30.286000000000001</v>
      </c>
      <c r="AJ8">
        <f ca="1">IF(AND(ISNUMBER($AJ$231),$B$226=1),$AJ$231,HLOOKUP(INDIRECT(ADDRESS(2,COLUMN())),OFFSET($BN$2,0,0,ROW()-1,60),ROW()-1,FALSE))</f>
        <v>29.041</v>
      </c>
      <c r="AK8">
        <f ca="1">IF(AND(ISNUMBER($AK$231),$B$226=1),$AK$231,HLOOKUP(INDIRECT(ADDRESS(2,COLUMN())),OFFSET($BN$2,0,0,ROW()-1,60),ROW()-1,FALSE))</f>
        <v>25.292000000000002</v>
      </c>
      <c r="AL8">
        <f ca="1">IF(AND(ISNUMBER($AL$231),$B$226=1),$AL$231,HLOOKUP(INDIRECT(ADDRESS(2,COLUMN())),OFFSET($BN$2,0,0,ROW()-1,60),ROW()-1,FALSE))</f>
        <v>27.219000000000001</v>
      </c>
      <c r="AM8">
        <f ca="1">IF(AND(ISNUMBER($AM$231),$B$226=1),$AM$231,HLOOKUP(INDIRECT(ADDRESS(2,COLUMN())),OFFSET($BN$2,0,0,ROW()-1,60),ROW()-1,FALSE))</f>
        <v>27.73</v>
      </c>
      <c r="AN8">
        <f ca="1">IF(AND(ISNUMBER($AN$231),$B$226=1),$AN$231,HLOOKUP(INDIRECT(ADDRESS(2,COLUMN())),OFFSET($BN$2,0,0,ROW()-1,60),ROW()-1,FALSE))</f>
        <v>28.628</v>
      </c>
      <c r="AO8">
        <f ca="1">IF(AND(ISNUMBER($AO$231),$B$226=1),$AO$231,HLOOKUP(INDIRECT(ADDRESS(2,COLUMN())),OFFSET($BN$2,0,0,ROW()-1,60),ROW()-1,FALSE))</f>
        <v>29.536999999999999</v>
      </c>
      <c r="AP8">
        <f ca="1">IF(AND(ISNUMBER($AP$231),$B$226=1),$AP$231,HLOOKUP(INDIRECT(ADDRESS(2,COLUMN())),OFFSET($BN$2,0,0,ROW()-1,60),ROW()-1,FALSE))</f>
        <v>30.91</v>
      </c>
      <c r="AQ8">
        <f ca="1">IF(AND(ISNUMBER($AQ$231),$B$226=1),$AQ$231,HLOOKUP(INDIRECT(ADDRESS(2,COLUMN())),OFFSET($BN$2,0,0,ROW()-1,60),ROW()-1,FALSE))</f>
        <v>34.366999999999997</v>
      </c>
      <c r="AR8">
        <f ca="1">IF(AND(ISNUMBER($AR$231),$B$226=1),$AR$231,HLOOKUP(INDIRECT(ADDRESS(2,COLUMN())),OFFSET($BN$2,0,0,ROW()-1,60),ROW()-1,FALSE))</f>
        <v>27.638999999999999</v>
      </c>
      <c r="AS8">
        <f ca="1">IF(AND(ISNUMBER($AS$231),$B$226=1),$AS$231,HLOOKUP(INDIRECT(ADDRESS(2,COLUMN())),OFFSET($BN$2,0,0,ROW()-1,60),ROW()-1,FALSE))</f>
        <v>34.234000000000002</v>
      </c>
      <c r="AT8">
        <f ca="1">IF(AND(ISNUMBER($AT$231),$B$226=1),$AT$231,HLOOKUP(INDIRECT(ADDRESS(2,COLUMN())),OFFSET($BN$2,0,0,ROW()-1,60),ROW()-1,FALSE))</f>
        <v>28.85</v>
      </c>
      <c r="AU8">
        <f ca="1">IF(AND(ISNUMBER($AU$231),$B$226=1),$AU$231,HLOOKUP(INDIRECT(ADDRESS(2,COLUMN())),OFFSET($BN$2,0,0,ROW()-1,60),ROW()-1,FALSE))</f>
        <v>27.456</v>
      </c>
      <c r="AV8">
        <f ca="1">IF(AND(ISNUMBER($AV$231),$B$226=1),$AV$231,HLOOKUP(INDIRECT(ADDRESS(2,COLUMN())),OFFSET($BN$2,0,0,ROW()-1,60),ROW()-1,FALSE))</f>
        <v>25.559000000000001</v>
      </c>
      <c r="AW8">
        <f ca="1">IF(AND(ISNUMBER($AW$231),$B$226=1),$AW$231,HLOOKUP(INDIRECT(ADDRESS(2,COLUMN())),OFFSET($BN$2,0,0,ROW()-1,60),ROW()-1,FALSE))</f>
        <v>26.692</v>
      </c>
      <c r="AX8">
        <f ca="1">IF(AND(ISNUMBER($AX$231),$B$226=1),$AX$231,HLOOKUP(INDIRECT(ADDRESS(2,COLUMN())),OFFSET($BN$2,0,0,ROW()-1,60),ROW()-1,FALSE))</f>
        <v>27.561</v>
      </c>
      <c r="AY8">
        <f ca="1">IF(AND(ISNUMBER($AY$231),$B$226=1),$AY$231,HLOOKUP(INDIRECT(ADDRESS(2,COLUMN())),OFFSET($BN$2,0,0,ROW()-1,60),ROW()-1,FALSE))</f>
        <v>25.981999999999999</v>
      </c>
      <c r="AZ8">
        <f ca="1">IF(AND(ISNUMBER($AZ$231),$B$226=1),$AZ$231,HLOOKUP(INDIRECT(ADDRESS(2,COLUMN())),OFFSET($BN$2,0,0,ROW()-1,60),ROW()-1,FALSE))</f>
        <v>24.021000000000001</v>
      </c>
      <c r="BA8">
        <f ca="1">IF(AND(ISNUMBER($BA$231),$B$226=1),$BA$231,HLOOKUP(INDIRECT(ADDRESS(2,COLUMN())),OFFSET($BN$2,0,0,ROW()-1,60),ROW()-1,FALSE))</f>
        <v>25.085999999999999</v>
      </c>
      <c r="BB8">
        <f ca="1">IF(AND(ISNUMBER($BB$231),$B$226=1),$BB$231,HLOOKUP(INDIRECT(ADDRESS(2,COLUMN())),OFFSET($BN$2,0,0,ROW()-1,60),ROW()-1,FALSE))</f>
        <v>27.763000000000002</v>
      </c>
      <c r="BC8">
        <f ca="1">IF(AND(ISNUMBER($BC$231),$B$226=1),$BC$231,HLOOKUP(INDIRECT(ADDRESS(2,COLUMN())),OFFSET($BN$2,0,0,ROW()-1,60),ROW()-1,FALSE))</f>
        <v>25.53</v>
      </c>
      <c r="BD8">
        <f ca="1">IF(AND(ISNUMBER($BD$231),$B$226=1),$BD$231,HLOOKUP(INDIRECT(ADDRESS(2,COLUMN())),OFFSET($BN$2,0,0,ROW()-1,60),ROW()-1,FALSE))</f>
        <v>22.512</v>
      </c>
      <c r="BE8">
        <f ca="1">IF(AND(ISNUMBER($BE$231),$B$226=1),$BE$231,HLOOKUP(INDIRECT(ADDRESS(2,COLUMN())),OFFSET($BN$2,0,0,ROW()-1,60),ROW()-1,FALSE))</f>
        <v>20.474</v>
      </c>
      <c r="BF8">
        <f ca="1">IF(AND(ISNUMBER($BF$231),$B$226=1),$BF$231,HLOOKUP(INDIRECT(ADDRESS(2,COLUMN())),OFFSET($BN$2,0,0,ROW()-1,60),ROW()-1,FALSE))</f>
        <v>15.805</v>
      </c>
      <c r="BG8" t="str">
        <f ca="1">IF(AND(ISNUMBER($BG$231),$B$226=1),$BG$231,HLOOKUP(INDIRECT(ADDRESS(2,COLUMN())),OFFSET($BN$2,0,0,ROW()-1,60),ROW()-1,FALSE))</f>
        <v/>
      </c>
      <c r="BH8" t="str">
        <f ca="1">IF(AND(ISNUMBER($BH$231),$B$226=1),$BH$231,HLOOKUP(INDIRECT(ADDRESS(2,COLUMN())),OFFSET($BN$2,0,0,ROW()-1,60),ROW()-1,FALSE))</f>
        <v/>
      </c>
      <c r="BI8" t="str">
        <f ca="1">IF(AND(ISNUMBER($BI$231),$B$226=1),$BI$231,HLOOKUP(INDIRECT(ADDRESS(2,COLUMN())),OFFSET($BN$2,0,0,ROW()-1,60),ROW()-1,FALSE))</f>
        <v/>
      </c>
      <c r="BJ8" t="str">
        <f ca="1">IF(AND(ISNUMBER($BJ$231),$B$226=1),$BJ$231,HLOOKUP(INDIRECT(ADDRESS(2,COLUMN())),OFFSET($BN$2,0,0,ROW()-1,60),ROW()-1,FALSE))</f>
        <v/>
      </c>
      <c r="BK8" t="str">
        <f ca="1">IF(AND(ISNUMBER($BK$231),$B$226=1),$BK$231,HLOOKUP(INDIRECT(ADDRESS(2,COLUMN())),OFFSET($BN$2,0,0,ROW()-1,60),ROW()-1,FALSE))</f>
        <v/>
      </c>
      <c r="BL8" t="str">
        <f ca="1">IF(AND(ISNUMBER($BL$231),$B$226=1),$BL$231,HLOOKUP(INDIRECT(ADDRESS(2,COLUMN())),OFFSET($BN$2,0,0,ROW()-1,60),ROW()-1,FALSE))</f>
        <v/>
      </c>
      <c r="BM8" t="str">
        <f ca="1">IF(AND(ISNUMBER($BM$231),$B$226=1),$BM$231,HLOOKUP(INDIRECT(ADDRESS(2,COLUMN())),OFFSET($BN$2,0,0,ROW()-1,60),ROW()-1,FALSE))</f>
        <v/>
      </c>
      <c r="BN8" t="str">
        <f>""</f>
        <v/>
      </c>
      <c r="BO8">
        <f>93.701</f>
        <v>93.700999999999993</v>
      </c>
      <c r="BP8">
        <f>73.28</f>
        <v>73.28</v>
      </c>
      <c r="BQ8">
        <f>72.055</f>
        <v>72.055000000000007</v>
      </c>
      <c r="BR8">
        <f>83.038</f>
        <v>83.037999999999997</v>
      </c>
      <c r="BS8">
        <f>82.556</f>
        <v>82.555999999999997</v>
      </c>
      <c r="BT8">
        <f>64.482</f>
        <v>64.481999999999999</v>
      </c>
      <c r="BU8">
        <f>63.976</f>
        <v>63.975999999999999</v>
      </c>
      <c r="BV8">
        <f>72.002</f>
        <v>72.001999999999995</v>
      </c>
      <c r="BW8">
        <f>73.846</f>
        <v>73.846000000000004</v>
      </c>
      <c r="BX8">
        <f>56.834</f>
        <v>56.834000000000003</v>
      </c>
      <c r="BY8">
        <f>56.1</f>
        <v>56.1</v>
      </c>
      <c r="BZ8">
        <f>62.479</f>
        <v>62.478999999999999</v>
      </c>
      <c r="CA8">
        <f>63.86</f>
        <v>63.86</v>
      </c>
      <c r="CB8">
        <f>49.947</f>
        <v>49.947000000000003</v>
      </c>
      <c r="CC8">
        <f>48.497</f>
        <v>48.497</v>
      </c>
      <c r="CD8">
        <f>52.725</f>
        <v>52.725000000000001</v>
      </c>
      <c r="CE8">
        <f>53.212</f>
        <v>53.212000000000003</v>
      </c>
      <c r="CF8">
        <f>41.712</f>
        <v>41.712000000000003</v>
      </c>
      <c r="CG8">
        <f>39.456</f>
        <v>39.456000000000003</v>
      </c>
      <c r="CH8">
        <f>43.311</f>
        <v>43.311</v>
      </c>
      <c r="CI8">
        <f>39.874</f>
        <v>39.874000000000002</v>
      </c>
      <c r="CJ8">
        <f>31.844</f>
        <v>31.844000000000001</v>
      </c>
      <c r="CK8">
        <f>31.576</f>
        <v>31.576000000000001</v>
      </c>
      <c r="CL8">
        <f>33.749</f>
        <v>33.749000000000002</v>
      </c>
      <c r="CM8">
        <f>31.161</f>
        <v>31.161000000000001</v>
      </c>
      <c r="CN8">
        <f>25.934</f>
        <v>25.934000000000001</v>
      </c>
      <c r="CO8">
        <f>27.631</f>
        <v>27.631</v>
      </c>
      <c r="CP8">
        <f>28.555</f>
        <v>28.555</v>
      </c>
      <c r="CQ8">
        <f>30.286</f>
        <v>30.286000000000001</v>
      </c>
      <c r="CR8">
        <f>29.041</f>
        <v>29.041</v>
      </c>
      <c r="CS8">
        <f>25.292</f>
        <v>25.292000000000002</v>
      </c>
      <c r="CT8">
        <f>27.219</f>
        <v>27.219000000000001</v>
      </c>
      <c r="CU8">
        <f>27.73</f>
        <v>27.73</v>
      </c>
      <c r="CV8">
        <f>28.628</f>
        <v>28.628</v>
      </c>
      <c r="CW8">
        <f>29.537</f>
        <v>29.536999999999999</v>
      </c>
      <c r="CX8">
        <f>30.91</f>
        <v>30.91</v>
      </c>
      <c r="CY8">
        <f>34.367</f>
        <v>34.366999999999997</v>
      </c>
      <c r="CZ8">
        <f>27.639</f>
        <v>27.638999999999999</v>
      </c>
      <c r="DA8">
        <f>34.234</f>
        <v>34.234000000000002</v>
      </c>
      <c r="DB8">
        <f>28.85</f>
        <v>28.85</v>
      </c>
      <c r="DC8">
        <f>27.456</f>
        <v>27.456</v>
      </c>
      <c r="DD8">
        <f>25.559</f>
        <v>25.559000000000001</v>
      </c>
      <c r="DE8">
        <f>26.692</f>
        <v>26.692</v>
      </c>
      <c r="DF8">
        <f>27.561</f>
        <v>27.561</v>
      </c>
      <c r="DG8">
        <f>25.982</f>
        <v>25.981999999999999</v>
      </c>
      <c r="DH8">
        <f>24.021</f>
        <v>24.021000000000001</v>
      </c>
      <c r="DI8">
        <f>25.086</f>
        <v>25.085999999999999</v>
      </c>
      <c r="DJ8">
        <f>27.763</f>
        <v>27.763000000000002</v>
      </c>
      <c r="DK8">
        <f>25.53</f>
        <v>25.53</v>
      </c>
      <c r="DL8">
        <f>22.512</f>
        <v>22.512</v>
      </c>
      <c r="DM8">
        <f>20.474</f>
        <v>20.474</v>
      </c>
      <c r="DN8">
        <f>15.805</f>
        <v>15.805</v>
      </c>
      <c r="DO8" t="str">
        <f>""</f>
        <v/>
      </c>
      <c r="DP8" t="str">
        <f>""</f>
        <v/>
      </c>
      <c r="DQ8" t="str">
        <f>""</f>
        <v/>
      </c>
      <c r="DR8" t="str">
        <f>""</f>
        <v/>
      </c>
      <c r="DS8" t="str">
        <f>""</f>
        <v/>
      </c>
      <c r="DT8" t="str">
        <f>""</f>
        <v/>
      </c>
      <c r="DU8" t="str">
        <f>""</f>
        <v/>
      </c>
    </row>
    <row r="9" spans="1:125">
      <c r="A9" t="str">
        <f>"    Equity Residential"</f>
        <v xml:space="preserve">    Equity Residential</v>
      </c>
      <c r="B9" t="str">
        <f>"EQR US Equity"</f>
        <v>EQR US Equity</v>
      </c>
      <c r="C9" t="str">
        <f t="shared" si="0"/>
        <v>IS030</v>
      </c>
      <c r="D9" t="str">
        <f t="shared" si="1"/>
        <v>IS_RENT_INC</v>
      </c>
      <c r="E9" t="str">
        <f t="shared" si="2"/>
        <v>动态</v>
      </c>
      <c r="F9" t="str">
        <f ca="1">IF(AND(ISNUMBER($F$232),$B$226=1),$F$232,HLOOKUP(INDIRECT(ADDRESS(2,COLUMN())),OFFSET($BN$2,0,0,ROW()-1,60),ROW()-1,FALSE))</f>
        <v/>
      </c>
      <c r="G9">
        <f ca="1">IF(AND(ISNUMBER($G$232),$B$226=1),$G$232,HLOOKUP(INDIRECT(ADDRESS(2,COLUMN())),OFFSET($BN$2,0,0,ROW()-1,60),ROW()-1,FALSE))</f>
        <v>630.51900000000001</v>
      </c>
      <c r="H9">
        <f ca="1">IF(AND(ISNUMBER($H$232),$B$226=1),$H$232,HLOOKUP(INDIRECT(ADDRESS(2,COLUMN())),OFFSET($BN$2,0,0,ROW()-1,60),ROW()-1,FALSE))</f>
        <v>623.95100000000002</v>
      </c>
      <c r="I9">
        <f ca="1">IF(AND(ISNUMBER($I$232),$B$226=1),$I$232,HLOOKUP(INDIRECT(ADDRESS(2,COLUMN())),OFFSET($BN$2,0,0,ROW()-1,60),ROW()-1,FALSE))</f>
        <v>612.29899999999998</v>
      </c>
      <c r="J9">
        <f ca="1">IF(AND(ISNUMBER($J$232),$B$226=1),$J$232,HLOOKUP(INDIRECT(ADDRESS(2,COLUMN())),OFFSET($BN$2,0,0,ROW()-1,60),ROW()-1,FALSE))</f>
        <v>603.91999999999996</v>
      </c>
      <c r="K9">
        <f ca="1">IF(AND(ISNUMBER($K$232),$B$226=1),$K$232,HLOOKUP(INDIRECT(ADDRESS(2,COLUMN())),OFFSET($BN$2,0,0,ROW()-1,60),ROW()-1,FALSE))</f>
        <v>605.27300000000002</v>
      </c>
      <c r="L9">
        <f ca="1">IF(AND(ISNUMBER($L$232),$B$226=1),$L$232,HLOOKUP(INDIRECT(ADDRESS(2,COLUMN())),OFFSET($BN$2,0,0,ROW()-1,60),ROW()-1,FALSE))</f>
        <v>605.85599999999999</v>
      </c>
      <c r="M9">
        <f ca="1">IF(AND(ISNUMBER($M$232),$B$226=1),$M$232,HLOOKUP(INDIRECT(ADDRESS(2,COLUMN())),OFFSET($BN$2,0,0,ROW()-1,60),ROW()-1,FALSE))</f>
        <v>594.93899999999996</v>
      </c>
      <c r="N9">
        <f ca="1">IF(AND(ISNUMBER($N$232),$B$226=1),$N$232,HLOOKUP(INDIRECT(ADDRESS(2,COLUMN())),OFFSET($BN$2,0,0,ROW()-1,60),ROW()-1,FALSE))</f>
        <v>616.16499999999996</v>
      </c>
      <c r="O9">
        <f ca="1">IF(AND(ISNUMBER($O$232),$B$226=1),$O$232,HLOOKUP(INDIRECT(ADDRESS(2,COLUMN())),OFFSET($BN$2,0,0,ROW()-1,60),ROW()-1,FALSE))</f>
        <v>701.21900000000005</v>
      </c>
      <c r="P9">
        <f ca="1">IF(AND(ISNUMBER($P$232),$B$226=1),$P$232,HLOOKUP(INDIRECT(ADDRESS(2,COLUMN())),OFFSET($BN$2,0,0,ROW()-1,60),ROW()-1,FALSE))</f>
        <v>694.245</v>
      </c>
      <c r="Q9">
        <f ca="1">IF(AND(ISNUMBER($Q$232),$B$226=1),$Q$232,HLOOKUP(INDIRECT(ADDRESS(2,COLUMN())),OFFSET($BN$2,0,0,ROW()-1,60),ROW()-1,FALSE))</f>
        <v>676.50800000000004</v>
      </c>
      <c r="R9">
        <f ca="1">IF(AND(ISNUMBER($R$232),$B$226=1),$R$232,HLOOKUP(INDIRECT(ADDRESS(2,COLUMN())),OFFSET($BN$2,0,0,ROW()-1,60),ROW()-1,FALSE))</f>
        <v>664.60599999999999</v>
      </c>
      <c r="S9">
        <f ca="1">IF(AND(ISNUMBER($S$232),$B$226=1),$S$232,HLOOKUP(INDIRECT(ADDRESS(2,COLUMN())),OFFSET($BN$2,0,0,ROW()-1,60),ROW()-1,FALSE))</f>
        <v>662.81899999999996</v>
      </c>
      <c r="T9">
        <f ca="1">IF(AND(ISNUMBER($T$232),$B$226=1),$T$232,HLOOKUP(INDIRECT(ADDRESS(2,COLUMN())),OFFSET($BN$2,0,0,ROW()-1,60),ROW()-1,FALSE))</f>
        <v>662.00099999999998</v>
      </c>
      <c r="U9">
        <f ca="1">IF(AND(ISNUMBER($U$232),$B$226=1),$U$232,HLOOKUP(INDIRECT(ADDRESS(2,COLUMN())),OFFSET($BN$2,0,0,ROW()-1,60),ROW()-1,FALSE))</f>
        <v>649.76599999999996</v>
      </c>
      <c r="V9">
        <f ca="1">IF(AND(ISNUMBER($V$232),$B$226=1),$V$232,HLOOKUP(INDIRECT(ADDRESS(2,COLUMN())),OFFSET($BN$2,0,0,ROW()-1,60),ROW()-1,FALSE))</f>
        <v>630.72500000000002</v>
      </c>
      <c r="W9">
        <f ca="1">IF(AND(ISNUMBER($W$232),$B$226=1),$W$232,HLOOKUP(INDIRECT(ADDRESS(2,COLUMN())),OFFSET($BN$2,0,0,ROW()-1,60),ROW()-1,FALSE))</f>
        <v>636.83500000000004</v>
      </c>
      <c r="X9">
        <f ca="1">IF(AND(ISNUMBER($X$232),$B$226=1),$X$232,HLOOKUP(INDIRECT(ADDRESS(2,COLUMN())),OFFSET($BN$2,0,0,ROW()-1,60),ROW()-1,FALSE))</f>
        <v>624.06299999999999</v>
      </c>
      <c r="Y9">
        <f ca="1">IF(AND(ISNUMBER($Y$232),$B$226=1),$Y$232,HLOOKUP(INDIRECT(ADDRESS(2,COLUMN())),OFFSET($BN$2,0,0,ROW()-1,60),ROW()-1,FALSE))</f>
        <v>614.54399999999998</v>
      </c>
      <c r="Z9">
        <f ca="1">IF(AND(ISNUMBER($Z$232),$B$226=1),$Z$232,HLOOKUP(INDIRECT(ADDRESS(2,COLUMN())),OFFSET($BN$2,0,0,ROW()-1,60),ROW()-1,FALSE))</f>
        <v>502.56200000000001</v>
      </c>
      <c r="AA9">
        <f ca="1">IF(AND(ISNUMBER($AA$232),$B$226=1),$AA$232,HLOOKUP(INDIRECT(ADDRESS(2,COLUMN())),OFFSET($BN$2,0,0,ROW()-1,60),ROW()-1,FALSE))</f>
        <v>450.238</v>
      </c>
      <c r="AB9">
        <f ca="1">IF(AND(ISNUMBER($AB$232),$B$226=1),$AB$232,HLOOKUP(INDIRECT(ADDRESS(2,COLUMN())),OFFSET($BN$2,0,0,ROW()-1,60),ROW()-1,FALSE))</f>
        <v>448.64699999999999</v>
      </c>
      <c r="AC9">
        <f ca="1">IF(AND(ISNUMBER($AC$232),$B$226=1),$AC$232,HLOOKUP(INDIRECT(ADDRESS(2,COLUMN())),OFFSET($BN$2,0,0,ROW()-1,60),ROW()-1,FALSE))</f>
        <v>446.13900000000001</v>
      </c>
      <c r="AD9">
        <f ca="1">IF(AND(ISNUMBER($AD$232),$B$226=1),$AD$232,HLOOKUP(INDIRECT(ADDRESS(2,COLUMN())),OFFSET($BN$2,0,0,ROW()-1,60),ROW()-1,FALSE))</f>
        <v>444.38400000000001</v>
      </c>
      <c r="AE9">
        <f ca="1">IF(AND(ISNUMBER($AE$232),$B$226=1),$AE$232,HLOOKUP(INDIRECT(ADDRESS(2,COLUMN())),OFFSET($BN$2,0,0,ROW()-1,60),ROW()-1,FALSE))</f>
        <v>490.00599999999997</v>
      </c>
      <c r="AF9">
        <f ca="1">IF(AND(ISNUMBER($AF$232),$B$226=1),$AF$232,HLOOKUP(INDIRECT(ADDRESS(2,COLUMN())),OFFSET($BN$2,0,0,ROW()-1,60),ROW()-1,FALSE))</f>
        <v>490.94400000000002</v>
      </c>
      <c r="AG9">
        <f ca="1">IF(AND(ISNUMBER($AG$232),$B$226=1),$AG$232,HLOOKUP(INDIRECT(ADDRESS(2,COLUMN())),OFFSET($BN$2,0,0,ROW()-1,60),ROW()-1,FALSE))</f>
        <v>478.41899999999998</v>
      </c>
      <c r="AH9">
        <f ca="1">IF(AND(ISNUMBER($AH$232),$B$226=1),$AH$232,HLOOKUP(INDIRECT(ADDRESS(2,COLUMN())),OFFSET($BN$2,0,0,ROW()-1,60),ROW()-1,FALSE))</f>
        <v>464.55</v>
      </c>
      <c r="AI9">
        <f ca="1">IF(AND(ISNUMBER($AI$232),$B$226=1),$AI$232,HLOOKUP(INDIRECT(ADDRESS(2,COLUMN())),OFFSET($BN$2,0,0,ROW()-1,60),ROW()-1,FALSE))</f>
        <v>458.86799999999999</v>
      </c>
      <c r="AJ9">
        <f ca="1">IF(AND(ISNUMBER($AJ$232),$B$226=1),$AJ$232,HLOOKUP(INDIRECT(ADDRESS(2,COLUMN())),OFFSET($BN$2,0,0,ROW()-1,60),ROW()-1,FALSE))</f>
        <v>451.83199999999999</v>
      </c>
      <c r="AK9">
        <f ca="1">IF(AND(ISNUMBER($AK$232),$B$226=1),$AK$232,HLOOKUP(INDIRECT(ADDRESS(2,COLUMN())),OFFSET($BN$2,0,0,ROW()-1,60),ROW()-1,FALSE))</f>
        <v>444.33300000000003</v>
      </c>
      <c r="AL9">
        <f ca="1">IF(AND(ISNUMBER($AL$232),$B$226=1),$AL$232,HLOOKUP(INDIRECT(ADDRESS(2,COLUMN())),OFFSET($BN$2,0,0,ROW()-1,60),ROW()-1,FALSE))</f>
        <v>462.577</v>
      </c>
      <c r="AM9">
        <f ca="1">IF(AND(ISNUMBER($AM$232),$B$226=1),$AM$232,HLOOKUP(INDIRECT(ADDRESS(2,COLUMN())),OFFSET($BN$2,0,0,ROW()-1,60),ROW()-1,FALSE))</f>
        <v>458.85599999999999</v>
      </c>
      <c r="AN9">
        <f ca="1">IF(AND(ISNUMBER($AN$232),$B$226=1),$AN$232,HLOOKUP(INDIRECT(ADDRESS(2,COLUMN())),OFFSET($BN$2,0,0,ROW()-1,60),ROW()-1,FALSE))</f>
        <v>477.58800000000002</v>
      </c>
      <c r="AO9">
        <f ca="1">IF(AND(ISNUMBER($AO$232),$B$226=1),$AO$232,HLOOKUP(INDIRECT(ADDRESS(2,COLUMN())),OFFSET($BN$2,0,0,ROW()-1,60),ROW()-1,FALSE))</f>
        <v>477.92099999999999</v>
      </c>
      <c r="AP9">
        <f ca="1">IF(AND(ISNUMBER($AP$232),$B$226=1),$AP$232,HLOOKUP(INDIRECT(ADDRESS(2,COLUMN())),OFFSET($BN$2,0,0,ROW()-1,60),ROW()-1,FALSE))</f>
        <v>480.21499999999997</v>
      </c>
      <c r="AQ9">
        <f ca="1">IF(AND(ISNUMBER($AQ$232),$B$226=1),$AQ$232,HLOOKUP(INDIRECT(ADDRESS(2,COLUMN())),OFFSET($BN$2,0,0,ROW()-1,60),ROW()-1,FALSE))</f>
        <v>497.80099999999999</v>
      </c>
      <c r="AR9">
        <f ca="1">IF(AND(ISNUMBER($AR$232),$B$226=1),$AR$232,HLOOKUP(INDIRECT(ADDRESS(2,COLUMN())),OFFSET($BN$2,0,0,ROW()-1,60),ROW()-1,FALSE))</f>
        <v>508.61900000000003</v>
      </c>
      <c r="AS9">
        <f ca="1">IF(AND(ISNUMBER($AS$232),$B$226=1),$AS$232,HLOOKUP(INDIRECT(ADDRESS(2,COLUMN())),OFFSET($BN$2,0,0,ROW()-1,60),ROW()-1,FALSE))</f>
        <v>510.56700000000001</v>
      </c>
      <c r="AT9">
        <f ca="1">IF(AND(ISNUMBER($AT$232),$B$226=1),$AT$232,HLOOKUP(INDIRECT(ADDRESS(2,COLUMN())),OFFSET($BN$2,0,0,ROW()-1,60),ROW()-1,FALSE))</f>
        <v>500.34699999999998</v>
      </c>
      <c r="AU9">
        <f ca="1">IF(AND(ISNUMBER($AU$232),$B$226=1),$AU$232,HLOOKUP(INDIRECT(ADDRESS(2,COLUMN())),OFFSET($BN$2,0,0,ROW()-1,60),ROW()-1,FALSE))</f>
        <v>502.77100000000002</v>
      </c>
      <c r="AV9">
        <f ca="1">IF(AND(ISNUMBER($AV$232),$B$226=1),$AV$232,HLOOKUP(INDIRECT(ADDRESS(2,COLUMN())),OFFSET($BN$2,0,0,ROW()-1,60),ROW()-1,FALSE))</f>
        <v>498.86799999999999</v>
      </c>
      <c r="AW9">
        <f ca="1">IF(AND(ISNUMBER($AW$232),$B$226=1),$AW$232,HLOOKUP(INDIRECT(ADDRESS(2,COLUMN())),OFFSET($BN$2,0,0,ROW()-1,60),ROW()-1,FALSE))</f>
        <v>489.12400000000002</v>
      </c>
      <c r="AX9">
        <f ca="1">IF(AND(ISNUMBER($AX$232),$B$226=1),$AX$232,HLOOKUP(INDIRECT(ADDRESS(2,COLUMN())),OFFSET($BN$2,0,0,ROW()-1,60),ROW()-1,FALSE))</f>
        <v>473.58199999999999</v>
      </c>
      <c r="AY9">
        <f ca="1">IF(AND(ISNUMBER($AY$232),$B$226=1),$AY$232,HLOOKUP(INDIRECT(ADDRESS(2,COLUMN())),OFFSET($BN$2,0,0,ROW()-1,60),ROW()-1,FALSE))</f>
        <v>319.447</v>
      </c>
      <c r="AZ9">
        <f ca="1">IF(AND(ISNUMBER($AZ$232),$B$226=1),$AZ$232,HLOOKUP(INDIRECT(ADDRESS(2,COLUMN())),OFFSET($BN$2,0,0,ROW()-1,60),ROW()-1,FALSE))</f>
        <v>511.79399999999998</v>
      </c>
      <c r="BA9">
        <f ca="1">IF(AND(ISNUMBER($BA$232),$B$226=1),$BA$232,HLOOKUP(INDIRECT(ADDRESS(2,COLUMN())),OFFSET($BN$2,0,0,ROW()-1,60),ROW()-1,FALSE))</f>
        <v>489.61900000000003</v>
      </c>
      <c r="BB9">
        <f ca="1">IF(AND(ISNUMBER($BB$232),$B$226=1),$BB$232,HLOOKUP(INDIRECT(ADDRESS(2,COLUMN())),OFFSET($BN$2,0,0,ROW()-1,60),ROW()-1,FALSE))</f>
        <v>459.971</v>
      </c>
      <c r="BC9">
        <f ca="1">IF(AND(ISNUMBER($BC$232),$B$226=1),$BC$232,HLOOKUP(INDIRECT(ADDRESS(2,COLUMN())),OFFSET($BN$2,0,0,ROW()-1,60),ROW()-1,FALSE))</f>
        <v>390.46199999999999</v>
      </c>
      <c r="BD9">
        <f ca="1">IF(AND(ISNUMBER($BD$232),$B$226=1),$BD$232,HLOOKUP(INDIRECT(ADDRESS(2,COLUMN())),OFFSET($BN$2,0,0,ROW()-1,60),ROW()-1,FALSE))</f>
        <v>428.35700000000003</v>
      </c>
      <c r="BE9">
        <f ca="1">IF(AND(ISNUMBER($BE$232),$B$226=1),$BE$232,HLOOKUP(INDIRECT(ADDRESS(2,COLUMN())),OFFSET($BN$2,0,0,ROW()-1,60),ROW()-1,FALSE))</f>
        <v>412.20699999999999</v>
      </c>
      <c r="BF9">
        <f ca="1">IF(AND(ISNUMBER($BF$232),$B$226=1),$BF$232,HLOOKUP(INDIRECT(ADDRESS(2,COLUMN())),OFFSET($BN$2,0,0,ROW()-1,60),ROW()-1,FALSE))</f>
        <v>441.392</v>
      </c>
      <c r="BG9">
        <f ca="1">IF(AND(ISNUMBER($BG$232),$B$226=1),$BG$232,HLOOKUP(INDIRECT(ADDRESS(2,COLUMN())),OFFSET($BN$2,0,0,ROW()-1,60),ROW()-1,FALSE))</f>
        <v>395.46499999999997</v>
      </c>
      <c r="BH9">
        <f ca="1">IF(AND(ISNUMBER($BH$232),$B$226=1),$BH$232,HLOOKUP(INDIRECT(ADDRESS(2,COLUMN())),OFFSET($BN$2,0,0,ROW()-1,60),ROW()-1,FALSE))</f>
        <v>454.12799999999999</v>
      </c>
      <c r="BI9">
        <f ca="1">IF(AND(ISNUMBER($BI$232),$B$226=1),$BI$232,HLOOKUP(INDIRECT(ADDRESS(2,COLUMN())),OFFSET($BN$2,0,0,ROW()-1,60),ROW()-1,FALSE))</f>
        <v>485.06200000000001</v>
      </c>
      <c r="BJ9">
        <f ca="1">IF(AND(ISNUMBER($BJ$232),$B$226=1),$BJ$232,HLOOKUP(INDIRECT(ADDRESS(2,COLUMN())),OFFSET($BN$2,0,0,ROW()-1,60),ROW()-1,FALSE))</f>
        <v>459.654</v>
      </c>
      <c r="BK9">
        <f ca="1">IF(AND(ISNUMBER($BK$232),$B$226=1),$BK$232,HLOOKUP(INDIRECT(ADDRESS(2,COLUMN())),OFFSET($BN$2,0,0,ROW()-1,60),ROW()-1,FALSE))</f>
        <v>419.05100800000002</v>
      </c>
      <c r="BL9">
        <f ca="1">IF(AND(ISNUMBER($BL$232),$B$226=1),$BL$232,HLOOKUP(INDIRECT(ADDRESS(2,COLUMN())),OFFSET($BN$2,0,0,ROW()-1,60),ROW()-1,FALSE))</f>
        <v>435.68798800000002</v>
      </c>
      <c r="BM9">
        <f ca="1">IF(AND(ISNUMBER($BM$232),$B$226=1),$BM$232,HLOOKUP(INDIRECT(ADDRESS(2,COLUMN())),OFFSET($BN$2,0,0,ROW()-1,60),ROW()-1,FALSE))</f>
        <v>434.733002</v>
      </c>
      <c r="BN9" t="str">
        <f>""</f>
        <v/>
      </c>
      <c r="BO9">
        <f>630.519</f>
        <v>630.51900000000001</v>
      </c>
      <c r="BP9">
        <f>623.951</f>
        <v>623.95100000000002</v>
      </c>
      <c r="BQ9">
        <f>612.299</f>
        <v>612.29899999999998</v>
      </c>
      <c r="BR9">
        <f>603.92</f>
        <v>603.91999999999996</v>
      </c>
      <c r="BS9">
        <f>605.273</f>
        <v>605.27300000000002</v>
      </c>
      <c r="BT9">
        <f>605.856</f>
        <v>605.85599999999999</v>
      </c>
      <c r="BU9">
        <f>594.939</f>
        <v>594.93899999999996</v>
      </c>
      <c r="BV9">
        <f>616.165</f>
        <v>616.16499999999996</v>
      </c>
      <c r="BW9">
        <f>701.219</f>
        <v>701.21900000000005</v>
      </c>
      <c r="BX9">
        <f>694.245</f>
        <v>694.245</v>
      </c>
      <c r="BY9">
        <f>676.508</f>
        <v>676.50800000000004</v>
      </c>
      <c r="BZ9">
        <f>664.606</f>
        <v>664.60599999999999</v>
      </c>
      <c r="CA9">
        <f>662.819</f>
        <v>662.81899999999996</v>
      </c>
      <c r="CB9">
        <f>662.001</f>
        <v>662.00099999999998</v>
      </c>
      <c r="CC9">
        <f>649.766</f>
        <v>649.76599999999996</v>
      </c>
      <c r="CD9">
        <f>630.725</f>
        <v>630.72500000000002</v>
      </c>
      <c r="CE9">
        <f>636.835</f>
        <v>636.83500000000004</v>
      </c>
      <c r="CF9">
        <f>624.063</f>
        <v>624.06299999999999</v>
      </c>
      <c r="CG9">
        <f>614.544</f>
        <v>614.54399999999998</v>
      </c>
      <c r="CH9">
        <f>502.562</f>
        <v>502.56200000000001</v>
      </c>
      <c r="CI9">
        <f>450.238</f>
        <v>450.238</v>
      </c>
      <c r="CJ9">
        <f>448.647</f>
        <v>448.64699999999999</v>
      </c>
      <c r="CK9">
        <f>446.139</f>
        <v>446.13900000000001</v>
      </c>
      <c r="CL9">
        <f>444.384</f>
        <v>444.38400000000001</v>
      </c>
      <c r="CM9">
        <f>490.006</f>
        <v>490.00599999999997</v>
      </c>
      <c r="CN9">
        <f>490.944</f>
        <v>490.94400000000002</v>
      </c>
      <c r="CO9">
        <f>478.419</f>
        <v>478.41899999999998</v>
      </c>
      <c r="CP9">
        <f>464.55</f>
        <v>464.55</v>
      </c>
      <c r="CQ9">
        <f>458.868</f>
        <v>458.86799999999999</v>
      </c>
      <c r="CR9">
        <f>451.832</f>
        <v>451.83199999999999</v>
      </c>
      <c r="CS9">
        <f>444.333</f>
        <v>444.33300000000003</v>
      </c>
      <c r="CT9">
        <f>462.577</f>
        <v>462.577</v>
      </c>
      <c r="CU9">
        <f>458.856</f>
        <v>458.85599999999999</v>
      </c>
      <c r="CV9">
        <f>477.588</f>
        <v>477.58800000000002</v>
      </c>
      <c r="CW9">
        <f>477.921</f>
        <v>477.92099999999999</v>
      </c>
      <c r="CX9">
        <f>480.215</f>
        <v>480.21499999999997</v>
      </c>
      <c r="CY9">
        <f>497.801</f>
        <v>497.80099999999999</v>
      </c>
      <c r="CZ9">
        <f>508.619</f>
        <v>508.61900000000003</v>
      </c>
      <c r="DA9">
        <f>510.567</f>
        <v>510.56700000000001</v>
      </c>
      <c r="DB9">
        <f>500.347</f>
        <v>500.34699999999998</v>
      </c>
      <c r="DC9">
        <f>502.771</f>
        <v>502.77100000000002</v>
      </c>
      <c r="DD9">
        <f>498.868</f>
        <v>498.86799999999999</v>
      </c>
      <c r="DE9">
        <f>489.124</f>
        <v>489.12400000000002</v>
      </c>
      <c r="DF9">
        <f>473.582</f>
        <v>473.58199999999999</v>
      </c>
      <c r="DG9">
        <f>319.447</f>
        <v>319.447</v>
      </c>
      <c r="DH9">
        <f>511.794</f>
        <v>511.79399999999998</v>
      </c>
      <c r="DI9">
        <f>489.619</f>
        <v>489.61900000000003</v>
      </c>
      <c r="DJ9">
        <f>459.971</f>
        <v>459.971</v>
      </c>
      <c r="DK9">
        <f>390.462</f>
        <v>390.46199999999999</v>
      </c>
      <c r="DL9">
        <f>428.357</f>
        <v>428.35700000000003</v>
      </c>
      <c r="DM9">
        <f>412.207</f>
        <v>412.20699999999999</v>
      </c>
      <c r="DN9">
        <f>441.392</f>
        <v>441.392</v>
      </c>
      <c r="DO9">
        <f>395.465</f>
        <v>395.46499999999997</v>
      </c>
      <c r="DP9">
        <f>454.128</f>
        <v>454.12799999999999</v>
      </c>
      <c r="DQ9">
        <f>485.062</f>
        <v>485.06200000000001</v>
      </c>
      <c r="DR9">
        <f>459.654</f>
        <v>459.654</v>
      </c>
      <c r="DS9">
        <f>419.051008</f>
        <v>419.05100800000002</v>
      </c>
      <c r="DT9">
        <f>435.687988</f>
        <v>435.68798800000002</v>
      </c>
      <c r="DU9">
        <f>434.733002</f>
        <v>434.733002</v>
      </c>
    </row>
    <row r="10" spans="1:125">
      <c r="A10" t="str">
        <f>"    Essex Property Trust Inc"</f>
        <v xml:space="preserve">    Essex Property Trust Inc</v>
      </c>
      <c r="B10" t="str">
        <f>"ESS US Equity"</f>
        <v>ESS US Equity</v>
      </c>
      <c r="C10" t="str">
        <f t="shared" si="0"/>
        <v>IS030</v>
      </c>
      <c r="D10" t="str">
        <f t="shared" si="1"/>
        <v>IS_RENT_INC</v>
      </c>
      <c r="E10" t="str">
        <f t="shared" si="2"/>
        <v>动态</v>
      </c>
      <c r="F10" t="str">
        <f ca="1">IF(AND(ISNUMBER($F$233),$B$226=1),$F$233,HLOOKUP(INDIRECT(ADDRESS(2,COLUMN())),OFFSET($BN$2,0,0,ROW()-1,60),ROW()-1,FALSE))</f>
        <v/>
      </c>
      <c r="G10">
        <f ca="1">IF(AND(ISNUMBER($G$233),$B$226=1),$G$233,HLOOKUP(INDIRECT(ADDRESS(2,COLUMN())),OFFSET($BN$2,0,0,ROW()-1,60),ROW()-1,FALSE))</f>
        <v>342.41699999999997</v>
      </c>
      <c r="H10">
        <f ca="1">IF(AND(ISNUMBER($H$233),$B$226=1),$H$233,HLOOKUP(INDIRECT(ADDRESS(2,COLUMN())),OFFSET($BN$2,0,0,ROW()-1,60),ROW()-1,FALSE))</f>
        <v>341.97399999999999</v>
      </c>
      <c r="I10">
        <f ca="1">IF(AND(ISNUMBER($I$233),$B$226=1),$I$233,HLOOKUP(INDIRECT(ADDRESS(2,COLUMN())),OFFSET($BN$2,0,0,ROW()-1,60),ROW()-1,FALSE))</f>
        <v>336.76600000000002</v>
      </c>
      <c r="J10">
        <f ca="1">IF(AND(ISNUMBER($J$233),$B$226=1),$J$233,HLOOKUP(INDIRECT(ADDRESS(2,COLUMN())),OFFSET($BN$2,0,0,ROW()-1,60),ROW()-1,FALSE))</f>
        <v>333.16800000000001</v>
      </c>
      <c r="K10">
        <f ca="1">IF(AND(ISNUMBER($K$233),$B$226=1),$K$233,HLOOKUP(INDIRECT(ADDRESS(2,COLUMN())),OFFSET($BN$2,0,0,ROW()-1,60),ROW()-1,FALSE))</f>
        <v>326.90499999999997</v>
      </c>
      <c r="L10">
        <f ca="1">IF(AND(ISNUMBER($L$233),$B$226=1),$L$233,HLOOKUP(INDIRECT(ADDRESS(2,COLUMN())),OFFSET($BN$2,0,0,ROW()-1,60),ROW()-1,FALSE))</f>
        <v>327.07799999999997</v>
      </c>
      <c r="M10">
        <f ca="1">IF(AND(ISNUMBER($M$233),$B$226=1),$M$233,HLOOKUP(INDIRECT(ADDRESS(2,COLUMN())),OFFSET($BN$2,0,0,ROW()-1,60),ROW()-1,FALSE))</f>
        <v>319.56200000000001</v>
      </c>
      <c r="N10">
        <f ca="1">IF(AND(ISNUMBER($N$233),$B$226=1),$N$233,HLOOKUP(INDIRECT(ADDRESS(2,COLUMN())),OFFSET($BN$2,0,0,ROW()-1,60),ROW()-1,FALSE))</f>
        <v>312.178</v>
      </c>
      <c r="O10">
        <f ca="1">IF(AND(ISNUMBER($O$233),$B$226=1),$O$233,HLOOKUP(INDIRECT(ADDRESS(2,COLUMN())),OFFSET($BN$2,0,0,ROW()-1,60),ROW()-1,FALSE))</f>
        <v>308.64600000000002</v>
      </c>
      <c r="P10">
        <f ca="1">IF(AND(ISNUMBER($P$233),$B$226=1),$P$233,HLOOKUP(INDIRECT(ADDRESS(2,COLUMN())),OFFSET($BN$2,0,0,ROW()-1,60),ROW()-1,FALSE))</f>
        <v>302.52199999999999</v>
      </c>
      <c r="Q10">
        <f ca="1">IF(AND(ISNUMBER($Q$233),$B$226=1),$Q$233,HLOOKUP(INDIRECT(ADDRESS(2,COLUMN())),OFFSET($BN$2,0,0,ROW()-1,60),ROW()-1,FALSE))</f>
        <v>294.101</v>
      </c>
      <c r="R10">
        <f ca="1">IF(AND(ISNUMBER($R$233),$B$226=1),$R$233,HLOOKUP(INDIRECT(ADDRESS(2,COLUMN())),OFFSET($BN$2,0,0,ROW()-1,60),ROW()-1,FALSE))</f>
        <v>280.22899999999998</v>
      </c>
      <c r="S10">
        <f ca="1">IF(AND(ISNUMBER($S$233),$B$226=1),$S$233,HLOOKUP(INDIRECT(ADDRESS(2,COLUMN())),OFFSET($BN$2,0,0,ROW()-1,60),ROW()-1,FALSE))</f>
        <v>276.77800000000002</v>
      </c>
      <c r="T10">
        <f ca="1">IF(AND(ISNUMBER($T$233),$B$226=1),$T$233,HLOOKUP(INDIRECT(ADDRESS(2,COLUMN())),OFFSET($BN$2,0,0,ROW()-1,60),ROW()-1,FALSE))</f>
        <v>268.11799999999999</v>
      </c>
      <c r="U10">
        <f ca="1">IF(AND(ISNUMBER($U$233),$B$226=1),$U$233,HLOOKUP(INDIRECT(ADDRESS(2,COLUMN())),OFFSET($BN$2,0,0,ROW()-1,60),ROW()-1,FALSE))</f>
        <v>256.61399999999998</v>
      </c>
      <c r="V10">
        <f ca="1">IF(AND(ISNUMBER($V$233),$B$226=1),$V$233,HLOOKUP(INDIRECT(ADDRESS(2,COLUMN())),OFFSET($BN$2,0,0,ROW()-1,60),ROW()-1,FALSE))</f>
        <v>159.34899999999999</v>
      </c>
      <c r="W10">
        <f ca="1">IF(AND(ISNUMBER($W$233),$B$226=1),$W$233,HLOOKUP(INDIRECT(ADDRESS(2,COLUMN())),OFFSET($BN$2,0,0,ROW()-1,60),ROW()-1,FALSE))</f>
        <v>155.98599999999999</v>
      </c>
      <c r="X10">
        <f ca="1">IF(AND(ISNUMBER($X$233),$B$226=1),$X$233,HLOOKUP(INDIRECT(ADDRESS(2,COLUMN())),OFFSET($BN$2,0,0,ROW()-1,60),ROW()-1,FALSE))</f>
        <v>152.17699999999999</v>
      </c>
      <c r="Y10">
        <f ca="1">IF(AND(ISNUMBER($Y$233),$B$226=1),$Y$233,HLOOKUP(INDIRECT(ADDRESS(2,COLUMN())),OFFSET($BN$2,0,0,ROW()-1,60),ROW()-1,FALSE))</f>
        <v>148.78100000000001</v>
      </c>
      <c r="Z10">
        <f ca="1">IF(AND(ISNUMBER($Z$233),$B$226=1),$Z$233,HLOOKUP(INDIRECT(ADDRESS(2,COLUMN())),OFFSET($BN$2,0,0,ROW()-1,60),ROW()-1,FALSE))</f>
        <v>145.05699999999999</v>
      </c>
      <c r="AA10">
        <f ca="1">IF(AND(ISNUMBER($AA$233),$B$226=1),$AA$233,HLOOKUP(INDIRECT(ADDRESS(2,COLUMN())),OFFSET($BN$2,0,0,ROW()-1,60),ROW()-1,FALSE))</f>
        <v>140.29400000000001</v>
      </c>
      <c r="AB10">
        <f ca="1">IF(AND(ISNUMBER($AB$233),$B$226=1),$AB$233,HLOOKUP(INDIRECT(ADDRESS(2,COLUMN())),OFFSET($BN$2,0,0,ROW()-1,60),ROW()-1,FALSE))</f>
        <v>135.07</v>
      </c>
      <c r="AC10">
        <f ca="1">IF(AND(ISNUMBER($AC$233),$B$226=1),$AC$233,HLOOKUP(INDIRECT(ADDRESS(2,COLUMN())),OFFSET($BN$2,0,0,ROW()-1,60),ROW()-1,FALSE))</f>
        <v>129.76499999999999</v>
      </c>
      <c r="AD10">
        <f ca="1">IF(AND(ISNUMBER($AD$233),$B$226=1),$AD$233,HLOOKUP(INDIRECT(ADDRESS(2,COLUMN())),OFFSET($BN$2,0,0,ROW()-1,60),ROW()-1,FALSE))</f>
        <v>125.474</v>
      </c>
      <c r="AE10">
        <f ca="1">IF(AND(ISNUMBER($AE$233),$B$226=1),$AE$233,HLOOKUP(INDIRECT(ADDRESS(2,COLUMN())),OFFSET($BN$2,0,0,ROW()-1,60),ROW()-1,FALSE))</f>
        <v>122.373</v>
      </c>
      <c r="AF10">
        <f ca="1">IF(AND(ISNUMBER($AF$233),$B$226=1),$AF$233,HLOOKUP(INDIRECT(ADDRESS(2,COLUMN())),OFFSET($BN$2,0,0,ROW()-1,60),ROW()-1,FALSE))</f>
        <v>117.226</v>
      </c>
      <c r="AG10">
        <f ca="1">IF(AND(ISNUMBER($AG$233),$B$226=1),$AG$233,HLOOKUP(INDIRECT(ADDRESS(2,COLUMN())),OFFSET($BN$2,0,0,ROW()-1,60),ROW()-1,FALSE))</f>
        <v>114.90600000000001</v>
      </c>
      <c r="AH10">
        <f ca="1">IF(AND(ISNUMBER($AH$233),$B$226=1),$AH$233,HLOOKUP(INDIRECT(ADDRESS(2,COLUMN())),OFFSET($BN$2,0,0,ROW()-1,60),ROW()-1,FALSE))</f>
        <v>111.208</v>
      </c>
      <c r="AI10">
        <f ca="1">IF(AND(ISNUMBER($AI$233),$B$226=1),$AI$233,HLOOKUP(INDIRECT(ADDRESS(2,COLUMN())),OFFSET($BN$2,0,0,ROW()-1,60),ROW()-1,FALSE))</f>
        <v>107.465</v>
      </c>
      <c r="AJ10">
        <f ca="1">IF(AND(ISNUMBER($AJ$233),$B$226=1),$AJ$233,HLOOKUP(INDIRECT(ADDRESS(2,COLUMN())),OFFSET($BN$2,0,0,ROW()-1,60),ROW()-1,FALSE))</f>
        <v>103.36799999999999</v>
      </c>
      <c r="AK10">
        <f ca="1">IF(AND(ISNUMBER($AK$233),$B$226=1),$AK$233,HLOOKUP(INDIRECT(ADDRESS(2,COLUMN())),OFFSET($BN$2,0,0,ROW()-1,60),ROW()-1,FALSE))</f>
        <v>99.162999999999997</v>
      </c>
      <c r="AL10">
        <f ca="1">IF(AND(ISNUMBER($AL$233),$B$226=1),$AL$233,HLOOKUP(INDIRECT(ADDRESS(2,COLUMN())),OFFSET($BN$2,0,0,ROW()-1,60),ROW()-1,FALSE))</f>
        <v>99.706000000000003</v>
      </c>
      <c r="AM10">
        <f ca="1">IF(AND(ISNUMBER($AM$233),$B$226=1),$AM$233,HLOOKUP(INDIRECT(ADDRESS(2,COLUMN())),OFFSET($BN$2,0,0,ROW()-1,60),ROW()-1,FALSE))</f>
        <v>100.004</v>
      </c>
      <c r="AN10">
        <f ca="1">IF(AND(ISNUMBER($AN$233),$B$226=1),$AN$233,HLOOKUP(INDIRECT(ADDRESS(2,COLUMN())),OFFSET($BN$2,0,0,ROW()-1,60),ROW()-1,FALSE))</f>
        <v>100.67</v>
      </c>
      <c r="AO10">
        <f ca="1">IF(AND(ISNUMBER($AO$233),$B$226=1),$AO$233,HLOOKUP(INDIRECT(ADDRESS(2,COLUMN())),OFFSET($BN$2,0,0,ROW()-1,60),ROW()-1,FALSE))</f>
        <v>102.476</v>
      </c>
      <c r="AP10">
        <f ca="1">IF(AND(ISNUMBER($AP$233),$B$226=1),$AP$233,HLOOKUP(INDIRECT(ADDRESS(2,COLUMN())),OFFSET($BN$2,0,0,ROW()-1,60),ROW()-1,FALSE))</f>
        <v>103.914</v>
      </c>
      <c r="AQ10">
        <f ca="1">IF(AND(ISNUMBER($AQ$233),$B$226=1),$AQ$233,HLOOKUP(INDIRECT(ADDRESS(2,COLUMN())),OFFSET($BN$2,0,0,ROW()-1,60),ROW()-1,FALSE))</f>
        <v>103.711</v>
      </c>
      <c r="AR10">
        <f ca="1">IF(AND(ISNUMBER($AR$233),$B$226=1),$AR$233,HLOOKUP(INDIRECT(ADDRESS(2,COLUMN())),OFFSET($BN$2,0,0,ROW()-1,60),ROW()-1,FALSE))</f>
        <v>101.94199999999999</v>
      </c>
      <c r="AS10">
        <f ca="1">IF(AND(ISNUMBER($AS$233),$B$226=1),$AS$233,HLOOKUP(INDIRECT(ADDRESS(2,COLUMN())),OFFSET($BN$2,0,0,ROW()-1,60),ROW()-1,FALSE))</f>
        <v>100.119</v>
      </c>
      <c r="AT10">
        <f ca="1">IF(AND(ISNUMBER($AT$233),$B$226=1),$AT$233,HLOOKUP(INDIRECT(ADDRESS(2,COLUMN())),OFFSET($BN$2,0,0,ROW()-1,60),ROW()-1,FALSE))</f>
        <v>98.73</v>
      </c>
      <c r="AU10">
        <f ca="1">IF(AND(ISNUMBER($AU$233),$B$226=1),$AU$233,HLOOKUP(INDIRECT(ADDRESS(2,COLUMN())),OFFSET($BN$2,0,0,ROW()-1,60),ROW()-1,FALSE))</f>
        <v>98.212000000000003</v>
      </c>
      <c r="AV10">
        <f ca="1">IF(AND(ISNUMBER($AV$233),$B$226=1),$AV$233,HLOOKUP(INDIRECT(ADDRESS(2,COLUMN())),OFFSET($BN$2,0,0,ROW()-1,60),ROW()-1,FALSE))</f>
        <v>95.012</v>
      </c>
      <c r="AW10">
        <f ca="1">IF(AND(ISNUMBER($AW$233),$B$226=1),$AW$233,HLOOKUP(INDIRECT(ADDRESS(2,COLUMN())),OFFSET($BN$2,0,0,ROW()-1,60),ROW()-1,FALSE))</f>
        <v>94.194000000000003</v>
      </c>
      <c r="AX10">
        <f ca="1">IF(AND(ISNUMBER($AX$233),$B$226=1),$AX$233,HLOOKUP(INDIRECT(ADDRESS(2,COLUMN())),OFFSET($BN$2,0,0,ROW()-1,60),ROW()-1,FALSE))</f>
        <v>89.665999999999997</v>
      </c>
      <c r="AY10">
        <f ca="1">IF(AND(ISNUMBER($AY$233),$B$226=1),$AY$233,HLOOKUP(INDIRECT(ADDRESS(2,COLUMN())),OFFSET($BN$2,0,0,ROW()-1,60),ROW()-1,FALSE))</f>
        <v>88.117999999999995</v>
      </c>
      <c r="AZ10">
        <f ca="1">IF(AND(ISNUMBER($AZ$233),$B$226=1),$AZ$233,HLOOKUP(INDIRECT(ADDRESS(2,COLUMN())),OFFSET($BN$2,0,0,ROW()-1,60),ROW()-1,FALSE))</f>
        <v>86.85</v>
      </c>
      <c r="BA10">
        <f ca="1">IF(AND(ISNUMBER($BA$233),$B$226=1),$BA$233,HLOOKUP(INDIRECT(ADDRESS(2,COLUMN())),OFFSET($BN$2,0,0,ROW()-1,60),ROW()-1,FALSE))</f>
        <v>83.716999999999999</v>
      </c>
      <c r="BB10">
        <f ca="1">IF(AND(ISNUMBER($BB$233),$B$226=1),$BB$233,HLOOKUP(INDIRECT(ADDRESS(2,COLUMN())),OFFSET($BN$2,0,0,ROW()-1,60),ROW()-1,FALSE))</f>
        <v>82.233000000000004</v>
      </c>
      <c r="BC10">
        <f ca="1">IF(AND(ISNUMBER($BC$233),$B$226=1),$BC$233,HLOOKUP(INDIRECT(ADDRESS(2,COLUMN())),OFFSET($BN$2,0,0,ROW()-1,60),ROW()-1,FALSE))</f>
        <v>71.150000000000006</v>
      </c>
      <c r="BD10">
        <f ca="1">IF(AND(ISNUMBER($BD$233),$B$226=1),$BD$233,HLOOKUP(INDIRECT(ADDRESS(2,COLUMN())),OFFSET($BN$2,0,0,ROW()-1,60),ROW()-1,FALSE))</f>
        <v>81.881</v>
      </c>
      <c r="BE10">
        <f ca="1">IF(AND(ISNUMBER($BE$233),$B$226=1),$BE$233,HLOOKUP(INDIRECT(ADDRESS(2,COLUMN())),OFFSET($BN$2,0,0,ROW()-1,60),ROW()-1,FALSE))</f>
        <v>79.662000000000006</v>
      </c>
      <c r="BF10">
        <f ca="1">IF(AND(ISNUMBER($BF$233),$B$226=1),$BF$233,HLOOKUP(INDIRECT(ADDRESS(2,COLUMN())),OFFSET($BN$2,0,0,ROW()-1,60),ROW()-1,FALSE))</f>
        <v>78.277000000000001</v>
      </c>
      <c r="BG10">
        <f ca="1">IF(AND(ISNUMBER($BG$233),$B$226=1),$BG$233,HLOOKUP(INDIRECT(ADDRESS(2,COLUMN())),OFFSET($BN$2,0,0,ROW()-1,60),ROW()-1,FALSE))</f>
        <v>71.917998999999995</v>
      </c>
      <c r="BH10">
        <f ca="1">IF(AND(ISNUMBER($BH$233),$B$226=1),$BH$233,HLOOKUP(INDIRECT(ADDRESS(2,COLUMN())),OFFSET($BN$2,0,0,ROW()-1,60),ROW()-1,FALSE))</f>
        <v>71.733000000000004</v>
      </c>
      <c r="BI10">
        <f ca="1">IF(AND(ISNUMBER($BI$233),$B$226=1),$BI$233,HLOOKUP(INDIRECT(ADDRESS(2,COLUMN())),OFFSET($BN$2,0,0,ROW()-1,60),ROW()-1,FALSE))</f>
        <v>67.907996999999995</v>
      </c>
      <c r="BJ10">
        <f ca="1">IF(AND(ISNUMBER($BJ$233),$B$226=1),$BJ$233,HLOOKUP(INDIRECT(ADDRESS(2,COLUMN())),OFFSET($BN$2,0,0,ROW()-1,60),ROW()-1,FALSE))</f>
        <v>64.209000000000003</v>
      </c>
      <c r="BK10">
        <f ca="1">IF(AND(ISNUMBER($BK$233),$B$226=1),$BK$233,HLOOKUP(INDIRECT(ADDRESS(2,COLUMN())),OFFSET($BN$2,0,0,ROW()-1,60),ROW()-1,FALSE))</f>
        <v>62.235000999999997</v>
      </c>
      <c r="BL10">
        <f ca="1">IF(AND(ISNUMBER($BL$233),$B$226=1),$BL$233,HLOOKUP(INDIRECT(ADDRESS(2,COLUMN())),OFFSET($BN$2,0,0,ROW()-1,60),ROW()-1,FALSE))</f>
        <v>60.849997999999999</v>
      </c>
      <c r="BM10">
        <f ca="1">IF(AND(ISNUMBER($BM$233),$B$226=1),$BM$233,HLOOKUP(INDIRECT(ADDRESS(2,COLUMN())),OFFSET($BN$2,0,0,ROW()-1,60),ROW()-1,FALSE))</f>
        <v>60.960999000000001</v>
      </c>
      <c r="BN10" t="str">
        <f>""</f>
        <v/>
      </c>
      <c r="BO10">
        <f>342.417</f>
        <v>342.41699999999997</v>
      </c>
      <c r="BP10">
        <f>341.974</f>
        <v>341.97399999999999</v>
      </c>
      <c r="BQ10">
        <f>336.766</f>
        <v>336.76600000000002</v>
      </c>
      <c r="BR10">
        <f>333.168</f>
        <v>333.16800000000001</v>
      </c>
      <c r="BS10">
        <f>326.905</f>
        <v>326.90499999999997</v>
      </c>
      <c r="BT10">
        <f>327.078</f>
        <v>327.07799999999997</v>
      </c>
      <c r="BU10">
        <f>319.562</f>
        <v>319.56200000000001</v>
      </c>
      <c r="BV10">
        <f>312.178</f>
        <v>312.178</v>
      </c>
      <c r="BW10">
        <f>308.646</f>
        <v>308.64600000000002</v>
      </c>
      <c r="BX10">
        <f>302.522</f>
        <v>302.52199999999999</v>
      </c>
      <c r="BY10">
        <f>294.101</f>
        <v>294.101</v>
      </c>
      <c r="BZ10">
        <f>280.229</f>
        <v>280.22899999999998</v>
      </c>
      <c r="CA10">
        <f>276.778</f>
        <v>276.77800000000002</v>
      </c>
      <c r="CB10">
        <f>268.118</f>
        <v>268.11799999999999</v>
      </c>
      <c r="CC10">
        <f>256.614</f>
        <v>256.61399999999998</v>
      </c>
      <c r="CD10">
        <f>159.349</f>
        <v>159.34899999999999</v>
      </c>
      <c r="CE10">
        <f>155.986</f>
        <v>155.98599999999999</v>
      </c>
      <c r="CF10">
        <f>152.177</f>
        <v>152.17699999999999</v>
      </c>
      <c r="CG10">
        <f>148.781</f>
        <v>148.78100000000001</v>
      </c>
      <c r="CH10">
        <f>145.057</f>
        <v>145.05699999999999</v>
      </c>
      <c r="CI10">
        <f>140.294</f>
        <v>140.29400000000001</v>
      </c>
      <c r="CJ10">
        <f>135.07</f>
        <v>135.07</v>
      </c>
      <c r="CK10">
        <f>129.765</f>
        <v>129.76499999999999</v>
      </c>
      <c r="CL10">
        <f>125.474</f>
        <v>125.474</v>
      </c>
      <c r="CM10">
        <f>122.373</f>
        <v>122.373</v>
      </c>
      <c r="CN10">
        <f>117.226</f>
        <v>117.226</v>
      </c>
      <c r="CO10">
        <f>114.906</f>
        <v>114.90600000000001</v>
      </c>
      <c r="CP10">
        <f>111.208</f>
        <v>111.208</v>
      </c>
      <c r="CQ10">
        <f>107.465</f>
        <v>107.465</v>
      </c>
      <c r="CR10">
        <f>103.368</f>
        <v>103.36799999999999</v>
      </c>
      <c r="CS10">
        <f>99.163</f>
        <v>99.162999999999997</v>
      </c>
      <c r="CT10">
        <f>99.706</f>
        <v>99.706000000000003</v>
      </c>
      <c r="CU10">
        <f>100.004</f>
        <v>100.004</v>
      </c>
      <c r="CV10">
        <f>100.67</f>
        <v>100.67</v>
      </c>
      <c r="CW10">
        <f>102.476</f>
        <v>102.476</v>
      </c>
      <c r="CX10">
        <f>103.914</f>
        <v>103.914</v>
      </c>
      <c r="CY10">
        <f>103.711</f>
        <v>103.711</v>
      </c>
      <c r="CZ10">
        <f>101.942</f>
        <v>101.94199999999999</v>
      </c>
      <c r="DA10">
        <f>100.119</f>
        <v>100.119</v>
      </c>
      <c r="DB10">
        <f>98.73</f>
        <v>98.73</v>
      </c>
      <c r="DC10">
        <f>98.212</f>
        <v>98.212000000000003</v>
      </c>
      <c r="DD10">
        <f>95.012</f>
        <v>95.012</v>
      </c>
      <c r="DE10">
        <f>94.194</f>
        <v>94.194000000000003</v>
      </c>
      <c r="DF10">
        <f>89.666</f>
        <v>89.665999999999997</v>
      </c>
      <c r="DG10">
        <f>88.118</f>
        <v>88.117999999999995</v>
      </c>
      <c r="DH10">
        <f>86.85</f>
        <v>86.85</v>
      </c>
      <c r="DI10">
        <f>83.717</f>
        <v>83.716999999999999</v>
      </c>
      <c r="DJ10">
        <f>82.233</f>
        <v>82.233000000000004</v>
      </c>
      <c r="DK10">
        <f>71.15</f>
        <v>71.150000000000006</v>
      </c>
      <c r="DL10">
        <f>81.881</f>
        <v>81.881</v>
      </c>
      <c r="DM10">
        <f>79.662</f>
        <v>79.662000000000006</v>
      </c>
      <c r="DN10">
        <f>78.277</f>
        <v>78.277000000000001</v>
      </c>
      <c r="DO10">
        <f>71.917999</f>
        <v>71.917998999999995</v>
      </c>
      <c r="DP10">
        <f>71.733</f>
        <v>71.733000000000004</v>
      </c>
      <c r="DQ10">
        <f>67.907997</f>
        <v>67.907996999999995</v>
      </c>
      <c r="DR10">
        <f>64.209</f>
        <v>64.209000000000003</v>
      </c>
      <c r="DS10">
        <f>62.235001</f>
        <v>62.235000999999997</v>
      </c>
      <c r="DT10">
        <f>60.849998</f>
        <v>60.849997999999999</v>
      </c>
      <c r="DU10">
        <f>60.960999</f>
        <v>60.960999000000001</v>
      </c>
    </row>
    <row r="11" spans="1:125">
      <c r="A11" t="str">
        <f>"    Mid-America Apartment Communit"</f>
        <v xml:space="preserve">    Mid-America Apartment Communit</v>
      </c>
      <c r="B11" t="str">
        <f>"MAA US Equity"</f>
        <v>MAA US Equity</v>
      </c>
      <c r="C11" t="str">
        <f t="shared" si="0"/>
        <v>IS030</v>
      </c>
      <c r="D11" t="str">
        <f t="shared" si="1"/>
        <v>IS_RENT_INC</v>
      </c>
      <c r="E11" t="str">
        <f t="shared" si="2"/>
        <v>动态</v>
      </c>
      <c r="F11" t="str">
        <f ca="1">IF(AND(ISNUMBER($F$234),$B$226=1),$F$234,HLOOKUP(INDIRECT(ADDRESS(2,COLUMN())),OFFSET($BN$2,0,0,ROW()-1,60),ROW()-1,FALSE))</f>
        <v/>
      </c>
      <c r="G11">
        <f ca="1">IF(AND(ISNUMBER($G$234),$B$226=1),$G$234,HLOOKUP(INDIRECT(ADDRESS(2,COLUMN())),OFFSET($BN$2,0,0,ROW()-1,60),ROW()-1,FALSE))</f>
        <v>382.738</v>
      </c>
      <c r="H11">
        <f ca="1">IF(AND(ISNUMBER($H$234),$B$226=1),$H$234,HLOOKUP(INDIRECT(ADDRESS(2,COLUMN())),OFFSET($BN$2,0,0,ROW()-1,60),ROW()-1,FALSE))</f>
        <v>357.61900000000003</v>
      </c>
      <c r="I11">
        <f ca="1">IF(AND(ISNUMBER($I$234),$B$226=1),$I$234,HLOOKUP(INDIRECT(ADDRESS(2,COLUMN())),OFFSET($BN$2,0,0,ROW()-1,60),ROW()-1,FALSE))</f>
        <v>355.83199999999999</v>
      </c>
      <c r="J11">
        <f ca="1">IF(AND(ISNUMBER($J$234),$B$226=1),$J$234,HLOOKUP(INDIRECT(ADDRESS(2,COLUMN())),OFFSET($BN$2,0,0,ROW()-1,60),ROW()-1,FALSE))</f>
        <v>351.17700000000002</v>
      </c>
      <c r="K11">
        <f ca="1">IF(AND(ISNUMBER($K$234),$B$226=1),$K$234,HLOOKUP(INDIRECT(ADDRESS(2,COLUMN())),OFFSET($BN$2,0,0,ROW()-1,60),ROW()-1,FALSE))</f>
        <v>284.45699999999999</v>
      </c>
      <c r="L11">
        <f ca="1">IF(AND(ISNUMBER($L$234),$B$226=1),$L$234,HLOOKUP(INDIRECT(ADDRESS(2,COLUMN())),OFFSET($BN$2,0,0,ROW()-1,60),ROW()-1,FALSE))</f>
        <v>254.161</v>
      </c>
      <c r="M11">
        <f ca="1">IF(AND(ISNUMBER($M$234),$B$226=1),$M$234,HLOOKUP(INDIRECT(ADDRESS(2,COLUMN())),OFFSET($BN$2,0,0,ROW()-1,60),ROW()-1,FALSE))</f>
        <v>249.32599999999999</v>
      </c>
      <c r="N11">
        <f ca="1">IF(AND(ISNUMBER($N$234),$B$226=1),$N$234,HLOOKUP(INDIRECT(ADDRESS(2,COLUMN())),OFFSET($BN$2,0,0,ROW()-1,60),ROW()-1,FALSE))</f>
        <v>245.66499999999999</v>
      </c>
      <c r="O11">
        <f ca="1">IF(AND(ISNUMBER($O$234),$B$226=1),$O$234,HLOOKUP(INDIRECT(ADDRESS(2,COLUMN())),OFFSET($BN$2,0,0,ROW()-1,60),ROW()-1,FALSE))</f>
        <v>241.42099999999999</v>
      </c>
      <c r="P11">
        <f ca="1">IF(AND(ISNUMBER($P$234),$B$226=1),$P$234,HLOOKUP(INDIRECT(ADDRESS(2,COLUMN())),OFFSET($BN$2,0,0,ROW()-1,60),ROW()-1,FALSE))</f>
        <v>239.67</v>
      </c>
      <c r="Q11">
        <f ca="1">IF(AND(ISNUMBER($Q$234),$B$226=1),$Q$234,HLOOKUP(INDIRECT(ADDRESS(2,COLUMN())),OFFSET($BN$2,0,0,ROW()-1,60),ROW()-1,FALSE))</f>
        <v>236.16499999999999</v>
      </c>
      <c r="R11">
        <f ca="1">IF(AND(ISNUMBER($R$234),$B$226=1),$R$234,HLOOKUP(INDIRECT(ADDRESS(2,COLUMN())),OFFSET($BN$2,0,0,ROW()-1,60),ROW()-1,FALSE))</f>
        <v>234.941</v>
      </c>
      <c r="S11">
        <f ca="1">IF(AND(ISNUMBER($S$234),$B$226=1),$S$234,HLOOKUP(INDIRECT(ADDRESS(2,COLUMN())),OFFSET($BN$2,0,0,ROW()-1,60),ROW()-1,FALSE))</f>
        <v>230.482</v>
      </c>
      <c r="T11">
        <f ca="1">IF(AND(ISNUMBER($T$234),$B$226=1),$T$234,HLOOKUP(INDIRECT(ADDRESS(2,COLUMN())),OFFSET($BN$2,0,0,ROW()-1,60),ROW()-1,FALSE))</f>
        <v>226.584</v>
      </c>
      <c r="U11">
        <f ca="1">IF(AND(ISNUMBER($U$234),$B$226=1),$U$234,HLOOKUP(INDIRECT(ADDRESS(2,COLUMN())),OFFSET($BN$2,0,0,ROW()-1,60),ROW()-1,FALSE))</f>
        <v>223.36099999999999</v>
      </c>
      <c r="V11">
        <f ca="1">IF(AND(ISNUMBER($V$234),$B$226=1),$V$234,HLOOKUP(INDIRECT(ADDRESS(2,COLUMN())),OFFSET($BN$2,0,0,ROW()-1,60),ROW()-1,FALSE))</f>
        <v>220.988</v>
      </c>
      <c r="W11">
        <f ca="1">IF(AND(ISNUMBER($W$234),$B$226=1),$W$234,HLOOKUP(INDIRECT(ADDRESS(2,COLUMN())),OFFSET($BN$2,0,0,ROW()-1,60),ROW()-1,FALSE))</f>
        <v>216.762</v>
      </c>
      <c r="X11">
        <f ca="1">IF(AND(ISNUMBER($X$234),$B$226=1),$X$234,HLOOKUP(INDIRECT(ADDRESS(2,COLUMN())),OFFSET($BN$2,0,0,ROW()-1,60),ROW()-1,FALSE))</f>
        <v>124.61199999999999</v>
      </c>
      <c r="Y11">
        <f ca="1">IF(AND(ISNUMBER($Y$234),$B$226=1),$Y$234,HLOOKUP(INDIRECT(ADDRESS(2,COLUMN())),OFFSET($BN$2,0,0,ROW()-1,60),ROW()-1,FALSE))</f>
        <v>121.128</v>
      </c>
      <c r="Z11">
        <f ca="1">IF(AND(ISNUMBER($Z$234),$B$226=1),$Z$234,HLOOKUP(INDIRECT(ADDRESS(2,COLUMN())),OFFSET($BN$2,0,0,ROW()-1,60),ROW()-1,FALSE))</f>
        <v>117.705</v>
      </c>
      <c r="AA11">
        <f ca="1">IF(AND(ISNUMBER($AA$234),$B$226=1),$AA$234,HLOOKUP(INDIRECT(ADDRESS(2,COLUMN())),OFFSET($BN$2,0,0,ROW()-1,60),ROW()-1,FALSE))</f>
        <v>125.80800000000001</v>
      </c>
      <c r="AB11">
        <f ca="1">IF(AND(ISNUMBER($AB$234),$B$226=1),$AB$234,HLOOKUP(INDIRECT(ADDRESS(2,COLUMN())),OFFSET($BN$2,0,0,ROW()-1,60),ROW()-1,FALSE))</f>
        <v>113.015</v>
      </c>
      <c r="AC11">
        <f ca="1">IF(AND(ISNUMBER($AC$234),$B$226=1),$AC$234,HLOOKUP(INDIRECT(ADDRESS(2,COLUMN())),OFFSET($BN$2,0,0,ROW()-1,60),ROW()-1,FALSE))</f>
        <v>108.959</v>
      </c>
      <c r="AD11">
        <f ca="1">IF(AND(ISNUMBER($AD$234),$B$226=1),$AD$234,HLOOKUP(INDIRECT(ADDRESS(2,COLUMN())),OFFSET($BN$2,0,0,ROW()-1,60),ROW()-1,FALSE))</f>
        <v>106.342</v>
      </c>
      <c r="AE11">
        <f ca="1">IF(AND(ISNUMBER($AE$234),$B$226=1),$AE$234,HLOOKUP(INDIRECT(ADDRESS(2,COLUMN())),OFFSET($BN$2,0,0,ROW()-1,60),ROW()-1,FALSE))</f>
        <v>112.774</v>
      </c>
      <c r="AF11">
        <f ca="1">IF(AND(ISNUMBER($AF$234),$B$226=1),$AF$234,HLOOKUP(INDIRECT(ADDRESS(2,COLUMN())),OFFSET($BN$2,0,0,ROW()-1,60),ROW()-1,FALSE))</f>
        <v>101.004</v>
      </c>
      <c r="AG11">
        <f ca="1">IF(AND(ISNUMBER($AG$234),$B$226=1),$AG$234,HLOOKUP(INDIRECT(ADDRESS(2,COLUMN())),OFFSET($BN$2,0,0,ROW()-1,60),ROW()-1,FALSE))</f>
        <v>97.995999999999995</v>
      </c>
      <c r="AH11">
        <f ca="1">IF(AND(ISNUMBER($AH$234),$B$226=1),$AH$234,HLOOKUP(INDIRECT(ADDRESS(2,COLUMN())),OFFSET($BN$2,0,0,ROW()-1,60),ROW()-1,FALSE))</f>
        <v>95.742000000000004</v>
      </c>
      <c r="AI11">
        <f ca="1">IF(AND(ISNUMBER($AI$234),$B$226=1),$AI$234,HLOOKUP(INDIRECT(ADDRESS(2,COLUMN())),OFFSET($BN$2,0,0,ROW()-1,60),ROW()-1,FALSE))</f>
        <v>104.277</v>
      </c>
      <c r="AJ11">
        <f ca="1">IF(AND(ISNUMBER($AJ$234),$B$226=1),$AJ$234,HLOOKUP(INDIRECT(ADDRESS(2,COLUMN())),OFFSET($BN$2,0,0,ROW()-1,60),ROW()-1,FALSE))</f>
        <v>92.388000000000005</v>
      </c>
      <c r="AK11">
        <f ca="1">IF(AND(ISNUMBER($AK$234),$B$226=1),$AK$234,HLOOKUP(INDIRECT(ADDRESS(2,COLUMN())),OFFSET($BN$2,0,0,ROW()-1,60),ROW()-1,FALSE))</f>
        <v>90.591999999999999</v>
      </c>
      <c r="AL11">
        <f ca="1">IF(AND(ISNUMBER($AL$234),$B$226=1),$AL$234,HLOOKUP(INDIRECT(ADDRESS(2,COLUMN())),OFFSET($BN$2,0,0,ROW()-1,60),ROW()-1,FALSE))</f>
        <v>90.308000000000007</v>
      </c>
      <c r="AM11">
        <f ca="1">IF(AND(ISNUMBER($AM$234),$B$226=1),$AM$234,HLOOKUP(INDIRECT(ADDRESS(2,COLUMN())),OFFSET($BN$2,0,0,ROW()-1,60),ROW()-1,FALSE))</f>
        <v>95.230999999999995</v>
      </c>
      <c r="AN11">
        <f ca="1">IF(AND(ISNUMBER($AN$234),$B$226=1),$AN$234,HLOOKUP(INDIRECT(ADDRESS(2,COLUMN())),OFFSET($BN$2,0,0,ROW()-1,60),ROW()-1,FALSE))</f>
        <v>89.22</v>
      </c>
      <c r="AO11">
        <f ca="1">IF(AND(ISNUMBER($AO$234),$B$226=1),$AO$234,HLOOKUP(INDIRECT(ADDRESS(2,COLUMN())),OFFSET($BN$2,0,0,ROW()-1,60),ROW()-1,FALSE))</f>
        <v>89.593000000000004</v>
      </c>
      <c r="AP11">
        <f ca="1">IF(AND(ISNUMBER($AP$234),$B$226=1),$AP$234,HLOOKUP(INDIRECT(ADDRESS(2,COLUMN())),OFFSET($BN$2,0,0,ROW()-1,60),ROW()-1,FALSE))</f>
        <v>89.197999999999993</v>
      </c>
      <c r="AQ11">
        <f ca="1">IF(AND(ISNUMBER($AQ$234),$B$226=1),$AQ$234,HLOOKUP(INDIRECT(ADDRESS(2,COLUMN())),OFFSET($BN$2,0,0,ROW()-1,60),ROW()-1,FALSE))</f>
        <v>93.893000000000001</v>
      </c>
      <c r="AR11">
        <f ca="1">IF(AND(ISNUMBER($AR$234),$B$226=1),$AR$234,HLOOKUP(INDIRECT(ADDRESS(2,COLUMN())),OFFSET($BN$2,0,0,ROW()-1,60),ROW()-1,FALSE))</f>
        <v>89.343999999999994</v>
      </c>
      <c r="AS11">
        <f ca="1">IF(AND(ISNUMBER($AS$234),$B$226=1),$AS$234,HLOOKUP(INDIRECT(ADDRESS(2,COLUMN())),OFFSET($BN$2,0,0,ROW()-1,60),ROW()-1,FALSE))</f>
        <v>87.277000000000001</v>
      </c>
      <c r="AT11">
        <f ca="1">IF(AND(ISNUMBER($AT$234),$B$226=1),$AT$234,HLOOKUP(INDIRECT(ADDRESS(2,COLUMN())),OFFSET($BN$2,0,0,ROW()-1,60),ROW()-1,FALSE))</f>
        <v>86.596999999999994</v>
      </c>
      <c r="AU11">
        <f ca="1">IF(AND(ISNUMBER($AU$234),$B$226=1),$AU$234,HLOOKUP(INDIRECT(ADDRESS(2,COLUMN())),OFFSET($BN$2,0,0,ROW()-1,60),ROW()-1,FALSE))</f>
        <v>89.634</v>
      </c>
      <c r="AV11">
        <f ca="1">IF(AND(ISNUMBER($AV$234),$B$226=1),$AV$234,HLOOKUP(INDIRECT(ADDRESS(2,COLUMN())),OFFSET($BN$2,0,0,ROW()-1,60),ROW()-1,FALSE))</f>
        <v>3.91</v>
      </c>
      <c r="AW11">
        <f ca="1">IF(AND(ISNUMBER($AW$234),$B$226=1),$AW$234,HLOOKUP(INDIRECT(ADDRESS(2,COLUMN())),OFFSET($BN$2,0,0,ROW()-1,60),ROW()-1,FALSE))</f>
        <v>82.875</v>
      </c>
      <c r="AX11">
        <f ca="1">IF(AND(ISNUMBER($AX$234),$B$226=1),$AX$234,HLOOKUP(INDIRECT(ADDRESS(2,COLUMN())),OFFSET($BN$2,0,0,ROW()-1,60),ROW()-1,FALSE))</f>
        <v>81.212000000000003</v>
      </c>
      <c r="AY11">
        <f ca="1">IF(AND(ISNUMBER($AY$234),$B$226=1),$AY$234,HLOOKUP(INDIRECT(ADDRESS(2,COLUMN())),OFFSET($BN$2,0,0,ROW()-1,60),ROW()-1,FALSE))</f>
        <v>94.694999999999993</v>
      </c>
      <c r="AZ11">
        <f ca="1">IF(AND(ISNUMBER($AZ$234),$B$226=1),$AZ$234,HLOOKUP(INDIRECT(ADDRESS(2,COLUMN())),OFFSET($BN$2,0,0,ROW()-1,60),ROW()-1,FALSE))</f>
        <v>78.597999999999999</v>
      </c>
      <c r="BA11">
        <f ca="1">IF(AND(ISNUMBER($BA$234),$B$226=1),$BA$234,HLOOKUP(INDIRECT(ADDRESS(2,COLUMN())),OFFSET($BN$2,0,0,ROW()-1,60),ROW()-1,FALSE))</f>
        <v>76.305000000000007</v>
      </c>
      <c r="BB11">
        <f ca="1">IF(AND(ISNUMBER($BB$234),$B$226=1),$BB$234,HLOOKUP(INDIRECT(ADDRESS(2,COLUMN())),OFFSET($BN$2,0,0,ROW()-1,60),ROW()-1,FALSE))</f>
        <v>73.853999999999999</v>
      </c>
      <c r="BC11">
        <f ca="1">IF(AND(ISNUMBER($BC$234),$B$226=1),$BC$234,HLOOKUP(INDIRECT(ADDRESS(2,COLUMN())),OFFSET($BN$2,0,0,ROW()-1,60),ROW()-1,FALSE))</f>
        <v>85.712000000000003</v>
      </c>
      <c r="BD11">
        <f ca="1">IF(AND(ISNUMBER($BD$234),$B$226=1),$BD$234,HLOOKUP(INDIRECT(ADDRESS(2,COLUMN())),OFFSET($BN$2,0,0,ROW()-1,60),ROW()-1,FALSE))</f>
        <v>74.870999999999995</v>
      </c>
      <c r="BE11">
        <f ca="1">IF(AND(ISNUMBER($BE$234),$B$226=1),$BE$234,HLOOKUP(INDIRECT(ADDRESS(2,COLUMN())),OFFSET($BN$2,0,0,ROW()-1,60),ROW()-1,FALSE))</f>
        <v>72.414000000000001</v>
      </c>
      <c r="BF11">
        <f ca="1">IF(AND(ISNUMBER($BF$234),$B$226=1),$BF$234,HLOOKUP(INDIRECT(ADDRESS(2,COLUMN())),OFFSET($BN$2,0,0,ROW()-1,60),ROW()-1,FALSE))</f>
        <v>71.575000000000003</v>
      </c>
      <c r="BG11">
        <f ca="1">IF(AND(ISNUMBER($BG$234),$B$226=1),$BG$234,HLOOKUP(INDIRECT(ADDRESS(2,COLUMN())),OFFSET($BN$2,0,0,ROW()-1,60),ROW()-1,FALSE))</f>
        <v>68.551002999999994</v>
      </c>
      <c r="BH11">
        <f ca="1">IF(AND(ISNUMBER($BH$234),$B$226=1),$BH$234,HLOOKUP(INDIRECT(ADDRESS(2,COLUMN())),OFFSET($BN$2,0,0,ROW()-1,60),ROW()-1,FALSE))</f>
        <v>64.861999999999995</v>
      </c>
      <c r="BI11">
        <f ca="1">IF(AND(ISNUMBER($BI$234),$B$226=1),$BI$234,HLOOKUP(INDIRECT(ADDRESS(2,COLUMN())),OFFSET($BN$2,0,0,ROW()-1,60),ROW()-1,FALSE))</f>
        <v>63.353000999999999</v>
      </c>
      <c r="BJ11">
        <f ca="1">IF(AND(ISNUMBER($BJ$234),$B$226=1),$BJ$234,HLOOKUP(INDIRECT(ADDRESS(2,COLUMN())),OFFSET($BN$2,0,0,ROW()-1,60),ROW()-1,FALSE))</f>
        <v>62.917999000000002</v>
      </c>
      <c r="BK11">
        <f ca="1">IF(AND(ISNUMBER($BK$234),$B$226=1),$BK$234,HLOOKUP(INDIRECT(ADDRESS(2,COLUMN())),OFFSET($BN$2,0,0,ROW()-1,60),ROW()-1,FALSE))</f>
        <v>63.375</v>
      </c>
      <c r="BL11">
        <f ca="1">IF(AND(ISNUMBER($BL$234),$B$226=1),$BL$234,HLOOKUP(INDIRECT(ADDRESS(2,COLUMN())),OFFSET($BN$2,0,0,ROW()-1,60),ROW()-1,FALSE))</f>
        <v>57</v>
      </c>
      <c r="BM11">
        <f ca="1">IF(AND(ISNUMBER($BM$234),$B$226=1),$BM$234,HLOOKUP(INDIRECT(ADDRESS(2,COLUMN())),OFFSET($BN$2,0,0,ROW()-1,60),ROW()-1,FALSE))</f>
        <v>56.048000000000002</v>
      </c>
      <c r="BN11" t="str">
        <f>""</f>
        <v/>
      </c>
      <c r="BO11">
        <f>382.738</f>
        <v>382.738</v>
      </c>
      <c r="BP11">
        <f>357.619</f>
        <v>357.61900000000003</v>
      </c>
      <c r="BQ11">
        <f>355.832</f>
        <v>355.83199999999999</v>
      </c>
      <c r="BR11">
        <f>351.177</f>
        <v>351.17700000000002</v>
      </c>
      <c r="BS11">
        <f>284.457</f>
        <v>284.45699999999999</v>
      </c>
      <c r="BT11">
        <f>254.161</f>
        <v>254.161</v>
      </c>
      <c r="BU11">
        <f>249.326</f>
        <v>249.32599999999999</v>
      </c>
      <c r="BV11">
        <f>245.665</f>
        <v>245.66499999999999</v>
      </c>
      <c r="BW11">
        <f>241.421</f>
        <v>241.42099999999999</v>
      </c>
      <c r="BX11">
        <f>239.67</f>
        <v>239.67</v>
      </c>
      <c r="BY11">
        <f>236.165</f>
        <v>236.16499999999999</v>
      </c>
      <c r="BZ11">
        <f>234.941</f>
        <v>234.941</v>
      </c>
      <c r="CA11">
        <f>230.482</f>
        <v>230.482</v>
      </c>
      <c r="CB11">
        <f>226.584</f>
        <v>226.584</v>
      </c>
      <c r="CC11">
        <f>223.361</f>
        <v>223.36099999999999</v>
      </c>
      <c r="CD11">
        <f>220.988</f>
        <v>220.988</v>
      </c>
      <c r="CE11">
        <f>216.762</f>
        <v>216.762</v>
      </c>
      <c r="CF11">
        <f>124.612</f>
        <v>124.61199999999999</v>
      </c>
      <c r="CG11">
        <f>121.128</f>
        <v>121.128</v>
      </c>
      <c r="CH11">
        <f>117.705</f>
        <v>117.705</v>
      </c>
      <c r="CI11">
        <f>125.808</f>
        <v>125.80800000000001</v>
      </c>
      <c r="CJ11">
        <f>113.015</f>
        <v>113.015</v>
      </c>
      <c r="CK11">
        <f>108.959</f>
        <v>108.959</v>
      </c>
      <c r="CL11">
        <f>106.342</f>
        <v>106.342</v>
      </c>
      <c r="CM11">
        <f>112.774</f>
        <v>112.774</v>
      </c>
      <c r="CN11">
        <f>101.004</f>
        <v>101.004</v>
      </c>
      <c r="CO11">
        <f>97.996</f>
        <v>97.995999999999995</v>
      </c>
      <c r="CP11">
        <f>95.742</f>
        <v>95.742000000000004</v>
      </c>
      <c r="CQ11">
        <f>104.277</f>
        <v>104.277</v>
      </c>
      <c r="CR11">
        <f>92.388</f>
        <v>92.388000000000005</v>
      </c>
      <c r="CS11">
        <f>90.592</f>
        <v>90.591999999999999</v>
      </c>
      <c r="CT11">
        <f>90.308</f>
        <v>90.308000000000007</v>
      </c>
      <c r="CU11">
        <f>95.231</f>
        <v>95.230999999999995</v>
      </c>
      <c r="CV11">
        <f>89.22</f>
        <v>89.22</v>
      </c>
      <c r="CW11">
        <f>89.593</f>
        <v>89.593000000000004</v>
      </c>
      <c r="CX11">
        <f>89.198</f>
        <v>89.197999999999993</v>
      </c>
      <c r="CY11">
        <f>93.893</f>
        <v>93.893000000000001</v>
      </c>
      <c r="CZ11">
        <f>89.344</f>
        <v>89.343999999999994</v>
      </c>
      <c r="DA11">
        <f>87.277</f>
        <v>87.277000000000001</v>
      </c>
      <c r="DB11">
        <f>86.597</f>
        <v>86.596999999999994</v>
      </c>
      <c r="DC11">
        <f>89.634</f>
        <v>89.634</v>
      </c>
      <c r="DD11">
        <f>3.91</f>
        <v>3.91</v>
      </c>
      <c r="DE11">
        <f>82.875</f>
        <v>82.875</v>
      </c>
      <c r="DF11">
        <f>81.212</f>
        <v>81.212000000000003</v>
      </c>
      <c r="DG11">
        <f>94.695</f>
        <v>94.694999999999993</v>
      </c>
      <c r="DH11">
        <f>78.598</f>
        <v>78.597999999999999</v>
      </c>
      <c r="DI11">
        <f>76.305</f>
        <v>76.305000000000007</v>
      </c>
      <c r="DJ11">
        <f>73.854</f>
        <v>73.853999999999999</v>
      </c>
      <c r="DK11">
        <f>85.712</f>
        <v>85.712000000000003</v>
      </c>
      <c r="DL11">
        <f>74.871</f>
        <v>74.870999999999995</v>
      </c>
      <c r="DM11">
        <f>72.414</f>
        <v>72.414000000000001</v>
      </c>
      <c r="DN11">
        <f>71.575</f>
        <v>71.575000000000003</v>
      </c>
      <c r="DO11">
        <f>68.551003</f>
        <v>68.551002999999994</v>
      </c>
      <c r="DP11">
        <f>64.862</f>
        <v>64.861999999999995</v>
      </c>
      <c r="DQ11">
        <f>63.353001</f>
        <v>63.353000999999999</v>
      </c>
      <c r="DR11">
        <f>62.917999</f>
        <v>62.917999000000002</v>
      </c>
      <c r="DS11">
        <f>63.375</f>
        <v>63.375</v>
      </c>
      <c r="DT11">
        <f>57</f>
        <v>57</v>
      </c>
      <c r="DU11">
        <f>56.048</f>
        <v>56.048000000000002</v>
      </c>
    </row>
    <row r="12" spans="1:125">
      <c r="A12" t="str">
        <f>"    UDR Inc"</f>
        <v xml:space="preserve">    UDR Inc</v>
      </c>
      <c r="B12" t="str">
        <f>"UDR US Equity"</f>
        <v>UDR US Equity</v>
      </c>
      <c r="C12" t="str">
        <f t="shared" si="0"/>
        <v>IS030</v>
      </c>
      <c r="D12" t="str">
        <f t="shared" si="1"/>
        <v>IS_RENT_INC</v>
      </c>
      <c r="E12" t="str">
        <f t="shared" si="2"/>
        <v>动态</v>
      </c>
      <c r="F12" t="str">
        <f ca="1">IF(AND(ISNUMBER($F$235),$B$226=1),$F$235,HLOOKUP(INDIRECT(ADDRESS(2,COLUMN())),OFFSET($BN$2,0,0,ROW()-1,60),ROW()-1,FALSE))</f>
        <v/>
      </c>
      <c r="G12">
        <f ca="1">IF(AND(ISNUMBER($G$235),$B$226=1),$G$235,HLOOKUP(INDIRECT(ADDRESS(2,COLUMN())),OFFSET($BN$2,0,0,ROW()-1,60),ROW()-1,FALSE))</f>
        <v>250.11600000000001</v>
      </c>
      <c r="H12">
        <f ca="1">IF(AND(ISNUMBER($H$235),$B$226=1),$H$235,HLOOKUP(INDIRECT(ADDRESS(2,COLUMN())),OFFSET($BN$2,0,0,ROW()-1,60),ROW()-1,FALSE))</f>
        <v>248.26400000000001</v>
      </c>
      <c r="I12">
        <f ca="1">IF(AND(ISNUMBER($I$235),$B$226=1),$I$235,HLOOKUP(INDIRECT(ADDRESS(2,COLUMN())),OFFSET($BN$2,0,0,ROW()-1,60),ROW()-1,FALSE))</f>
        <v>244.65799999999999</v>
      </c>
      <c r="J12">
        <f ca="1">IF(AND(ISNUMBER($J$235),$B$226=1),$J$235,HLOOKUP(INDIRECT(ADDRESS(2,COLUMN())),OFFSET($BN$2,0,0,ROW()-1,60),ROW()-1,FALSE))</f>
        <v>241.27099999999999</v>
      </c>
      <c r="K12">
        <f ca="1">IF(AND(ISNUMBER($K$235),$B$226=1),$K$235,HLOOKUP(INDIRECT(ADDRESS(2,COLUMN())),OFFSET($BN$2,0,0,ROW()-1,60),ROW()-1,FALSE))</f>
        <v>240.08099999999999</v>
      </c>
      <c r="L12">
        <f ca="1">IF(AND(ISNUMBER($L$235),$B$226=1),$L$235,HLOOKUP(INDIRECT(ADDRESS(2,COLUMN())),OFFSET($BN$2,0,0,ROW()-1,60),ROW()-1,FALSE))</f>
        <v>240.255</v>
      </c>
      <c r="M12">
        <f ca="1">IF(AND(ISNUMBER($M$235),$B$226=1),$M$235,HLOOKUP(INDIRECT(ADDRESS(2,COLUMN())),OFFSET($BN$2,0,0,ROW()-1,60),ROW()-1,FALSE))</f>
        <v>236.16800000000001</v>
      </c>
      <c r="N12">
        <f ca="1">IF(AND(ISNUMBER($N$235),$B$226=1),$N$235,HLOOKUP(INDIRECT(ADDRESS(2,COLUMN())),OFFSET($BN$2,0,0,ROW()-1,60),ROW()-1,FALSE))</f>
        <v>231.95699999999999</v>
      </c>
      <c r="O12">
        <f ca="1">IF(AND(ISNUMBER($O$235),$B$226=1),$O$235,HLOOKUP(INDIRECT(ADDRESS(2,COLUMN())),OFFSET($BN$2,0,0,ROW()-1,60),ROW()-1,FALSE))</f>
        <v>234.352</v>
      </c>
      <c r="P12">
        <f ca="1">IF(AND(ISNUMBER($P$235),$B$226=1),$P$235,HLOOKUP(INDIRECT(ADDRESS(2,COLUMN())),OFFSET($BN$2,0,0,ROW()-1,60),ROW()-1,FALSE))</f>
        <v>217.76499999999999</v>
      </c>
      <c r="Q12">
        <f ca="1">IF(AND(ISNUMBER($Q$235),$B$226=1),$Q$235,HLOOKUP(INDIRECT(ADDRESS(2,COLUMN())),OFFSET($BN$2,0,0,ROW()-1,60),ROW()-1,FALSE))</f>
        <v>212.76400000000001</v>
      </c>
      <c r="R12">
        <f ca="1">IF(AND(ISNUMBER($R$235),$B$226=1),$R$235,HLOOKUP(INDIRECT(ADDRESS(2,COLUMN())),OFFSET($BN$2,0,0,ROW()-1,60),ROW()-1,FALSE))</f>
        <v>207.047</v>
      </c>
      <c r="S12">
        <f ca="1">IF(AND(ISNUMBER($S$235),$B$226=1),$S$235,HLOOKUP(INDIRECT(ADDRESS(2,COLUMN())),OFFSET($BN$2,0,0,ROW()-1,60),ROW()-1,FALSE))</f>
        <v>206.10400000000001</v>
      </c>
      <c r="T12">
        <f ca="1">IF(AND(ISNUMBER($T$235),$B$226=1),$T$235,HLOOKUP(INDIRECT(ADDRESS(2,COLUMN())),OFFSET($BN$2,0,0,ROW()-1,60),ROW()-1,FALSE))</f>
        <v>203.58699999999999</v>
      </c>
      <c r="U12">
        <f ca="1">IF(AND(ISNUMBER($U$235),$B$226=1),$U$235,HLOOKUP(INDIRECT(ADDRESS(2,COLUMN())),OFFSET($BN$2,0,0,ROW()-1,60),ROW()-1,FALSE))</f>
        <v>200.959</v>
      </c>
      <c r="V12">
        <f ca="1">IF(AND(ISNUMBER($V$235),$B$226=1),$V$235,HLOOKUP(INDIRECT(ADDRESS(2,COLUMN())),OFFSET($BN$2,0,0,ROW()-1,60),ROW()-1,FALSE))</f>
        <v>194.352</v>
      </c>
      <c r="W12">
        <f ca="1">IF(AND(ISNUMBER($W$235),$B$226=1),$W$235,HLOOKUP(INDIRECT(ADDRESS(2,COLUMN())),OFFSET($BN$2,0,0,ROW()-1,60),ROW()-1,FALSE))</f>
        <v>190.321</v>
      </c>
      <c r="X12">
        <f ca="1">IF(AND(ISNUMBER($X$235),$B$226=1),$X$235,HLOOKUP(INDIRECT(ADDRESS(2,COLUMN())),OFFSET($BN$2,0,0,ROW()-1,60),ROW()-1,FALSE))</f>
        <v>187.917</v>
      </c>
      <c r="Y12">
        <f ca="1">IF(AND(ISNUMBER($Y$235),$B$226=1),$Y$235,HLOOKUP(INDIRECT(ADDRESS(2,COLUMN())),OFFSET($BN$2,0,0,ROW()-1,60),ROW()-1,FALSE))</f>
        <v>186.285</v>
      </c>
      <c r="Z12">
        <f ca="1">IF(AND(ISNUMBER($Z$235),$B$226=1),$Z$235,HLOOKUP(INDIRECT(ADDRESS(2,COLUMN())),OFFSET($BN$2,0,0,ROW()-1,60),ROW()-1,FALSE))</f>
        <v>181.96100000000001</v>
      </c>
      <c r="AA12">
        <f ca="1">IF(AND(ISNUMBER($AA$235),$B$226=1),$AA$235,HLOOKUP(INDIRECT(ADDRESS(2,COLUMN())),OFFSET($BN$2,0,0,ROW()-1,60),ROW()-1,FALSE))</f>
        <v>180.149</v>
      </c>
      <c r="AB12">
        <f ca="1">IF(AND(ISNUMBER($AB$235),$B$226=1),$AB$235,HLOOKUP(INDIRECT(ADDRESS(2,COLUMN())),OFFSET($BN$2,0,0,ROW()-1,60),ROW()-1,FALSE))</f>
        <v>181.76599999999999</v>
      </c>
      <c r="AC12">
        <f ca="1">IF(AND(ISNUMBER($AC$235),$B$226=1),$AC$235,HLOOKUP(INDIRECT(ADDRESS(2,COLUMN())),OFFSET($BN$2,0,0,ROW()-1,60),ROW()-1,FALSE))</f>
        <v>177.47499999999999</v>
      </c>
      <c r="AD12">
        <f ca="1">IF(AND(ISNUMBER($AD$235),$B$226=1),$AD$235,HLOOKUP(INDIRECT(ADDRESS(2,COLUMN())),OFFSET($BN$2,0,0,ROW()-1,60),ROW()-1,FALSE))</f>
        <v>172.24199999999999</v>
      </c>
      <c r="AE12">
        <f ca="1">IF(AND(ISNUMBER($AE$235),$B$226=1),$AE$235,HLOOKUP(INDIRECT(ADDRESS(2,COLUMN())),OFFSET($BN$2,0,0,ROW()-1,60),ROW()-1,FALSE))</f>
        <v>170.68700000000001</v>
      </c>
      <c r="AF12">
        <f ca="1">IF(AND(ISNUMBER($AF$235),$B$226=1),$AF$235,HLOOKUP(INDIRECT(ADDRESS(2,COLUMN())),OFFSET($BN$2,0,0,ROW()-1,60),ROW()-1,FALSE))</f>
        <v>163.85900000000001</v>
      </c>
      <c r="AG12">
        <f ca="1">IF(AND(ISNUMBER($AG$235),$B$226=1),$AG$235,HLOOKUP(INDIRECT(ADDRESS(2,COLUMN())),OFFSET($BN$2,0,0,ROW()-1,60),ROW()-1,FALSE))</f>
        <v>150.637</v>
      </c>
      <c r="AH12">
        <f ca="1">IF(AND(ISNUMBER($AH$235),$B$226=1),$AH$235,HLOOKUP(INDIRECT(ADDRESS(2,COLUMN())),OFFSET($BN$2,0,0,ROW()-1,60),ROW()-1,FALSE))</f>
        <v>137.81200000000001</v>
      </c>
      <c r="AI12">
        <f ca="1">IF(AND(ISNUMBER($AI$235),$B$226=1),$AI$235,HLOOKUP(INDIRECT(ADDRESS(2,COLUMN())),OFFSET($BN$2,0,0,ROW()-1,60),ROW()-1,FALSE))</f>
        <v>152.39599999999999</v>
      </c>
      <c r="AJ12">
        <f ca="1">IF(AND(ISNUMBER($AJ$235),$B$226=1),$AJ$235,HLOOKUP(INDIRECT(ADDRESS(2,COLUMN())),OFFSET($BN$2,0,0,ROW()-1,60),ROW()-1,FALSE))</f>
        <v>150.13900000000001</v>
      </c>
      <c r="AK12">
        <f ca="1">IF(AND(ISNUMBER($AK$235),$B$226=1),$AK$235,HLOOKUP(INDIRECT(ADDRESS(2,COLUMN())),OFFSET($BN$2,0,0,ROW()-1,60),ROW()-1,FALSE))</f>
        <v>146.64699999999999</v>
      </c>
      <c r="AL12">
        <f ca="1">IF(AND(ISNUMBER($AL$235),$B$226=1),$AL$235,HLOOKUP(INDIRECT(ADDRESS(2,COLUMN())),OFFSET($BN$2,0,0,ROW()-1,60),ROW()-1,FALSE))</f>
        <v>145.15299999999999</v>
      </c>
      <c r="AM12">
        <f ca="1">IF(AND(ISNUMBER($AM$235),$B$226=1),$AM$235,HLOOKUP(INDIRECT(ADDRESS(2,COLUMN())),OFFSET($BN$2,0,0,ROW()-1,60),ROW()-1,FALSE))</f>
        <v>149.6</v>
      </c>
      <c r="AN12">
        <f ca="1">IF(AND(ISNUMBER($AN$235),$B$226=1),$AN$235,HLOOKUP(INDIRECT(ADDRESS(2,COLUMN())),OFFSET($BN$2,0,0,ROW()-1,60),ROW()-1,FALSE))</f>
        <v>149.756</v>
      </c>
      <c r="AO12">
        <f ca="1">IF(AND(ISNUMBER($AO$235),$B$226=1),$AO$235,HLOOKUP(INDIRECT(ADDRESS(2,COLUMN())),OFFSET($BN$2,0,0,ROW()-1,60),ROW()-1,FALSE))</f>
        <v>151.84399999999999</v>
      </c>
      <c r="AP12">
        <f ca="1">IF(AND(ISNUMBER($AP$235),$B$226=1),$AP$235,HLOOKUP(INDIRECT(ADDRESS(2,COLUMN())),OFFSET($BN$2,0,0,ROW()-1,60),ROW()-1,FALSE))</f>
        <v>150.61500000000001</v>
      </c>
      <c r="AQ12">
        <f ca="1">IF(AND(ISNUMBER($AQ$235),$B$226=1),$AQ$235,HLOOKUP(INDIRECT(ADDRESS(2,COLUMN())),OFFSET($BN$2,0,0,ROW()-1,60),ROW()-1,FALSE))</f>
        <v>149.453</v>
      </c>
      <c r="AR12">
        <f ca="1">IF(AND(ISNUMBER($AR$235),$B$226=1),$AR$235,HLOOKUP(INDIRECT(ADDRESS(2,COLUMN())),OFFSET($BN$2,0,0,ROW()-1,60),ROW()-1,FALSE))</f>
        <v>147.41399999999999</v>
      </c>
      <c r="AS12">
        <f ca="1">IF(AND(ISNUMBER($AS$235),$B$226=1),$AS$235,HLOOKUP(INDIRECT(ADDRESS(2,COLUMN())),OFFSET($BN$2,0,0,ROW()-1,60),ROW()-1,FALSE))</f>
        <v>139.95500000000001</v>
      </c>
      <c r="AT12">
        <f ca="1">IF(AND(ISNUMBER($AT$235),$B$226=1),$AT$235,HLOOKUP(INDIRECT(ADDRESS(2,COLUMN())),OFFSET($BN$2,0,0,ROW()-1,60),ROW()-1,FALSE))</f>
        <v>125.565</v>
      </c>
      <c r="AU12">
        <f ca="1">IF(AND(ISNUMBER($AU$235),$B$226=1),$AU$235,HLOOKUP(INDIRECT(ADDRESS(2,COLUMN())),OFFSET($BN$2,0,0,ROW()-1,60),ROW()-1,FALSE))</f>
        <v>125.128</v>
      </c>
      <c r="AV12">
        <f ca="1">IF(AND(ISNUMBER($AV$235),$B$226=1),$AV$235,HLOOKUP(INDIRECT(ADDRESS(2,COLUMN())),OFFSET($BN$2,0,0,ROW()-1,60),ROW()-1,FALSE))</f>
        <v>128.19200000000001</v>
      </c>
      <c r="AW12">
        <f ca="1">IF(AND(ISNUMBER($AW$235),$B$226=1),$AW$235,HLOOKUP(INDIRECT(ADDRESS(2,COLUMN())),OFFSET($BN$2,0,0,ROW()-1,60),ROW()-1,FALSE))</f>
        <v>123.68899999999999</v>
      </c>
      <c r="AX12">
        <f ca="1">IF(AND(ISNUMBER($AX$235),$B$226=1),$AX$235,HLOOKUP(INDIRECT(ADDRESS(2,COLUMN())),OFFSET($BN$2,0,0,ROW()-1,60),ROW()-1,FALSE))</f>
        <v>121.40600000000001</v>
      </c>
      <c r="AY12">
        <f ca="1">IF(AND(ISNUMBER($AY$235),$B$226=1),$AY$235,HLOOKUP(INDIRECT(ADDRESS(2,COLUMN())),OFFSET($BN$2,0,0,ROW()-1,60),ROW()-1,FALSE))</f>
        <v>120.447</v>
      </c>
      <c r="AZ12">
        <f ca="1">IF(AND(ISNUMBER($AZ$235),$B$226=1),$AZ$235,HLOOKUP(INDIRECT(ADDRESS(2,COLUMN())),OFFSET($BN$2,0,0,ROW()-1,60),ROW()-1,FALSE))</f>
        <v>170.393</v>
      </c>
      <c r="BA12">
        <f ca="1">IF(AND(ISNUMBER($BA$235),$B$226=1),$BA$235,HLOOKUP(INDIRECT(ADDRESS(2,COLUMN())),OFFSET($BN$2,0,0,ROW()-1,60),ROW()-1,FALSE))</f>
        <v>165.197</v>
      </c>
      <c r="BB12">
        <f ca="1">IF(AND(ISNUMBER($BB$235),$B$226=1),$BB$235,HLOOKUP(INDIRECT(ADDRESS(2,COLUMN())),OFFSET($BN$2,0,0,ROW()-1,60),ROW()-1,FALSE))</f>
        <v>166.43199999999999</v>
      </c>
      <c r="BC12">
        <f ca="1">IF(AND(ISNUMBER($BC$235),$B$226=1),$BC$235,HLOOKUP(INDIRECT(ADDRESS(2,COLUMN())),OFFSET($BN$2,0,0,ROW()-1,60),ROW()-1,FALSE))</f>
        <v>148.16200000000001</v>
      </c>
      <c r="BD12">
        <f ca="1">IF(AND(ISNUMBER($BD$235),$B$226=1),$BD$235,HLOOKUP(INDIRECT(ADDRESS(2,COLUMN())),OFFSET($BN$2,0,0,ROW()-1,60),ROW()-1,FALSE))</f>
        <v>157.715</v>
      </c>
      <c r="BE12">
        <f ca="1">IF(AND(ISNUMBER($BE$235),$B$226=1),$BE$235,HLOOKUP(INDIRECT(ADDRESS(2,COLUMN())),OFFSET($BN$2,0,0,ROW()-1,60),ROW()-1,FALSE))</f>
        <v>157.39099999999999</v>
      </c>
      <c r="BF12">
        <f ca="1">IF(AND(ISNUMBER($BF$235),$B$226=1),$BF$235,HLOOKUP(INDIRECT(ADDRESS(2,COLUMN())),OFFSET($BN$2,0,0,ROW()-1,60),ROW()-1,FALSE))</f>
        <v>158.636</v>
      </c>
      <c r="BG12">
        <f ca="1">IF(AND(ISNUMBER($BG$235),$B$226=1),$BG$235,HLOOKUP(INDIRECT(ADDRESS(2,COLUMN())),OFFSET($BN$2,0,0,ROW()-1,60),ROW()-1,FALSE))</f>
        <v>118.19</v>
      </c>
      <c r="BH12">
        <f ca="1">IF(AND(ISNUMBER($BH$235),$B$226=1),$BH$235,HLOOKUP(INDIRECT(ADDRESS(2,COLUMN())),OFFSET($BN$2,0,0,ROW()-1,60),ROW()-1,FALSE))</f>
        <v>142.59</v>
      </c>
      <c r="BI12">
        <f ca="1">IF(AND(ISNUMBER($BI$235),$B$226=1),$BI$235,HLOOKUP(INDIRECT(ADDRESS(2,COLUMN())),OFFSET($BN$2,0,0,ROW()-1,60),ROW()-1,FALSE))</f>
        <v>156.75399999999999</v>
      </c>
      <c r="BJ12">
        <f ca="1">IF(AND(ISNUMBER($BJ$235),$B$226=1),$BJ$235,HLOOKUP(INDIRECT(ADDRESS(2,COLUMN())),OFFSET($BN$2,0,0,ROW()-1,60),ROW()-1,FALSE))</f>
        <v>154.874</v>
      </c>
      <c r="BK12">
        <f ca="1">IF(AND(ISNUMBER($BK$235),$B$226=1),$BK$235,HLOOKUP(INDIRECT(ADDRESS(2,COLUMN())),OFFSET($BN$2,0,0,ROW()-1,60),ROW()-1,FALSE))</f>
        <v>150.67400000000001</v>
      </c>
      <c r="BL12">
        <f ca="1">IF(AND(ISNUMBER($BL$235),$B$226=1),$BL$235,HLOOKUP(INDIRECT(ADDRESS(2,COLUMN())),OFFSET($BN$2,0,0,ROW()-1,60),ROW()-1,FALSE))</f>
        <v>141.863</v>
      </c>
      <c r="BM12">
        <f ca="1">IF(AND(ISNUMBER($BM$235),$B$226=1),$BM$235,HLOOKUP(INDIRECT(ADDRESS(2,COLUMN())),OFFSET($BN$2,0,0,ROW()-1,60),ROW()-1,FALSE))</f>
        <v>143.94</v>
      </c>
      <c r="BN12" t="str">
        <f>""</f>
        <v/>
      </c>
      <c r="BO12">
        <f>250.116</f>
        <v>250.11600000000001</v>
      </c>
      <c r="BP12">
        <f>248.264</f>
        <v>248.26400000000001</v>
      </c>
      <c r="BQ12">
        <f>244.658</f>
        <v>244.65799999999999</v>
      </c>
      <c r="BR12">
        <f>241.271</f>
        <v>241.27099999999999</v>
      </c>
      <c r="BS12">
        <f>240.081</f>
        <v>240.08099999999999</v>
      </c>
      <c r="BT12">
        <f>240.255</f>
        <v>240.255</v>
      </c>
      <c r="BU12">
        <f>236.168</f>
        <v>236.16800000000001</v>
      </c>
      <c r="BV12">
        <f>231.957</f>
        <v>231.95699999999999</v>
      </c>
      <c r="BW12">
        <f>234.352</f>
        <v>234.352</v>
      </c>
      <c r="BX12">
        <f>217.765</f>
        <v>217.76499999999999</v>
      </c>
      <c r="BY12">
        <f>212.764</f>
        <v>212.76400000000001</v>
      </c>
      <c r="BZ12">
        <f>207.047</f>
        <v>207.047</v>
      </c>
      <c r="CA12">
        <f>206.104</f>
        <v>206.10400000000001</v>
      </c>
      <c r="CB12">
        <f>203.587</f>
        <v>203.58699999999999</v>
      </c>
      <c r="CC12">
        <f>200.959</f>
        <v>200.959</v>
      </c>
      <c r="CD12">
        <f>194.352</f>
        <v>194.352</v>
      </c>
      <c r="CE12">
        <f>190.321</f>
        <v>190.321</v>
      </c>
      <c r="CF12">
        <f>187.917</f>
        <v>187.917</v>
      </c>
      <c r="CG12">
        <f>186.285</f>
        <v>186.285</v>
      </c>
      <c r="CH12">
        <f>181.961</f>
        <v>181.96100000000001</v>
      </c>
      <c r="CI12">
        <f>180.149</f>
        <v>180.149</v>
      </c>
      <c r="CJ12">
        <f>181.766</f>
        <v>181.76599999999999</v>
      </c>
      <c r="CK12">
        <f>177.475</f>
        <v>177.47499999999999</v>
      </c>
      <c r="CL12">
        <f>172.242</f>
        <v>172.24199999999999</v>
      </c>
      <c r="CM12">
        <f>170.687</f>
        <v>170.68700000000001</v>
      </c>
      <c r="CN12">
        <f>163.859</f>
        <v>163.85900000000001</v>
      </c>
      <c r="CO12">
        <f>150.637</f>
        <v>150.637</v>
      </c>
      <c r="CP12">
        <f>137.812</f>
        <v>137.81200000000001</v>
      </c>
      <c r="CQ12">
        <f>152.396</f>
        <v>152.39599999999999</v>
      </c>
      <c r="CR12">
        <f>150.139</f>
        <v>150.13900000000001</v>
      </c>
      <c r="CS12">
        <f>146.647</f>
        <v>146.64699999999999</v>
      </c>
      <c r="CT12">
        <f>145.153</f>
        <v>145.15299999999999</v>
      </c>
      <c r="CU12">
        <f>149.6</f>
        <v>149.6</v>
      </c>
      <c r="CV12">
        <f>149.756</f>
        <v>149.756</v>
      </c>
      <c r="CW12">
        <f>151.844</f>
        <v>151.84399999999999</v>
      </c>
      <c r="CX12">
        <f>150.615</f>
        <v>150.61500000000001</v>
      </c>
      <c r="CY12">
        <f>149.453</f>
        <v>149.453</v>
      </c>
      <c r="CZ12">
        <f>147.414</f>
        <v>147.41399999999999</v>
      </c>
      <c r="DA12">
        <f>139.955</f>
        <v>139.95500000000001</v>
      </c>
      <c r="DB12">
        <f>125.565</f>
        <v>125.565</v>
      </c>
      <c r="DC12">
        <f>125.128</f>
        <v>125.128</v>
      </c>
      <c r="DD12">
        <f>128.192</f>
        <v>128.19200000000001</v>
      </c>
      <c r="DE12">
        <f>123.689</f>
        <v>123.68899999999999</v>
      </c>
      <c r="DF12">
        <f>121.406</f>
        <v>121.40600000000001</v>
      </c>
      <c r="DG12">
        <f>120.447</f>
        <v>120.447</v>
      </c>
      <c r="DH12">
        <f>170.393</f>
        <v>170.393</v>
      </c>
      <c r="DI12">
        <f>165.197</f>
        <v>165.197</v>
      </c>
      <c r="DJ12">
        <f>166.432</f>
        <v>166.43199999999999</v>
      </c>
      <c r="DK12">
        <f>148.162</f>
        <v>148.16200000000001</v>
      </c>
      <c r="DL12">
        <f>157.715</f>
        <v>157.715</v>
      </c>
      <c r="DM12">
        <f>157.391</f>
        <v>157.39099999999999</v>
      </c>
      <c r="DN12">
        <f>158.636</f>
        <v>158.636</v>
      </c>
      <c r="DO12">
        <f>118.19</f>
        <v>118.19</v>
      </c>
      <c r="DP12">
        <f>142.59</f>
        <v>142.59</v>
      </c>
      <c r="DQ12">
        <f>156.754</f>
        <v>156.75399999999999</v>
      </c>
      <c r="DR12">
        <f>154.874</f>
        <v>154.874</v>
      </c>
      <c r="DS12">
        <f>150.674</f>
        <v>150.67400000000001</v>
      </c>
      <c r="DT12">
        <f>141.863</f>
        <v>141.863</v>
      </c>
      <c r="DU12">
        <f>143.94</f>
        <v>143.94</v>
      </c>
    </row>
    <row r="13" spans="1:125">
      <c r="A13" t="str">
        <f>"其他租赁收入"</f>
        <v>其他租赁收入</v>
      </c>
      <c r="B13" t="str">
        <f>""</f>
        <v/>
      </c>
      <c r="E13" t="str">
        <f>"Median"</f>
        <v>Median</v>
      </c>
      <c r="F13" t="str">
        <f ca="1">IF(ISERROR(IF(MEDIAN($F$14:$F$21) = 0, "", MEDIAN($F$14:$F$21))), "", (IF(MEDIAN($F$14:$F$21) = 0, "", MEDIAN($F$14:$F$21))))</f>
        <v/>
      </c>
      <c r="G13">
        <f ca="1">IF(ISERROR(IF(MEDIAN($G$14:$G$21) = 0, "", MEDIAN($G$14:$G$21))), "", (IF(MEDIAN($G$14:$G$21) = 0, "", MEDIAN($G$14:$G$21))))</f>
        <v>91.786000000000001</v>
      </c>
      <c r="H13">
        <f ca="1">IF(ISERROR(IF(MEDIAN($H$14:$H$21) = 0, "", MEDIAN($H$14:$H$21))), "", (IF(MEDIAN($H$14:$H$21) = 0, "", MEDIAN($H$14:$H$21))))</f>
        <v>71.084999999999994</v>
      </c>
      <c r="I13">
        <f ca="1">IF(ISERROR(IF(MEDIAN($I$14:$I$21) = 0, "", MEDIAN($I$14:$I$21))), "", (IF(MEDIAN($I$14:$I$21) = 0, "", MEDIAN($I$14:$I$21))))</f>
        <v>70.070999999999998</v>
      </c>
      <c r="J13">
        <f ca="1">IF(ISERROR(IF(MEDIAN($J$14:$J$21) = 0, "", MEDIAN($J$14:$J$21))), "", (IF(MEDIAN($J$14:$J$21) = 0, "", MEDIAN($J$14:$J$21))))</f>
        <v>80.784999999999997</v>
      </c>
      <c r="K13">
        <f ca="1">IF(ISERROR(IF(MEDIAN($K$14:$K$21) = 0, "", MEDIAN($K$14:$K$21))), "", (IF(MEDIAN($K$14:$K$21) = 0, "", MEDIAN($K$14:$K$21))))</f>
        <v>80.436999999999998</v>
      </c>
      <c r="L13">
        <f ca="1">IF(ISERROR(IF(MEDIAN($L$14:$L$21) = 0, "", MEDIAN($L$14:$L$21))), "", (IF(MEDIAN($L$14:$L$21) = 0, "", MEDIAN($L$14:$L$21))))</f>
        <v>61.877000000000002</v>
      </c>
      <c r="M13">
        <f ca="1">IF(ISERROR(IF(MEDIAN($M$14:$M$21) = 0, "", MEDIAN($M$14:$M$21))), "", (IF(MEDIAN($M$14:$M$21) = 0, "", MEDIAN($M$14:$M$21))))</f>
        <v>61.69</v>
      </c>
      <c r="N13">
        <f ca="1">IF(ISERROR(IF(MEDIAN($N$14:$N$21) = 0, "", MEDIAN($N$14:$N$21))), "", (IF(MEDIAN($N$14:$N$21) = 0, "", MEDIAN($N$14:$N$21))))</f>
        <v>70.183000000000007</v>
      </c>
      <c r="O13">
        <f ca="1">IF(ISERROR(IF(MEDIAN($O$14:$O$21) = 0, "", MEDIAN($O$14:$O$21))), "", (IF(MEDIAN($O$14:$O$21) = 0, "", MEDIAN($O$14:$O$21))))</f>
        <v>71.781000000000006</v>
      </c>
      <c r="P13">
        <f ca="1">IF(ISERROR(IF(MEDIAN($P$14:$P$21) = 0, "", MEDIAN($P$14:$P$21))), "", (IF(MEDIAN($P$14:$P$21) = 0, "", MEDIAN($P$14:$P$21))))</f>
        <v>54.725000000000001</v>
      </c>
      <c r="Q13">
        <f ca="1">IF(ISERROR(IF(MEDIAN($Q$14:$Q$21) = 0, "", MEDIAN($Q$14:$Q$21))), "", (IF(MEDIAN($Q$14:$Q$21) = 0, "", MEDIAN($Q$14:$Q$21))))</f>
        <v>53.734000000000002</v>
      </c>
      <c r="R13">
        <f ca="1">IF(ISERROR(IF(MEDIAN($R$14:$R$21) = 0, "", MEDIAN($R$14:$R$21))), "", (IF(MEDIAN($R$14:$R$21) = 0, "", MEDIAN($R$14:$R$21))))</f>
        <v>60.383000000000003</v>
      </c>
      <c r="S13">
        <f ca="1">IF(ISERROR(IF(MEDIAN($S$14:$S$21) = 0, "", MEDIAN($S$14:$S$21))), "", (IF(MEDIAN($S$14:$S$21) = 0, "", MEDIAN($S$14:$S$21))))</f>
        <v>61.645000000000003</v>
      </c>
      <c r="T13">
        <f ca="1">IF(ISERROR(IF(MEDIAN($T$14:$T$21) = 0, "", MEDIAN($T$14:$T$21))), "", (IF(MEDIAN($T$14:$T$21) = 0, "", MEDIAN($T$14:$T$21))))</f>
        <v>47.656999999999996</v>
      </c>
      <c r="U13">
        <f ca="1">IF(ISERROR(IF(MEDIAN($U$14:$U$21) = 0, "", MEDIAN($U$14:$U$21))), "", (IF(MEDIAN($U$14:$U$21) = 0, "", MEDIAN($U$14:$U$21))))</f>
        <v>46.308999999999997</v>
      </c>
      <c r="V13">
        <f ca="1">IF(ISERROR(IF(MEDIAN($V$14:$V$21) = 0, "", MEDIAN($V$14:$V$21))), "", (IF(MEDIAN($V$14:$V$21) = 0, "", MEDIAN($V$14:$V$21))))</f>
        <v>50.710999999999999</v>
      </c>
      <c r="W13">
        <f ca="1">IF(ISERROR(IF(MEDIAN($W$14:$W$21) = 0, "", MEDIAN($W$14:$W$21))), "", (IF(MEDIAN($W$14:$W$21) = 0, "", MEDIAN($W$14:$W$21))))</f>
        <v>51.139000000000003</v>
      </c>
      <c r="X13">
        <f ca="1">IF(ISERROR(IF(MEDIAN($X$14:$X$21) = 0, "", MEDIAN($X$14:$X$21))), "", (IF(MEDIAN($X$14:$X$21) = 0, "", MEDIAN($X$14:$X$21))))</f>
        <v>39.549999999999997</v>
      </c>
      <c r="Y13">
        <f ca="1">IF(ISERROR(IF(MEDIAN($Y$14:$Y$21) = 0, "", MEDIAN($Y$14:$Y$21))), "", (IF(MEDIAN($Y$14:$Y$21) = 0, "", MEDIAN($Y$14:$Y$21))))</f>
        <v>37.335000000000001</v>
      </c>
      <c r="Z13">
        <f ca="1">IF(ISERROR(IF(MEDIAN($Z$14:$Z$21) = 0, "", MEDIAN($Z$14:$Z$21))), "", (IF(MEDIAN($Z$14:$Z$21) = 0, "", MEDIAN($Z$14:$Z$21))))</f>
        <v>39.453000000000003</v>
      </c>
      <c r="AA13">
        <f ca="1">IF(ISERROR(IF(MEDIAN($AA$14:$AA$21) = 0, "", MEDIAN($AA$14:$AA$21))), "", (IF(MEDIAN($AA$14:$AA$21) = 0, "", MEDIAN($AA$14:$AA$21))))</f>
        <v>37.695</v>
      </c>
      <c r="AB13">
        <f ca="1">IF(ISERROR(IF(MEDIAN($AB$14:$AB$21) = 0, "", MEDIAN($AB$14:$AB$21))), "", (IF(MEDIAN($AB$14:$AB$21) = 0, "", MEDIAN($AB$14:$AB$21))))</f>
        <v>28.829000000000001</v>
      </c>
      <c r="AC13">
        <f ca="1">IF(ISERROR(IF(MEDIAN($AC$14:$AC$21) = 0, "", MEDIAN($AC$14:$AC$21))), "", (IF(MEDIAN($AC$14:$AC$21) = 0, "", MEDIAN($AC$14:$AC$21))))</f>
        <v>29.295000000000002</v>
      </c>
      <c r="AD13">
        <f ca="1">IF(ISERROR(IF(MEDIAN($AD$14:$AD$21) = 0, "", MEDIAN($AD$14:$AD$21))), "", (IF(MEDIAN($AD$14:$AD$21) = 0, "", MEDIAN($AD$14:$AD$21))))</f>
        <v>31.631</v>
      </c>
      <c r="AE13">
        <f ca="1">IF(ISERROR(IF(MEDIAN($AE$14:$AE$21) = 0, "", MEDIAN($AE$14:$AE$21))), "", (IF(MEDIAN($AE$14:$AE$21) = 0, "", MEDIAN($AE$14:$AE$21))))</f>
        <v>28.933</v>
      </c>
      <c r="AF13">
        <f ca="1">IF(ISERROR(IF(MEDIAN($AF$14:$AF$21) = 0, "", MEDIAN($AF$14:$AF$21))), "", (IF(MEDIAN($AF$14:$AF$21) = 0, "", MEDIAN($AF$14:$AF$21))))</f>
        <v>23.431000000000001</v>
      </c>
      <c r="AG13">
        <f ca="1">IF(ISERROR(IF(MEDIAN($AG$14:$AG$21) = 0, "", MEDIAN($AG$14:$AG$21))), "", (IF(MEDIAN($AG$14:$AG$21) = 0, "", MEDIAN($AG$14:$AG$21))))</f>
        <v>25.613</v>
      </c>
      <c r="AH13">
        <f ca="1">IF(ISERROR(IF(MEDIAN($AH$14:$AH$21) = 0, "", MEDIAN($AH$14:$AH$21))), "", (IF(MEDIAN($AH$14:$AH$21) = 0, "", MEDIAN($AH$14:$AH$21))))</f>
        <v>26.7</v>
      </c>
      <c r="AI13">
        <f ca="1">IF(ISERROR(IF(MEDIAN($AI$14:$AI$21) = 0, "", MEDIAN($AI$14:$AI$21))), "", (IF(MEDIAN($AI$14:$AI$21) = 0, "", MEDIAN($AI$14:$AI$21))))</f>
        <v>26.783999999999999</v>
      </c>
      <c r="AJ13">
        <f ca="1">IF(ISERROR(IF(MEDIAN($AJ$14:$AJ$21) = 0, "", MEDIAN($AJ$14:$AJ$21))), "", (IF(MEDIAN($AJ$14:$AJ$21) = 0, "", MEDIAN($AJ$14:$AJ$21))))</f>
        <v>21.888999999999999</v>
      </c>
      <c r="AK13">
        <f ca="1">IF(ISERROR(IF(MEDIAN($AK$14:$AK$21) = 0, "", MEDIAN($AK$14:$AK$21))), "", (IF(MEDIAN($AK$14:$AK$21) = 0, "", MEDIAN($AK$14:$AK$21))))</f>
        <v>23.335000000000001</v>
      </c>
      <c r="AL13">
        <f ca="1">IF(ISERROR(IF(MEDIAN($AL$14:$AL$21) = 0, "", MEDIAN($AL$14:$AL$21))), "", (IF(MEDIAN($AL$14:$AL$21) = 0, "", MEDIAN($AL$14:$AL$21))))</f>
        <v>25.311</v>
      </c>
      <c r="AM13">
        <f ca="1">IF(ISERROR(IF(MEDIAN($AM$14:$AM$21) = 0, "", MEDIAN($AM$14:$AM$21))), "", (IF(MEDIAN($AM$14:$AM$21) = 0, "", MEDIAN($AM$14:$AM$21))))</f>
        <v>25.757000000000001</v>
      </c>
      <c r="AN13">
        <f ca="1">IF(ISERROR(IF(MEDIAN($AN$14:$AN$21) = 0, "", MEDIAN($AN$14:$AN$21))), "", (IF(MEDIAN($AN$14:$AN$21) = 0, "", MEDIAN($AN$14:$AN$21))))</f>
        <v>25.105</v>
      </c>
      <c r="AO13">
        <f ca="1">IF(ISERROR(IF(MEDIAN($AO$14:$AO$21) = 0, "", MEDIAN($AO$14:$AO$21))), "", (IF(MEDIAN($AO$14:$AO$21) = 0, "", MEDIAN($AO$14:$AO$21))))</f>
        <v>27.501000000000001</v>
      </c>
      <c r="AP13">
        <f ca="1">IF(ISERROR(IF(MEDIAN($AP$14:$AP$21) = 0, "", MEDIAN($AP$14:$AP$21))), "", (IF(MEDIAN($AP$14:$AP$21) = 0, "", MEDIAN($AP$14:$AP$21))))</f>
        <v>28.72</v>
      </c>
      <c r="AQ13" t="str">
        <f ca="1">IF(ISERROR(IF(MEDIAN($AQ$14:$AQ$21) = 0, "", MEDIAN($AQ$14:$AQ$21))), "", (IF(MEDIAN($AQ$14:$AQ$21) = 0, "", MEDIAN($AQ$14:$AQ$21))))</f>
        <v/>
      </c>
      <c r="AR13" t="str">
        <f ca="1">IF(ISERROR(IF(MEDIAN($AR$14:$AR$21) = 0, "", MEDIAN($AR$14:$AR$21))), "", (IF(MEDIAN($AR$14:$AR$21) = 0, "", MEDIAN($AR$14:$AR$21))))</f>
        <v/>
      </c>
      <c r="AS13" t="str">
        <f ca="1">IF(ISERROR(IF(MEDIAN($AS$14:$AS$21) = 0, "", MEDIAN($AS$14:$AS$21))), "", (IF(MEDIAN($AS$14:$AS$21) = 0, "", MEDIAN($AS$14:$AS$21))))</f>
        <v/>
      </c>
      <c r="AT13" t="str">
        <f ca="1">IF(ISERROR(IF(MEDIAN($AT$14:$AT$21) = 0, "", MEDIAN($AT$14:$AT$21))), "", (IF(MEDIAN($AT$14:$AT$21) = 0, "", MEDIAN($AT$14:$AT$21))))</f>
        <v/>
      </c>
      <c r="AU13" t="str">
        <f ca="1">IF(ISERROR(IF(MEDIAN($AU$14:$AU$21) = 0, "", MEDIAN($AU$14:$AU$21))), "", (IF(MEDIAN($AU$14:$AU$21) = 0, "", MEDIAN($AU$14:$AU$21))))</f>
        <v/>
      </c>
      <c r="AV13" t="str">
        <f ca="1">IF(ISERROR(IF(MEDIAN($AV$14:$AV$21) = 0, "", MEDIAN($AV$14:$AV$21))), "", (IF(MEDIAN($AV$14:$AV$21) = 0, "", MEDIAN($AV$14:$AV$21))))</f>
        <v/>
      </c>
      <c r="AW13" t="str">
        <f ca="1">IF(ISERROR(IF(MEDIAN($AW$14:$AW$21) = 0, "", MEDIAN($AW$14:$AW$21))), "", (IF(MEDIAN($AW$14:$AW$21) = 0, "", MEDIAN($AW$14:$AW$21))))</f>
        <v/>
      </c>
      <c r="AX13" t="str">
        <f ca="1">IF(ISERROR(IF(MEDIAN($AX$14:$AX$21) = 0, "", MEDIAN($AX$14:$AX$21))), "", (IF(MEDIAN($AX$14:$AX$21) = 0, "", MEDIAN($AX$14:$AX$21))))</f>
        <v/>
      </c>
      <c r="AY13" t="str">
        <f ca="1">IF(ISERROR(IF(MEDIAN($AY$14:$AY$21) = 0, "", MEDIAN($AY$14:$AY$21))), "", (IF(MEDIAN($AY$14:$AY$21) = 0, "", MEDIAN($AY$14:$AY$21))))</f>
        <v/>
      </c>
      <c r="AZ13" t="str">
        <f ca="1">IF(ISERROR(IF(MEDIAN($AZ$14:$AZ$21) = 0, "", MEDIAN($AZ$14:$AZ$21))), "", (IF(MEDIAN($AZ$14:$AZ$21) = 0, "", MEDIAN($AZ$14:$AZ$21))))</f>
        <v/>
      </c>
      <c r="BA13" t="str">
        <f ca="1">IF(ISERROR(IF(MEDIAN($BA$14:$BA$21) = 0, "", MEDIAN($BA$14:$BA$21))), "", (IF(MEDIAN($BA$14:$BA$21) = 0, "", MEDIAN($BA$14:$BA$21))))</f>
        <v/>
      </c>
      <c r="BB13" t="str">
        <f ca="1">IF(ISERROR(IF(MEDIAN($BB$14:$BB$21) = 0, "", MEDIAN($BB$14:$BB$21))), "", (IF(MEDIAN($BB$14:$BB$21) = 0, "", MEDIAN($BB$14:$BB$21))))</f>
        <v/>
      </c>
      <c r="BC13" t="str">
        <f ca="1">IF(ISERROR(IF(MEDIAN($BC$14:$BC$21) = 0, "", MEDIAN($BC$14:$BC$21))), "", (IF(MEDIAN($BC$14:$BC$21) = 0, "", MEDIAN($BC$14:$BC$21))))</f>
        <v/>
      </c>
      <c r="BD13" t="str">
        <f ca="1">IF(ISERROR(IF(MEDIAN($BD$14:$BD$21) = 0, "", MEDIAN($BD$14:$BD$21))), "", (IF(MEDIAN($BD$14:$BD$21) = 0, "", MEDIAN($BD$14:$BD$21))))</f>
        <v/>
      </c>
      <c r="BE13" t="str">
        <f ca="1">IF(ISERROR(IF(MEDIAN($BE$14:$BE$21) = 0, "", MEDIAN($BE$14:$BE$21))), "", (IF(MEDIAN($BE$14:$BE$21) = 0, "", MEDIAN($BE$14:$BE$21))))</f>
        <v/>
      </c>
      <c r="BF13" t="str">
        <f ca="1">IF(ISERROR(IF(MEDIAN($BF$14:$BF$21) = 0, "", MEDIAN($BF$14:$BF$21))), "", (IF(MEDIAN($BF$14:$BF$21) = 0, "", MEDIAN($BF$14:$BF$21))))</f>
        <v/>
      </c>
      <c r="BG13" t="str">
        <f ca="1">IF(ISERROR(IF(MEDIAN($BG$14:$BG$21) = 0, "", MEDIAN($BG$14:$BG$21))), "", (IF(MEDIAN($BG$14:$BG$21) = 0, "", MEDIAN($BG$14:$BG$21))))</f>
        <v/>
      </c>
      <c r="BH13" t="str">
        <f ca="1">IF(ISERROR(IF(MEDIAN($BH$14:$BH$21) = 0, "", MEDIAN($BH$14:$BH$21))), "", (IF(MEDIAN($BH$14:$BH$21) = 0, "", MEDIAN($BH$14:$BH$21))))</f>
        <v/>
      </c>
      <c r="BI13" t="str">
        <f ca="1">IF(ISERROR(IF(MEDIAN($BI$14:$BI$21) = 0, "", MEDIAN($BI$14:$BI$21))), "", (IF(MEDIAN($BI$14:$BI$21) = 0, "", MEDIAN($BI$14:$BI$21))))</f>
        <v/>
      </c>
      <c r="BJ13" t="str">
        <f ca="1">IF(ISERROR(IF(MEDIAN($BJ$14:$BJ$21) = 0, "", MEDIAN($BJ$14:$BJ$21))), "", (IF(MEDIAN($BJ$14:$BJ$21) = 0, "", MEDIAN($BJ$14:$BJ$21))))</f>
        <v/>
      </c>
      <c r="BK13" t="str">
        <f ca="1">IF(ISERROR(IF(MEDIAN($BK$14:$BK$21) = 0, "", MEDIAN($BK$14:$BK$21))), "", (IF(MEDIAN($BK$14:$BK$21) = 0, "", MEDIAN($BK$14:$BK$21))))</f>
        <v/>
      </c>
      <c r="BL13" t="str">
        <f ca="1">IF(ISERROR(IF(MEDIAN($BL$14:$BL$21) = 0, "", MEDIAN($BL$14:$BL$21))), "", (IF(MEDIAN($BL$14:$BL$21) = 0, "", MEDIAN($BL$14:$BL$21))))</f>
        <v/>
      </c>
      <c r="BM13" t="str">
        <f ca="1">IF(ISERROR(IF(MEDIAN($BM$14:$BM$21) = 0, "", MEDIAN($BM$14:$BM$21))), "", (IF(MEDIAN($BM$14:$BM$21) = 0, "", MEDIAN($BM$14:$BM$21))))</f>
        <v/>
      </c>
      <c r="BN13" t="str">
        <f>""</f>
        <v/>
      </c>
      <c r="BO13">
        <f>91.786</f>
        <v>91.786000000000001</v>
      </c>
      <c r="BP13">
        <f>71.085</f>
        <v>71.084999999999994</v>
      </c>
      <c r="BQ13">
        <f>70.071</f>
        <v>70.070999999999998</v>
      </c>
      <c r="BR13">
        <f>80.785</f>
        <v>80.784999999999997</v>
      </c>
      <c r="BS13">
        <f>80.437</f>
        <v>80.436999999999998</v>
      </c>
      <c r="BT13">
        <f>61.877</f>
        <v>61.877000000000002</v>
      </c>
      <c r="BU13">
        <f>61.69</f>
        <v>61.69</v>
      </c>
      <c r="BV13">
        <f>70.183</f>
        <v>70.183000000000007</v>
      </c>
      <c r="BW13">
        <f>71.781</f>
        <v>71.781000000000006</v>
      </c>
      <c r="BX13">
        <f>54.725</f>
        <v>54.725000000000001</v>
      </c>
      <c r="BY13">
        <f>53.734</f>
        <v>53.734000000000002</v>
      </c>
      <c r="BZ13">
        <f>60.383</f>
        <v>60.383000000000003</v>
      </c>
      <c r="CA13">
        <f>61.645</f>
        <v>61.645000000000003</v>
      </c>
      <c r="CB13">
        <f>47.657</f>
        <v>47.656999999999996</v>
      </c>
      <c r="CC13">
        <f>46.309</f>
        <v>46.308999999999997</v>
      </c>
      <c r="CD13">
        <f>50.711</f>
        <v>50.710999999999999</v>
      </c>
      <c r="CE13">
        <f>51.139</f>
        <v>51.139000000000003</v>
      </c>
      <c r="CF13">
        <f>39.55</f>
        <v>39.549999999999997</v>
      </c>
      <c r="CG13">
        <f>37.335</f>
        <v>37.335000000000001</v>
      </c>
      <c r="CH13">
        <f>39.453</f>
        <v>39.453000000000003</v>
      </c>
      <c r="CI13">
        <f>37.695</f>
        <v>37.695</v>
      </c>
      <c r="CJ13">
        <f>28.829</f>
        <v>28.829000000000001</v>
      </c>
      <c r="CK13">
        <f>29.295</f>
        <v>29.295000000000002</v>
      </c>
      <c r="CL13">
        <f>31.631</f>
        <v>31.631</v>
      </c>
      <c r="CM13">
        <f>28.933</f>
        <v>28.933</v>
      </c>
      <c r="CN13">
        <f>23.431</f>
        <v>23.431000000000001</v>
      </c>
      <c r="CO13">
        <f>25.613</f>
        <v>25.613</v>
      </c>
      <c r="CP13">
        <f>26.7</f>
        <v>26.7</v>
      </c>
      <c r="CQ13">
        <f>26.784</f>
        <v>26.783999999999999</v>
      </c>
      <c r="CR13">
        <f>21.889</f>
        <v>21.888999999999999</v>
      </c>
      <c r="CS13">
        <f>23.335</f>
        <v>23.335000000000001</v>
      </c>
      <c r="CT13">
        <f>25.311</f>
        <v>25.311</v>
      </c>
      <c r="CU13">
        <f>25.757</f>
        <v>25.757000000000001</v>
      </c>
      <c r="CV13">
        <f>25.105</f>
        <v>25.105</v>
      </c>
      <c r="CW13">
        <f>27.501</f>
        <v>27.501000000000001</v>
      </c>
      <c r="CX13">
        <f>28.72</f>
        <v>28.72</v>
      </c>
      <c r="CY13" t="str">
        <f>""</f>
        <v/>
      </c>
      <c r="CZ13" t="str">
        <f>""</f>
        <v/>
      </c>
      <c r="DA13" t="str">
        <f>""</f>
        <v/>
      </c>
      <c r="DB13" t="str">
        <f>""</f>
        <v/>
      </c>
      <c r="DC13" t="str">
        <f>""</f>
        <v/>
      </c>
      <c r="DD13" t="str">
        <f>""</f>
        <v/>
      </c>
      <c r="DE13" t="str">
        <f>""</f>
        <v/>
      </c>
      <c r="DF13" t="str">
        <f>""</f>
        <v/>
      </c>
      <c r="DG13" t="str">
        <f>""</f>
        <v/>
      </c>
      <c r="DH13" t="str">
        <f>""</f>
        <v/>
      </c>
      <c r="DI13" t="str">
        <f>""</f>
        <v/>
      </c>
      <c r="DJ13" t="str">
        <f>""</f>
        <v/>
      </c>
      <c r="DK13" t="str">
        <f>""</f>
        <v/>
      </c>
      <c r="DL13" t="str">
        <f>""</f>
        <v/>
      </c>
      <c r="DM13" t="str">
        <f>""</f>
        <v/>
      </c>
      <c r="DN13" t="str">
        <f>""</f>
        <v/>
      </c>
      <c r="DO13" t="str">
        <f>""</f>
        <v/>
      </c>
      <c r="DP13" t="str">
        <f>""</f>
        <v/>
      </c>
      <c r="DQ13" t="str">
        <f>""</f>
        <v/>
      </c>
      <c r="DR13" t="str">
        <f>""</f>
        <v/>
      </c>
      <c r="DS13" t="str">
        <f>""</f>
        <v/>
      </c>
      <c r="DT13" t="str">
        <f>""</f>
        <v/>
      </c>
      <c r="DU13" t="str">
        <f>""</f>
        <v/>
      </c>
    </row>
    <row r="14" spans="1:125">
      <c r="A14" t="str">
        <f>"    American Campus Communities In"</f>
        <v xml:space="preserve">    American Campus Communities In</v>
      </c>
      <c r="B14" t="str">
        <f>"ACC US Equity"</f>
        <v>ACC US Equity</v>
      </c>
      <c r="C14" t="str">
        <f t="shared" ref="C14:C21" si="3">"IM275"</f>
        <v>IM275</v>
      </c>
      <c r="D14" t="str">
        <f t="shared" ref="D14:D21" si="4">"IS_OTHER_RENTAL_INCOME"</f>
        <v>IS_OTHER_RENTAL_INCOME</v>
      </c>
      <c r="E14" t="str">
        <f t="shared" ref="E14:E21" si="5">"动态"</f>
        <v>动态</v>
      </c>
      <c r="F14" t="str">
        <f ca="1">IF(AND(ISNUMBER($F$236),$B$226=1),$F$236,HLOOKUP(INDIRECT(ADDRESS(2,COLUMN())),OFFSET($BN$2,0,0,ROW()-1,60),ROW()-1,FALSE))</f>
        <v/>
      </c>
      <c r="G14" t="str">
        <f ca="1">IF(AND(ISNUMBER($G$236),$B$226=1),$G$236,HLOOKUP(INDIRECT(ADDRESS(2,COLUMN())),OFFSET($BN$2,0,0,ROW()-1,60),ROW()-1,FALSE))</f>
        <v/>
      </c>
      <c r="H14" t="str">
        <f ca="1">IF(AND(ISNUMBER($H$236),$B$226=1),$H$236,HLOOKUP(INDIRECT(ADDRESS(2,COLUMN())),OFFSET($BN$2,0,0,ROW()-1,60),ROW()-1,FALSE))</f>
        <v/>
      </c>
      <c r="I14" t="str">
        <f ca="1">IF(AND(ISNUMBER($I$236),$B$226=1),$I$236,HLOOKUP(INDIRECT(ADDRESS(2,COLUMN())),OFFSET($BN$2,0,0,ROW()-1,60),ROW()-1,FALSE))</f>
        <v/>
      </c>
      <c r="J14" t="str">
        <f ca="1">IF(AND(ISNUMBER($J$236),$B$226=1),$J$236,HLOOKUP(INDIRECT(ADDRESS(2,COLUMN())),OFFSET($BN$2,0,0,ROW()-1,60),ROW()-1,FALSE))</f>
        <v/>
      </c>
      <c r="K14" t="str">
        <f ca="1">IF(AND(ISNUMBER($K$236),$B$226=1),$K$236,HLOOKUP(INDIRECT(ADDRESS(2,COLUMN())),OFFSET($BN$2,0,0,ROW()-1,60),ROW()-1,FALSE))</f>
        <v/>
      </c>
      <c r="L14" t="str">
        <f ca="1">IF(AND(ISNUMBER($L$236),$B$226=1),$L$236,HLOOKUP(INDIRECT(ADDRESS(2,COLUMN())),OFFSET($BN$2,0,0,ROW()-1,60),ROW()-1,FALSE))</f>
        <v/>
      </c>
      <c r="M14" t="str">
        <f ca="1">IF(AND(ISNUMBER($M$236),$B$226=1),$M$236,HLOOKUP(INDIRECT(ADDRESS(2,COLUMN())),OFFSET($BN$2,0,0,ROW()-1,60),ROW()-1,FALSE))</f>
        <v/>
      </c>
      <c r="N14" t="str">
        <f ca="1">IF(AND(ISNUMBER($N$236),$B$226=1),$N$236,HLOOKUP(INDIRECT(ADDRESS(2,COLUMN())),OFFSET($BN$2,0,0,ROW()-1,60),ROW()-1,FALSE))</f>
        <v/>
      </c>
      <c r="O14" t="str">
        <f ca="1">IF(AND(ISNUMBER($O$236),$B$226=1),$O$236,HLOOKUP(INDIRECT(ADDRESS(2,COLUMN())),OFFSET($BN$2,0,0,ROW()-1,60),ROW()-1,FALSE))</f>
        <v/>
      </c>
      <c r="P14" t="str">
        <f ca="1">IF(AND(ISNUMBER($P$236),$B$226=1),$P$236,HLOOKUP(INDIRECT(ADDRESS(2,COLUMN())),OFFSET($BN$2,0,0,ROW()-1,60),ROW()-1,FALSE))</f>
        <v/>
      </c>
      <c r="Q14" t="str">
        <f ca="1">IF(AND(ISNUMBER($Q$236),$B$226=1),$Q$236,HLOOKUP(INDIRECT(ADDRESS(2,COLUMN())),OFFSET($BN$2,0,0,ROW()-1,60),ROW()-1,FALSE))</f>
        <v/>
      </c>
      <c r="R14" t="str">
        <f ca="1">IF(AND(ISNUMBER($R$236),$B$226=1),$R$236,HLOOKUP(INDIRECT(ADDRESS(2,COLUMN())),OFFSET($BN$2,0,0,ROW()-1,60),ROW()-1,FALSE))</f>
        <v/>
      </c>
      <c r="S14" t="str">
        <f ca="1">IF(AND(ISNUMBER($S$236),$B$226=1),$S$236,HLOOKUP(INDIRECT(ADDRESS(2,COLUMN())),OFFSET($BN$2,0,0,ROW()-1,60),ROW()-1,FALSE))</f>
        <v/>
      </c>
      <c r="T14" t="str">
        <f ca="1">IF(AND(ISNUMBER($T$236),$B$226=1),$T$236,HLOOKUP(INDIRECT(ADDRESS(2,COLUMN())),OFFSET($BN$2,0,0,ROW()-1,60),ROW()-1,FALSE))</f>
        <v/>
      </c>
      <c r="U14" t="str">
        <f ca="1">IF(AND(ISNUMBER($U$236),$B$226=1),$U$236,HLOOKUP(INDIRECT(ADDRESS(2,COLUMN())),OFFSET($BN$2,0,0,ROW()-1,60),ROW()-1,FALSE))</f>
        <v/>
      </c>
      <c r="V14" t="str">
        <f ca="1">IF(AND(ISNUMBER($V$236),$B$226=1),$V$236,HLOOKUP(INDIRECT(ADDRESS(2,COLUMN())),OFFSET($BN$2,0,0,ROW()-1,60),ROW()-1,FALSE))</f>
        <v/>
      </c>
      <c r="W14" t="str">
        <f ca="1">IF(AND(ISNUMBER($W$236),$B$226=1),$W$236,HLOOKUP(INDIRECT(ADDRESS(2,COLUMN())),OFFSET($BN$2,0,0,ROW()-1,60),ROW()-1,FALSE))</f>
        <v/>
      </c>
      <c r="X14" t="str">
        <f ca="1">IF(AND(ISNUMBER($X$236),$B$226=1),$X$236,HLOOKUP(INDIRECT(ADDRESS(2,COLUMN())),OFFSET($BN$2,0,0,ROW()-1,60),ROW()-1,FALSE))</f>
        <v/>
      </c>
      <c r="Y14" t="str">
        <f ca="1">IF(AND(ISNUMBER($Y$236),$B$226=1),$Y$236,HLOOKUP(INDIRECT(ADDRESS(2,COLUMN())),OFFSET($BN$2,0,0,ROW()-1,60),ROW()-1,FALSE))</f>
        <v/>
      </c>
      <c r="Z14" t="str">
        <f ca="1">IF(AND(ISNUMBER($Z$236),$B$226=1),$Z$236,HLOOKUP(INDIRECT(ADDRESS(2,COLUMN())),OFFSET($BN$2,0,0,ROW()-1,60),ROW()-1,FALSE))</f>
        <v/>
      </c>
      <c r="AA14" t="str">
        <f ca="1">IF(AND(ISNUMBER($AA$236),$B$226=1),$AA$236,HLOOKUP(INDIRECT(ADDRESS(2,COLUMN())),OFFSET($BN$2,0,0,ROW()-1,60),ROW()-1,FALSE))</f>
        <v/>
      </c>
      <c r="AB14" t="str">
        <f ca="1">IF(AND(ISNUMBER($AB$236),$B$226=1),$AB$236,HLOOKUP(INDIRECT(ADDRESS(2,COLUMN())),OFFSET($BN$2,0,0,ROW()-1,60),ROW()-1,FALSE))</f>
        <v/>
      </c>
      <c r="AC14" t="str">
        <f ca="1">IF(AND(ISNUMBER($AC$236),$B$226=1),$AC$236,HLOOKUP(INDIRECT(ADDRESS(2,COLUMN())),OFFSET($BN$2,0,0,ROW()-1,60),ROW()-1,FALSE))</f>
        <v/>
      </c>
      <c r="AD14" t="str">
        <f ca="1">IF(AND(ISNUMBER($AD$236),$B$226=1),$AD$236,HLOOKUP(INDIRECT(ADDRESS(2,COLUMN())),OFFSET($BN$2,0,0,ROW()-1,60),ROW()-1,FALSE))</f>
        <v/>
      </c>
      <c r="AE14" t="str">
        <f ca="1">IF(AND(ISNUMBER($AE$236),$B$226=1),$AE$236,HLOOKUP(INDIRECT(ADDRESS(2,COLUMN())),OFFSET($BN$2,0,0,ROW()-1,60),ROW()-1,FALSE))</f>
        <v/>
      </c>
      <c r="AF14" t="str">
        <f ca="1">IF(AND(ISNUMBER($AF$236),$B$226=1),$AF$236,HLOOKUP(INDIRECT(ADDRESS(2,COLUMN())),OFFSET($BN$2,0,0,ROW()-1,60),ROW()-1,FALSE))</f>
        <v/>
      </c>
      <c r="AG14" t="str">
        <f ca="1">IF(AND(ISNUMBER($AG$236),$B$226=1),$AG$236,HLOOKUP(INDIRECT(ADDRESS(2,COLUMN())),OFFSET($BN$2,0,0,ROW()-1,60),ROW()-1,FALSE))</f>
        <v/>
      </c>
      <c r="AH14" t="str">
        <f ca="1">IF(AND(ISNUMBER($AH$236),$B$226=1),$AH$236,HLOOKUP(INDIRECT(ADDRESS(2,COLUMN())),OFFSET($BN$2,0,0,ROW()-1,60),ROW()-1,FALSE))</f>
        <v/>
      </c>
      <c r="AI14" t="str">
        <f ca="1">IF(AND(ISNUMBER($AI$236),$B$226=1),$AI$236,HLOOKUP(INDIRECT(ADDRESS(2,COLUMN())),OFFSET($BN$2,0,0,ROW()-1,60),ROW()-1,FALSE))</f>
        <v/>
      </c>
      <c r="AJ14" t="str">
        <f ca="1">IF(AND(ISNUMBER($AJ$236),$B$226=1),$AJ$236,HLOOKUP(INDIRECT(ADDRESS(2,COLUMN())),OFFSET($BN$2,0,0,ROW()-1,60),ROW()-1,FALSE))</f>
        <v/>
      </c>
      <c r="AK14" t="str">
        <f ca="1">IF(AND(ISNUMBER($AK$236),$B$226=1),$AK$236,HLOOKUP(INDIRECT(ADDRESS(2,COLUMN())),OFFSET($BN$2,0,0,ROW()-1,60),ROW()-1,FALSE))</f>
        <v/>
      </c>
      <c r="AL14" t="str">
        <f ca="1">IF(AND(ISNUMBER($AL$236),$B$226=1),$AL$236,HLOOKUP(INDIRECT(ADDRESS(2,COLUMN())),OFFSET($BN$2,0,0,ROW()-1,60),ROW()-1,FALSE))</f>
        <v/>
      </c>
      <c r="AM14" t="str">
        <f ca="1">IF(AND(ISNUMBER($AM$236),$B$226=1),$AM$236,HLOOKUP(INDIRECT(ADDRESS(2,COLUMN())),OFFSET($BN$2,0,0,ROW()-1,60),ROW()-1,FALSE))</f>
        <v/>
      </c>
      <c r="AN14" t="str">
        <f ca="1">IF(AND(ISNUMBER($AN$236),$B$226=1),$AN$236,HLOOKUP(INDIRECT(ADDRESS(2,COLUMN())),OFFSET($BN$2,0,0,ROW()-1,60),ROW()-1,FALSE))</f>
        <v/>
      </c>
      <c r="AO14" t="str">
        <f ca="1">IF(AND(ISNUMBER($AO$236),$B$226=1),$AO$236,HLOOKUP(INDIRECT(ADDRESS(2,COLUMN())),OFFSET($BN$2,0,0,ROW()-1,60),ROW()-1,FALSE))</f>
        <v/>
      </c>
      <c r="AP14" t="str">
        <f ca="1">IF(AND(ISNUMBER($AP$236),$B$226=1),$AP$236,HLOOKUP(INDIRECT(ADDRESS(2,COLUMN())),OFFSET($BN$2,0,0,ROW()-1,60),ROW()-1,FALSE))</f>
        <v/>
      </c>
      <c r="AQ14" t="str">
        <f ca="1">IF(AND(ISNUMBER($AQ$236),$B$226=1),$AQ$236,HLOOKUP(INDIRECT(ADDRESS(2,COLUMN())),OFFSET($BN$2,0,0,ROW()-1,60),ROW()-1,FALSE))</f>
        <v/>
      </c>
      <c r="AR14" t="str">
        <f ca="1">IF(AND(ISNUMBER($AR$236),$B$226=1),$AR$236,HLOOKUP(INDIRECT(ADDRESS(2,COLUMN())),OFFSET($BN$2,0,0,ROW()-1,60),ROW()-1,FALSE))</f>
        <v/>
      </c>
      <c r="AS14" t="str">
        <f ca="1">IF(AND(ISNUMBER($AS$236),$B$226=1),$AS$236,HLOOKUP(INDIRECT(ADDRESS(2,COLUMN())),OFFSET($BN$2,0,0,ROW()-1,60),ROW()-1,FALSE))</f>
        <v/>
      </c>
      <c r="AT14" t="str">
        <f ca="1">IF(AND(ISNUMBER($AT$236),$B$226=1),$AT$236,HLOOKUP(INDIRECT(ADDRESS(2,COLUMN())),OFFSET($BN$2,0,0,ROW()-1,60),ROW()-1,FALSE))</f>
        <v/>
      </c>
      <c r="AU14" t="str">
        <f ca="1">IF(AND(ISNUMBER($AU$236),$B$226=1),$AU$236,HLOOKUP(INDIRECT(ADDRESS(2,COLUMN())),OFFSET($BN$2,0,0,ROW()-1,60),ROW()-1,FALSE))</f>
        <v/>
      </c>
      <c r="AV14" t="str">
        <f ca="1">IF(AND(ISNUMBER($AV$236),$B$226=1),$AV$236,HLOOKUP(INDIRECT(ADDRESS(2,COLUMN())),OFFSET($BN$2,0,0,ROW()-1,60),ROW()-1,FALSE))</f>
        <v/>
      </c>
      <c r="AW14" t="str">
        <f ca="1">IF(AND(ISNUMBER($AW$236),$B$226=1),$AW$236,HLOOKUP(INDIRECT(ADDRESS(2,COLUMN())),OFFSET($BN$2,0,0,ROW()-1,60),ROW()-1,FALSE))</f>
        <v/>
      </c>
      <c r="AX14" t="str">
        <f ca="1">IF(AND(ISNUMBER($AX$236),$B$226=1),$AX$236,HLOOKUP(INDIRECT(ADDRESS(2,COLUMN())),OFFSET($BN$2,0,0,ROW()-1,60),ROW()-1,FALSE))</f>
        <v/>
      </c>
      <c r="AY14" t="str">
        <f ca="1">IF(AND(ISNUMBER($AY$236),$B$226=1),$AY$236,HLOOKUP(INDIRECT(ADDRESS(2,COLUMN())),OFFSET($BN$2,0,0,ROW()-1,60),ROW()-1,FALSE))</f>
        <v/>
      </c>
      <c r="AZ14" t="str">
        <f ca="1">IF(AND(ISNUMBER($AZ$236),$B$226=1),$AZ$236,HLOOKUP(INDIRECT(ADDRESS(2,COLUMN())),OFFSET($BN$2,0,0,ROW()-1,60),ROW()-1,FALSE))</f>
        <v/>
      </c>
      <c r="BA14" t="str">
        <f ca="1">IF(AND(ISNUMBER($BA$236),$B$226=1),$BA$236,HLOOKUP(INDIRECT(ADDRESS(2,COLUMN())),OFFSET($BN$2,0,0,ROW()-1,60),ROW()-1,FALSE))</f>
        <v/>
      </c>
      <c r="BB14" t="str">
        <f ca="1">IF(AND(ISNUMBER($BB$236),$B$226=1),$BB$236,HLOOKUP(INDIRECT(ADDRESS(2,COLUMN())),OFFSET($BN$2,0,0,ROW()-1,60),ROW()-1,FALSE))</f>
        <v/>
      </c>
      <c r="BC14" t="str">
        <f ca="1">IF(AND(ISNUMBER($BC$236),$B$226=1),$BC$236,HLOOKUP(INDIRECT(ADDRESS(2,COLUMN())),OFFSET($BN$2,0,0,ROW()-1,60),ROW()-1,FALSE))</f>
        <v/>
      </c>
      <c r="BD14" t="str">
        <f ca="1">IF(AND(ISNUMBER($BD$236),$B$226=1),$BD$236,HLOOKUP(INDIRECT(ADDRESS(2,COLUMN())),OFFSET($BN$2,0,0,ROW()-1,60),ROW()-1,FALSE))</f>
        <v/>
      </c>
      <c r="BE14" t="str">
        <f ca="1">IF(AND(ISNUMBER($BE$236),$B$226=1),$BE$236,HLOOKUP(INDIRECT(ADDRESS(2,COLUMN())),OFFSET($BN$2,0,0,ROW()-1,60),ROW()-1,FALSE))</f>
        <v/>
      </c>
      <c r="BF14" t="str">
        <f ca="1">IF(AND(ISNUMBER($BF$236),$B$226=1),$BF$236,HLOOKUP(INDIRECT(ADDRESS(2,COLUMN())),OFFSET($BN$2,0,0,ROW()-1,60),ROW()-1,FALSE))</f>
        <v/>
      </c>
      <c r="BG14" t="str">
        <f ca="1">IF(AND(ISNUMBER($BG$236),$B$226=1),$BG$236,HLOOKUP(INDIRECT(ADDRESS(2,COLUMN())),OFFSET($BN$2,0,0,ROW()-1,60),ROW()-1,FALSE))</f>
        <v/>
      </c>
      <c r="BH14" t="str">
        <f ca="1">IF(AND(ISNUMBER($BH$236),$B$226=1),$BH$236,HLOOKUP(INDIRECT(ADDRESS(2,COLUMN())),OFFSET($BN$2,0,0,ROW()-1,60),ROW()-1,FALSE))</f>
        <v/>
      </c>
      <c r="BI14" t="str">
        <f ca="1">IF(AND(ISNUMBER($BI$236),$B$226=1),$BI$236,HLOOKUP(INDIRECT(ADDRESS(2,COLUMN())),OFFSET($BN$2,0,0,ROW()-1,60),ROW()-1,FALSE))</f>
        <v/>
      </c>
      <c r="BJ14" t="str">
        <f ca="1">IF(AND(ISNUMBER($BJ$236),$B$226=1),$BJ$236,HLOOKUP(INDIRECT(ADDRESS(2,COLUMN())),OFFSET($BN$2,0,0,ROW()-1,60),ROW()-1,FALSE))</f>
        <v/>
      </c>
      <c r="BK14" t="str">
        <f ca="1">IF(AND(ISNUMBER($BK$236),$B$226=1),$BK$236,HLOOKUP(INDIRECT(ADDRESS(2,COLUMN())),OFFSET($BN$2,0,0,ROW()-1,60),ROW()-1,FALSE))</f>
        <v/>
      </c>
      <c r="BL14" t="str">
        <f ca="1">IF(AND(ISNUMBER($BL$236),$B$226=1),$BL$236,HLOOKUP(INDIRECT(ADDRESS(2,COLUMN())),OFFSET($BN$2,0,0,ROW()-1,60),ROW()-1,FALSE))</f>
        <v/>
      </c>
      <c r="BM14" t="str">
        <f ca="1">IF(AND(ISNUMBER($BM$236),$B$226=1),$BM$236,HLOOKUP(INDIRECT(ADDRESS(2,COLUMN())),OFFSET($BN$2,0,0,ROW()-1,60),ROW()-1,FALSE))</f>
        <v/>
      </c>
      <c r="BN14" t="str">
        <f>""</f>
        <v/>
      </c>
      <c r="BO14" t="str">
        <f>""</f>
        <v/>
      </c>
      <c r="BP14" t="str">
        <f>""</f>
        <v/>
      </c>
      <c r="BQ14" t="str">
        <f>""</f>
        <v/>
      </c>
      <c r="BR14" t="str">
        <f>""</f>
        <v/>
      </c>
      <c r="BS14" t="str">
        <f>""</f>
        <v/>
      </c>
      <c r="BT14" t="str">
        <f>""</f>
        <v/>
      </c>
      <c r="BU14" t="str">
        <f>""</f>
        <v/>
      </c>
      <c r="BV14" t="str">
        <f>""</f>
        <v/>
      </c>
      <c r="BW14" t="str">
        <f>""</f>
        <v/>
      </c>
      <c r="BX14" t="str">
        <f>""</f>
        <v/>
      </c>
      <c r="BY14" t="str">
        <f>""</f>
        <v/>
      </c>
      <c r="BZ14" t="str">
        <f>""</f>
        <v/>
      </c>
      <c r="CA14" t="str">
        <f>""</f>
        <v/>
      </c>
      <c r="CB14" t="str">
        <f>""</f>
        <v/>
      </c>
      <c r="CC14" t="str">
        <f>""</f>
        <v/>
      </c>
      <c r="CD14" t="str">
        <f>""</f>
        <v/>
      </c>
      <c r="CE14" t="str">
        <f>""</f>
        <v/>
      </c>
      <c r="CF14" t="str">
        <f>""</f>
        <v/>
      </c>
      <c r="CG14" t="str">
        <f>""</f>
        <v/>
      </c>
      <c r="CH14" t="str">
        <f>""</f>
        <v/>
      </c>
      <c r="CI14" t="str">
        <f>""</f>
        <v/>
      </c>
      <c r="CJ14" t="str">
        <f>""</f>
        <v/>
      </c>
      <c r="CK14" t="str">
        <f>""</f>
        <v/>
      </c>
      <c r="CL14" t="str">
        <f>""</f>
        <v/>
      </c>
      <c r="CM14" t="str">
        <f>""</f>
        <v/>
      </c>
      <c r="CN14" t="str">
        <f>""</f>
        <v/>
      </c>
      <c r="CO14" t="str">
        <f>""</f>
        <v/>
      </c>
      <c r="CP14" t="str">
        <f>""</f>
        <v/>
      </c>
      <c r="CQ14" t="str">
        <f>""</f>
        <v/>
      </c>
      <c r="CR14" t="str">
        <f>""</f>
        <v/>
      </c>
      <c r="CS14" t="str">
        <f>""</f>
        <v/>
      </c>
      <c r="CT14" t="str">
        <f>""</f>
        <v/>
      </c>
      <c r="CU14" t="str">
        <f>""</f>
        <v/>
      </c>
      <c r="CV14" t="str">
        <f>""</f>
        <v/>
      </c>
      <c r="CW14" t="str">
        <f>""</f>
        <v/>
      </c>
      <c r="CX14" t="str">
        <f>""</f>
        <v/>
      </c>
      <c r="CY14" t="str">
        <f>""</f>
        <v/>
      </c>
      <c r="CZ14" t="str">
        <f>""</f>
        <v/>
      </c>
      <c r="DA14" t="str">
        <f>""</f>
        <v/>
      </c>
      <c r="DB14" t="str">
        <f>""</f>
        <v/>
      </c>
      <c r="DC14" t="str">
        <f>""</f>
        <v/>
      </c>
      <c r="DD14" t="str">
        <f>""</f>
        <v/>
      </c>
      <c r="DE14" t="str">
        <f>""</f>
        <v/>
      </c>
      <c r="DF14" t="str">
        <f>""</f>
        <v/>
      </c>
      <c r="DG14" t="str">
        <f>""</f>
        <v/>
      </c>
      <c r="DH14" t="str">
        <f>""</f>
        <v/>
      </c>
      <c r="DI14" t="str">
        <f>""</f>
        <v/>
      </c>
      <c r="DJ14" t="str">
        <f>""</f>
        <v/>
      </c>
      <c r="DK14" t="str">
        <f>""</f>
        <v/>
      </c>
      <c r="DL14" t="str">
        <f>""</f>
        <v/>
      </c>
      <c r="DM14" t="str">
        <f>""</f>
        <v/>
      </c>
      <c r="DN14" t="str">
        <f>""</f>
        <v/>
      </c>
      <c r="DO14" t="str">
        <f>""</f>
        <v/>
      </c>
      <c r="DP14" t="str">
        <f>""</f>
        <v/>
      </c>
      <c r="DQ14" t="str">
        <f>""</f>
        <v/>
      </c>
      <c r="DR14" t="str">
        <f>""</f>
        <v/>
      </c>
      <c r="DS14" t="str">
        <f>""</f>
        <v/>
      </c>
      <c r="DT14" t="str">
        <f>""</f>
        <v/>
      </c>
      <c r="DU14" t="str">
        <f>""</f>
        <v/>
      </c>
    </row>
    <row r="15" spans="1:125">
      <c r="A15" t="str">
        <f>"    AvalonBay Communities Inc"</f>
        <v xml:space="preserve">    AvalonBay Communities Inc</v>
      </c>
      <c r="B15" t="str">
        <f>"AVB US Equity"</f>
        <v>AVB US Equity</v>
      </c>
      <c r="C15" t="str">
        <f t="shared" si="3"/>
        <v>IM275</v>
      </c>
      <c r="D15" t="str">
        <f t="shared" si="4"/>
        <v>IS_OTHER_RENTAL_INCOME</v>
      </c>
      <c r="E15" t="str">
        <f t="shared" si="5"/>
        <v>动态</v>
      </c>
      <c r="F15" t="str">
        <f ca="1">IF(AND(ISNUMBER($F$237),$B$226=1),$F$237,HLOOKUP(INDIRECT(ADDRESS(2,COLUMN())),OFFSET($BN$2,0,0,ROW()-1,60),ROW()-1,FALSE))</f>
        <v/>
      </c>
      <c r="G15" t="str">
        <f ca="1">IF(AND(ISNUMBER($G$237),$B$226=1),$G$237,HLOOKUP(INDIRECT(ADDRESS(2,COLUMN())),OFFSET($BN$2,0,0,ROW()-1,60),ROW()-1,FALSE))</f>
        <v/>
      </c>
      <c r="H15" t="str">
        <f ca="1">IF(AND(ISNUMBER($H$237),$B$226=1),$H$237,HLOOKUP(INDIRECT(ADDRESS(2,COLUMN())),OFFSET($BN$2,0,0,ROW()-1,60),ROW()-1,FALSE))</f>
        <v/>
      </c>
      <c r="I15" t="str">
        <f ca="1">IF(AND(ISNUMBER($I$237),$B$226=1),$I$237,HLOOKUP(INDIRECT(ADDRESS(2,COLUMN())),OFFSET($BN$2,0,0,ROW()-1,60),ROW()-1,FALSE))</f>
        <v/>
      </c>
      <c r="J15" t="str">
        <f ca="1">IF(AND(ISNUMBER($J$237),$B$226=1),$J$237,HLOOKUP(INDIRECT(ADDRESS(2,COLUMN())),OFFSET($BN$2,0,0,ROW()-1,60),ROW()-1,FALSE))</f>
        <v/>
      </c>
      <c r="K15" t="str">
        <f ca="1">IF(AND(ISNUMBER($K$237),$B$226=1),$K$237,HLOOKUP(INDIRECT(ADDRESS(2,COLUMN())),OFFSET($BN$2,0,0,ROW()-1,60),ROW()-1,FALSE))</f>
        <v/>
      </c>
      <c r="L15" t="str">
        <f ca="1">IF(AND(ISNUMBER($L$237),$B$226=1),$L$237,HLOOKUP(INDIRECT(ADDRESS(2,COLUMN())),OFFSET($BN$2,0,0,ROW()-1,60),ROW()-1,FALSE))</f>
        <v/>
      </c>
      <c r="M15" t="str">
        <f ca="1">IF(AND(ISNUMBER($M$237),$B$226=1),$M$237,HLOOKUP(INDIRECT(ADDRESS(2,COLUMN())),OFFSET($BN$2,0,0,ROW()-1,60),ROW()-1,FALSE))</f>
        <v/>
      </c>
      <c r="N15" t="str">
        <f ca="1">IF(AND(ISNUMBER($N$237),$B$226=1),$N$237,HLOOKUP(INDIRECT(ADDRESS(2,COLUMN())),OFFSET($BN$2,0,0,ROW()-1,60),ROW()-1,FALSE))</f>
        <v/>
      </c>
      <c r="O15" t="str">
        <f ca="1">IF(AND(ISNUMBER($O$237),$B$226=1),$O$237,HLOOKUP(INDIRECT(ADDRESS(2,COLUMN())),OFFSET($BN$2,0,0,ROW()-1,60),ROW()-1,FALSE))</f>
        <v/>
      </c>
      <c r="P15" t="str">
        <f ca="1">IF(AND(ISNUMBER($P$237),$B$226=1),$P$237,HLOOKUP(INDIRECT(ADDRESS(2,COLUMN())),OFFSET($BN$2,0,0,ROW()-1,60),ROW()-1,FALSE))</f>
        <v/>
      </c>
      <c r="Q15" t="str">
        <f ca="1">IF(AND(ISNUMBER($Q$237),$B$226=1),$Q$237,HLOOKUP(INDIRECT(ADDRESS(2,COLUMN())),OFFSET($BN$2,0,0,ROW()-1,60),ROW()-1,FALSE))</f>
        <v/>
      </c>
      <c r="R15" t="str">
        <f ca="1">IF(AND(ISNUMBER($R$237),$B$226=1),$R$237,HLOOKUP(INDIRECT(ADDRESS(2,COLUMN())),OFFSET($BN$2,0,0,ROW()-1,60),ROW()-1,FALSE))</f>
        <v/>
      </c>
      <c r="S15" t="str">
        <f ca="1">IF(AND(ISNUMBER($S$237),$B$226=1),$S$237,HLOOKUP(INDIRECT(ADDRESS(2,COLUMN())),OFFSET($BN$2,0,0,ROW()-1,60),ROW()-1,FALSE))</f>
        <v/>
      </c>
      <c r="T15" t="str">
        <f ca="1">IF(AND(ISNUMBER($T$237),$B$226=1),$T$237,HLOOKUP(INDIRECT(ADDRESS(2,COLUMN())),OFFSET($BN$2,0,0,ROW()-1,60),ROW()-1,FALSE))</f>
        <v/>
      </c>
      <c r="U15" t="str">
        <f ca="1">IF(AND(ISNUMBER($U$237),$B$226=1),$U$237,HLOOKUP(INDIRECT(ADDRESS(2,COLUMN())),OFFSET($BN$2,0,0,ROW()-1,60),ROW()-1,FALSE))</f>
        <v/>
      </c>
      <c r="V15" t="str">
        <f ca="1">IF(AND(ISNUMBER($V$237),$B$226=1),$V$237,HLOOKUP(INDIRECT(ADDRESS(2,COLUMN())),OFFSET($BN$2,0,0,ROW()-1,60),ROW()-1,FALSE))</f>
        <v/>
      </c>
      <c r="W15" t="str">
        <f ca="1">IF(AND(ISNUMBER($W$237),$B$226=1),$W$237,HLOOKUP(INDIRECT(ADDRESS(2,COLUMN())),OFFSET($BN$2,0,0,ROW()-1,60),ROW()-1,FALSE))</f>
        <v/>
      </c>
      <c r="X15" t="str">
        <f ca="1">IF(AND(ISNUMBER($X$237),$B$226=1),$X$237,HLOOKUP(INDIRECT(ADDRESS(2,COLUMN())),OFFSET($BN$2,0,0,ROW()-1,60),ROW()-1,FALSE))</f>
        <v/>
      </c>
      <c r="Y15" t="str">
        <f ca="1">IF(AND(ISNUMBER($Y$237),$B$226=1),$Y$237,HLOOKUP(INDIRECT(ADDRESS(2,COLUMN())),OFFSET($BN$2,0,0,ROW()-1,60),ROW()-1,FALSE))</f>
        <v/>
      </c>
      <c r="Z15" t="str">
        <f ca="1">IF(AND(ISNUMBER($Z$237),$B$226=1),$Z$237,HLOOKUP(INDIRECT(ADDRESS(2,COLUMN())),OFFSET($BN$2,0,0,ROW()-1,60),ROW()-1,FALSE))</f>
        <v/>
      </c>
      <c r="AA15" t="str">
        <f ca="1">IF(AND(ISNUMBER($AA$237),$B$226=1),$AA$237,HLOOKUP(INDIRECT(ADDRESS(2,COLUMN())),OFFSET($BN$2,0,0,ROW()-1,60),ROW()-1,FALSE))</f>
        <v/>
      </c>
      <c r="AB15" t="str">
        <f ca="1">IF(AND(ISNUMBER($AB$237),$B$226=1),$AB$237,HLOOKUP(INDIRECT(ADDRESS(2,COLUMN())),OFFSET($BN$2,0,0,ROW()-1,60),ROW()-1,FALSE))</f>
        <v/>
      </c>
      <c r="AC15" t="str">
        <f ca="1">IF(AND(ISNUMBER($AC$237),$B$226=1),$AC$237,HLOOKUP(INDIRECT(ADDRESS(2,COLUMN())),OFFSET($BN$2,0,0,ROW()-1,60),ROW()-1,FALSE))</f>
        <v/>
      </c>
      <c r="AD15" t="str">
        <f ca="1">IF(AND(ISNUMBER($AD$237),$B$226=1),$AD$237,HLOOKUP(INDIRECT(ADDRESS(2,COLUMN())),OFFSET($BN$2,0,0,ROW()-1,60),ROW()-1,FALSE))</f>
        <v/>
      </c>
      <c r="AE15" t="str">
        <f ca="1">IF(AND(ISNUMBER($AE$237),$B$226=1),$AE$237,HLOOKUP(INDIRECT(ADDRESS(2,COLUMN())),OFFSET($BN$2,0,0,ROW()-1,60),ROW()-1,FALSE))</f>
        <v/>
      </c>
      <c r="AF15" t="str">
        <f ca="1">IF(AND(ISNUMBER($AF$237),$B$226=1),$AF$237,HLOOKUP(INDIRECT(ADDRESS(2,COLUMN())),OFFSET($BN$2,0,0,ROW()-1,60),ROW()-1,FALSE))</f>
        <v/>
      </c>
      <c r="AG15" t="str">
        <f ca="1">IF(AND(ISNUMBER($AG$237),$B$226=1),$AG$237,HLOOKUP(INDIRECT(ADDRESS(2,COLUMN())),OFFSET($BN$2,0,0,ROW()-1,60),ROW()-1,FALSE))</f>
        <v/>
      </c>
      <c r="AH15" t="str">
        <f ca="1">IF(AND(ISNUMBER($AH$237),$B$226=1),$AH$237,HLOOKUP(INDIRECT(ADDRESS(2,COLUMN())),OFFSET($BN$2,0,0,ROW()-1,60),ROW()-1,FALSE))</f>
        <v/>
      </c>
      <c r="AI15" t="str">
        <f ca="1">IF(AND(ISNUMBER($AI$237),$B$226=1),$AI$237,HLOOKUP(INDIRECT(ADDRESS(2,COLUMN())),OFFSET($BN$2,0,0,ROW()-1,60),ROW()-1,FALSE))</f>
        <v/>
      </c>
      <c r="AJ15" t="str">
        <f ca="1">IF(AND(ISNUMBER($AJ$237),$B$226=1),$AJ$237,HLOOKUP(INDIRECT(ADDRESS(2,COLUMN())),OFFSET($BN$2,0,0,ROW()-1,60),ROW()-1,FALSE))</f>
        <v/>
      </c>
      <c r="AK15" t="str">
        <f ca="1">IF(AND(ISNUMBER($AK$237),$B$226=1),$AK$237,HLOOKUP(INDIRECT(ADDRESS(2,COLUMN())),OFFSET($BN$2,0,0,ROW()-1,60),ROW()-1,FALSE))</f>
        <v/>
      </c>
      <c r="AL15" t="str">
        <f ca="1">IF(AND(ISNUMBER($AL$237),$B$226=1),$AL$237,HLOOKUP(INDIRECT(ADDRESS(2,COLUMN())),OFFSET($BN$2,0,0,ROW()-1,60),ROW()-1,FALSE))</f>
        <v/>
      </c>
      <c r="AM15" t="str">
        <f ca="1">IF(AND(ISNUMBER($AM$237),$B$226=1),$AM$237,HLOOKUP(INDIRECT(ADDRESS(2,COLUMN())),OFFSET($BN$2,0,0,ROW()-1,60),ROW()-1,FALSE))</f>
        <v/>
      </c>
      <c r="AN15" t="str">
        <f ca="1">IF(AND(ISNUMBER($AN$237),$B$226=1),$AN$237,HLOOKUP(INDIRECT(ADDRESS(2,COLUMN())),OFFSET($BN$2,0,0,ROW()-1,60),ROW()-1,FALSE))</f>
        <v/>
      </c>
      <c r="AO15" t="str">
        <f ca="1">IF(AND(ISNUMBER($AO$237),$B$226=1),$AO$237,HLOOKUP(INDIRECT(ADDRESS(2,COLUMN())),OFFSET($BN$2,0,0,ROW()-1,60),ROW()-1,FALSE))</f>
        <v/>
      </c>
      <c r="AP15" t="str">
        <f ca="1">IF(AND(ISNUMBER($AP$237),$B$226=1),$AP$237,HLOOKUP(INDIRECT(ADDRESS(2,COLUMN())),OFFSET($BN$2,0,0,ROW()-1,60),ROW()-1,FALSE))</f>
        <v/>
      </c>
      <c r="AQ15" t="str">
        <f ca="1">IF(AND(ISNUMBER($AQ$237),$B$226=1),$AQ$237,HLOOKUP(INDIRECT(ADDRESS(2,COLUMN())),OFFSET($BN$2,0,0,ROW()-1,60),ROW()-1,FALSE))</f>
        <v/>
      </c>
      <c r="AR15" t="str">
        <f ca="1">IF(AND(ISNUMBER($AR$237),$B$226=1),$AR$237,HLOOKUP(INDIRECT(ADDRESS(2,COLUMN())),OFFSET($BN$2,0,0,ROW()-1,60),ROW()-1,FALSE))</f>
        <v/>
      </c>
      <c r="AS15" t="str">
        <f ca="1">IF(AND(ISNUMBER($AS$237),$B$226=1),$AS$237,HLOOKUP(INDIRECT(ADDRESS(2,COLUMN())),OFFSET($BN$2,0,0,ROW()-1,60),ROW()-1,FALSE))</f>
        <v/>
      </c>
      <c r="AT15" t="str">
        <f ca="1">IF(AND(ISNUMBER($AT$237),$B$226=1),$AT$237,HLOOKUP(INDIRECT(ADDRESS(2,COLUMN())),OFFSET($BN$2,0,0,ROW()-1,60),ROW()-1,FALSE))</f>
        <v/>
      </c>
      <c r="AU15" t="str">
        <f ca="1">IF(AND(ISNUMBER($AU$237),$B$226=1),$AU$237,HLOOKUP(INDIRECT(ADDRESS(2,COLUMN())),OFFSET($BN$2,0,0,ROW()-1,60),ROW()-1,FALSE))</f>
        <v/>
      </c>
      <c r="AV15" t="str">
        <f ca="1">IF(AND(ISNUMBER($AV$237),$B$226=1),$AV$237,HLOOKUP(INDIRECT(ADDRESS(2,COLUMN())),OFFSET($BN$2,0,0,ROW()-1,60),ROW()-1,FALSE))</f>
        <v/>
      </c>
      <c r="AW15" t="str">
        <f ca="1">IF(AND(ISNUMBER($AW$237),$B$226=1),$AW$237,HLOOKUP(INDIRECT(ADDRESS(2,COLUMN())),OFFSET($BN$2,0,0,ROW()-1,60),ROW()-1,FALSE))</f>
        <v/>
      </c>
      <c r="AX15" t="str">
        <f ca="1">IF(AND(ISNUMBER($AX$237),$B$226=1),$AX$237,HLOOKUP(INDIRECT(ADDRESS(2,COLUMN())),OFFSET($BN$2,0,0,ROW()-1,60),ROW()-1,FALSE))</f>
        <v/>
      </c>
      <c r="AY15" t="str">
        <f ca="1">IF(AND(ISNUMBER($AY$237),$B$226=1),$AY$237,HLOOKUP(INDIRECT(ADDRESS(2,COLUMN())),OFFSET($BN$2,0,0,ROW()-1,60),ROW()-1,FALSE))</f>
        <v/>
      </c>
      <c r="AZ15" t="str">
        <f ca="1">IF(AND(ISNUMBER($AZ$237),$B$226=1),$AZ$237,HLOOKUP(INDIRECT(ADDRESS(2,COLUMN())),OFFSET($BN$2,0,0,ROW()-1,60),ROW()-1,FALSE))</f>
        <v/>
      </c>
      <c r="BA15" t="str">
        <f ca="1">IF(AND(ISNUMBER($BA$237),$B$226=1),$BA$237,HLOOKUP(INDIRECT(ADDRESS(2,COLUMN())),OFFSET($BN$2,0,0,ROW()-1,60),ROW()-1,FALSE))</f>
        <v/>
      </c>
      <c r="BB15" t="str">
        <f ca="1">IF(AND(ISNUMBER($BB$237),$B$226=1),$BB$237,HLOOKUP(INDIRECT(ADDRESS(2,COLUMN())),OFFSET($BN$2,0,0,ROW()-1,60),ROW()-1,FALSE))</f>
        <v/>
      </c>
      <c r="BC15" t="str">
        <f ca="1">IF(AND(ISNUMBER($BC$237),$B$226=1),$BC$237,HLOOKUP(INDIRECT(ADDRESS(2,COLUMN())),OFFSET($BN$2,0,0,ROW()-1,60),ROW()-1,FALSE))</f>
        <v/>
      </c>
      <c r="BD15" t="str">
        <f ca="1">IF(AND(ISNUMBER($BD$237),$B$226=1),$BD$237,HLOOKUP(INDIRECT(ADDRESS(2,COLUMN())),OFFSET($BN$2,0,0,ROW()-1,60),ROW()-1,FALSE))</f>
        <v/>
      </c>
      <c r="BE15" t="str">
        <f ca="1">IF(AND(ISNUMBER($BE$237),$B$226=1),$BE$237,HLOOKUP(INDIRECT(ADDRESS(2,COLUMN())),OFFSET($BN$2,0,0,ROW()-1,60),ROW()-1,FALSE))</f>
        <v/>
      </c>
      <c r="BF15" t="str">
        <f ca="1">IF(AND(ISNUMBER($BF$237),$B$226=1),$BF$237,HLOOKUP(INDIRECT(ADDRESS(2,COLUMN())),OFFSET($BN$2,0,0,ROW()-1,60),ROW()-1,FALSE))</f>
        <v/>
      </c>
      <c r="BG15" t="str">
        <f ca="1">IF(AND(ISNUMBER($BG$237),$B$226=1),$BG$237,HLOOKUP(INDIRECT(ADDRESS(2,COLUMN())),OFFSET($BN$2,0,0,ROW()-1,60),ROW()-1,FALSE))</f>
        <v/>
      </c>
      <c r="BH15" t="str">
        <f ca="1">IF(AND(ISNUMBER($BH$237),$B$226=1),$BH$237,HLOOKUP(INDIRECT(ADDRESS(2,COLUMN())),OFFSET($BN$2,0,0,ROW()-1,60),ROW()-1,FALSE))</f>
        <v/>
      </c>
      <c r="BI15" t="str">
        <f ca="1">IF(AND(ISNUMBER($BI$237),$B$226=1),$BI$237,HLOOKUP(INDIRECT(ADDRESS(2,COLUMN())),OFFSET($BN$2,0,0,ROW()-1,60),ROW()-1,FALSE))</f>
        <v/>
      </c>
      <c r="BJ15" t="str">
        <f ca="1">IF(AND(ISNUMBER($BJ$237),$B$226=1),$BJ$237,HLOOKUP(INDIRECT(ADDRESS(2,COLUMN())),OFFSET($BN$2,0,0,ROW()-1,60),ROW()-1,FALSE))</f>
        <v/>
      </c>
      <c r="BK15" t="str">
        <f ca="1">IF(AND(ISNUMBER($BK$237),$B$226=1),$BK$237,HLOOKUP(INDIRECT(ADDRESS(2,COLUMN())),OFFSET($BN$2,0,0,ROW()-1,60),ROW()-1,FALSE))</f>
        <v/>
      </c>
      <c r="BL15" t="str">
        <f ca="1">IF(AND(ISNUMBER($BL$237),$B$226=1),$BL$237,HLOOKUP(INDIRECT(ADDRESS(2,COLUMN())),OFFSET($BN$2,0,0,ROW()-1,60),ROW()-1,FALSE))</f>
        <v/>
      </c>
      <c r="BM15" t="str">
        <f ca="1">IF(AND(ISNUMBER($BM$237),$B$226=1),$BM$237,HLOOKUP(INDIRECT(ADDRESS(2,COLUMN())),OFFSET($BN$2,0,0,ROW()-1,60),ROW()-1,FALSE))</f>
        <v/>
      </c>
      <c r="BN15" t="str">
        <f>""</f>
        <v/>
      </c>
      <c r="BO15" t="str">
        <f>""</f>
        <v/>
      </c>
      <c r="BP15" t="str">
        <f>""</f>
        <v/>
      </c>
      <c r="BQ15" t="str">
        <f>""</f>
        <v/>
      </c>
      <c r="BR15" t="str">
        <f>""</f>
        <v/>
      </c>
      <c r="BS15" t="str">
        <f>""</f>
        <v/>
      </c>
      <c r="BT15" t="str">
        <f>""</f>
        <v/>
      </c>
      <c r="BU15" t="str">
        <f>""</f>
        <v/>
      </c>
      <c r="BV15" t="str">
        <f>""</f>
        <v/>
      </c>
      <c r="BW15" t="str">
        <f>""</f>
        <v/>
      </c>
      <c r="BX15" t="str">
        <f>""</f>
        <v/>
      </c>
      <c r="BY15" t="str">
        <f>""</f>
        <v/>
      </c>
      <c r="BZ15" t="str">
        <f>""</f>
        <v/>
      </c>
      <c r="CA15" t="str">
        <f>""</f>
        <v/>
      </c>
      <c r="CB15" t="str">
        <f>""</f>
        <v/>
      </c>
      <c r="CC15" t="str">
        <f>""</f>
        <v/>
      </c>
      <c r="CD15" t="str">
        <f>""</f>
        <v/>
      </c>
      <c r="CE15" t="str">
        <f>""</f>
        <v/>
      </c>
      <c r="CF15" t="str">
        <f>""</f>
        <v/>
      </c>
      <c r="CG15" t="str">
        <f>""</f>
        <v/>
      </c>
      <c r="CH15" t="str">
        <f>""</f>
        <v/>
      </c>
      <c r="CI15" t="str">
        <f>""</f>
        <v/>
      </c>
      <c r="CJ15" t="str">
        <f>""</f>
        <v/>
      </c>
      <c r="CK15" t="str">
        <f>""</f>
        <v/>
      </c>
      <c r="CL15" t="str">
        <f>""</f>
        <v/>
      </c>
      <c r="CM15" t="str">
        <f>""</f>
        <v/>
      </c>
      <c r="CN15" t="str">
        <f>""</f>
        <v/>
      </c>
      <c r="CO15" t="str">
        <f>""</f>
        <v/>
      </c>
      <c r="CP15" t="str">
        <f>""</f>
        <v/>
      </c>
      <c r="CQ15" t="str">
        <f>""</f>
        <v/>
      </c>
      <c r="CR15" t="str">
        <f>""</f>
        <v/>
      </c>
      <c r="CS15" t="str">
        <f>""</f>
        <v/>
      </c>
      <c r="CT15" t="str">
        <f>""</f>
        <v/>
      </c>
      <c r="CU15" t="str">
        <f>""</f>
        <v/>
      </c>
      <c r="CV15" t="str">
        <f>""</f>
        <v/>
      </c>
      <c r="CW15" t="str">
        <f>""</f>
        <v/>
      </c>
      <c r="CX15" t="str">
        <f>""</f>
        <v/>
      </c>
      <c r="CY15" t="str">
        <f>""</f>
        <v/>
      </c>
      <c r="CZ15" t="str">
        <f>""</f>
        <v/>
      </c>
      <c r="DA15" t="str">
        <f>""</f>
        <v/>
      </c>
      <c r="DB15" t="str">
        <f>""</f>
        <v/>
      </c>
      <c r="DC15" t="str">
        <f>""</f>
        <v/>
      </c>
      <c r="DD15" t="str">
        <f>""</f>
        <v/>
      </c>
      <c r="DE15" t="str">
        <f>""</f>
        <v/>
      </c>
      <c r="DF15" t="str">
        <f>""</f>
        <v/>
      </c>
      <c r="DG15" t="str">
        <f>""</f>
        <v/>
      </c>
      <c r="DH15" t="str">
        <f>""</f>
        <v/>
      </c>
      <c r="DI15" t="str">
        <f>""</f>
        <v/>
      </c>
      <c r="DJ15" t="str">
        <f>""</f>
        <v/>
      </c>
      <c r="DK15" t="str">
        <f>""</f>
        <v/>
      </c>
      <c r="DL15" t="str">
        <f>""</f>
        <v/>
      </c>
      <c r="DM15" t="str">
        <f>""</f>
        <v/>
      </c>
      <c r="DN15" t="str">
        <f>""</f>
        <v/>
      </c>
      <c r="DO15" t="str">
        <f>""</f>
        <v/>
      </c>
      <c r="DP15" t="str">
        <f>""</f>
        <v/>
      </c>
      <c r="DQ15" t="str">
        <f>""</f>
        <v/>
      </c>
      <c r="DR15" t="str">
        <f>""</f>
        <v/>
      </c>
      <c r="DS15" t="str">
        <f>""</f>
        <v/>
      </c>
      <c r="DT15" t="str">
        <f>""</f>
        <v/>
      </c>
      <c r="DU15" t="str">
        <f>""</f>
        <v/>
      </c>
    </row>
    <row r="16" spans="1:125">
      <c r="A16" t="str">
        <f>"    Camden Property Trust"</f>
        <v xml:space="preserve">    Camden Property Trust</v>
      </c>
      <c r="B16" t="str">
        <f>"CPT US Equity"</f>
        <v>CPT US Equity</v>
      </c>
      <c r="C16" t="str">
        <f t="shared" si="3"/>
        <v>IM275</v>
      </c>
      <c r="D16" t="str">
        <f t="shared" si="4"/>
        <v>IS_OTHER_RENTAL_INCOME</v>
      </c>
      <c r="E16" t="str">
        <f t="shared" si="5"/>
        <v>动态</v>
      </c>
      <c r="F16" t="str">
        <f ca="1">IF(AND(ISNUMBER($F$238),$B$226=1),$F$238,HLOOKUP(INDIRECT(ADDRESS(2,COLUMN())),OFFSET($BN$2,0,0,ROW()-1,60),ROW()-1,FALSE))</f>
        <v/>
      </c>
      <c r="G16" t="str">
        <f ca="1">IF(AND(ISNUMBER($G$238),$B$226=1),$G$238,HLOOKUP(INDIRECT(ADDRESS(2,COLUMN())),OFFSET($BN$2,0,0,ROW()-1,60),ROW()-1,FALSE))</f>
        <v/>
      </c>
      <c r="H16" t="str">
        <f ca="1">IF(AND(ISNUMBER($H$238),$B$226=1),$H$238,HLOOKUP(INDIRECT(ADDRESS(2,COLUMN())),OFFSET($BN$2,0,0,ROW()-1,60),ROW()-1,FALSE))</f>
        <v/>
      </c>
      <c r="I16" t="str">
        <f ca="1">IF(AND(ISNUMBER($I$238),$B$226=1),$I$238,HLOOKUP(INDIRECT(ADDRESS(2,COLUMN())),OFFSET($BN$2,0,0,ROW()-1,60),ROW()-1,FALSE))</f>
        <v/>
      </c>
      <c r="J16" t="str">
        <f ca="1">IF(AND(ISNUMBER($J$238),$B$226=1),$J$238,HLOOKUP(INDIRECT(ADDRESS(2,COLUMN())),OFFSET($BN$2,0,0,ROW()-1,60),ROW()-1,FALSE))</f>
        <v/>
      </c>
      <c r="K16" t="str">
        <f ca="1">IF(AND(ISNUMBER($K$238),$B$226=1),$K$238,HLOOKUP(INDIRECT(ADDRESS(2,COLUMN())),OFFSET($BN$2,0,0,ROW()-1,60),ROW()-1,FALSE))</f>
        <v/>
      </c>
      <c r="L16" t="str">
        <f ca="1">IF(AND(ISNUMBER($L$238),$B$226=1),$L$238,HLOOKUP(INDIRECT(ADDRESS(2,COLUMN())),OFFSET($BN$2,0,0,ROW()-1,60),ROW()-1,FALSE))</f>
        <v/>
      </c>
      <c r="M16" t="str">
        <f ca="1">IF(AND(ISNUMBER($M$238),$B$226=1),$M$238,HLOOKUP(INDIRECT(ADDRESS(2,COLUMN())),OFFSET($BN$2,0,0,ROW()-1,60),ROW()-1,FALSE))</f>
        <v/>
      </c>
      <c r="N16" t="str">
        <f ca="1">IF(AND(ISNUMBER($N$238),$B$226=1),$N$238,HLOOKUP(INDIRECT(ADDRESS(2,COLUMN())),OFFSET($BN$2,0,0,ROW()-1,60),ROW()-1,FALSE))</f>
        <v/>
      </c>
      <c r="O16" t="str">
        <f ca="1">IF(AND(ISNUMBER($O$238),$B$226=1),$O$238,HLOOKUP(INDIRECT(ADDRESS(2,COLUMN())),OFFSET($BN$2,0,0,ROW()-1,60),ROW()-1,FALSE))</f>
        <v/>
      </c>
      <c r="P16" t="str">
        <f ca="1">IF(AND(ISNUMBER($P$238),$B$226=1),$P$238,HLOOKUP(INDIRECT(ADDRESS(2,COLUMN())),OFFSET($BN$2,0,0,ROW()-1,60),ROW()-1,FALSE))</f>
        <v/>
      </c>
      <c r="Q16" t="str">
        <f ca="1">IF(AND(ISNUMBER($Q$238),$B$226=1),$Q$238,HLOOKUP(INDIRECT(ADDRESS(2,COLUMN())),OFFSET($BN$2,0,0,ROW()-1,60),ROW()-1,FALSE))</f>
        <v/>
      </c>
      <c r="R16" t="str">
        <f ca="1">IF(AND(ISNUMBER($R$238),$B$226=1),$R$238,HLOOKUP(INDIRECT(ADDRESS(2,COLUMN())),OFFSET($BN$2,0,0,ROW()-1,60),ROW()-1,FALSE))</f>
        <v/>
      </c>
      <c r="S16" t="str">
        <f ca="1">IF(AND(ISNUMBER($S$238),$B$226=1),$S$238,HLOOKUP(INDIRECT(ADDRESS(2,COLUMN())),OFFSET($BN$2,0,0,ROW()-1,60),ROW()-1,FALSE))</f>
        <v/>
      </c>
      <c r="T16" t="str">
        <f ca="1">IF(AND(ISNUMBER($T$238),$B$226=1),$T$238,HLOOKUP(INDIRECT(ADDRESS(2,COLUMN())),OFFSET($BN$2,0,0,ROW()-1,60),ROW()-1,FALSE))</f>
        <v/>
      </c>
      <c r="U16" t="str">
        <f ca="1">IF(AND(ISNUMBER($U$238),$B$226=1),$U$238,HLOOKUP(INDIRECT(ADDRESS(2,COLUMN())),OFFSET($BN$2,0,0,ROW()-1,60),ROW()-1,FALSE))</f>
        <v/>
      </c>
      <c r="V16" t="str">
        <f ca="1">IF(AND(ISNUMBER($V$238),$B$226=1),$V$238,HLOOKUP(INDIRECT(ADDRESS(2,COLUMN())),OFFSET($BN$2,0,0,ROW()-1,60),ROW()-1,FALSE))</f>
        <v/>
      </c>
      <c r="W16" t="str">
        <f ca="1">IF(AND(ISNUMBER($W$238),$B$226=1),$W$238,HLOOKUP(INDIRECT(ADDRESS(2,COLUMN())),OFFSET($BN$2,0,0,ROW()-1,60),ROW()-1,FALSE))</f>
        <v/>
      </c>
      <c r="X16" t="str">
        <f ca="1">IF(AND(ISNUMBER($X$238),$B$226=1),$X$238,HLOOKUP(INDIRECT(ADDRESS(2,COLUMN())),OFFSET($BN$2,0,0,ROW()-1,60),ROW()-1,FALSE))</f>
        <v/>
      </c>
      <c r="Y16" t="str">
        <f ca="1">IF(AND(ISNUMBER($Y$238),$B$226=1),$Y$238,HLOOKUP(INDIRECT(ADDRESS(2,COLUMN())),OFFSET($BN$2,0,0,ROW()-1,60),ROW()-1,FALSE))</f>
        <v/>
      </c>
      <c r="Z16" t="str">
        <f ca="1">IF(AND(ISNUMBER($Z$238),$B$226=1),$Z$238,HLOOKUP(INDIRECT(ADDRESS(2,COLUMN())),OFFSET($BN$2,0,0,ROW()-1,60),ROW()-1,FALSE))</f>
        <v/>
      </c>
      <c r="AA16" t="str">
        <f ca="1">IF(AND(ISNUMBER($AA$238),$B$226=1),$AA$238,HLOOKUP(INDIRECT(ADDRESS(2,COLUMN())),OFFSET($BN$2,0,0,ROW()-1,60),ROW()-1,FALSE))</f>
        <v/>
      </c>
      <c r="AB16" t="str">
        <f ca="1">IF(AND(ISNUMBER($AB$238),$B$226=1),$AB$238,HLOOKUP(INDIRECT(ADDRESS(2,COLUMN())),OFFSET($BN$2,0,0,ROW()-1,60),ROW()-1,FALSE))</f>
        <v/>
      </c>
      <c r="AC16" t="str">
        <f ca="1">IF(AND(ISNUMBER($AC$238),$B$226=1),$AC$238,HLOOKUP(INDIRECT(ADDRESS(2,COLUMN())),OFFSET($BN$2,0,0,ROW()-1,60),ROW()-1,FALSE))</f>
        <v/>
      </c>
      <c r="AD16" t="str">
        <f ca="1">IF(AND(ISNUMBER($AD$238),$B$226=1),$AD$238,HLOOKUP(INDIRECT(ADDRESS(2,COLUMN())),OFFSET($BN$2,0,0,ROW()-1,60),ROW()-1,FALSE))</f>
        <v/>
      </c>
      <c r="AE16" t="str">
        <f ca="1">IF(AND(ISNUMBER($AE$238),$B$226=1),$AE$238,HLOOKUP(INDIRECT(ADDRESS(2,COLUMN())),OFFSET($BN$2,0,0,ROW()-1,60),ROW()-1,FALSE))</f>
        <v/>
      </c>
      <c r="AF16" t="str">
        <f ca="1">IF(AND(ISNUMBER($AF$238),$B$226=1),$AF$238,HLOOKUP(INDIRECT(ADDRESS(2,COLUMN())),OFFSET($BN$2,0,0,ROW()-1,60),ROW()-1,FALSE))</f>
        <v/>
      </c>
      <c r="AG16" t="str">
        <f ca="1">IF(AND(ISNUMBER($AG$238),$B$226=1),$AG$238,HLOOKUP(INDIRECT(ADDRESS(2,COLUMN())),OFFSET($BN$2,0,0,ROW()-1,60),ROW()-1,FALSE))</f>
        <v/>
      </c>
      <c r="AH16" t="str">
        <f ca="1">IF(AND(ISNUMBER($AH$238),$B$226=1),$AH$238,HLOOKUP(INDIRECT(ADDRESS(2,COLUMN())),OFFSET($BN$2,0,0,ROW()-1,60),ROW()-1,FALSE))</f>
        <v/>
      </c>
      <c r="AI16" t="str">
        <f ca="1">IF(AND(ISNUMBER($AI$238),$B$226=1),$AI$238,HLOOKUP(INDIRECT(ADDRESS(2,COLUMN())),OFFSET($BN$2,0,0,ROW()-1,60),ROW()-1,FALSE))</f>
        <v/>
      </c>
      <c r="AJ16" t="str">
        <f ca="1">IF(AND(ISNUMBER($AJ$238),$B$226=1),$AJ$238,HLOOKUP(INDIRECT(ADDRESS(2,COLUMN())),OFFSET($BN$2,0,0,ROW()-1,60),ROW()-1,FALSE))</f>
        <v/>
      </c>
      <c r="AK16" t="str">
        <f ca="1">IF(AND(ISNUMBER($AK$238),$B$226=1),$AK$238,HLOOKUP(INDIRECT(ADDRESS(2,COLUMN())),OFFSET($BN$2,0,0,ROW()-1,60),ROW()-1,FALSE))</f>
        <v/>
      </c>
      <c r="AL16" t="str">
        <f ca="1">IF(AND(ISNUMBER($AL$238),$B$226=1),$AL$238,HLOOKUP(INDIRECT(ADDRESS(2,COLUMN())),OFFSET($BN$2,0,0,ROW()-1,60),ROW()-1,FALSE))</f>
        <v/>
      </c>
      <c r="AM16" t="str">
        <f ca="1">IF(AND(ISNUMBER($AM$238),$B$226=1),$AM$238,HLOOKUP(INDIRECT(ADDRESS(2,COLUMN())),OFFSET($BN$2,0,0,ROW()-1,60),ROW()-1,FALSE))</f>
        <v/>
      </c>
      <c r="AN16" t="str">
        <f ca="1">IF(AND(ISNUMBER($AN$238),$B$226=1),$AN$238,HLOOKUP(INDIRECT(ADDRESS(2,COLUMN())),OFFSET($BN$2,0,0,ROW()-1,60),ROW()-1,FALSE))</f>
        <v/>
      </c>
      <c r="AO16" t="str">
        <f ca="1">IF(AND(ISNUMBER($AO$238),$B$226=1),$AO$238,HLOOKUP(INDIRECT(ADDRESS(2,COLUMN())),OFFSET($BN$2,0,0,ROW()-1,60),ROW()-1,FALSE))</f>
        <v/>
      </c>
      <c r="AP16" t="str">
        <f ca="1">IF(AND(ISNUMBER($AP$238),$B$226=1),$AP$238,HLOOKUP(INDIRECT(ADDRESS(2,COLUMN())),OFFSET($BN$2,0,0,ROW()-1,60),ROW()-1,FALSE))</f>
        <v/>
      </c>
      <c r="AQ16" t="str">
        <f ca="1">IF(AND(ISNUMBER($AQ$238),$B$226=1),$AQ$238,HLOOKUP(INDIRECT(ADDRESS(2,COLUMN())),OFFSET($BN$2,0,0,ROW()-1,60),ROW()-1,FALSE))</f>
        <v/>
      </c>
      <c r="AR16" t="str">
        <f ca="1">IF(AND(ISNUMBER($AR$238),$B$226=1),$AR$238,HLOOKUP(INDIRECT(ADDRESS(2,COLUMN())),OFFSET($BN$2,0,0,ROW()-1,60),ROW()-1,FALSE))</f>
        <v/>
      </c>
      <c r="AS16" t="str">
        <f ca="1">IF(AND(ISNUMBER($AS$238),$B$226=1),$AS$238,HLOOKUP(INDIRECT(ADDRESS(2,COLUMN())),OFFSET($BN$2,0,0,ROW()-1,60),ROW()-1,FALSE))</f>
        <v/>
      </c>
      <c r="AT16" t="str">
        <f ca="1">IF(AND(ISNUMBER($AT$238),$B$226=1),$AT$238,HLOOKUP(INDIRECT(ADDRESS(2,COLUMN())),OFFSET($BN$2,0,0,ROW()-1,60),ROW()-1,FALSE))</f>
        <v/>
      </c>
      <c r="AU16" t="str">
        <f ca="1">IF(AND(ISNUMBER($AU$238),$B$226=1),$AU$238,HLOOKUP(INDIRECT(ADDRESS(2,COLUMN())),OFFSET($BN$2,0,0,ROW()-1,60),ROW()-1,FALSE))</f>
        <v/>
      </c>
      <c r="AV16" t="str">
        <f ca="1">IF(AND(ISNUMBER($AV$238),$B$226=1),$AV$238,HLOOKUP(INDIRECT(ADDRESS(2,COLUMN())),OFFSET($BN$2,0,0,ROW()-1,60),ROW()-1,FALSE))</f>
        <v/>
      </c>
      <c r="AW16" t="str">
        <f ca="1">IF(AND(ISNUMBER($AW$238),$B$226=1),$AW$238,HLOOKUP(INDIRECT(ADDRESS(2,COLUMN())),OFFSET($BN$2,0,0,ROW()-1,60),ROW()-1,FALSE))</f>
        <v/>
      </c>
      <c r="AX16" t="str">
        <f ca="1">IF(AND(ISNUMBER($AX$238),$B$226=1),$AX$238,HLOOKUP(INDIRECT(ADDRESS(2,COLUMN())),OFFSET($BN$2,0,0,ROW()-1,60),ROW()-1,FALSE))</f>
        <v/>
      </c>
      <c r="AY16" t="str">
        <f ca="1">IF(AND(ISNUMBER($AY$238),$B$226=1),$AY$238,HLOOKUP(INDIRECT(ADDRESS(2,COLUMN())),OFFSET($BN$2,0,0,ROW()-1,60),ROW()-1,FALSE))</f>
        <v/>
      </c>
      <c r="AZ16" t="str">
        <f ca="1">IF(AND(ISNUMBER($AZ$238),$B$226=1),$AZ$238,HLOOKUP(INDIRECT(ADDRESS(2,COLUMN())),OFFSET($BN$2,0,0,ROW()-1,60),ROW()-1,FALSE))</f>
        <v/>
      </c>
      <c r="BA16" t="str">
        <f ca="1">IF(AND(ISNUMBER($BA$238),$B$226=1),$BA$238,HLOOKUP(INDIRECT(ADDRESS(2,COLUMN())),OFFSET($BN$2,0,0,ROW()-1,60),ROW()-1,FALSE))</f>
        <v/>
      </c>
      <c r="BB16" t="str">
        <f ca="1">IF(AND(ISNUMBER($BB$238),$B$226=1),$BB$238,HLOOKUP(INDIRECT(ADDRESS(2,COLUMN())),OFFSET($BN$2,0,0,ROW()-1,60),ROW()-1,FALSE))</f>
        <v/>
      </c>
      <c r="BC16" t="str">
        <f ca="1">IF(AND(ISNUMBER($BC$238),$B$226=1),$BC$238,HLOOKUP(INDIRECT(ADDRESS(2,COLUMN())),OFFSET($BN$2,0,0,ROW()-1,60),ROW()-1,FALSE))</f>
        <v/>
      </c>
      <c r="BD16" t="str">
        <f ca="1">IF(AND(ISNUMBER($BD$238),$B$226=1),$BD$238,HLOOKUP(INDIRECT(ADDRESS(2,COLUMN())),OFFSET($BN$2,0,0,ROW()-1,60),ROW()-1,FALSE))</f>
        <v/>
      </c>
      <c r="BE16" t="str">
        <f ca="1">IF(AND(ISNUMBER($BE$238),$B$226=1),$BE$238,HLOOKUP(INDIRECT(ADDRESS(2,COLUMN())),OFFSET($BN$2,0,0,ROW()-1,60),ROW()-1,FALSE))</f>
        <v/>
      </c>
      <c r="BF16" t="str">
        <f ca="1">IF(AND(ISNUMBER($BF$238),$B$226=1),$BF$238,HLOOKUP(INDIRECT(ADDRESS(2,COLUMN())),OFFSET($BN$2,0,0,ROW()-1,60),ROW()-1,FALSE))</f>
        <v/>
      </c>
      <c r="BG16" t="str">
        <f ca="1">IF(AND(ISNUMBER($BG$238),$B$226=1),$BG$238,HLOOKUP(INDIRECT(ADDRESS(2,COLUMN())),OFFSET($BN$2,0,0,ROW()-1,60),ROW()-1,FALSE))</f>
        <v/>
      </c>
      <c r="BH16" t="str">
        <f ca="1">IF(AND(ISNUMBER($BH$238),$B$226=1),$BH$238,HLOOKUP(INDIRECT(ADDRESS(2,COLUMN())),OFFSET($BN$2,0,0,ROW()-1,60),ROW()-1,FALSE))</f>
        <v/>
      </c>
      <c r="BI16" t="str">
        <f ca="1">IF(AND(ISNUMBER($BI$238),$B$226=1),$BI$238,HLOOKUP(INDIRECT(ADDRESS(2,COLUMN())),OFFSET($BN$2,0,0,ROW()-1,60),ROW()-1,FALSE))</f>
        <v/>
      </c>
      <c r="BJ16" t="str">
        <f ca="1">IF(AND(ISNUMBER($BJ$238),$B$226=1),$BJ$238,HLOOKUP(INDIRECT(ADDRESS(2,COLUMN())),OFFSET($BN$2,0,0,ROW()-1,60),ROW()-1,FALSE))</f>
        <v/>
      </c>
      <c r="BK16" t="str">
        <f ca="1">IF(AND(ISNUMBER($BK$238),$B$226=1),$BK$238,HLOOKUP(INDIRECT(ADDRESS(2,COLUMN())),OFFSET($BN$2,0,0,ROW()-1,60),ROW()-1,FALSE))</f>
        <v/>
      </c>
      <c r="BL16" t="str">
        <f ca="1">IF(AND(ISNUMBER($BL$238),$B$226=1),$BL$238,HLOOKUP(INDIRECT(ADDRESS(2,COLUMN())),OFFSET($BN$2,0,0,ROW()-1,60),ROW()-1,FALSE))</f>
        <v/>
      </c>
      <c r="BM16" t="str">
        <f ca="1">IF(AND(ISNUMBER($BM$238),$B$226=1),$BM$238,HLOOKUP(INDIRECT(ADDRESS(2,COLUMN())),OFFSET($BN$2,0,0,ROW()-1,60),ROW()-1,FALSE))</f>
        <v/>
      </c>
      <c r="BN16" t="str">
        <f>""</f>
        <v/>
      </c>
      <c r="BO16" t="str">
        <f>""</f>
        <v/>
      </c>
      <c r="BP16" t="str">
        <f>""</f>
        <v/>
      </c>
      <c r="BQ16" t="str">
        <f>""</f>
        <v/>
      </c>
      <c r="BR16" t="str">
        <f>""</f>
        <v/>
      </c>
      <c r="BS16" t="str">
        <f>""</f>
        <v/>
      </c>
      <c r="BT16" t="str">
        <f>""</f>
        <v/>
      </c>
      <c r="BU16" t="str">
        <f>""</f>
        <v/>
      </c>
      <c r="BV16" t="str">
        <f>""</f>
        <v/>
      </c>
      <c r="BW16" t="str">
        <f>""</f>
        <v/>
      </c>
      <c r="BX16" t="str">
        <f>""</f>
        <v/>
      </c>
      <c r="BY16" t="str">
        <f>""</f>
        <v/>
      </c>
      <c r="BZ16" t="str">
        <f>""</f>
        <v/>
      </c>
      <c r="CA16" t="str">
        <f>""</f>
        <v/>
      </c>
      <c r="CB16" t="str">
        <f>""</f>
        <v/>
      </c>
      <c r="CC16" t="str">
        <f>""</f>
        <v/>
      </c>
      <c r="CD16" t="str">
        <f>""</f>
        <v/>
      </c>
      <c r="CE16" t="str">
        <f>""</f>
        <v/>
      </c>
      <c r="CF16" t="str">
        <f>""</f>
        <v/>
      </c>
      <c r="CG16" t="str">
        <f>""</f>
        <v/>
      </c>
      <c r="CH16" t="str">
        <f>""</f>
        <v/>
      </c>
      <c r="CI16" t="str">
        <f>""</f>
        <v/>
      </c>
      <c r="CJ16" t="str">
        <f>""</f>
        <v/>
      </c>
      <c r="CK16" t="str">
        <f>""</f>
        <v/>
      </c>
      <c r="CL16" t="str">
        <f>""</f>
        <v/>
      </c>
      <c r="CM16" t="str">
        <f>""</f>
        <v/>
      </c>
      <c r="CN16" t="str">
        <f>""</f>
        <v/>
      </c>
      <c r="CO16" t="str">
        <f>""</f>
        <v/>
      </c>
      <c r="CP16" t="str">
        <f>""</f>
        <v/>
      </c>
      <c r="CQ16" t="str">
        <f>""</f>
        <v/>
      </c>
      <c r="CR16" t="str">
        <f>""</f>
        <v/>
      </c>
      <c r="CS16" t="str">
        <f>""</f>
        <v/>
      </c>
      <c r="CT16" t="str">
        <f>""</f>
        <v/>
      </c>
      <c r="CU16" t="str">
        <f>""</f>
        <v/>
      </c>
      <c r="CV16" t="str">
        <f>""</f>
        <v/>
      </c>
      <c r="CW16" t="str">
        <f>""</f>
        <v/>
      </c>
      <c r="CX16" t="str">
        <f>""</f>
        <v/>
      </c>
      <c r="CY16" t="str">
        <f>""</f>
        <v/>
      </c>
      <c r="CZ16" t="str">
        <f>""</f>
        <v/>
      </c>
      <c r="DA16" t="str">
        <f>""</f>
        <v/>
      </c>
      <c r="DB16" t="str">
        <f>""</f>
        <v/>
      </c>
      <c r="DC16" t="str">
        <f>""</f>
        <v/>
      </c>
      <c r="DD16" t="str">
        <f>""</f>
        <v/>
      </c>
      <c r="DE16" t="str">
        <f>""</f>
        <v/>
      </c>
      <c r="DF16" t="str">
        <f>""</f>
        <v/>
      </c>
      <c r="DG16" t="str">
        <f>""</f>
        <v/>
      </c>
      <c r="DH16" t="str">
        <f>""</f>
        <v/>
      </c>
      <c r="DI16" t="str">
        <f>""</f>
        <v/>
      </c>
      <c r="DJ16" t="str">
        <f>""</f>
        <v/>
      </c>
      <c r="DK16" t="str">
        <f>""</f>
        <v/>
      </c>
      <c r="DL16" t="str">
        <f>""</f>
        <v/>
      </c>
      <c r="DM16" t="str">
        <f>""</f>
        <v/>
      </c>
      <c r="DN16" t="str">
        <f>""</f>
        <v/>
      </c>
      <c r="DO16" t="str">
        <f>""</f>
        <v/>
      </c>
      <c r="DP16" t="str">
        <f>""</f>
        <v/>
      </c>
      <c r="DQ16" t="str">
        <f>""</f>
        <v/>
      </c>
      <c r="DR16" t="str">
        <f>""</f>
        <v/>
      </c>
      <c r="DS16" t="str">
        <f>""</f>
        <v/>
      </c>
      <c r="DT16" t="str">
        <f>""</f>
        <v/>
      </c>
      <c r="DU16" t="str">
        <f>""</f>
        <v/>
      </c>
    </row>
    <row r="17" spans="1:125">
      <c r="A17" t="str">
        <f>"    Education Realty Trust Inc"</f>
        <v xml:space="preserve">    Education Realty Trust Inc</v>
      </c>
      <c r="B17" t="str">
        <f>"EDR US Equity"</f>
        <v>EDR US Equity</v>
      </c>
      <c r="C17" t="str">
        <f t="shared" si="3"/>
        <v>IM275</v>
      </c>
      <c r="D17" t="str">
        <f t="shared" si="4"/>
        <v>IS_OTHER_RENTAL_INCOME</v>
      </c>
      <c r="E17" t="str">
        <f t="shared" si="5"/>
        <v>动态</v>
      </c>
      <c r="F17" t="str">
        <f ca="1">IF(AND(ISNUMBER($F$239),$B$226=1),$F$239,HLOOKUP(INDIRECT(ADDRESS(2,COLUMN())),OFFSET($BN$2,0,0,ROW()-1,60),ROW()-1,FALSE))</f>
        <v/>
      </c>
      <c r="G17">
        <f ca="1">IF(AND(ISNUMBER($G$239),$B$226=1),$G$239,HLOOKUP(INDIRECT(ADDRESS(2,COLUMN())),OFFSET($BN$2,0,0,ROW()-1,60),ROW()-1,FALSE))</f>
        <v>91.786000000000001</v>
      </c>
      <c r="H17">
        <f ca="1">IF(AND(ISNUMBER($H$239),$B$226=1),$H$239,HLOOKUP(INDIRECT(ADDRESS(2,COLUMN())),OFFSET($BN$2,0,0,ROW()-1,60),ROW()-1,FALSE))</f>
        <v>71.084999999999994</v>
      </c>
      <c r="I17">
        <f ca="1">IF(AND(ISNUMBER($I$239),$B$226=1),$I$239,HLOOKUP(INDIRECT(ADDRESS(2,COLUMN())),OFFSET($BN$2,0,0,ROW()-1,60),ROW()-1,FALSE))</f>
        <v>70.070999999999998</v>
      </c>
      <c r="J17">
        <f ca="1">IF(AND(ISNUMBER($J$239),$B$226=1),$J$239,HLOOKUP(INDIRECT(ADDRESS(2,COLUMN())),OFFSET($BN$2,0,0,ROW()-1,60),ROW()-1,FALSE))</f>
        <v>80.784999999999997</v>
      </c>
      <c r="K17">
        <f ca="1">IF(AND(ISNUMBER($K$239),$B$226=1),$K$239,HLOOKUP(INDIRECT(ADDRESS(2,COLUMN())),OFFSET($BN$2,0,0,ROW()-1,60),ROW()-1,FALSE))</f>
        <v>80.436999999999998</v>
      </c>
      <c r="L17">
        <f ca="1">IF(AND(ISNUMBER($L$239),$B$226=1),$L$239,HLOOKUP(INDIRECT(ADDRESS(2,COLUMN())),OFFSET($BN$2,0,0,ROW()-1,60),ROW()-1,FALSE))</f>
        <v>61.877000000000002</v>
      </c>
      <c r="M17">
        <f ca="1">IF(AND(ISNUMBER($M$239),$B$226=1),$M$239,HLOOKUP(INDIRECT(ADDRESS(2,COLUMN())),OFFSET($BN$2,0,0,ROW()-1,60),ROW()-1,FALSE))</f>
        <v>61.69</v>
      </c>
      <c r="N17">
        <f ca="1">IF(AND(ISNUMBER($N$239),$B$226=1),$N$239,HLOOKUP(INDIRECT(ADDRESS(2,COLUMN())),OFFSET($BN$2,0,0,ROW()-1,60),ROW()-1,FALSE))</f>
        <v>70.183000000000007</v>
      </c>
      <c r="O17">
        <f ca="1">IF(AND(ISNUMBER($O$239),$B$226=1),$O$239,HLOOKUP(INDIRECT(ADDRESS(2,COLUMN())),OFFSET($BN$2,0,0,ROW()-1,60),ROW()-1,FALSE))</f>
        <v>71.781000000000006</v>
      </c>
      <c r="P17">
        <f ca="1">IF(AND(ISNUMBER($P$239),$B$226=1),$P$239,HLOOKUP(INDIRECT(ADDRESS(2,COLUMN())),OFFSET($BN$2,0,0,ROW()-1,60),ROW()-1,FALSE))</f>
        <v>54.725000000000001</v>
      </c>
      <c r="Q17">
        <f ca="1">IF(AND(ISNUMBER($Q$239),$B$226=1),$Q$239,HLOOKUP(INDIRECT(ADDRESS(2,COLUMN())),OFFSET($BN$2,0,0,ROW()-1,60),ROW()-1,FALSE))</f>
        <v>53.734000000000002</v>
      </c>
      <c r="R17">
        <f ca="1">IF(AND(ISNUMBER($R$239),$B$226=1),$R$239,HLOOKUP(INDIRECT(ADDRESS(2,COLUMN())),OFFSET($BN$2,0,0,ROW()-1,60),ROW()-1,FALSE))</f>
        <v>60.383000000000003</v>
      </c>
      <c r="S17">
        <f ca="1">IF(AND(ISNUMBER($S$239),$B$226=1),$S$239,HLOOKUP(INDIRECT(ADDRESS(2,COLUMN())),OFFSET($BN$2,0,0,ROW()-1,60),ROW()-1,FALSE))</f>
        <v>61.645000000000003</v>
      </c>
      <c r="T17">
        <f ca="1">IF(AND(ISNUMBER($T$239),$B$226=1),$T$239,HLOOKUP(INDIRECT(ADDRESS(2,COLUMN())),OFFSET($BN$2,0,0,ROW()-1,60),ROW()-1,FALSE))</f>
        <v>47.656999999999996</v>
      </c>
      <c r="U17">
        <f ca="1">IF(AND(ISNUMBER($U$239),$B$226=1),$U$239,HLOOKUP(INDIRECT(ADDRESS(2,COLUMN())),OFFSET($BN$2,0,0,ROW()-1,60),ROW()-1,FALSE))</f>
        <v>46.308999999999997</v>
      </c>
      <c r="V17">
        <f ca="1">IF(AND(ISNUMBER($V$239),$B$226=1),$V$239,HLOOKUP(INDIRECT(ADDRESS(2,COLUMN())),OFFSET($BN$2,0,0,ROW()-1,60),ROW()-1,FALSE))</f>
        <v>50.710999999999999</v>
      </c>
      <c r="W17">
        <f ca="1">IF(AND(ISNUMBER($W$239),$B$226=1),$W$239,HLOOKUP(INDIRECT(ADDRESS(2,COLUMN())),OFFSET($BN$2,0,0,ROW()-1,60),ROW()-1,FALSE))</f>
        <v>51.139000000000003</v>
      </c>
      <c r="X17">
        <f ca="1">IF(AND(ISNUMBER($X$239),$B$226=1),$X$239,HLOOKUP(INDIRECT(ADDRESS(2,COLUMN())),OFFSET($BN$2,0,0,ROW()-1,60),ROW()-1,FALSE))</f>
        <v>39.549999999999997</v>
      </c>
      <c r="Y17">
        <f ca="1">IF(AND(ISNUMBER($Y$239),$B$226=1),$Y$239,HLOOKUP(INDIRECT(ADDRESS(2,COLUMN())),OFFSET($BN$2,0,0,ROW()-1,60),ROW()-1,FALSE))</f>
        <v>37.335000000000001</v>
      </c>
      <c r="Z17">
        <f ca="1">IF(AND(ISNUMBER($Z$239),$B$226=1),$Z$239,HLOOKUP(INDIRECT(ADDRESS(2,COLUMN())),OFFSET($BN$2,0,0,ROW()-1,60),ROW()-1,FALSE))</f>
        <v>39.453000000000003</v>
      </c>
      <c r="AA17">
        <f ca="1">IF(AND(ISNUMBER($AA$239),$B$226=1),$AA$239,HLOOKUP(INDIRECT(ADDRESS(2,COLUMN())),OFFSET($BN$2,0,0,ROW()-1,60),ROW()-1,FALSE))</f>
        <v>37.695</v>
      </c>
      <c r="AB17">
        <f ca="1">IF(AND(ISNUMBER($AB$239),$B$226=1),$AB$239,HLOOKUP(INDIRECT(ADDRESS(2,COLUMN())),OFFSET($BN$2,0,0,ROW()-1,60),ROW()-1,FALSE))</f>
        <v>28.829000000000001</v>
      </c>
      <c r="AC17">
        <f ca="1">IF(AND(ISNUMBER($AC$239),$B$226=1),$AC$239,HLOOKUP(INDIRECT(ADDRESS(2,COLUMN())),OFFSET($BN$2,0,0,ROW()-1,60),ROW()-1,FALSE))</f>
        <v>29.295000000000002</v>
      </c>
      <c r="AD17">
        <f ca="1">IF(AND(ISNUMBER($AD$239),$B$226=1),$AD$239,HLOOKUP(INDIRECT(ADDRESS(2,COLUMN())),OFFSET($BN$2,0,0,ROW()-1,60),ROW()-1,FALSE))</f>
        <v>31.631</v>
      </c>
      <c r="AE17">
        <f ca="1">IF(AND(ISNUMBER($AE$239),$B$226=1),$AE$239,HLOOKUP(INDIRECT(ADDRESS(2,COLUMN())),OFFSET($BN$2,0,0,ROW()-1,60),ROW()-1,FALSE))</f>
        <v>28.933</v>
      </c>
      <c r="AF17">
        <f ca="1">IF(AND(ISNUMBER($AF$239),$B$226=1),$AF$239,HLOOKUP(INDIRECT(ADDRESS(2,COLUMN())),OFFSET($BN$2,0,0,ROW()-1,60),ROW()-1,FALSE))</f>
        <v>23.431000000000001</v>
      </c>
      <c r="AG17">
        <f ca="1">IF(AND(ISNUMBER($AG$239),$B$226=1),$AG$239,HLOOKUP(INDIRECT(ADDRESS(2,COLUMN())),OFFSET($BN$2,0,0,ROW()-1,60),ROW()-1,FALSE))</f>
        <v>25.613</v>
      </c>
      <c r="AH17">
        <f ca="1">IF(AND(ISNUMBER($AH$239),$B$226=1),$AH$239,HLOOKUP(INDIRECT(ADDRESS(2,COLUMN())),OFFSET($BN$2,0,0,ROW()-1,60),ROW()-1,FALSE))</f>
        <v>26.7</v>
      </c>
      <c r="AI17">
        <f ca="1">IF(AND(ISNUMBER($AI$239),$B$226=1),$AI$239,HLOOKUP(INDIRECT(ADDRESS(2,COLUMN())),OFFSET($BN$2,0,0,ROW()-1,60),ROW()-1,FALSE))</f>
        <v>26.783999999999999</v>
      </c>
      <c r="AJ17">
        <f ca="1">IF(AND(ISNUMBER($AJ$239),$B$226=1),$AJ$239,HLOOKUP(INDIRECT(ADDRESS(2,COLUMN())),OFFSET($BN$2,0,0,ROW()-1,60),ROW()-1,FALSE))</f>
        <v>21.888999999999999</v>
      </c>
      <c r="AK17">
        <f ca="1">IF(AND(ISNUMBER($AK$239),$B$226=1),$AK$239,HLOOKUP(INDIRECT(ADDRESS(2,COLUMN())),OFFSET($BN$2,0,0,ROW()-1,60),ROW()-1,FALSE))</f>
        <v>23.335000000000001</v>
      </c>
      <c r="AL17">
        <f ca="1">IF(AND(ISNUMBER($AL$239),$B$226=1),$AL$239,HLOOKUP(INDIRECT(ADDRESS(2,COLUMN())),OFFSET($BN$2,0,0,ROW()-1,60),ROW()-1,FALSE))</f>
        <v>25.311</v>
      </c>
      <c r="AM17">
        <f ca="1">IF(AND(ISNUMBER($AM$239),$B$226=1),$AM$239,HLOOKUP(INDIRECT(ADDRESS(2,COLUMN())),OFFSET($BN$2,0,0,ROW()-1,60),ROW()-1,FALSE))</f>
        <v>25.757000000000001</v>
      </c>
      <c r="AN17">
        <f ca="1">IF(AND(ISNUMBER($AN$239),$B$226=1),$AN$239,HLOOKUP(INDIRECT(ADDRESS(2,COLUMN())),OFFSET($BN$2,0,0,ROW()-1,60),ROW()-1,FALSE))</f>
        <v>25.105</v>
      </c>
      <c r="AO17">
        <f ca="1">IF(AND(ISNUMBER($AO$239),$B$226=1),$AO$239,HLOOKUP(INDIRECT(ADDRESS(2,COLUMN())),OFFSET($BN$2,0,0,ROW()-1,60),ROW()-1,FALSE))</f>
        <v>27.501000000000001</v>
      </c>
      <c r="AP17">
        <f ca="1">IF(AND(ISNUMBER($AP$239),$B$226=1),$AP$239,HLOOKUP(INDIRECT(ADDRESS(2,COLUMN())),OFFSET($BN$2,0,0,ROW()-1,60),ROW()-1,FALSE))</f>
        <v>28.72</v>
      </c>
      <c r="AQ17" t="str">
        <f ca="1">IF(AND(ISNUMBER($AQ$239),$B$226=1),$AQ$239,HLOOKUP(INDIRECT(ADDRESS(2,COLUMN())),OFFSET($BN$2,0,0,ROW()-1,60),ROW()-1,FALSE))</f>
        <v/>
      </c>
      <c r="AR17" t="str">
        <f ca="1">IF(AND(ISNUMBER($AR$239),$B$226=1),$AR$239,HLOOKUP(INDIRECT(ADDRESS(2,COLUMN())),OFFSET($BN$2,0,0,ROW()-1,60),ROW()-1,FALSE))</f>
        <v/>
      </c>
      <c r="AS17" t="str">
        <f ca="1">IF(AND(ISNUMBER($AS$239),$B$226=1),$AS$239,HLOOKUP(INDIRECT(ADDRESS(2,COLUMN())),OFFSET($BN$2,0,0,ROW()-1,60),ROW()-1,FALSE))</f>
        <v/>
      </c>
      <c r="AT17" t="str">
        <f ca="1">IF(AND(ISNUMBER($AT$239),$B$226=1),$AT$239,HLOOKUP(INDIRECT(ADDRESS(2,COLUMN())),OFFSET($BN$2,0,0,ROW()-1,60),ROW()-1,FALSE))</f>
        <v/>
      </c>
      <c r="AU17" t="str">
        <f ca="1">IF(AND(ISNUMBER($AU$239),$B$226=1),$AU$239,HLOOKUP(INDIRECT(ADDRESS(2,COLUMN())),OFFSET($BN$2,0,0,ROW()-1,60),ROW()-1,FALSE))</f>
        <v/>
      </c>
      <c r="AV17" t="str">
        <f ca="1">IF(AND(ISNUMBER($AV$239),$B$226=1),$AV$239,HLOOKUP(INDIRECT(ADDRESS(2,COLUMN())),OFFSET($BN$2,0,0,ROW()-1,60),ROW()-1,FALSE))</f>
        <v/>
      </c>
      <c r="AW17" t="str">
        <f ca="1">IF(AND(ISNUMBER($AW$239),$B$226=1),$AW$239,HLOOKUP(INDIRECT(ADDRESS(2,COLUMN())),OFFSET($BN$2,0,0,ROW()-1,60),ROW()-1,FALSE))</f>
        <v/>
      </c>
      <c r="AX17" t="str">
        <f ca="1">IF(AND(ISNUMBER($AX$239),$B$226=1),$AX$239,HLOOKUP(INDIRECT(ADDRESS(2,COLUMN())),OFFSET($BN$2,0,0,ROW()-1,60),ROW()-1,FALSE))</f>
        <v/>
      </c>
      <c r="AY17" t="str">
        <f ca="1">IF(AND(ISNUMBER($AY$239),$B$226=1),$AY$239,HLOOKUP(INDIRECT(ADDRESS(2,COLUMN())),OFFSET($BN$2,0,0,ROW()-1,60),ROW()-1,FALSE))</f>
        <v/>
      </c>
      <c r="AZ17" t="str">
        <f ca="1">IF(AND(ISNUMBER($AZ$239),$B$226=1),$AZ$239,HLOOKUP(INDIRECT(ADDRESS(2,COLUMN())),OFFSET($BN$2,0,0,ROW()-1,60),ROW()-1,FALSE))</f>
        <v/>
      </c>
      <c r="BA17" t="str">
        <f ca="1">IF(AND(ISNUMBER($BA$239),$B$226=1),$BA$239,HLOOKUP(INDIRECT(ADDRESS(2,COLUMN())),OFFSET($BN$2,0,0,ROW()-1,60),ROW()-1,FALSE))</f>
        <v/>
      </c>
      <c r="BB17" t="str">
        <f ca="1">IF(AND(ISNUMBER($BB$239),$B$226=1),$BB$239,HLOOKUP(INDIRECT(ADDRESS(2,COLUMN())),OFFSET($BN$2,0,0,ROW()-1,60),ROW()-1,FALSE))</f>
        <v/>
      </c>
      <c r="BC17" t="str">
        <f ca="1">IF(AND(ISNUMBER($BC$239),$B$226=1),$BC$239,HLOOKUP(INDIRECT(ADDRESS(2,COLUMN())),OFFSET($BN$2,0,0,ROW()-1,60),ROW()-1,FALSE))</f>
        <v/>
      </c>
      <c r="BD17" t="str">
        <f ca="1">IF(AND(ISNUMBER($BD$239),$B$226=1),$BD$239,HLOOKUP(INDIRECT(ADDRESS(2,COLUMN())),OFFSET($BN$2,0,0,ROW()-1,60),ROW()-1,FALSE))</f>
        <v/>
      </c>
      <c r="BE17" t="str">
        <f ca="1">IF(AND(ISNUMBER($BE$239),$B$226=1),$BE$239,HLOOKUP(INDIRECT(ADDRESS(2,COLUMN())),OFFSET($BN$2,0,0,ROW()-1,60),ROW()-1,FALSE))</f>
        <v/>
      </c>
      <c r="BF17" t="str">
        <f ca="1">IF(AND(ISNUMBER($BF$239),$B$226=1),$BF$239,HLOOKUP(INDIRECT(ADDRESS(2,COLUMN())),OFFSET($BN$2,0,0,ROW()-1,60),ROW()-1,FALSE))</f>
        <v/>
      </c>
      <c r="BG17" t="str">
        <f ca="1">IF(AND(ISNUMBER($BG$239),$B$226=1),$BG$239,HLOOKUP(INDIRECT(ADDRESS(2,COLUMN())),OFFSET($BN$2,0,0,ROW()-1,60),ROW()-1,FALSE))</f>
        <v/>
      </c>
      <c r="BH17" t="str">
        <f ca="1">IF(AND(ISNUMBER($BH$239),$B$226=1),$BH$239,HLOOKUP(INDIRECT(ADDRESS(2,COLUMN())),OFFSET($BN$2,0,0,ROW()-1,60),ROW()-1,FALSE))</f>
        <v/>
      </c>
      <c r="BI17" t="str">
        <f ca="1">IF(AND(ISNUMBER($BI$239),$B$226=1),$BI$239,HLOOKUP(INDIRECT(ADDRESS(2,COLUMN())),OFFSET($BN$2,0,0,ROW()-1,60),ROW()-1,FALSE))</f>
        <v/>
      </c>
      <c r="BJ17" t="str">
        <f ca="1">IF(AND(ISNUMBER($BJ$239),$B$226=1),$BJ$239,HLOOKUP(INDIRECT(ADDRESS(2,COLUMN())),OFFSET($BN$2,0,0,ROW()-1,60),ROW()-1,FALSE))</f>
        <v/>
      </c>
      <c r="BK17" t="str">
        <f ca="1">IF(AND(ISNUMBER($BK$239),$B$226=1),$BK$239,HLOOKUP(INDIRECT(ADDRESS(2,COLUMN())),OFFSET($BN$2,0,0,ROW()-1,60),ROW()-1,FALSE))</f>
        <v/>
      </c>
      <c r="BL17" t="str">
        <f ca="1">IF(AND(ISNUMBER($BL$239),$B$226=1),$BL$239,HLOOKUP(INDIRECT(ADDRESS(2,COLUMN())),OFFSET($BN$2,0,0,ROW()-1,60),ROW()-1,FALSE))</f>
        <v/>
      </c>
      <c r="BM17" t="str">
        <f ca="1">IF(AND(ISNUMBER($BM$239),$B$226=1),$BM$239,HLOOKUP(INDIRECT(ADDRESS(2,COLUMN())),OFFSET($BN$2,0,0,ROW()-1,60),ROW()-1,FALSE))</f>
        <v/>
      </c>
      <c r="BN17" t="str">
        <f>""</f>
        <v/>
      </c>
      <c r="BO17">
        <f>91.786</f>
        <v>91.786000000000001</v>
      </c>
      <c r="BP17">
        <f>71.085</f>
        <v>71.084999999999994</v>
      </c>
      <c r="BQ17">
        <f>70.071</f>
        <v>70.070999999999998</v>
      </c>
      <c r="BR17">
        <f>80.785</f>
        <v>80.784999999999997</v>
      </c>
      <c r="BS17">
        <f>80.437</f>
        <v>80.436999999999998</v>
      </c>
      <c r="BT17">
        <f>61.877</f>
        <v>61.877000000000002</v>
      </c>
      <c r="BU17">
        <f>61.69</f>
        <v>61.69</v>
      </c>
      <c r="BV17">
        <f>70.183</f>
        <v>70.183000000000007</v>
      </c>
      <c r="BW17">
        <f>71.781</f>
        <v>71.781000000000006</v>
      </c>
      <c r="BX17">
        <f>54.725</f>
        <v>54.725000000000001</v>
      </c>
      <c r="BY17">
        <f>53.734</f>
        <v>53.734000000000002</v>
      </c>
      <c r="BZ17">
        <f>60.383</f>
        <v>60.383000000000003</v>
      </c>
      <c r="CA17">
        <f>61.645</f>
        <v>61.645000000000003</v>
      </c>
      <c r="CB17">
        <f>47.657</f>
        <v>47.656999999999996</v>
      </c>
      <c r="CC17">
        <f>46.309</f>
        <v>46.308999999999997</v>
      </c>
      <c r="CD17">
        <f>50.711</f>
        <v>50.710999999999999</v>
      </c>
      <c r="CE17">
        <f>51.139</f>
        <v>51.139000000000003</v>
      </c>
      <c r="CF17">
        <f>39.55</f>
        <v>39.549999999999997</v>
      </c>
      <c r="CG17">
        <f>37.335</f>
        <v>37.335000000000001</v>
      </c>
      <c r="CH17">
        <f>39.453</f>
        <v>39.453000000000003</v>
      </c>
      <c r="CI17">
        <f>37.695</f>
        <v>37.695</v>
      </c>
      <c r="CJ17">
        <f>28.829</f>
        <v>28.829000000000001</v>
      </c>
      <c r="CK17">
        <f>29.295</f>
        <v>29.295000000000002</v>
      </c>
      <c r="CL17">
        <f>31.631</f>
        <v>31.631</v>
      </c>
      <c r="CM17">
        <f>28.933</f>
        <v>28.933</v>
      </c>
      <c r="CN17">
        <f>23.431</f>
        <v>23.431000000000001</v>
      </c>
      <c r="CO17">
        <f>25.613</f>
        <v>25.613</v>
      </c>
      <c r="CP17">
        <f>26.7</f>
        <v>26.7</v>
      </c>
      <c r="CQ17">
        <f>26.784</f>
        <v>26.783999999999999</v>
      </c>
      <c r="CR17">
        <f>21.889</f>
        <v>21.888999999999999</v>
      </c>
      <c r="CS17">
        <f>23.335</f>
        <v>23.335000000000001</v>
      </c>
      <c r="CT17">
        <f>25.311</f>
        <v>25.311</v>
      </c>
      <c r="CU17">
        <f>25.757</f>
        <v>25.757000000000001</v>
      </c>
      <c r="CV17">
        <f>25.105</f>
        <v>25.105</v>
      </c>
      <c r="CW17">
        <f>27.501</f>
        <v>27.501000000000001</v>
      </c>
      <c r="CX17">
        <f>28.72</f>
        <v>28.72</v>
      </c>
      <c r="CY17" t="str">
        <f>""</f>
        <v/>
      </c>
      <c r="CZ17" t="str">
        <f>""</f>
        <v/>
      </c>
      <c r="DA17" t="str">
        <f>""</f>
        <v/>
      </c>
      <c r="DB17" t="str">
        <f>""</f>
        <v/>
      </c>
      <c r="DC17" t="str">
        <f>""</f>
        <v/>
      </c>
      <c r="DD17" t="str">
        <f>""</f>
        <v/>
      </c>
      <c r="DE17" t="str">
        <f>""</f>
        <v/>
      </c>
      <c r="DF17" t="str">
        <f>""</f>
        <v/>
      </c>
      <c r="DG17" t="str">
        <f>""</f>
        <v/>
      </c>
      <c r="DH17" t="str">
        <f>""</f>
        <v/>
      </c>
      <c r="DI17" t="str">
        <f>""</f>
        <v/>
      </c>
      <c r="DJ17" t="str">
        <f>""</f>
        <v/>
      </c>
      <c r="DK17" t="str">
        <f>""</f>
        <v/>
      </c>
      <c r="DL17" t="str">
        <f>""</f>
        <v/>
      </c>
      <c r="DM17" t="str">
        <f>""</f>
        <v/>
      </c>
      <c r="DN17" t="str">
        <f>""</f>
        <v/>
      </c>
      <c r="DO17" t="str">
        <f>""</f>
        <v/>
      </c>
      <c r="DP17" t="str">
        <f>""</f>
        <v/>
      </c>
      <c r="DQ17" t="str">
        <f>""</f>
        <v/>
      </c>
      <c r="DR17" t="str">
        <f>""</f>
        <v/>
      </c>
      <c r="DS17" t="str">
        <f>""</f>
        <v/>
      </c>
      <c r="DT17" t="str">
        <f>""</f>
        <v/>
      </c>
      <c r="DU17" t="str">
        <f>""</f>
        <v/>
      </c>
    </row>
    <row r="18" spans="1:125">
      <c r="A18" t="str">
        <f>"    Equity Residential"</f>
        <v xml:space="preserve">    Equity Residential</v>
      </c>
      <c r="B18" t="str">
        <f>"EQR US Equity"</f>
        <v>EQR US Equity</v>
      </c>
      <c r="C18" t="str">
        <f t="shared" si="3"/>
        <v>IM275</v>
      </c>
      <c r="D18" t="str">
        <f t="shared" si="4"/>
        <v>IS_OTHER_RENTAL_INCOME</v>
      </c>
      <c r="E18" t="str">
        <f t="shared" si="5"/>
        <v>动态</v>
      </c>
      <c r="F18" t="str">
        <f ca="1">IF(AND(ISNUMBER($F$240),$B$226=1),$F$240,HLOOKUP(INDIRECT(ADDRESS(2,COLUMN())),OFFSET($BN$2,0,0,ROW()-1,60),ROW()-1,FALSE))</f>
        <v/>
      </c>
      <c r="G18" t="str">
        <f ca="1">IF(AND(ISNUMBER($G$240),$B$226=1),$G$240,HLOOKUP(INDIRECT(ADDRESS(2,COLUMN())),OFFSET($BN$2,0,0,ROW()-1,60),ROW()-1,FALSE))</f>
        <v/>
      </c>
      <c r="H18" t="str">
        <f ca="1">IF(AND(ISNUMBER($H$240),$B$226=1),$H$240,HLOOKUP(INDIRECT(ADDRESS(2,COLUMN())),OFFSET($BN$2,0,0,ROW()-1,60),ROW()-1,FALSE))</f>
        <v/>
      </c>
      <c r="I18" t="str">
        <f ca="1">IF(AND(ISNUMBER($I$240),$B$226=1),$I$240,HLOOKUP(INDIRECT(ADDRESS(2,COLUMN())),OFFSET($BN$2,0,0,ROW()-1,60),ROW()-1,FALSE))</f>
        <v/>
      </c>
      <c r="J18" t="str">
        <f ca="1">IF(AND(ISNUMBER($J$240),$B$226=1),$J$240,HLOOKUP(INDIRECT(ADDRESS(2,COLUMN())),OFFSET($BN$2,0,0,ROW()-1,60),ROW()-1,FALSE))</f>
        <v/>
      </c>
      <c r="K18" t="str">
        <f ca="1">IF(AND(ISNUMBER($K$240),$B$226=1),$K$240,HLOOKUP(INDIRECT(ADDRESS(2,COLUMN())),OFFSET($BN$2,0,0,ROW()-1,60),ROW()-1,FALSE))</f>
        <v/>
      </c>
      <c r="L18" t="str">
        <f ca="1">IF(AND(ISNUMBER($L$240),$B$226=1),$L$240,HLOOKUP(INDIRECT(ADDRESS(2,COLUMN())),OFFSET($BN$2,0,0,ROW()-1,60),ROW()-1,FALSE))</f>
        <v/>
      </c>
      <c r="M18" t="str">
        <f ca="1">IF(AND(ISNUMBER($M$240),$B$226=1),$M$240,HLOOKUP(INDIRECT(ADDRESS(2,COLUMN())),OFFSET($BN$2,0,0,ROW()-1,60),ROW()-1,FALSE))</f>
        <v/>
      </c>
      <c r="N18" t="str">
        <f ca="1">IF(AND(ISNUMBER($N$240),$B$226=1),$N$240,HLOOKUP(INDIRECT(ADDRESS(2,COLUMN())),OFFSET($BN$2,0,0,ROW()-1,60),ROW()-1,FALSE))</f>
        <v/>
      </c>
      <c r="O18" t="str">
        <f ca="1">IF(AND(ISNUMBER($O$240),$B$226=1),$O$240,HLOOKUP(INDIRECT(ADDRESS(2,COLUMN())),OFFSET($BN$2,0,0,ROW()-1,60),ROW()-1,FALSE))</f>
        <v/>
      </c>
      <c r="P18" t="str">
        <f ca="1">IF(AND(ISNUMBER($P$240),$B$226=1),$P$240,HLOOKUP(INDIRECT(ADDRESS(2,COLUMN())),OFFSET($BN$2,0,0,ROW()-1,60),ROW()-1,FALSE))</f>
        <v/>
      </c>
      <c r="Q18" t="str">
        <f ca="1">IF(AND(ISNUMBER($Q$240),$B$226=1),$Q$240,HLOOKUP(INDIRECT(ADDRESS(2,COLUMN())),OFFSET($BN$2,0,0,ROW()-1,60),ROW()-1,FALSE))</f>
        <v/>
      </c>
      <c r="R18" t="str">
        <f ca="1">IF(AND(ISNUMBER($R$240),$B$226=1),$R$240,HLOOKUP(INDIRECT(ADDRESS(2,COLUMN())),OFFSET($BN$2,0,0,ROW()-1,60),ROW()-1,FALSE))</f>
        <v/>
      </c>
      <c r="S18" t="str">
        <f ca="1">IF(AND(ISNUMBER($S$240),$B$226=1),$S$240,HLOOKUP(INDIRECT(ADDRESS(2,COLUMN())),OFFSET($BN$2,0,0,ROW()-1,60),ROW()-1,FALSE))</f>
        <v/>
      </c>
      <c r="T18" t="str">
        <f ca="1">IF(AND(ISNUMBER($T$240),$B$226=1),$T$240,HLOOKUP(INDIRECT(ADDRESS(2,COLUMN())),OFFSET($BN$2,0,0,ROW()-1,60),ROW()-1,FALSE))</f>
        <v/>
      </c>
      <c r="U18" t="str">
        <f ca="1">IF(AND(ISNUMBER($U$240),$B$226=1),$U$240,HLOOKUP(INDIRECT(ADDRESS(2,COLUMN())),OFFSET($BN$2,0,0,ROW()-1,60),ROW()-1,FALSE))</f>
        <v/>
      </c>
      <c r="V18" t="str">
        <f ca="1">IF(AND(ISNUMBER($V$240),$B$226=1),$V$240,HLOOKUP(INDIRECT(ADDRESS(2,COLUMN())),OFFSET($BN$2,0,0,ROW()-1,60),ROW()-1,FALSE))</f>
        <v/>
      </c>
      <c r="W18" t="str">
        <f ca="1">IF(AND(ISNUMBER($W$240),$B$226=1),$W$240,HLOOKUP(INDIRECT(ADDRESS(2,COLUMN())),OFFSET($BN$2,0,0,ROW()-1,60),ROW()-1,FALSE))</f>
        <v/>
      </c>
      <c r="X18" t="str">
        <f ca="1">IF(AND(ISNUMBER($X$240),$B$226=1),$X$240,HLOOKUP(INDIRECT(ADDRESS(2,COLUMN())),OFFSET($BN$2,0,0,ROW()-1,60),ROW()-1,FALSE))</f>
        <v/>
      </c>
      <c r="Y18" t="str">
        <f ca="1">IF(AND(ISNUMBER($Y$240),$B$226=1),$Y$240,HLOOKUP(INDIRECT(ADDRESS(2,COLUMN())),OFFSET($BN$2,0,0,ROW()-1,60),ROW()-1,FALSE))</f>
        <v/>
      </c>
      <c r="Z18" t="str">
        <f ca="1">IF(AND(ISNUMBER($Z$240),$B$226=1),$Z$240,HLOOKUP(INDIRECT(ADDRESS(2,COLUMN())),OFFSET($BN$2,0,0,ROW()-1,60),ROW()-1,FALSE))</f>
        <v/>
      </c>
      <c r="AA18" t="str">
        <f ca="1">IF(AND(ISNUMBER($AA$240),$B$226=1),$AA$240,HLOOKUP(INDIRECT(ADDRESS(2,COLUMN())),OFFSET($BN$2,0,0,ROW()-1,60),ROW()-1,FALSE))</f>
        <v/>
      </c>
      <c r="AB18" t="str">
        <f ca="1">IF(AND(ISNUMBER($AB$240),$B$226=1),$AB$240,HLOOKUP(INDIRECT(ADDRESS(2,COLUMN())),OFFSET($BN$2,0,0,ROW()-1,60),ROW()-1,FALSE))</f>
        <v/>
      </c>
      <c r="AC18" t="str">
        <f ca="1">IF(AND(ISNUMBER($AC$240),$B$226=1),$AC$240,HLOOKUP(INDIRECT(ADDRESS(2,COLUMN())),OFFSET($BN$2,0,0,ROW()-1,60),ROW()-1,FALSE))</f>
        <v/>
      </c>
      <c r="AD18" t="str">
        <f ca="1">IF(AND(ISNUMBER($AD$240),$B$226=1),$AD$240,HLOOKUP(INDIRECT(ADDRESS(2,COLUMN())),OFFSET($BN$2,0,0,ROW()-1,60),ROW()-1,FALSE))</f>
        <v/>
      </c>
      <c r="AE18" t="str">
        <f ca="1">IF(AND(ISNUMBER($AE$240),$B$226=1),$AE$240,HLOOKUP(INDIRECT(ADDRESS(2,COLUMN())),OFFSET($BN$2,0,0,ROW()-1,60),ROW()-1,FALSE))</f>
        <v/>
      </c>
      <c r="AF18" t="str">
        <f ca="1">IF(AND(ISNUMBER($AF$240),$B$226=1),$AF$240,HLOOKUP(INDIRECT(ADDRESS(2,COLUMN())),OFFSET($BN$2,0,0,ROW()-1,60),ROW()-1,FALSE))</f>
        <v/>
      </c>
      <c r="AG18" t="str">
        <f ca="1">IF(AND(ISNUMBER($AG$240),$B$226=1),$AG$240,HLOOKUP(INDIRECT(ADDRESS(2,COLUMN())),OFFSET($BN$2,0,0,ROW()-1,60),ROW()-1,FALSE))</f>
        <v/>
      </c>
      <c r="AH18" t="str">
        <f ca="1">IF(AND(ISNUMBER($AH$240),$B$226=1),$AH$240,HLOOKUP(INDIRECT(ADDRESS(2,COLUMN())),OFFSET($BN$2,0,0,ROW()-1,60),ROW()-1,FALSE))</f>
        <v/>
      </c>
      <c r="AI18" t="str">
        <f ca="1">IF(AND(ISNUMBER($AI$240),$B$226=1),$AI$240,HLOOKUP(INDIRECT(ADDRESS(2,COLUMN())),OFFSET($BN$2,0,0,ROW()-1,60),ROW()-1,FALSE))</f>
        <v/>
      </c>
      <c r="AJ18" t="str">
        <f ca="1">IF(AND(ISNUMBER($AJ$240),$B$226=1),$AJ$240,HLOOKUP(INDIRECT(ADDRESS(2,COLUMN())),OFFSET($BN$2,0,0,ROW()-1,60),ROW()-1,FALSE))</f>
        <v/>
      </c>
      <c r="AK18" t="str">
        <f ca="1">IF(AND(ISNUMBER($AK$240),$B$226=1),$AK$240,HLOOKUP(INDIRECT(ADDRESS(2,COLUMN())),OFFSET($BN$2,0,0,ROW()-1,60),ROW()-1,FALSE))</f>
        <v/>
      </c>
      <c r="AL18" t="str">
        <f ca="1">IF(AND(ISNUMBER($AL$240),$B$226=1),$AL$240,HLOOKUP(INDIRECT(ADDRESS(2,COLUMN())),OFFSET($BN$2,0,0,ROW()-1,60),ROW()-1,FALSE))</f>
        <v/>
      </c>
      <c r="AM18" t="str">
        <f ca="1">IF(AND(ISNUMBER($AM$240),$B$226=1),$AM$240,HLOOKUP(INDIRECT(ADDRESS(2,COLUMN())),OFFSET($BN$2,0,0,ROW()-1,60),ROW()-1,FALSE))</f>
        <v/>
      </c>
      <c r="AN18" t="str">
        <f ca="1">IF(AND(ISNUMBER($AN$240),$B$226=1),$AN$240,HLOOKUP(INDIRECT(ADDRESS(2,COLUMN())),OFFSET($BN$2,0,0,ROW()-1,60),ROW()-1,FALSE))</f>
        <v/>
      </c>
      <c r="AO18" t="str">
        <f ca="1">IF(AND(ISNUMBER($AO$240),$B$226=1),$AO$240,HLOOKUP(INDIRECT(ADDRESS(2,COLUMN())),OFFSET($BN$2,0,0,ROW()-1,60),ROW()-1,FALSE))</f>
        <v/>
      </c>
      <c r="AP18" t="str">
        <f ca="1">IF(AND(ISNUMBER($AP$240),$B$226=1),$AP$240,HLOOKUP(INDIRECT(ADDRESS(2,COLUMN())),OFFSET($BN$2,0,0,ROW()-1,60),ROW()-1,FALSE))</f>
        <v/>
      </c>
      <c r="AQ18" t="str">
        <f ca="1">IF(AND(ISNUMBER($AQ$240),$B$226=1),$AQ$240,HLOOKUP(INDIRECT(ADDRESS(2,COLUMN())),OFFSET($BN$2,0,0,ROW()-1,60),ROW()-1,FALSE))</f>
        <v/>
      </c>
      <c r="AR18" t="str">
        <f ca="1">IF(AND(ISNUMBER($AR$240),$B$226=1),$AR$240,HLOOKUP(INDIRECT(ADDRESS(2,COLUMN())),OFFSET($BN$2,0,0,ROW()-1,60),ROW()-1,FALSE))</f>
        <v/>
      </c>
      <c r="AS18" t="str">
        <f ca="1">IF(AND(ISNUMBER($AS$240),$B$226=1),$AS$240,HLOOKUP(INDIRECT(ADDRESS(2,COLUMN())),OFFSET($BN$2,0,0,ROW()-1,60),ROW()-1,FALSE))</f>
        <v/>
      </c>
      <c r="AT18" t="str">
        <f ca="1">IF(AND(ISNUMBER($AT$240),$B$226=1),$AT$240,HLOOKUP(INDIRECT(ADDRESS(2,COLUMN())),OFFSET($BN$2,0,0,ROW()-1,60),ROW()-1,FALSE))</f>
        <v/>
      </c>
      <c r="AU18" t="str">
        <f ca="1">IF(AND(ISNUMBER($AU$240),$B$226=1),$AU$240,HLOOKUP(INDIRECT(ADDRESS(2,COLUMN())),OFFSET($BN$2,0,0,ROW()-1,60),ROW()-1,FALSE))</f>
        <v/>
      </c>
      <c r="AV18" t="str">
        <f ca="1">IF(AND(ISNUMBER($AV$240),$B$226=1),$AV$240,HLOOKUP(INDIRECT(ADDRESS(2,COLUMN())),OFFSET($BN$2,0,0,ROW()-1,60),ROW()-1,FALSE))</f>
        <v/>
      </c>
      <c r="AW18" t="str">
        <f ca="1">IF(AND(ISNUMBER($AW$240),$B$226=1),$AW$240,HLOOKUP(INDIRECT(ADDRESS(2,COLUMN())),OFFSET($BN$2,0,0,ROW()-1,60),ROW()-1,FALSE))</f>
        <v/>
      </c>
      <c r="AX18" t="str">
        <f ca="1">IF(AND(ISNUMBER($AX$240),$B$226=1),$AX$240,HLOOKUP(INDIRECT(ADDRESS(2,COLUMN())),OFFSET($BN$2,0,0,ROW()-1,60),ROW()-1,FALSE))</f>
        <v/>
      </c>
      <c r="AY18" t="str">
        <f ca="1">IF(AND(ISNUMBER($AY$240),$B$226=1),$AY$240,HLOOKUP(INDIRECT(ADDRESS(2,COLUMN())),OFFSET($BN$2,0,0,ROW()-1,60),ROW()-1,FALSE))</f>
        <v/>
      </c>
      <c r="AZ18" t="str">
        <f ca="1">IF(AND(ISNUMBER($AZ$240),$B$226=1),$AZ$240,HLOOKUP(INDIRECT(ADDRESS(2,COLUMN())),OFFSET($BN$2,0,0,ROW()-1,60),ROW()-1,FALSE))</f>
        <v/>
      </c>
      <c r="BA18" t="str">
        <f ca="1">IF(AND(ISNUMBER($BA$240),$B$226=1),$BA$240,HLOOKUP(INDIRECT(ADDRESS(2,COLUMN())),OFFSET($BN$2,0,0,ROW()-1,60),ROW()-1,FALSE))</f>
        <v/>
      </c>
      <c r="BB18" t="str">
        <f ca="1">IF(AND(ISNUMBER($BB$240),$B$226=1),$BB$240,HLOOKUP(INDIRECT(ADDRESS(2,COLUMN())),OFFSET($BN$2,0,0,ROW()-1,60),ROW()-1,FALSE))</f>
        <v/>
      </c>
      <c r="BC18" t="str">
        <f ca="1">IF(AND(ISNUMBER($BC$240),$B$226=1),$BC$240,HLOOKUP(INDIRECT(ADDRESS(2,COLUMN())),OFFSET($BN$2,0,0,ROW()-1,60),ROW()-1,FALSE))</f>
        <v/>
      </c>
      <c r="BD18" t="str">
        <f ca="1">IF(AND(ISNUMBER($BD$240),$B$226=1),$BD$240,HLOOKUP(INDIRECT(ADDRESS(2,COLUMN())),OFFSET($BN$2,0,0,ROW()-1,60),ROW()-1,FALSE))</f>
        <v/>
      </c>
      <c r="BE18" t="str">
        <f ca="1">IF(AND(ISNUMBER($BE$240),$B$226=1),$BE$240,HLOOKUP(INDIRECT(ADDRESS(2,COLUMN())),OFFSET($BN$2,0,0,ROW()-1,60),ROW()-1,FALSE))</f>
        <v/>
      </c>
      <c r="BF18" t="str">
        <f ca="1">IF(AND(ISNUMBER($BF$240),$B$226=1),$BF$240,HLOOKUP(INDIRECT(ADDRESS(2,COLUMN())),OFFSET($BN$2,0,0,ROW()-1,60),ROW()-1,FALSE))</f>
        <v/>
      </c>
      <c r="BG18" t="str">
        <f ca="1">IF(AND(ISNUMBER($BG$240),$B$226=1),$BG$240,HLOOKUP(INDIRECT(ADDRESS(2,COLUMN())),OFFSET($BN$2,0,0,ROW()-1,60),ROW()-1,FALSE))</f>
        <v/>
      </c>
      <c r="BH18" t="str">
        <f ca="1">IF(AND(ISNUMBER($BH$240),$B$226=1),$BH$240,HLOOKUP(INDIRECT(ADDRESS(2,COLUMN())),OFFSET($BN$2,0,0,ROW()-1,60),ROW()-1,FALSE))</f>
        <v/>
      </c>
      <c r="BI18" t="str">
        <f ca="1">IF(AND(ISNUMBER($BI$240),$B$226=1),$BI$240,HLOOKUP(INDIRECT(ADDRESS(2,COLUMN())),OFFSET($BN$2,0,0,ROW()-1,60),ROW()-1,FALSE))</f>
        <v/>
      </c>
      <c r="BJ18" t="str">
        <f ca="1">IF(AND(ISNUMBER($BJ$240),$B$226=1),$BJ$240,HLOOKUP(INDIRECT(ADDRESS(2,COLUMN())),OFFSET($BN$2,0,0,ROW()-1,60),ROW()-1,FALSE))</f>
        <v/>
      </c>
      <c r="BK18" t="str">
        <f ca="1">IF(AND(ISNUMBER($BK$240),$B$226=1),$BK$240,HLOOKUP(INDIRECT(ADDRESS(2,COLUMN())),OFFSET($BN$2,0,0,ROW()-1,60),ROW()-1,FALSE))</f>
        <v/>
      </c>
      <c r="BL18" t="str">
        <f ca="1">IF(AND(ISNUMBER($BL$240),$B$226=1),$BL$240,HLOOKUP(INDIRECT(ADDRESS(2,COLUMN())),OFFSET($BN$2,0,0,ROW()-1,60),ROW()-1,FALSE))</f>
        <v/>
      </c>
      <c r="BM18" t="str">
        <f ca="1">IF(AND(ISNUMBER($BM$240),$B$226=1),$BM$240,HLOOKUP(INDIRECT(ADDRESS(2,COLUMN())),OFFSET($BN$2,0,0,ROW()-1,60),ROW()-1,FALSE))</f>
        <v/>
      </c>
      <c r="BN18" t="str">
        <f>""</f>
        <v/>
      </c>
      <c r="BO18" t="str">
        <f>""</f>
        <v/>
      </c>
      <c r="BP18" t="str">
        <f>""</f>
        <v/>
      </c>
      <c r="BQ18" t="str">
        <f>""</f>
        <v/>
      </c>
      <c r="BR18" t="str">
        <f>""</f>
        <v/>
      </c>
      <c r="BS18" t="str">
        <f>""</f>
        <v/>
      </c>
      <c r="BT18" t="str">
        <f>""</f>
        <v/>
      </c>
      <c r="BU18" t="str">
        <f>""</f>
        <v/>
      </c>
      <c r="BV18" t="str">
        <f>""</f>
        <v/>
      </c>
      <c r="BW18" t="str">
        <f>""</f>
        <v/>
      </c>
      <c r="BX18" t="str">
        <f>""</f>
        <v/>
      </c>
      <c r="BY18" t="str">
        <f>""</f>
        <v/>
      </c>
      <c r="BZ18" t="str">
        <f>""</f>
        <v/>
      </c>
      <c r="CA18" t="str">
        <f>""</f>
        <v/>
      </c>
      <c r="CB18" t="str">
        <f>""</f>
        <v/>
      </c>
      <c r="CC18" t="str">
        <f>""</f>
        <v/>
      </c>
      <c r="CD18" t="str">
        <f>""</f>
        <v/>
      </c>
      <c r="CE18" t="str">
        <f>""</f>
        <v/>
      </c>
      <c r="CF18" t="str">
        <f>""</f>
        <v/>
      </c>
      <c r="CG18" t="str">
        <f>""</f>
        <v/>
      </c>
      <c r="CH18" t="str">
        <f>""</f>
        <v/>
      </c>
      <c r="CI18" t="str">
        <f>""</f>
        <v/>
      </c>
      <c r="CJ18" t="str">
        <f>""</f>
        <v/>
      </c>
      <c r="CK18" t="str">
        <f>""</f>
        <v/>
      </c>
      <c r="CL18" t="str">
        <f>""</f>
        <v/>
      </c>
      <c r="CM18" t="str">
        <f>""</f>
        <v/>
      </c>
      <c r="CN18" t="str">
        <f>""</f>
        <v/>
      </c>
      <c r="CO18" t="str">
        <f>""</f>
        <v/>
      </c>
      <c r="CP18" t="str">
        <f>""</f>
        <v/>
      </c>
      <c r="CQ18" t="str">
        <f>""</f>
        <v/>
      </c>
      <c r="CR18" t="str">
        <f>""</f>
        <v/>
      </c>
      <c r="CS18" t="str">
        <f>""</f>
        <v/>
      </c>
      <c r="CT18" t="str">
        <f>""</f>
        <v/>
      </c>
      <c r="CU18" t="str">
        <f>""</f>
        <v/>
      </c>
      <c r="CV18" t="str">
        <f>""</f>
        <v/>
      </c>
      <c r="CW18" t="str">
        <f>""</f>
        <v/>
      </c>
      <c r="CX18" t="str">
        <f>""</f>
        <v/>
      </c>
      <c r="CY18" t="str">
        <f>""</f>
        <v/>
      </c>
      <c r="CZ18" t="str">
        <f>""</f>
        <v/>
      </c>
      <c r="DA18" t="str">
        <f>""</f>
        <v/>
      </c>
      <c r="DB18" t="str">
        <f>""</f>
        <v/>
      </c>
      <c r="DC18" t="str">
        <f>""</f>
        <v/>
      </c>
      <c r="DD18" t="str">
        <f>""</f>
        <v/>
      </c>
      <c r="DE18" t="str">
        <f>""</f>
        <v/>
      </c>
      <c r="DF18" t="str">
        <f>""</f>
        <v/>
      </c>
      <c r="DG18" t="str">
        <f>""</f>
        <v/>
      </c>
      <c r="DH18" t="str">
        <f>""</f>
        <v/>
      </c>
      <c r="DI18" t="str">
        <f>""</f>
        <v/>
      </c>
      <c r="DJ18" t="str">
        <f>""</f>
        <v/>
      </c>
      <c r="DK18" t="str">
        <f>""</f>
        <v/>
      </c>
      <c r="DL18" t="str">
        <f>""</f>
        <v/>
      </c>
      <c r="DM18" t="str">
        <f>""</f>
        <v/>
      </c>
      <c r="DN18" t="str">
        <f>""</f>
        <v/>
      </c>
      <c r="DO18" t="str">
        <f>""</f>
        <v/>
      </c>
      <c r="DP18" t="str">
        <f>""</f>
        <v/>
      </c>
      <c r="DQ18" t="str">
        <f>""</f>
        <v/>
      </c>
      <c r="DR18" t="str">
        <f>""</f>
        <v/>
      </c>
      <c r="DS18" t="str">
        <f>""</f>
        <v/>
      </c>
      <c r="DT18" t="str">
        <f>""</f>
        <v/>
      </c>
      <c r="DU18" t="str">
        <f>""</f>
        <v/>
      </c>
    </row>
    <row r="19" spans="1:125">
      <c r="A19" t="str">
        <f>"    Essex Property Trust Inc"</f>
        <v xml:space="preserve">    Essex Property Trust Inc</v>
      </c>
      <c r="B19" t="str">
        <f>"ESS US Equity"</f>
        <v>ESS US Equity</v>
      </c>
      <c r="C19" t="str">
        <f t="shared" si="3"/>
        <v>IM275</v>
      </c>
      <c r="D19" t="str">
        <f t="shared" si="4"/>
        <v>IS_OTHER_RENTAL_INCOME</v>
      </c>
      <c r="E19" t="str">
        <f t="shared" si="5"/>
        <v>动态</v>
      </c>
      <c r="F19" t="str">
        <f ca="1">IF(AND(ISNUMBER($F$241),$B$226=1),$F$241,HLOOKUP(INDIRECT(ADDRESS(2,COLUMN())),OFFSET($BN$2,0,0,ROW()-1,60),ROW()-1,FALSE))</f>
        <v/>
      </c>
      <c r="G19" t="str">
        <f ca="1">IF(AND(ISNUMBER($G$241),$B$226=1),$G$241,HLOOKUP(INDIRECT(ADDRESS(2,COLUMN())),OFFSET($BN$2,0,0,ROW()-1,60),ROW()-1,FALSE))</f>
        <v/>
      </c>
      <c r="H19" t="str">
        <f ca="1">IF(AND(ISNUMBER($H$241),$B$226=1),$H$241,HLOOKUP(INDIRECT(ADDRESS(2,COLUMN())),OFFSET($BN$2,0,0,ROW()-1,60),ROW()-1,FALSE))</f>
        <v/>
      </c>
      <c r="I19" t="str">
        <f ca="1">IF(AND(ISNUMBER($I$241),$B$226=1),$I$241,HLOOKUP(INDIRECT(ADDRESS(2,COLUMN())),OFFSET($BN$2,0,0,ROW()-1,60),ROW()-1,FALSE))</f>
        <v/>
      </c>
      <c r="J19" t="str">
        <f ca="1">IF(AND(ISNUMBER($J$241),$B$226=1),$J$241,HLOOKUP(INDIRECT(ADDRESS(2,COLUMN())),OFFSET($BN$2,0,0,ROW()-1,60),ROW()-1,FALSE))</f>
        <v/>
      </c>
      <c r="K19" t="str">
        <f ca="1">IF(AND(ISNUMBER($K$241),$B$226=1),$K$241,HLOOKUP(INDIRECT(ADDRESS(2,COLUMN())),OFFSET($BN$2,0,0,ROW()-1,60),ROW()-1,FALSE))</f>
        <v/>
      </c>
      <c r="L19" t="str">
        <f ca="1">IF(AND(ISNUMBER($L$241),$B$226=1),$L$241,HLOOKUP(INDIRECT(ADDRESS(2,COLUMN())),OFFSET($BN$2,0,0,ROW()-1,60),ROW()-1,FALSE))</f>
        <v/>
      </c>
      <c r="M19" t="str">
        <f ca="1">IF(AND(ISNUMBER($M$241),$B$226=1),$M$241,HLOOKUP(INDIRECT(ADDRESS(2,COLUMN())),OFFSET($BN$2,0,0,ROW()-1,60),ROW()-1,FALSE))</f>
        <v/>
      </c>
      <c r="N19" t="str">
        <f ca="1">IF(AND(ISNUMBER($N$241),$B$226=1),$N$241,HLOOKUP(INDIRECT(ADDRESS(2,COLUMN())),OFFSET($BN$2,0,0,ROW()-1,60),ROW()-1,FALSE))</f>
        <v/>
      </c>
      <c r="O19" t="str">
        <f ca="1">IF(AND(ISNUMBER($O$241),$B$226=1),$O$241,HLOOKUP(INDIRECT(ADDRESS(2,COLUMN())),OFFSET($BN$2,0,0,ROW()-1,60),ROW()-1,FALSE))</f>
        <v/>
      </c>
      <c r="P19" t="str">
        <f ca="1">IF(AND(ISNUMBER($P$241),$B$226=1),$P$241,HLOOKUP(INDIRECT(ADDRESS(2,COLUMN())),OFFSET($BN$2,0,0,ROW()-1,60),ROW()-1,FALSE))</f>
        <v/>
      </c>
      <c r="Q19" t="str">
        <f ca="1">IF(AND(ISNUMBER($Q$241),$B$226=1),$Q$241,HLOOKUP(INDIRECT(ADDRESS(2,COLUMN())),OFFSET($BN$2,0,0,ROW()-1,60),ROW()-1,FALSE))</f>
        <v/>
      </c>
      <c r="R19" t="str">
        <f ca="1">IF(AND(ISNUMBER($R$241),$B$226=1),$R$241,HLOOKUP(INDIRECT(ADDRESS(2,COLUMN())),OFFSET($BN$2,0,0,ROW()-1,60),ROW()-1,FALSE))</f>
        <v/>
      </c>
      <c r="S19" t="str">
        <f ca="1">IF(AND(ISNUMBER($S$241),$B$226=1),$S$241,HLOOKUP(INDIRECT(ADDRESS(2,COLUMN())),OFFSET($BN$2,0,0,ROW()-1,60),ROW()-1,FALSE))</f>
        <v/>
      </c>
      <c r="T19" t="str">
        <f ca="1">IF(AND(ISNUMBER($T$241),$B$226=1),$T$241,HLOOKUP(INDIRECT(ADDRESS(2,COLUMN())),OFFSET($BN$2,0,0,ROW()-1,60),ROW()-1,FALSE))</f>
        <v/>
      </c>
      <c r="U19" t="str">
        <f ca="1">IF(AND(ISNUMBER($U$241),$B$226=1),$U$241,HLOOKUP(INDIRECT(ADDRESS(2,COLUMN())),OFFSET($BN$2,0,0,ROW()-1,60),ROW()-1,FALSE))</f>
        <v/>
      </c>
      <c r="V19" t="str">
        <f ca="1">IF(AND(ISNUMBER($V$241),$B$226=1),$V$241,HLOOKUP(INDIRECT(ADDRESS(2,COLUMN())),OFFSET($BN$2,0,0,ROW()-1,60),ROW()-1,FALSE))</f>
        <v/>
      </c>
      <c r="W19" t="str">
        <f ca="1">IF(AND(ISNUMBER($W$241),$B$226=1),$W$241,HLOOKUP(INDIRECT(ADDRESS(2,COLUMN())),OFFSET($BN$2,0,0,ROW()-1,60),ROW()-1,FALSE))</f>
        <v/>
      </c>
      <c r="X19" t="str">
        <f ca="1">IF(AND(ISNUMBER($X$241),$B$226=1),$X$241,HLOOKUP(INDIRECT(ADDRESS(2,COLUMN())),OFFSET($BN$2,0,0,ROW()-1,60),ROW()-1,FALSE))</f>
        <v/>
      </c>
      <c r="Y19" t="str">
        <f ca="1">IF(AND(ISNUMBER($Y$241),$B$226=1),$Y$241,HLOOKUP(INDIRECT(ADDRESS(2,COLUMN())),OFFSET($BN$2,0,0,ROW()-1,60),ROW()-1,FALSE))</f>
        <v/>
      </c>
      <c r="Z19" t="str">
        <f ca="1">IF(AND(ISNUMBER($Z$241),$B$226=1),$Z$241,HLOOKUP(INDIRECT(ADDRESS(2,COLUMN())),OFFSET($BN$2,0,0,ROW()-1,60),ROW()-1,FALSE))</f>
        <v/>
      </c>
      <c r="AA19" t="str">
        <f ca="1">IF(AND(ISNUMBER($AA$241),$B$226=1),$AA$241,HLOOKUP(INDIRECT(ADDRESS(2,COLUMN())),OFFSET($BN$2,0,0,ROW()-1,60),ROW()-1,FALSE))</f>
        <v/>
      </c>
      <c r="AB19" t="str">
        <f ca="1">IF(AND(ISNUMBER($AB$241),$B$226=1),$AB$241,HLOOKUP(INDIRECT(ADDRESS(2,COLUMN())),OFFSET($BN$2,0,0,ROW()-1,60),ROW()-1,FALSE))</f>
        <v/>
      </c>
      <c r="AC19" t="str">
        <f ca="1">IF(AND(ISNUMBER($AC$241),$B$226=1),$AC$241,HLOOKUP(INDIRECT(ADDRESS(2,COLUMN())),OFFSET($BN$2,0,0,ROW()-1,60),ROW()-1,FALSE))</f>
        <v/>
      </c>
      <c r="AD19" t="str">
        <f ca="1">IF(AND(ISNUMBER($AD$241),$B$226=1),$AD$241,HLOOKUP(INDIRECT(ADDRESS(2,COLUMN())),OFFSET($BN$2,0,0,ROW()-1,60),ROW()-1,FALSE))</f>
        <v/>
      </c>
      <c r="AE19" t="str">
        <f ca="1">IF(AND(ISNUMBER($AE$241),$B$226=1),$AE$241,HLOOKUP(INDIRECT(ADDRESS(2,COLUMN())),OFFSET($BN$2,0,0,ROW()-1,60),ROW()-1,FALSE))</f>
        <v/>
      </c>
      <c r="AF19" t="str">
        <f ca="1">IF(AND(ISNUMBER($AF$241),$B$226=1),$AF$241,HLOOKUP(INDIRECT(ADDRESS(2,COLUMN())),OFFSET($BN$2,0,0,ROW()-1,60),ROW()-1,FALSE))</f>
        <v/>
      </c>
      <c r="AG19" t="str">
        <f ca="1">IF(AND(ISNUMBER($AG$241),$B$226=1),$AG$241,HLOOKUP(INDIRECT(ADDRESS(2,COLUMN())),OFFSET($BN$2,0,0,ROW()-1,60),ROW()-1,FALSE))</f>
        <v/>
      </c>
      <c r="AH19" t="str">
        <f ca="1">IF(AND(ISNUMBER($AH$241),$B$226=1),$AH$241,HLOOKUP(INDIRECT(ADDRESS(2,COLUMN())),OFFSET($BN$2,0,0,ROW()-1,60),ROW()-1,FALSE))</f>
        <v/>
      </c>
      <c r="AI19" t="str">
        <f ca="1">IF(AND(ISNUMBER($AI$241),$B$226=1),$AI$241,HLOOKUP(INDIRECT(ADDRESS(2,COLUMN())),OFFSET($BN$2,0,0,ROW()-1,60),ROW()-1,FALSE))</f>
        <v/>
      </c>
      <c r="AJ19" t="str">
        <f ca="1">IF(AND(ISNUMBER($AJ$241),$B$226=1),$AJ$241,HLOOKUP(INDIRECT(ADDRESS(2,COLUMN())),OFFSET($BN$2,0,0,ROW()-1,60),ROW()-1,FALSE))</f>
        <v/>
      </c>
      <c r="AK19" t="str">
        <f ca="1">IF(AND(ISNUMBER($AK$241),$B$226=1),$AK$241,HLOOKUP(INDIRECT(ADDRESS(2,COLUMN())),OFFSET($BN$2,0,0,ROW()-1,60),ROW()-1,FALSE))</f>
        <v/>
      </c>
      <c r="AL19" t="str">
        <f ca="1">IF(AND(ISNUMBER($AL$241),$B$226=1),$AL$241,HLOOKUP(INDIRECT(ADDRESS(2,COLUMN())),OFFSET($BN$2,0,0,ROW()-1,60),ROW()-1,FALSE))</f>
        <v/>
      </c>
      <c r="AM19" t="str">
        <f ca="1">IF(AND(ISNUMBER($AM$241),$B$226=1),$AM$241,HLOOKUP(INDIRECT(ADDRESS(2,COLUMN())),OFFSET($BN$2,0,0,ROW()-1,60),ROW()-1,FALSE))</f>
        <v/>
      </c>
      <c r="AN19" t="str">
        <f ca="1">IF(AND(ISNUMBER($AN$241),$B$226=1),$AN$241,HLOOKUP(INDIRECT(ADDRESS(2,COLUMN())),OFFSET($BN$2,0,0,ROW()-1,60),ROW()-1,FALSE))</f>
        <v/>
      </c>
      <c r="AO19" t="str">
        <f ca="1">IF(AND(ISNUMBER($AO$241),$B$226=1),$AO$241,HLOOKUP(INDIRECT(ADDRESS(2,COLUMN())),OFFSET($BN$2,0,0,ROW()-1,60),ROW()-1,FALSE))</f>
        <v/>
      </c>
      <c r="AP19" t="str">
        <f ca="1">IF(AND(ISNUMBER($AP$241),$B$226=1),$AP$241,HLOOKUP(INDIRECT(ADDRESS(2,COLUMN())),OFFSET($BN$2,0,0,ROW()-1,60),ROW()-1,FALSE))</f>
        <v/>
      </c>
      <c r="AQ19" t="str">
        <f ca="1">IF(AND(ISNUMBER($AQ$241),$B$226=1),$AQ$241,HLOOKUP(INDIRECT(ADDRESS(2,COLUMN())),OFFSET($BN$2,0,0,ROW()-1,60),ROW()-1,FALSE))</f>
        <v/>
      </c>
      <c r="AR19" t="str">
        <f ca="1">IF(AND(ISNUMBER($AR$241),$B$226=1),$AR$241,HLOOKUP(INDIRECT(ADDRESS(2,COLUMN())),OFFSET($BN$2,0,0,ROW()-1,60),ROW()-1,FALSE))</f>
        <v/>
      </c>
      <c r="AS19" t="str">
        <f ca="1">IF(AND(ISNUMBER($AS$241),$B$226=1),$AS$241,HLOOKUP(INDIRECT(ADDRESS(2,COLUMN())),OFFSET($BN$2,0,0,ROW()-1,60),ROW()-1,FALSE))</f>
        <v/>
      </c>
      <c r="AT19" t="str">
        <f ca="1">IF(AND(ISNUMBER($AT$241),$B$226=1),$AT$241,HLOOKUP(INDIRECT(ADDRESS(2,COLUMN())),OFFSET($BN$2,0,0,ROW()-1,60),ROW()-1,FALSE))</f>
        <v/>
      </c>
      <c r="AU19" t="str">
        <f ca="1">IF(AND(ISNUMBER($AU$241),$B$226=1),$AU$241,HLOOKUP(INDIRECT(ADDRESS(2,COLUMN())),OFFSET($BN$2,0,0,ROW()-1,60),ROW()-1,FALSE))</f>
        <v/>
      </c>
      <c r="AV19" t="str">
        <f ca="1">IF(AND(ISNUMBER($AV$241),$B$226=1),$AV$241,HLOOKUP(INDIRECT(ADDRESS(2,COLUMN())),OFFSET($BN$2,0,0,ROW()-1,60),ROW()-1,FALSE))</f>
        <v/>
      </c>
      <c r="AW19" t="str">
        <f ca="1">IF(AND(ISNUMBER($AW$241),$B$226=1),$AW$241,HLOOKUP(INDIRECT(ADDRESS(2,COLUMN())),OFFSET($BN$2,0,0,ROW()-1,60),ROW()-1,FALSE))</f>
        <v/>
      </c>
      <c r="AX19" t="str">
        <f ca="1">IF(AND(ISNUMBER($AX$241),$B$226=1),$AX$241,HLOOKUP(INDIRECT(ADDRESS(2,COLUMN())),OFFSET($BN$2,0,0,ROW()-1,60),ROW()-1,FALSE))</f>
        <v/>
      </c>
      <c r="AY19" t="str">
        <f ca="1">IF(AND(ISNUMBER($AY$241),$B$226=1),$AY$241,HLOOKUP(INDIRECT(ADDRESS(2,COLUMN())),OFFSET($BN$2,0,0,ROW()-1,60),ROW()-1,FALSE))</f>
        <v/>
      </c>
      <c r="AZ19" t="str">
        <f ca="1">IF(AND(ISNUMBER($AZ$241),$B$226=1),$AZ$241,HLOOKUP(INDIRECT(ADDRESS(2,COLUMN())),OFFSET($BN$2,0,0,ROW()-1,60),ROW()-1,FALSE))</f>
        <v/>
      </c>
      <c r="BA19" t="str">
        <f ca="1">IF(AND(ISNUMBER($BA$241),$B$226=1),$BA$241,HLOOKUP(INDIRECT(ADDRESS(2,COLUMN())),OFFSET($BN$2,0,0,ROW()-1,60),ROW()-1,FALSE))</f>
        <v/>
      </c>
      <c r="BB19" t="str">
        <f ca="1">IF(AND(ISNUMBER($BB$241),$B$226=1),$BB$241,HLOOKUP(INDIRECT(ADDRESS(2,COLUMN())),OFFSET($BN$2,0,0,ROW()-1,60),ROW()-1,FALSE))</f>
        <v/>
      </c>
      <c r="BC19" t="str">
        <f ca="1">IF(AND(ISNUMBER($BC$241),$B$226=1),$BC$241,HLOOKUP(INDIRECT(ADDRESS(2,COLUMN())),OFFSET($BN$2,0,0,ROW()-1,60),ROW()-1,FALSE))</f>
        <v/>
      </c>
      <c r="BD19" t="str">
        <f ca="1">IF(AND(ISNUMBER($BD$241),$B$226=1),$BD$241,HLOOKUP(INDIRECT(ADDRESS(2,COLUMN())),OFFSET($BN$2,0,0,ROW()-1,60),ROW()-1,FALSE))</f>
        <v/>
      </c>
      <c r="BE19" t="str">
        <f ca="1">IF(AND(ISNUMBER($BE$241),$B$226=1),$BE$241,HLOOKUP(INDIRECT(ADDRESS(2,COLUMN())),OFFSET($BN$2,0,0,ROW()-1,60),ROW()-1,FALSE))</f>
        <v/>
      </c>
      <c r="BF19" t="str">
        <f ca="1">IF(AND(ISNUMBER($BF$241),$B$226=1),$BF$241,HLOOKUP(INDIRECT(ADDRESS(2,COLUMN())),OFFSET($BN$2,0,0,ROW()-1,60),ROW()-1,FALSE))</f>
        <v/>
      </c>
      <c r="BG19" t="str">
        <f ca="1">IF(AND(ISNUMBER($BG$241),$B$226=1),$BG$241,HLOOKUP(INDIRECT(ADDRESS(2,COLUMN())),OFFSET($BN$2,0,0,ROW()-1,60),ROW()-1,FALSE))</f>
        <v/>
      </c>
      <c r="BH19" t="str">
        <f ca="1">IF(AND(ISNUMBER($BH$241),$B$226=1),$BH$241,HLOOKUP(INDIRECT(ADDRESS(2,COLUMN())),OFFSET($BN$2,0,0,ROW()-1,60),ROW()-1,FALSE))</f>
        <v/>
      </c>
      <c r="BI19" t="str">
        <f ca="1">IF(AND(ISNUMBER($BI$241),$B$226=1),$BI$241,HLOOKUP(INDIRECT(ADDRESS(2,COLUMN())),OFFSET($BN$2,0,0,ROW()-1,60),ROW()-1,FALSE))</f>
        <v/>
      </c>
      <c r="BJ19" t="str">
        <f ca="1">IF(AND(ISNUMBER($BJ$241),$B$226=1),$BJ$241,HLOOKUP(INDIRECT(ADDRESS(2,COLUMN())),OFFSET($BN$2,0,0,ROW()-1,60),ROW()-1,FALSE))</f>
        <v/>
      </c>
      <c r="BK19" t="str">
        <f ca="1">IF(AND(ISNUMBER($BK$241),$B$226=1),$BK$241,HLOOKUP(INDIRECT(ADDRESS(2,COLUMN())),OFFSET($BN$2,0,0,ROW()-1,60),ROW()-1,FALSE))</f>
        <v/>
      </c>
      <c r="BL19" t="str">
        <f ca="1">IF(AND(ISNUMBER($BL$241),$B$226=1),$BL$241,HLOOKUP(INDIRECT(ADDRESS(2,COLUMN())),OFFSET($BN$2,0,0,ROW()-1,60),ROW()-1,FALSE))</f>
        <v/>
      </c>
      <c r="BM19" t="str">
        <f ca="1">IF(AND(ISNUMBER($BM$241),$B$226=1),$BM$241,HLOOKUP(INDIRECT(ADDRESS(2,COLUMN())),OFFSET($BN$2,0,0,ROW()-1,60),ROW()-1,FALSE))</f>
        <v/>
      </c>
      <c r="BN19" t="str">
        <f>""</f>
        <v/>
      </c>
      <c r="BO19" t="str">
        <f>""</f>
        <v/>
      </c>
      <c r="BP19" t="str">
        <f>""</f>
        <v/>
      </c>
      <c r="BQ19" t="str">
        <f>""</f>
        <v/>
      </c>
      <c r="BR19" t="str">
        <f>""</f>
        <v/>
      </c>
      <c r="BS19" t="str">
        <f>""</f>
        <v/>
      </c>
      <c r="BT19" t="str">
        <f>""</f>
        <v/>
      </c>
      <c r="BU19" t="str">
        <f>""</f>
        <v/>
      </c>
      <c r="BV19" t="str">
        <f>""</f>
        <v/>
      </c>
      <c r="BW19" t="str">
        <f>""</f>
        <v/>
      </c>
      <c r="BX19" t="str">
        <f>""</f>
        <v/>
      </c>
      <c r="BY19" t="str">
        <f>""</f>
        <v/>
      </c>
      <c r="BZ19" t="str">
        <f>""</f>
        <v/>
      </c>
      <c r="CA19" t="str">
        <f>""</f>
        <v/>
      </c>
      <c r="CB19" t="str">
        <f>""</f>
        <v/>
      </c>
      <c r="CC19" t="str">
        <f>""</f>
        <v/>
      </c>
      <c r="CD19" t="str">
        <f>""</f>
        <v/>
      </c>
      <c r="CE19" t="str">
        <f>""</f>
        <v/>
      </c>
      <c r="CF19" t="str">
        <f>""</f>
        <v/>
      </c>
      <c r="CG19" t="str">
        <f>""</f>
        <v/>
      </c>
      <c r="CH19" t="str">
        <f>""</f>
        <v/>
      </c>
      <c r="CI19" t="str">
        <f>""</f>
        <v/>
      </c>
      <c r="CJ19" t="str">
        <f>""</f>
        <v/>
      </c>
      <c r="CK19" t="str">
        <f>""</f>
        <v/>
      </c>
      <c r="CL19" t="str">
        <f>""</f>
        <v/>
      </c>
      <c r="CM19" t="str">
        <f>""</f>
        <v/>
      </c>
      <c r="CN19" t="str">
        <f>""</f>
        <v/>
      </c>
      <c r="CO19" t="str">
        <f>""</f>
        <v/>
      </c>
      <c r="CP19" t="str">
        <f>""</f>
        <v/>
      </c>
      <c r="CQ19" t="str">
        <f>""</f>
        <v/>
      </c>
      <c r="CR19" t="str">
        <f>""</f>
        <v/>
      </c>
      <c r="CS19" t="str">
        <f>""</f>
        <v/>
      </c>
      <c r="CT19" t="str">
        <f>""</f>
        <v/>
      </c>
      <c r="CU19" t="str">
        <f>""</f>
        <v/>
      </c>
      <c r="CV19" t="str">
        <f>""</f>
        <v/>
      </c>
      <c r="CW19" t="str">
        <f>""</f>
        <v/>
      </c>
      <c r="CX19" t="str">
        <f>""</f>
        <v/>
      </c>
      <c r="CY19" t="str">
        <f>""</f>
        <v/>
      </c>
      <c r="CZ19" t="str">
        <f>""</f>
        <v/>
      </c>
      <c r="DA19" t="str">
        <f>""</f>
        <v/>
      </c>
      <c r="DB19" t="str">
        <f>""</f>
        <v/>
      </c>
      <c r="DC19" t="str">
        <f>""</f>
        <v/>
      </c>
      <c r="DD19" t="str">
        <f>""</f>
        <v/>
      </c>
      <c r="DE19" t="str">
        <f>""</f>
        <v/>
      </c>
      <c r="DF19" t="str">
        <f>""</f>
        <v/>
      </c>
      <c r="DG19" t="str">
        <f>""</f>
        <v/>
      </c>
      <c r="DH19" t="str">
        <f>""</f>
        <v/>
      </c>
      <c r="DI19" t="str">
        <f>""</f>
        <v/>
      </c>
      <c r="DJ19" t="str">
        <f>""</f>
        <v/>
      </c>
      <c r="DK19" t="str">
        <f>""</f>
        <v/>
      </c>
      <c r="DL19" t="str">
        <f>""</f>
        <v/>
      </c>
      <c r="DM19" t="str">
        <f>""</f>
        <v/>
      </c>
      <c r="DN19" t="str">
        <f>""</f>
        <v/>
      </c>
      <c r="DO19" t="str">
        <f>""</f>
        <v/>
      </c>
      <c r="DP19" t="str">
        <f>""</f>
        <v/>
      </c>
      <c r="DQ19" t="str">
        <f>""</f>
        <v/>
      </c>
      <c r="DR19" t="str">
        <f>""</f>
        <v/>
      </c>
      <c r="DS19" t="str">
        <f>""</f>
        <v/>
      </c>
      <c r="DT19" t="str">
        <f>""</f>
        <v/>
      </c>
      <c r="DU19" t="str">
        <f>""</f>
        <v/>
      </c>
    </row>
    <row r="20" spans="1:125">
      <c r="A20" t="str">
        <f>"    Mid-America Apartment Communit"</f>
        <v xml:space="preserve">    Mid-America Apartment Communit</v>
      </c>
      <c r="B20" t="str">
        <f>"MAA US Equity"</f>
        <v>MAA US Equity</v>
      </c>
      <c r="C20" t="str">
        <f t="shared" si="3"/>
        <v>IM275</v>
      </c>
      <c r="D20" t="str">
        <f t="shared" si="4"/>
        <v>IS_OTHER_RENTAL_INCOME</v>
      </c>
      <c r="E20" t="str">
        <f t="shared" si="5"/>
        <v>动态</v>
      </c>
      <c r="F20" t="str">
        <f ca="1">IF(AND(ISNUMBER($F$242),$B$226=1),$F$242,HLOOKUP(INDIRECT(ADDRESS(2,COLUMN())),OFFSET($BN$2,0,0,ROW()-1,60),ROW()-1,FALSE))</f>
        <v/>
      </c>
      <c r="G20" t="str">
        <f ca="1">IF(AND(ISNUMBER($G$242),$B$226=1),$G$242,HLOOKUP(INDIRECT(ADDRESS(2,COLUMN())),OFFSET($BN$2,0,0,ROW()-1,60),ROW()-1,FALSE))</f>
        <v/>
      </c>
      <c r="H20" t="str">
        <f ca="1">IF(AND(ISNUMBER($H$242),$B$226=1),$H$242,HLOOKUP(INDIRECT(ADDRESS(2,COLUMN())),OFFSET($BN$2,0,0,ROW()-1,60),ROW()-1,FALSE))</f>
        <v/>
      </c>
      <c r="I20" t="str">
        <f ca="1">IF(AND(ISNUMBER($I$242),$B$226=1),$I$242,HLOOKUP(INDIRECT(ADDRESS(2,COLUMN())),OFFSET($BN$2,0,0,ROW()-1,60),ROW()-1,FALSE))</f>
        <v/>
      </c>
      <c r="J20" t="str">
        <f ca="1">IF(AND(ISNUMBER($J$242),$B$226=1),$J$242,HLOOKUP(INDIRECT(ADDRESS(2,COLUMN())),OFFSET($BN$2,0,0,ROW()-1,60),ROW()-1,FALSE))</f>
        <v/>
      </c>
      <c r="K20" t="str">
        <f ca="1">IF(AND(ISNUMBER($K$242),$B$226=1),$K$242,HLOOKUP(INDIRECT(ADDRESS(2,COLUMN())),OFFSET($BN$2,0,0,ROW()-1,60),ROW()-1,FALSE))</f>
        <v/>
      </c>
      <c r="L20" t="str">
        <f ca="1">IF(AND(ISNUMBER($L$242),$B$226=1),$L$242,HLOOKUP(INDIRECT(ADDRESS(2,COLUMN())),OFFSET($BN$2,0,0,ROW()-1,60),ROW()-1,FALSE))</f>
        <v/>
      </c>
      <c r="M20" t="str">
        <f ca="1">IF(AND(ISNUMBER($M$242),$B$226=1),$M$242,HLOOKUP(INDIRECT(ADDRESS(2,COLUMN())),OFFSET($BN$2,0,0,ROW()-1,60),ROW()-1,FALSE))</f>
        <v/>
      </c>
      <c r="N20" t="str">
        <f ca="1">IF(AND(ISNUMBER($N$242),$B$226=1),$N$242,HLOOKUP(INDIRECT(ADDRESS(2,COLUMN())),OFFSET($BN$2,0,0,ROW()-1,60),ROW()-1,FALSE))</f>
        <v/>
      </c>
      <c r="O20" t="str">
        <f ca="1">IF(AND(ISNUMBER($O$242),$B$226=1),$O$242,HLOOKUP(INDIRECT(ADDRESS(2,COLUMN())),OFFSET($BN$2,0,0,ROW()-1,60),ROW()-1,FALSE))</f>
        <v/>
      </c>
      <c r="P20" t="str">
        <f ca="1">IF(AND(ISNUMBER($P$242),$B$226=1),$P$242,HLOOKUP(INDIRECT(ADDRESS(2,COLUMN())),OFFSET($BN$2,0,0,ROW()-1,60),ROW()-1,FALSE))</f>
        <v/>
      </c>
      <c r="Q20" t="str">
        <f ca="1">IF(AND(ISNUMBER($Q$242),$B$226=1),$Q$242,HLOOKUP(INDIRECT(ADDRESS(2,COLUMN())),OFFSET($BN$2,0,0,ROW()-1,60),ROW()-1,FALSE))</f>
        <v/>
      </c>
      <c r="R20" t="str">
        <f ca="1">IF(AND(ISNUMBER($R$242),$B$226=1),$R$242,HLOOKUP(INDIRECT(ADDRESS(2,COLUMN())),OFFSET($BN$2,0,0,ROW()-1,60),ROW()-1,FALSE))</f>
        <v/>
      </c>
      <c r="S20" t="str">
        <f ca="1">IF(AND(ISNUMBER($S$242),$B$226=1),$S$242,HLOOKUP(INDIRECT(ADDRESS(2,COLUMN())),OFFSET($BN$2,0,0,ROW()-1,60),ROW()-1,FALSE))</f>
        <v/>
      </c>
      <c r="T20" t="str">
        <f ca="1">IF(AND(ISNUMBER($T$242),$B$226=1),$T$242,HLOOKUP(INDIRECT(ADDRESS(2,COLUMN())),OFFSET($BN$2,0,0,ROW()-1,60),ROW()-1,FALSE))</f>
        <v/>
      </c>
      <c r="U20" t="str">
        <f ca="1">IF(AND(ISNUMBER($U$242),$B$226=1),$U$242,HLOOKUP(INDIRECT(ADDRESS(2,COLUMN())),OFFSET($BN$2,0,0,ROW()-1,60),ROW()-1,FALSE))</f>
        <v/>
      </c>
      <c r="V20" t="str">
        <f ca="1">IF(AND(ISNUMBER($V$242),$B$226=1),$V$242,HLOOKUP(INDIRECT(ADDRESS(2,COLUMN())),OFFSET($BN$2,0,0,ROW()-1,60),ROW()-1,FALSE))</f>
        <v/>
      </c>
      <c r="W20" t="str">
        <f ca="1">IF(AND(ISNUMBER($W$242),$B$226=1),$W$242,HLOOKUP(INDIRECT(ADDRESS(2,COLUMN())),OFFSET($BN$2,0,0,ROW()-1,60),ROW()-1,FALSE))</f>
        <v/>
      </c>
      <c r="X20" t="str">
        <f ca="1">IF(AND(ISNUMBER($X$242),$B$226=1),$X$242,HLOOKUP(INDIRECT(ADDRESS(2,COLUMN())),OFFSET($BN$2,0,0,ROW()-1,60),ROW()-1,FALSE))</f>
        <v/>
      </c>
      <c r="Y20" t="str">
        <f ca="1">IF(AND(ISNUMBER($Y$242),$B$226=1),$Y$242,HLOOKUP(INDIRECT(ADDRESS(2,COLUMN())),OFFSET($BN$2,0,0,ROW()-1,60),ROW()-1,FALSE))</f>
        <v/>
      </c>
      <c r="Z20" t="str">
        <f ca="1">IF(AND(ISNUMBER($Z$242),$B$226=1),$Z$242,HLOOKUP(INDIRECT(ADDRESS(2,COLUMN())),OFFSET($BN$2,0,0,ROW()-1,60),ROW()-1,FALSE))</f>
        <v/>
      </c>
      <c r="AA20" t="str">
        <f ca="1">IF(AND(ISNUMBER($AA$242),$B$226=1),$AA$242,HLOOKUP(INDIRECT(ADDRESS(2,COLUMN())),OFFSET($BN$2,0,0,ROW()-1,60),ROW()-1,FALSE))</f>
        <v/>
      </c>
      <c r="AB20" t="str">
        <f ca="1">IF(AND(ISNUMBER($AB$242),$B$226=1),$AB$242,HLOOKUP(INDIRECT(ADDRESS(2,COLUMN())),OFFSET($BN$2,0,0,ROW()-1,60),ROW()-1,FALSE))</f>
        <v/>
      </c>
      <c r="AC20" t="str">
        <f ca="1">IF(AND(ISNUMBER($AC$242),$B$226=1),$AC$242,HLOOKUP(INDIRECT(ADDRESS(2,COLUMN())),OFFSET($BN$2,0,0,ROW()-1,60),ROW()-1,FALSE))</f>
        <v/>
      </c>
      <c r="AD20" t="str">
        <f ca="1">IF(AND(ISNUMBER($AD$242),$B$226=1),$AD$242,HLOOKUP(INDIRECT(ADDRESS(2,COLUMN())),OFFSET($BN$2,0,0,ROW()-1,60),ROW()-1,FALSE))</f>
        <v/>
      </c>
      <c r="AE20" t="str">
        <f ca="1">IF(AND(ISNUMBER($AE$242),$B$226=1),$AE$242,HLOOKUP(INDIRECT(ADDRESS(2,COLUMN())),OFFSET($BN$2,0,0,ROW()-1,60),ROW()-1,FALSE))</f>
        <v/>
      </c>
      <c r="AF20" t="str">
        <f ca="1">IF(AND(ISNUMBER($AF$242),$B$226=1),$AF$242,HLOOKUP(INDIRECT(ADDRESS(2,COLUMN())),OFFSET($BN$2,0,0,ROW()-1,60),ROW()-1,FALSE))</f>
        <v/>
      </c>
      <c r="AG20" t="str">
        <f ca="1">IF(AND(ISNUMBER($AG$242),$B$226=1),$AG$242,HLOOKUP(INDIRECT(ADDRESS(2,COLUMN())),OFFSET($BN$2,0,0,ROW()-1,60),ROW()-1,FALSE))</f>
        <v/>
      </c>
      <c r="AH20" t="str">
        <f ca="1">IF(AND(ISNUMBER($AH$242),$B$226=1),$AH$242,HLOOKUP(INDIRECT(ADDRESS(2,COLUMN())),OFFSET($BN$2,0,0,ROW()-1,60),ROW()-1,FALSE))</f>
        <v/>
      </c>
      <c r="AI20" t="str">
        <f ca="1">IF(AND(ISNUMBER($AI$242),$B$226=1),$AI$242,HLOOKUP(INDIRECT(ADDRESS(2,COLUMN())),OFFSET($BN$2,0,0,ROW()-1,60),ROW()-1,FALSE))</f>
        <v/>
      </c>
      <c r="AJ20" t="str">
        <f ca="1">IF(AND(ISNUMBER($AJ$242),$B$226=1),$AJ$242,HLOOKUP(INDIRECT(ADDRESS(2,COLUMN())),OFFSET($BN$2,0,0,ROW()-1,60),ROW()-1,FALSE))</f>
        <v/>
      </c>
      <c r="AK20" t="str">
        <f ca="1">IF(AND(ISNUMBER($AK$242),$B$226=1),$AK$242,HLOOKUP(INDIRECT(ADDRESS(2,COLUMN())),OFFSET($BN$2,0,0,ROW()-1,60),ROW()-1,FALSE))</f>
        <v/>
      </c>
      <c r="AL20" t="str">
        <f ca="1">IF(AND(ISNUMBER($AL$242),$B$226=1),$AL$242,HLOOKUP(INDIRECT(ADDRESS(2,COLUMN())),OFFSET($BN$2,0,0,ROW()-1,60),ROW()-1,FALSE))</f>
        <v/>
      </c>
      <c r="AM20" t="str">
        <f ca="1">IF(AND(ISNUMBER($AM$242),$B$226=1),$AM$242,HLOOKUP(INDIRECT(ADDRESS(2,COLUMN())),OFFSET($BN$2,0,0,ROW()-1,60),ROW()-1,FALSE))</f>
        <v/>
      </c>
      <c r="AN20" t="str">
        <f ca="1">IF(AND(ISNUMBER($AN$242),$B$226=1),$AN$242,HLOOKUP(INDIRECT(ADDRESS(2,COLUMN())),OFFSET($BN$2,0,0,ROW()-1,60),ROW()-1,FALSE))</f>
        <v/>
      </c>
      <c r="AO20" t="str">
        <f ca="1">IF(AND(ISNUMBER($AO$242),$B$226=1),$AO$242,HLOOKUP(INDIRECT(ADDRESS(2,COLUMN())),OFFSET($BN$2,0,0,ROW()-1,60),ROW()-1,FALSE))</f>
        <v/>
      </c>
      <c r="AP20" t="str">
        <f ca="1">IF(AND(ISNUMBER($AP$242),$B$226=1),$AP$242,HLOOKUP(INDIRECT(ADDRESS(2,COLUMN())),OFFSET($BN$2,0,0,ROW()-1,60),ROW()-1,FALSE))</f>
        <v/>
      </c>
      <c r="AQ20" t="str">
        <f ca="1">IF(AND(ISNUMBER($AQ$242),$B$226=1),$AQ$242,HLOOKUP(INDIRECT(ADDRESS(2,COLUMN())),OFFSET($BN$2,0,0,ROW()-1,60),ROW()-1,FALSE))</f>
        <v/>
      </c>
      <c r="AR20" t="str">
        <f ca="1">IF(AND(ISNUMBER($AR$242),$B$226=1),$AR$242,HLOOKUP(INDIRECT(ADDRESS(2,COLUMN())),OFFSET($BN$2,0,0,ROW()-1,60),ROW()-1,FALSE))</f>
        <v/>
      </c>
      <c r="AS20" t="str">
        <f ca="1">IF(AND(ISNUMBER($AS$242),$B$226=1),$AS$242,HLOOKUP(INDIRECT(ADDRESS(2,COLUMN())),OFFSET($BN$2,0,0,ROW()-1,60),ROW()-1,FALSE))</f>
        <v/>
      </c>
      <c r="AT20" t="str">
        <f ca="1">IF(AND(ISNUMBER($AT$242),$B$226=1),$AT$242,HLOOKUP(INDIRECT(ADDRESS(2,COLUMN())),OFFSET($BN$2,0,0,ROW()-1,60),ROW()-1,FALSE))</f>
        <v/>
      </c>
      <c r="AU20" t="str">
        <f ca="1">IF(AND(ISNUMBER($AU$242),$B$226=1),$AU$242,HLOOKUP(INDIRECT(ADDRESS(2,COLUMN())),OFFSET($BN$2,0,0,ROW()-1,60),ROW()-1,FALSE))</f>
        <v/>
      </c>
      <c r="AV20" t="str">
        <f ca="1">IF(AND(ISNUMBER($AV$242),$B$226=1),$AV$242,HLOOKUP(INDIRECT(ADDRESS(2,COLUMN())),OFFSET($BN$2,0,0,ROW()-1,60),ROW()-1,FALSE))</f>
        <v/>
      </c>
      <c r="AW20" t="str">
        <f ca="1">IF(AND(ISNUMBER($AW$242),$B$226=1),$AW$242,HLOOKUP(INDIRECT(ADDRESS(2,COLUMN())),OFFSET($BN$2,0,0,ROW()-1,60),ROW()-1,FALSE))</f>
        <v/>
      </c>
      <c r="AX20" t="str">
        <f ca="1">IF(AND(ISNUMBER($AX$242),$B$226=1),$AX$242,HLOOKUP(INDIRECT(ADDRESS(2,COLUMN())),OFFSET($BN$2,0,0,ROW()-1,60),ROW()-1,FALSE))</f>
        <v/>
      </c>
      <c r="AY20" t="str">
        <f ca="1">IF(AND(ISNUMBER($AY$242),$B$226=1),$AY$242,HLOOKUP(INDIRECT(ADDRESS(2,COLUMN())),OFFSET($BN$2,0,0,ROW()-1,60),ROW()-1,FALSE))</f>
        <v/>
      </c>
      <c r="AZ20" t="str">
        <f ca="1">IF(AND(ISNUMBER($AZ$242),$B$226=1),$AZ$242,HLOOKUP(INDIRECT(ADDRESS(2,COLUMN())),OFFSET($BN$2,0,0,ROW()-1,60),ROW()-1,FALSE))</f>
        <v/>
      </c>
      <c r="BA20" t="str">
        <f ca="1">IF(AND(ISNUMBER($BA$242),$B$226=1),$BA$242,HLOOKUP(INDIRECT(ADDRESS(2,COLUMN())),OFFSET($BN$2,0,0,ROW()-1,60),ROW()-1,FALSE))</f>
        <v/>
      </c>
      <c r="BB20" t="str">
        <f ca="1">IF(AND(ISNUMBER($BB$242),$B$226=1),$BB$242,HLOOKUP(INDIRECT(ADDRESS(2,COLUMN())),OFFSET($BN$2,0,0,ROW()-1,60),ROW()-1,FALSE))</f>
        <v/>
      </c>
      <c r="BC20" t="str">
        <f ca="1">IF(AND(ISNUMBER($BC$242),$B$226=1),$BC$242,HLOOKUP(INDIRECT(ADDRESS(2,COLUMN())),OFFSET($BN$2,0,0,ROW()-1,60),ROW()-1,FALSE))</f>
        <v/>
      </c>
      <c r="BD20" t="str">
        <f ca="1">IF(AND(ISNUMBER($BD$242),$B$226=1),$BD$242,HLOOKUP(INDIRECT(ADDRESS(2,COLUMN())),OFFSET($BN$2,0,0,ROW()-1,60),ROW()-1,FALSE))</f>
        <v/>
      </c>
      <c r="BE20" t="str">
        <f ca="1">IF(AND(ISNUMBER($BE$242),$B$226=1),$BE$242,HLOOKUP(INDIRECT(ADDRESS(2,COLUMN())),OFFSET($BN$2,0,0,ROW()-1,60),ROW()-1,FALSE))</f>
        <v/>
      </c>
      <c r="BF20" t="str">
        <f ca="1">IF(AND(ISNUMBER($BF$242),$B$226=1),$BF$242,HLOOKUP(INDIRECT(ADDRESS(2,COLUMN())),OFFSET($BN$2,0,0,ROW()-1,60),ROW()-1,FALSE))</f>
        <v/>
      </c>
      <c r="BG20" t="str">
        <f ca="1">IF(AND(ISNUMBER($BG$242),$B$226=1),$BG$242,HLOOKUP(INDIRECT(ADDRESS(2,COLUMN())),OFFSET($BN$2,0,0,ROW()-1,60),ROW()-1,FALSE))</f>
        <v/>
      </c>
      <c r="BH20" t="str">
        <f ca="1">IF(AND(ISNUMBER($BH$242),$B$226=1),$BH$242,HLOOKUP(INDIRECT(ADDRESS(2,COLUMN())),OFFSET($BN$2,0,0,ROW()-1,60),ROW()-1,FALSE))</f>
        <v/>
      </c>
      <c r="BI20" t="str">
        <f ca="1">IF(AND(ISNUMBER($BI$242),$B$226=1),$BI$242,HLOOKUP(INDIRECT(ADDRESS(2,COLUMN())),OFFSET($BN$2,0,0,ROW()-1,60),ROW()-1,FALSE))</f>
        <v/>
      </c>
      <c r="BJ20" t="str">
        <f ca="1">IF(AND(ISNUMBER($BJ$242),$B$226=1),$BJ$242,HLOOKUP(INDIRECT(ADDRESS(2,COLUMN())),OFFSET($BN$2,0,0,ROW()-1,60),ROW()-1,FALSE))</f>
        <v/>
      </c>
      <c r="BK20" t="str">
        <f ca="1">IF(AND(ISNUMBER($BK$242),$B$226=1),$BK$242,HLOOKUP(INDIRECT(ADDRESS(2,COLUMN())),OFFSET($BN$2,0,0,ROW()-1,60),ROW()-1,FALSE))</f>
        <v/>
      </c>
      <c r="BL20" t="str">
        <f ca="1">IF(AND(ISNUMBER($BL$242),$B$226=1),$BL$242,HLOOKUP(INDIRECT(ADDRESS(2,COLUMN())),OFFSET($BN$2,0,0,ROW()-1,60),ROW()-1,FALSE))</f>
        <v/>
      </c>
      <c r="BM20" t="str">
        <f ca="1">IF(AND(ISNUMBER($BM$242),$B$226=1),$BM$242,HLOOKUP(INDIRECT(ADDRESS(2,COLUMN())),OFFSET($BN$2,0,0,ROW()-1,60),ROW()-1,FALSE))</f>
        <v/>
      </c>
      <c r="BN20" t="str">
        <f>""</f>
        <v/>
      </c>
      <c r="BO20" t="str">
        <f>""</f>
        <v/>
      </c>
      <c r="BP20" t="str">
        <f>""</f>
        <v/>
      </c>
      <c r="BQ20" t="str">
        <f>""</f>
        <v/>
      </c>
      <c r="BR20" t="str">
        <f>""</f>
        <v/>
      </c>
      <c r="BS20" t="str">
        <f>""</f>
        <v/>
      </c>
      <c r="BT20" t="str">
        <f>""</f>
        <v/>
      </c>
      <c r="BU20" t="str">
        <f>""</f>
        <v/>
      </c>
      <c r="BV20" t="str">
        <f>""</f>
        <v/>
      </c>
      <c r="BW20" t="str">
        <f>""</f>
        <v/>
      </c>
      <c r="BX20" t="str">
        <f>""</f>
        <v/>
      </c>
      <c r="BY20" t="str">
        <f>""</f>
        <v/>
      </c>
      <c r="BZ20" t="str">
        <f>""</f>
        <v/>
      </c>
      <c r="CA20" t="str">
        <f>""</f>
        <v/>
      </c>
      <c r="CB20" t="str">
        <f>""</f>
        <v/>
      </c>
      <c r="CC20" t="str">
        <f>""</f>
        <v/>
      </c>
      <c r="CD20" t="str">
        <f>""</f>
        <v/>
      </c>
      <c r="CE20" t="str">
        <f>""</f>
        <v/>
      </c>
      <c r="CF20" t="str">
        <f>""</f>
        <v/>
      </c>
      <c r="CG20" t="str">
        <f>""</f>
        <v/>
      </c>
      <c r="CH20" t="str">
        <f>""</f>
        <v/>
      </c>
      <c r="CI20" t="str">
        <f>""</f>
        <v/>
      </c>
      <c r="CJ20" t="str">
        <f>""</f>
        <v/>
      </c>
      <c r="CK20" t="str">
        <f>""</f>
        <v/>
      </c>
      <c r="CL20" t="str">
        <f>""</f>
        <v/>
      </c>
      <c r="CM20" t="str">
        <f>""</f>
        <v/>
      </c>
      <c r="CN20" t="str">
        <f>""</f>
        <v/>
      </c>
      <c r="CO20" t="str">
        <f>""</f>
        <v/>
      </c>
      <c r="CP20" t="str">
        <f>""</f>
        <v/>
      </c>
      <c r="CQ20" t="str">
        <f>""</f>
        <v/>
      </c>
      <c r="CR20" t="str">
        <f>""</f>
        <v/>
      </c>
      <c r="CS20" t="str">
        <f>""</f>
        <v/>
      </c>
      <c r="CT20" t="str">
        <f>""</f>
        <v/>
      </c>
      <c r="CU20" t="str">
        <f>""</f>
        <v/>
      </c>
      <c r="CV20" t="str">
        <f>""</f>
        <v/>
      </c>
      <c r="CW20" t="str">
        <f>""</f>
        <v/>
      </c>
      <c r="CX20" t="str">
        <f>""</f>
        <v/>
      </c>
      <c r="CY20" t="str">
        <f>""</f>
        <v/>
      </c>
      <c r="CZ20" t="str">
        <f>""</f>
        <v/>
      </c>
      <c r="DA20" t="str">
        <f>""</f>
        <v/>
      </c>
      <c r="DB20" t="str">
        <f>""</f>
        <v/>
      </c>
      <c r="DC20" t="str">
        <f>""</f>
        <v/>
      </c>
      <c r="DD20" t="str">
        <f>""</f>
        <v/>
      </c>
      <c r="DE20" t="str">
        <f>""</f>
        <v/>
      </c>
      <c r="DF20" t="str">
        <f>""</f>
        <v/>
      </c>
      <c r="DG20" t="str">
        <f>""</f>
        <v/>
      </c>
      <c r="DH20" t="str">
        <f>""</f>
        <v/>
      </c>
      <c r="DI20" t="str">
        <f>""</f>
        <v/>
      </c>
      <c r="DJ20" t="str">
        <f>""</f>
        <v/>
      </c>
      <c r="DK20" t="str">
        <f>""</f>
        <v/>
      </c>
      <c r="DL20" t="str">
        <f>""</f>
        <v/>
      </c>
      <c r="DM20" t="str">
        <f>""</f>
        <v/>
      </c>
      <c r="DN20" t="str">
        <f>""</f>
        <v/>
      </c>
      <c r="DO20" t="str">
        <f>""</f>
        <v/>
      </c>
      <c r="DP20" t="str">
        <f>""</f>
        <v/>
      </c>
      <c r="DQ20" t="str">
        <f>""</f>
        <v/>
      </c>
      <c r="DR20" t="str">
        <f>""</f>
        <v/>
      </c>
      <c r="DS20" t="str">
        <f>""</f>
        <v/>
      </c>
      <c r="DT20" t="str">
        <f>""</f>
        <v/>
      </c>
      <c r="DU20" t="str">
        <f>""</f>
        <v/>
      </c>
    </row>
    <row r="21" spans="1:125">
      <c r="A21" t="str">
        <f>"    UDR Inc"</f>
        <v xml:space="preserve">    UDR Inc</v>
      </c>
      <c r="B21" t="str">
        <f>"UDR US Equity"</f>
        <v>UDR US Equity</v>
      </c>
      <c r="C21" t="str">
        <f t="shared" si="3"/>
        <v>IM275</v>
      </c>
      <c r="D21" t="str">
        <f t="shared" si="4"/>
        <v>IS_OTHER_RENTAL_INCOME</v>
      </c>
      <c r="E21" t="str">
        <f t="shared" si="5"/>
        <v>动态</v>
      </c>
      <c r="F21" t="str">
        <f ca="1">IF(AND(ISNUMBER($F$243),$B$226=1),$F$243,HLOOKUP(INDIRECT(ADDRESS(2,COLUMN())),OFFSET($BN$2,0,0,ROW()-1,60),ROW()-1,FALSE))</f>
        <v/>
      </c>
      <c r="G21" t="str">
        <f ca="1">IF(AND(ISNUMBER($G$243),$B$226=1),$G$243,HLOOKUP(INDIRECT(ADDRESS(2,COLUMN())),OFFSET($BN$2,0,0,ROW()-1,60),ROW()-1,FALSE))</f>
        <v/>
      </c>
      <c r="H21" t="str">
        <f ca="1">IF(AND(ISNUMBER($H$243),$B$226=1),$H$243,HLOOKUP(INDIRECT(ADDRESS(2,COLUMN())),OFFSET($BN$2,0,0,ROW()-1,60),ROW()-1,FALSE))</f>
        <v/>
      </c>
      <c r="I21" t="str">
        <f ca="1">IF(AND(ISNUMBER($I$243),$B$226=1),$I$243,HLOOKUP(INDIRECT(ADDRESS(2,COLUMN())),OFFSET($BN$2,0,0,ROW()-1,60),ROW()-1,FALSE))</f>
        <v/>
      </c>
      <c r="J21" t="str">
        <f ca="1">IF(AND(ISNUMBER($J$243),$B$226=1),$J$243,HLOOKUP(INDIRECT(ADDRESS(2,COLUMN())),OFFSET($BN$2,0,0,ROW()-1,60),ROW()-1,FALSE))</f>
        <v/>
      </c>
      <c r="K21" t="str">
        <f ca="1">IF(AND(ISNUMBER($K$243),$B$226=1),$K$243,HLOOKUP(INDIRECT(ADDRESS(2,COLUMN())),OFFSET($BN$2,0,0,ROW()-1,60),ROW()-1,FALSE))</f>
        <v/>
      </c>
      <c r="L21" t="str">
        <f ca="1">IF(AND(ISNUMBER($L$243),$B$226=1),$L$243,HLOOKUP(INDIRECT(ADDRESS(2,COLUMN())),OFFSET($BN$2,0,0,ROW()-1,60),ROW()-1,FALSE))</f>
        <v/>
      </c>
      <c r="M21" t="str">
        <f ca="1">IF(AND(ISNUMBER($M$243),$B$226=1),$M$243,HLOOKUP(INDIRECT(ADDRESS(2,COLUMN())),OFFSET($BN$2,0,0,ROW()-1,60),ROW()-1,FALSE))</f>
        <v/>
      </c>
      <c r="N21" t="str">
        <f ca="1">IF(AND(ISNUMBER($N$243),$B$226=1),$N$243,HLOOKUP(INDIRECT(ADDRESS(2,COLUMN())),OFFSET($BN$2,0,0,ROW()-1,60),ROW()-1,FALSE))</f>
        <v/>
      </c>
      <c r="O21" t="str">
        <f ca="1">IF(AND(ISNUMBER($O$243),$B$226=1),$O$243,HLOOKUP(INDIRECT(ADDRESS(2,COLUMN())),OFFSET($BN$2,0,0,ROW()-1,60),ROW()-1,FALSE))</f>
        <v/>
      </c>
      <c r="P21" t="str">
        <f ca="1">IF(AND(ISNUMBER($P$243),$B$226=1),$P$243,HLOOKUP(INDIRECT(ADDRESS(2,COLUMN())),OFFSET($BN$2,0,0,ROW()-1,60),ROW()-1,FALSE))</f>
        <v/>
      </c>
      <c r="Q21" t="str">
        <f ca="1">IF(AND(ISNUMBER($Q$243),$B$226=1),$Q$243,HLOOKUP(INDIRECT(ADDRESS(2,COLUMN())),OFFSET($BN$2,0,0,ROW()-1,60),ROW()-1,FALSE))</f>
        <v/>
      </c>
      <c r="R21" t="str">
        <f ca="1">IF(AND(ISNUMBER($R$243),$B$226=1),$R$243,HLOOKUP(INDIRECT(ADDRESS(2,COLUMN())),OFFSET($BN$2,0,0,ROW()-1,60),ROW()-1,FALSE))</f>
        <v/>
      </c>
      <c r="S21" t="str">
        <f ca="1">IF(AND(ISNUMBER($S$243),$B$226=1),$S$243,HLOOKUP(INDIRECT(ADDRESS(2,COLUMN())),OFFSET($BN$2,0,0,ROW()-1,60),ROW()-1,FALSE))</f>
        <v/>
      </c>
      <c r="T21" t="str">
        <f ca="1">IF(AND(ISNUMBER($T$243),$B$226=1),$T$243,HLOOKUP(INDIRECT(ADDRESS(2,COLUMN())),OFFSET($BN$2,0,0,ROW()-1,60),ROW()-1,FALSE))</f>
        <v/>
      </c>
      <c r="U21" t="str">
        <f ca="1">IF(AND(ISNUMBER($U$243),$B$226=1),$U$243,HLOOKUP(INDIRECT(ADDRESS(2,COLUMN())),OFFSET($BN$2,0,0,ROW()-1,60),ROW()-1,FALSE))</f>
        <v/>
      </c>
      <c r="V21" t="str">
        <f ca="1">IF(AND(ISNUMBER($V$243),$B$226=1),$V$243,HLOOKUP(INDIRECT(ADDRESS(2,COLUMN())),OFFSET($BN$2,0,0,ROW()-1,60),ROW()-1,FALSE))</f>
        <v/>
      </c>
      <c r="W21" t="str">
        <f ca="1">IF(AND(ISNUMBER($W$243),$B$226=1),$W$243,HLOOKUP(INDIRECT(ADDRESS(2,COLUMN())),OFFSET($BN$2,0,0,ROW()-1,60),ROW()-1,FALSE))</f>
        <v/>
      </c>
      <c r="X21" t="str">
        <f ca="1">IF(AND(ISNUMBER($X$243),$B$226=1),$X$243,HLOOKUP(INDIRECT(ADDRESS(2,COLUMN())),OFFSET($BN$2,0,0,ROW()-1,60),ROW()-1,FALSE))</f>
        <v/>
      </c>
      <c r="Y21" t="str">
        <f ca="1">IF(AND(ISNUMBER($Y$243),$B$226=1),$Y$243,HLOOKUP(INDIRECT(ADDRESS(2,COLUMN())),OFFSET($BN$2,0,0,ROW()-1,60),ROW()-1,FALSE))</f>
        <v/>
      </c>
      <c r="Z21" t="str">
        <f ca="1">IF(AND(ISNUMBER($Z$243),$B$226=1),$Z$243,HLOOKUP(INDIRECT(ADDRESS(2,COLUMN())),OFFSET($BN$2,0,0,ROW()-1,60),ROW()-1,FALSE))</f>
        <v/>
      </c>
      <c r="AA21" t="str">
        <f ca="1">IF(AND(ISNUMBER($AA$243),$B$226=1),$AA$243,HLOOKUP(INDIRECT(ADDRESS(2,COLUMN())),OFFSET($BN$2,0,0,ROW()-1,60),ROW()-1,FALSE))</f>
        <v/>
      </c>
      <c r="AB21" t="str">
        <f ca="1">IF(AND(ISNUMBER($AB$243),$B$226=1),$AB$243,HLOOKUP(INDIRECT(ADDRESS(2,COLUMN())),OFFSET($BN$2,0,0,ROW()-1,60),ROW()-1,FALSE))</f>
        <v/>
      </c>
      <c r="AC21" t="str">
        <f ca="1">IF(AND(ISNUMBER($AC$243),$B$226=1),$AC$243,HLOOKUP(INDIRECT(ADDRESS(2,COLUMN())),OFFSET($BN$2,0,0,ROW()-1,60),ROW()-1,FALSE))</f>
        <v/>
      </c>
      <c r="AD21" t="str">
        <f ca="1">IF(AND(ISNUMBER($AD$243),$B$226=1),$AD$243,HLOOKUP(INDIRECT(ADDRESS(2,COLUMN())),OFFSET($BN$2,0,0,ROW()-1,60),ROW()-1,FALSE))</f>
        <v/>
      </c>
      <c r="AE21" t="str">
        <f ca="1">IF(AND(ISNUMBER($AE$243),$B$226=1),$AE$243,HLOOKUP(INDIRECT(ADDRESS(2,COLUMN())),OFFSET($BN$2,0,0,ROW()-1,60),ROW()-1,FALSE))</f>
        <v/>
      </c>
      <c r="AF21" t="str">
        <f ca="1">IF(AND(ISNUMBER($AF$243),$B$226=1),$AF$243,HLOOKUP(INDIRECT(ADDRESS(2,COLUMN())),OFFSET($BN$2,0,0,ROW()-1,60),ROW()-1,FALSE))</f>
        <v/>
      </c>
      <c r="AG21" t="str">
        <f ca="1">IF(AND(ISNUMBER($AG$243),$B$226=1),$AG$243,HLOOKUP(INDIRECT(ADDRESS(2,COLUMN())),OFFSET($BN$2,0,0,ROW()-1,60),ROW()-1,FALSE))</f>
        <v/>
      </c>
      <c r="AH21" t="str">
        <f ca="1">IF(AND(ISNUMBER($AH$243),$B$226=1),$AH$243,HLOOKUP(INDIRECT(ADDRESS(2,COLUMN())),OFFSET($BN$2,0,0,ROW()-1,60),ROW()-1,FALSE))</f>
        <v/>
      </c>
      <c r="AI21" t="str">
        <f ca="1">IF(AND(ISNUMBER($AI$243),$B$226=1),$AI$243,HLOOKUP(INDIRECT(ADDRESS(2,COLUMN())),OFFSET($BN$2,0,0,ROW()-1,60),ROW()-1,FALSE))</f>
        <v/>
      </c>
      <c r="AJ21" t="str">
        <f ca="1">IF(AND(ISNUMBER($AJ$243),$B$226=1),$AJ$243,HLOOKUP(INDIRECT(ADDRESS(2,COLUMN())),OFFSET($BN$2,0,0,ROW()-1,60),ROW()-1,FALSE))</f>
        <v/>
      </c>
      <c r="AK21" t="str">
        <f ca="1">IF(AND(ISNUMBER($AK$243),$B$226=1),$AK$243,HLOOKUP(INDIRECT(ADDRESS(2,COLUMN())),OFFSET($BN$2,0,0,ROW()-1,60),ROW()-1,FALSE))</f>
        <v/>
      </c>
      <c r="AL21" t="str">
        <f ca="1">IF(AND(ISNUMBER($AL$243),$B$226=1),$AL$243,HLOOKUP(INDIRECT(ADDRESS(2,COLUMN())),OFFSET($BN$2,0,0,ROW()-1,60),ROW()-1,FALSE))</f>
        <v/>
      </c>
      <c r="AM21" t="str">
        <f ca="1">IF(AND(ISNUMBER($AM$243),$B$226=1),$AM$243,HLOOKUP(INDIRECT(ADDRESS(2,COLUMN())),OFFSET($BN$2,0,0,ROW()-1,60),ROW()-1,FALSE))</f>
        <v/>
      </c>
      <c r="AN21" t="str">
        <f ca="1">IF(AND(ISNUMBER($AN$243),$B$226=1),$AN$243,HLOOKUP(INDIRECT(ADDRESS(2,COLUMN())),OFFSET($BN$2,0,0,ROW()-1,60),ROW()-1,FALSE))</f>
        <v/>
      </c>
      <c r="AO21" t="str">
        <f ca="1">IF(AND(ISNUMBER($AO$243),$B$226=1),$AO$243,HLOOKUP(INDIRECT(ADDRESS(2,COLUMN())),OFFSET($BN$2,0,0,ROW()-1,60),ROW()-1,FALSE))</f>
        <v/>
      </c>
      <c r="AP21" t="str">
        <f ca="1">IF(AND(ISNUMBER($AP$243),$B$226=1),$AP$243,HLOOKUP(INDIRECT(ADDRESS(2,COLUMN())),OFFSET($BN$2,0,0,ROW()-1,60),ROW()-1,FALSE))</f>
        <v/>
      </c>
      <c r="AQ21" t="str">
        <f ca="1">IF(AND(ISNUMBER($AQ$243),$B$226=1),$AQ$243,HLOOKUP(INDIRECT(ADDRESS(2,COLUMN())),OFFSET($BN$2,0,0,ROW()-1,60),ROW()-1,FALSE))</f>
        <v/>
      </c>
      <c r="AR21" t="str">
        <f ca="1">IF(AND(ISNUMBER($AR$243),$B$226=1),$AR$243,HLOOKUP(INDIRECT(ADDRESS(2,COLUMN())),OFFSET($BN$2,0,0,ROW()-1,60),ROW()-1,FALSE))</f>
        <v/>
      </c>
      <c r="AS21" t="str">
        <f ca="1">IF(AND(ISNUMBER($AS$243),$B$226=1),$AS$243,HLOOKUP(INDIRECT(ADDRESS(2,COLUMN())),OFFSET($BN$2,0,0,ROW()-1,60),ROW()-1,FALSE))</f>
        <v/>
      </c>
      <c r="AT21" t="str">
        <f ca="1">IF(AND(ISNUMBER($AT$243),$B$226=1),$AT$243,HLOOKUP(INDIRECT(ADDRESS(2,COLUMN())),OFFSET($BN$2,0,0,ROW()-1,60),ROW()-1,FALSE))</f>
        <v/>
      </c>
      <c r="AU21" t="str">
        <f ca="1">IF(AND(ISNUMBER($AU$243),$B$226=1),$AU$243,HLOOKUP(INDIRECT(ADDRESS(2,COLUMN())),OFFSET($BN$2,0,0,ROW()-1,60),ROW()-1,FALSE))</f>
        <v/>
      </c>
      <c r="AV21" t="str">
        <f ca="1">IF(AND(ISNUMBER($AV$243),$B$226=1),$AV$243,HLOOKUP(INDIRECT(ADDRESS(2,COLUMN())),OFFSET($BN$2,0,0,ROW()-1,60),ROW()-1,FALSE))</f>
        <v/>
      </c>
      <c r="AW21" t="str">
        <f ca="1">IF(AND(ISNUMBER($AW$243),$B$226=1),$AW$243,HLOOKUP(INDIRECT(ADDRESS(2,COLUMN())),OFFSET($BN$2,0,0,ROW()-1,60),ROW()-1,FALSE))</f>
        <v/>
      </c>
      <c r="AX21" t="str">
        <f ca="1">IF(AND(ISNUMBER($AX$243),$B$226=1),$AX$243,HLOOKUP(INDIRECT(ADDRESS(2,COLUMN())),OFFSET($BN$2,0,0,ROW()-1,60),ROW()-1,FALSE))</f>
        <v/>
      </c>
      <c r="AY21" t="str">
        <f ca="1">IF(AND(ISNUMBER($AY$243),$B$226=1),$AY$243,HLOOKUP(INDIRECT(ADDRESS(2,COLUMN())),OFFSET($BN$2,0,0,ROW()-1,60),ROW()-1,FALSE))</f>
        <v/>
      </c>
      <c r="AZ21" t="str">
        <f ca="1">IF(AND(ISNUMBER($AZ$243),$B$226=1),$AZ$243,HLOOKUP(INDIRECT(ADDRESS(2,COLUMN())),OFFSET($BN$2,0,0,ROW()-1,60),ROW()-1,FALSE))</f>
        <v/>
      </c>
      <c r="BA21" t="str">
        <f ca="1">IF(AND(ISNUMBER($BA$243),$B$226=1),$BA$243,HLOOKUP(INDIRECT(ADDRESS(2,COLUMN())),OFFSET($BN$2,0,0,ROW()-1,60),ROW()-1,FALSE))</f>
        <v/>
      </c>
      <c r="BB21" t="str">
        <f ca="1">IF(AND(ISNUMBER($BB$243),$B$226=1),$BB$243,HLOOKUP(INDIRECT(ADDRESS(2,COLUMN())),OFFSET($BN$2,0,0,ROW()-1,60),ROW()-1,FALSE))</f>
        <v/>
      </c>
      <c r="BC21" t="str">
        <f ca="1">IF(AND(ISNUMBER($BC$243),$B$226=1),$BC$243,HLOOKUP(INDIRECT(ADDRESS(2,COLUMN())),OFFSET($BN$2,0,0,ROW()-1,60),ROW()-1,FALSE))</f>
        <v/>
      </c>
      <c r="BD21" t="str">
        <f ca="1">IF(AND(ISNUMBER($BD$243),$B$226=1),$BD$243,HLOOKUP(INDIRECT(ADDRESS(2,COLUMN())),OFFSET($BN$2,0,0,ROW()-1,60),ROW()-1,FALSE))</f>
        <v/>
      </c>
      <c r="BE21" t="str">
        <f ca="1">IF(AND(ISNUMBER($BE$243),$B$226=1),$BE$243,HLOOKUP(INDIRECT(ADDRESS(2,COLUMN())),OFFSET($BN$2,0,0,ROW()-1,60),ROW()-1,FALSE))</f>
        <v/>
      </c>
      <c r="BF21" t="str">
        <f ca="1">IF(AND(ISNUMBER($BF$243),$B$226=1),$BF$243,HLOOKUP(INDIRECT(ADDRESS(2,COLUMN())),OFFSET($BN$2,0,0,ROW()-1,60),ROW()-1,FALSE))</f>
        <v/>
      </c>
      <c r="BG21" t="str">
        <f ca="1">IF(AND(ISNUMBER($BG$243),$B$226=1),$BG$243,HLOOKUP(INDIRECT(ADDRESS(2,COLUMN())),OFFSET($BN$2,0,0,ROW()-1,60),ROW()-1,FALSE))</f>
        <v/>
      </c>
      <c r="BH21" t="str">
        <f ca="1">IF(AND(ISNUMBER($BH$243),$B$226=1),$BH$243,HLOOKUP(INDIRECT(ADDRESS(2,COLUMN())),OFFSET($BN$2,0,0,ROW()-1,60),ROW()-1,FALSE))</f>
        <v/>
      </c>
      <c r="BI21" t="str">
        <f ca="1">IF(AND(ISNUMBER($BI$243),$B$226=1),$BI$243,HLOOKUP(INDIRECT(ADDRESS(2,COLUMN())),OFFSET($BN$2,0,0,ROW()-1,60),ROW()-1,FALSE))</f>
        <v/>
      </c>
      <c r="BJ21" t="str">
        <f ca="1">IF(AND(ISNUMBER($BJ$243),$B$226=1),$BJ$243,HLOOKUP(INDIRECT(ADDRESS(2,COLUMN())),OFFSET($BN$2,0,0,ROW()-1,60),ROW()-1,FALSE))</f>
        <v/>
      </c>
      <c r="BK21" t="str">
        <f ca="1">IF(AND(ISNUMBER($BK$243),$B$226=1),$BK$243,HLOOKUP(INDIRECT(ADDRESS(2,COLUMN())),OFFSET($BN$2,0,0,ROW()-1,60),ROW()-1,FALSE))</f>
        <v/>
      </c>
      <c r="BL21" t="str">
        <f ca="1">IF(AND(ISNUMBER($BL$243),$B$226=1),$BL$243,HLOOKUP(INDIRECT(ADDRESS(2,COLUMN())),OFFSET($BN$2,0,0,ROW()-1,60),ROW()-1,FALSE))</f>
        <v/>
      </c>
      <c r="BM21" t="str">
        <f ca="1">IF(AND(ISNUMBER($BM$243),$B$226=1),$BM$243,HLOOKUP(INDIRECT(ADDRESS(2,COLUMN())),OFFSET($BN$2,0,0,ROW()-1,60),ROW()-1,FALSE))</f>
        <v/>
      </c>
      <c r="BN21" t="str">
        <f>""</f>
        <v/>
      </c>
      <c r="BO21" t="str">
        <f>""</f>
        <v/>
      </c>
      <c r="BP21" t="str">
        <f>""</f>
        <v/>
      </c>
      <c r="BQ21" t="str">
        <f>""</f>
        <v/>
      </c>
      <c r="BR21" t="str">
        <f>""</f>
        <v/>
      </c>
      <c r="BS21" t="str">
        <f>""</f>
        <v/>
      </c>
      <c r="BT21" t="str">
        <f>""</f>
        <v/>
      </c>
      <c r="BU21" t="str">
        <f>""</f>
        <v/>
      </c>
      <c r="BV21" t="str">
        <f>""</f>
        <v/>
      </c>
      <c r="BW21" t="str">
        <f>""</f>
        <v/>
      </c>
      <c r="BX21" t="str">
        <f>""</f>
        <v/>
      </c>
      <c r="BY21" t="str">
        <f>""</f>
        <v/>
      </c>
      <c r="BZ21" t="str">
        <f>""</f>
        <v/>
      </c>
      <c r="CA21" t="str">
        <f>""</f>
        <v/>
      </c>
      <c r="CB21" t="str">
        <f>""</f>
        <v/>
      </c>
      <c r="CC21" t="str">
        <f>""</f>
        <v/>
      </c>
      <c r="CD21" t="str">
        <f>""</f>
        <v/>
      </c>
      <c r="CE21" t="str">
        <f>""</f>
        <v/>
      </c>
      <c r="CF21" t="str">
        <f>""</f>
        <v/>
      </c>
      <c r="CG21" t="str">
        <f>""</f>
        <v/>
      </c>
      <c r="CH21" t="str">
        <f>""</f>
        <v/>
      </c>
      <c r="CI21" t="str">
        <f>""</f>
        <v/>
      </c>
      <c r="CJ21" t="str">
        <f>""</f>
        <v/>
      </c>
      <c r="CK21" t="str">
        <f>""</f>
        <v/>
      </c>
      <c r="CL21" t="str">
        <f>""</f>
        <v/>
      </c>
      <c r="CM21" t="str">
        <f>""</f>
        <v/>
      </c>
      <c r="CN21" t="str">
        <f>""</f>
        <v/>
      </c>
      <c r="CO21" t="str">
        <f>""</f>
        <v/>
      </c>
      <c r="CP21" t="str">
        <f>""</f>
        <v/>
      </c>
      <c r="CQ21" t="str">
        <f>""</f>
        <v/>
      </c>
      <c r="CR21" t="str">
        <f>""</f>
        <v/>
      </c>
      <c r="CS21" t="str">
        <f>""</f>
        <v/>
      </c>
      <c r="CT21" t="str">
        <f>""</f>
        <v/>
      </c>
      <c r="CU21" t="str">
        <f>""</f>
        <v/>
      </c>
      <c r="CV21" t="str">
        <f>""</f>
        <v/>
      </c>
      <c r="CW21" t="str">
        <f>""</f>
        <v/>
      </c>
      <c r="CX21" t="str">
        <f>""</f>
        <v/>
      </c>
      <c r="CY21" t="str">
        <f>""</f>
        <v/>
      </c>
      <c r="CZ21" t="str">
        <f>""</f>
        <v/>
      </c>
      <c r="DA21" t="str">
        <f>""</f>
        <v/>
      </c>
      <c r="DB21" t="str">
        <f>""</f>
        <v/>
      </c>
      <c r="DC21" t="str">
        <f>""</f>
        <v/>
      </c>
      <c r="DD21" t="str">
        <f>""</f>
        <v/>
      </c>
      <c r="DE21" t="str">
        <f>""</f>
        <v/>
      </c>
      <c r="DF21" t="str">
        <f>""</f>
        <v/>
      </c>
      <c r="DG21" t="str">
        <f>""</f>
        <v/>
      </c>
      <c r="DH21" t="str">
        <f>""</f>
        <v/>
      </c>
      <c r="DI21" t="str">
        <f>""</f>
        <v/>
      </c>
      <c r="DJ21" t="str">
        <f>""</f>
        <v/>
      </c>
      <c r="DK21" t="str">
        <f>""</f>
        <v/>
      </c>
      <c r="DL21" t="str">
        <f>""</f>
        <v/>
      </c>
      <c r="DM21" t="str">
        <f>""</f>
        <v/>
      </c>
      <c r="DN21" t="str">
        <f>""</f>
        <v/>
      </c>
      <c r="DO21" t="str">
        <f>""</f>
        <v/>
      </c>
      <c r="DP21" t="str">
        <f>""</f>
        <v/>
      </c>
      <c r="DQ21" t="str">
        <f>""</f>
        <v/>
      </c>
      <c r="DR21" t="str">
        <f>""</f>
        <v/>
      </c>
      <c r="DS21" t="str">
        <f>""</f>
        <v/>
      </c>
      <c r="DT21" t="str">
        <f>""</f>
        <v/>
      </c>
      <c r="DU21" t="str">
        <f>""</f>
        <v/>
      </c>
    </row>
    <row r="22" spans="1:125">
      <c r="A22" t="str">
        <f>"其他营业收入"</f>
        <v>其他营业收入</v>
      </c>
      <c r="B22" t="str">
        <f>""</f>
        <v/>
      </c>
      <c r="E22" t="str">
        <f>"Median"</f>
        <v>Median</v>
      </c>
      <c r="F22" t="str">
        <f ca="1">IF(ISERROR(IF(MEDIAN($F$23:$F$30) = 0, "", MEDIAN($F$23:$F$30))), "", (IF(MEDIAN($F$23:$F$30) = 0, "", MEDIAN($F$23:$F$30))))</f>
        <v/>
      </c>
      <c r="G22" t="str">
        <f ca="1">IF(ISERROR(IF(MEDIAN($G$23:$G$30) = 0, "", MEDIAN($G$23:$G$30))), "", (IF(MEDIAN($G$23:$G$30) = 0, "", MEDIAN($G$23:$G$30))))</f>
        <v/>
      </c>
      <c r="H22">
        <f ca="1">IF(ISERROR(IF(MEDIAN($H$23:$H$30) = 0, "", MEDIAN($H$23:$H$30))), "", (IF(MEDIAN($H$23:$H$30) = 0, "", MEDIAN($H$23:$H$30))))</f>
        <v>1.4135</v>
      </c>
      <c r="I22">
        <f ca="1">IF(ISERROR(IF(MEDIAN($I$23:$I$30) = 0, "", MEDIAN($I$23:$I$30))), "", (IF(MEDIAN($I$23:$I$30) = 0, "", MEDIAN($I$23:$I$30))))</f>
        <v>0.69650000000000001</v>
      </c>
      <c r="J22">
        <f ca="1">IF(ISERROR(IF(MEDIAN($J$23:$J$30) = 0, "", MEDIAN($J$23:$J$30))), "", (IF(MEDIAN($J$23:$J$30) = 0, "", MEDIAN($J$23:$J$30))))</f>
        <v>0.66749999999999998</v>
      </c>
      <c r="K22">
        <f ca="1">IF(ISERROR(IF(MEDIAN($K$23:$K$30) = 0, "", MEDIAN($K$23:$K$30))), "", (IF(MEDIAN($K$23:$K$30) = 0, "", MEDIAN($K$23:$K$30))))</f>
        <v>0.77900000000000003</v>
      </c>
      <c r="L22">
        <f ca="1">IF(ISERROR(IF(MEDIAN($L$23:$L$30) = 0, "", MEDIAN($L$23:$L$30))), "", (IF(MEDIAN($L$23:$L$30) = 0, "", MEDIAN($L$23:$L$30))))</f>
        <v>0.79149999999999998</v>
      </c>
      <c r="M22">
        <f ca="1">IF(ISERROR(IF(MEDIAN($M$23:$M$30) = 0, "", MEDIAN($M$23:$M$30))), "", (IF(MEDIAN($M$23:$M$30) = 0, "", MEDIAN($M$23:$M$30))))</f>
        <v>1.3089999999999999</v>
      </c>
      <c r="N22">
        <f ca="1">IF(ISERROR(IF(MEDIAN($N$23:$N$30) = 0, "", MEDIAN($N$23:$N$30))), "", (IF(MEDIAN($N$23:$N$30) = 0, "", MEDIAN($N$23:$N$30))))</f>
        <v>0.91849999999999998</v>
      </c>
      <c r="O22">
        <f ca="1">IF(ISERROR(IF(MEDIAN($O$23:$O$30) = 0, "", MEDIAN($O$23:$O$30))), "", (IF(MEDIAN($O$23:$O$30) = 0, "", MEDIAN($O$23:$O$30))))</f>
        <v>1.2929999999999999</v>
      </c>
      <c r="P22">
        <f ca="1">IF(ISERROR(IF(MEDIAN($P$23:$P$30) = 0, "", MEDIAN($P$23:$P$30))), "", (IF(MEDIAN($P$23:$P$30) = 0, "", MEDIAN($P$23:$P$30))))</f>
        <v>0.85750000000000004</v>
      </c>
      <c r="Q22">
        <f ca="1">IF(ISERROR(IF(MEDIAN($Q$23:$Q$30) = 0, "", MEDIAN($Q$23:$Q$30))), "", (IF(MEDIAN($Q$23:$Q$30) = 0, "", MEDIAN($Q$23:$Q$30))))</f>
        <v>1.1890000000000001</v>
      </c>
      <c r="R22">
        <f ca="1">IF(ISERROR(IF(MEDIAN($R$23:$R$30) = 0, "", MEDIAN($R$23:$R$30))), "", (IF(MEDIAN($R$23:$R$30) = 0, "", MEDIAN($R$23:$R$30))))</f>
        <v>0.69699999999999995</v>
      </c>
      <c r="S22">
        <f ca="1">IF(ISERROR(IF(MEDIAN($S$23:$S$30) = 0, "", MEDIAN($S$23:$S$30))), "", (IF(MEDIAN($S$23:$S$30) = 0, "", MEDIAN($S$23:$S$30))))</f>
        <v>0.65800000000000003</v>
      </c>
      <c r="T22">
        <f ca="1">IF(ISERROR(IF(MEDIAN($T$23:$T$30) = 0, "", MEDIAN($T$23:$T$30))), "", (IF(MEDIAN($T$23:$T$30) = 0, "", MEDIAN($T$23:$T$30))))</f>
        <v>1.2825</v>
      </c>
      <c r="U22">
        <f ca="1">IF(ISERROR(IF(MEDIAN($U$23:$U$30) = 0, "", MEDIAN($U$23:$U$30))), "", (IF(MEDIAN($U$23:$U$30) = 0, "", MEDIAN($U$23:$U$30))))</f>
        <v>1.0945</v>
      </c>
      <c r="V22">
        <f ca="1">IF(ISERROR(IF(MEDIAN($V$23:$V$30) = 0, "", MEDIAN($V$23:$V$30))), "", (IF(MEDIAN($V$23:$V$30) = 0, "", MEDIAN($V$23:$V$30))))</f>
        <v>0.53</v>
      </c>
      <c r="W22">
        <f ca="1">IF(ISERROR(IF(MEDIAN($W$23:$W$30) = 0, "", MEDIAN($W$23:$W$30))), "", (IF(MEDIAN($W$23:$W$30) = 0, "", MEDIAN($W$23:$W$30))))</f>
        <v>0.76449999999999996</v>
      </c>
      <c r="X22">
        <f ca="1">IF(ISERROR(IF(MEDIAN($X$23:$X$30) = 0, "", MEDIAN($X$23:$X$30))), "", (IF(MEDIAN($X$23:$X$30) = 0, "", MEDIAN($X$23:$X$30))))</f>
        <v>0.75249999999999995</v>
      </c>
      <c r="Y22">
        <f ca="1">IF(ISERROR(IF(MEDIAN($Y$23:$Y$30) = 0, "", MEDIAN($Y$23:$Y$30))), "", (IF(MEDIAN($Y$23:$Y$30) = 0, "", MEDIAN($Y$23:$Y$30))))</f>
        <v>0.49349999999999999</v>
      </c>
      <c r="Z22">
        <f ca="1">IF(ISERROR(IF(MEDIAN($Z$23:$Z$30) = 0, "", MEDIAN($Z$23:$Z$30))), "", (IF(MEDIAN($Z$23:$Z$30) = 0, "", MEDIAN($Z$23:$Z$30))))</f>
        <v>0.53800000000000003</v>
      </c>
      <c r="AA22" t="str">
        <f ca="1">IF(ISERROR(IF(MEDIAN($AA$23:$AA$30) = 0, "", MEDIAN($AA$23:$AA$30))), "", (IF(MEDIAN($AA$23:$AA$30) = 0, "", MEDIAN($AA$23:$AA$30))))</f>
        <v/>
      </c>
      <c r="AB22">
        <f ca="1">IF(ISERROR(IF(MEDIAN($AB$23:$AB$30) = 0, "", MEDIAN($AB$23:$AB$30))), "", (IF(MEDIAN($AB$23:$AB$30) = 0, "", MEDIAN($AB$23:$AB$30))))</f>
        <v>0.96050000000000002</v>
      </c>
      <c r="AC22">
        <f ca="1">IF(ISERROR(IF(MEDIAN($AC$23:$AC$30) = 0, "", MEDIAN($AC$23:$AC$30))), "", (IF(MEDIAN($AC$23:$AC$30) = 0, "", MEDIAN($AC$23:$AC$30))))</f>
        <v>1.3585</v>
      </c>
      <c r="AD22">
        <f ca="1">IF(ISERROR(IF(MEDIAN($AD$23:$AD$30) = 0, "", MEDIAN($AD$23:$AD$30))), "", (IF(MEDIAN($AD$23:$AD$30) = 0, "", MEDIAN($AD$23:$AD$30))))</f>
        <v>1.2184999999999999</v>
      </c>
      <c r="AE22" t="str">
        <f ca="1">IF(ISERROR(IF(MEDIAN($AE$23:$AE$30) = 0, "", MEDIAN($AE$23:$AE$30))), "", (IF(MEDIAN($AE$23:$AE$30) = 0, "", MEDIAN($AE$23:$AE$30))))</f>
        <v/>
      </c>
      <c r="AF22">
        <f ca="1">IF(ISERROR(IF(MEDIAN($AF$23:$AF$30) = 0, "", MEDIAN($AF$23:$AF$30))), "", (IF(MEDIAN($AF$23:$AF$30) = 0, "", MEDIAN($AF$23:$AF$30))))</f>
        <v>0.98750000000000004</v>
      </c>
      <c r="AG22">
        <f ca="1">IF(ISERROR(IF(MEDIAN($AG$23:$AG$30) = 0, "", MEDIAN($AG$23:$AG$30))), "", (IF(MEDIAN($AG$23:$AG$30) = 0, "", MEDIAN($AG$23:$AG$30))))</f>
        <v>0.51600000000000001</v>
      </c>
      <c r="AH22">
        <f ca="1">IF(ISERROR(IF(MEDIAN($AH$23:$AH$30) = 0, "", MEDIAN($AH$23:$AH$30))), "", (IF(MEDIAN($AH$23:$AH$30) = 0, "", MEDIAN($AH$23:$AH$30))))</f>
        <v>2.0825</v>
      </c>
      <c r="AI22" t="str">
        <f ca="1">IF(ISERROR(IF(MEDIAN($AI$23:$AI$30) = 0, "", MEDIAN($AI$23:$AI$30))), "", (IF(MEDIAN($AI$23:$AI$30) = 0, "", MEDIAN($AI$23:$AI$30))))</f>
        <v/>
      </c>
      <c r="AJ22">
        <f ca="1">IF(ISERROR(IF(MEDIAN($AJ$23:$AJ$30) = 0, "", MEDIAN($AJ$23:$AJ$30))), "", (IF(MEDIAN($AJ$23:$AJ$30) = 0, "", MEDIAN($AJ$23:$AJ$30))))</f>
        <v>1.0960000000000001</v>
      </c>
      <c r="AK22">
        <f ca="1">IF(ISERROR(IF(MEDIAN($AK$23:$AK$30) = 0, "", MEDIAN($AK$23:$AK$30))), "", (IF(MEDIAN($AK$23:$AK$30) = 0, "", MEDIAN($AK$23:$AK$30))))</f>
        <v>0.93500000000000005</v>
      </c>
      <c r="AL22">
        <f ca="1">IF(ISERROR(IF(MEDIAN($AL$23:$AL$30) = 0, "", MEDIAN($AL$23:$AL$30))), "", (IF(MEDIAN($AL$23:$AL$30) = 0, "", MEDIAN($AL$23:$AL$30))))</f>
        <v>0.41299999999999998</v>
      </c>
      <c r="AM22" t="str">
        <f ca="1">IF(ISERROR(IF(MEDIAN($AM$23:$AM$30) = 0, "", MEDIAN($AM$23:$AM$30))), "", (IF(MEDIAN($AM$23:$AM$30) = 0, "", MEDIAN($AM$23:$AM$30))))</f>
        <v/>
      </c>
      <c r="AN22">
        <f ca="1">IF(ISERROR(IF(MEDIAN($AN$23:$AN$30) = 0, "", MEDIAN($AN$23:$AN$30))), "", (IF(MEDIAN($AN$23:$AN$30) = 0, "", MEDIAN($AN$23:$AN$30))))</f>
        <v>1.1019999999999999</v>
      </c>
      <c r="AO22">
        <f ca="1">IF(ISERROR(IF(MEDIAN($AO$23:$AO$30) = 0, "", MEDIAN($AO$23:$AO$30))), "", (IF(MEDIAN($AO$23:$AO$30) = 0, "", MEDIAN($AO$23:$AO$30))))</f>
        <v>1.3880000000000001</v>
      </c>
      <c r="AP22">
        <f ca="1">IF(ISERROR(IF(MEDIAN($AP$23:$AP$30) = 0, "", MEDIAN($AP$23:$AP$30))), "", (IF(MEDIAN($AP$23:$AP$30) = 0, "", MEDIAN($AP$23:$AP$30))))</f>
        <v>0.9425</v>
      </c>
      <c r="AQ22" t="str">
        <f ca="1">IF(ISERROR(IF(MEDIAN($AQ$23:$AQ$30) = 0, "", MEDIAN($AQ$23:$AQ$30))), "", (IF(MEDIAN($AQ$23:$AQ$30) = 0, "", MEDIAN($AQ$23:$AQ$30))))</f>
        <v/>
      </c>
      <c r="AR22" t="str">
        <f ca="1">IF(ISERROR(IF(MEDIAN($AR$23:$AR$30) = 0, "", MEDIAN($AR$23:$AR$30))), "", (IF(MEDIAN($AR$23:$AR$30) = 0, "", MEDIAN($AR$23:$AR$30))))</f>
        <v/>
      </c>
      <c r="AS22" t="str">
        <f ca="1">IF(ISERROR(IF(MEDIAN($AS$23:$AS$30) = 0, "", MEDIAN($AS$23:$AS$30))), "", (IF(MEDIAN($AS$23:$AS$30) = 0, "", MEDIAN($AS$23:$AS$30))))</f>
        <v/>
      </c>
      <c r="AT22" t="str">
        <f ca="1">IF(ISERROR(IF(MEDIAN($AT$23:$AT$30) = 0, "", MEDIAN($AT$23:$AT$30))), "", (IF(MEDIAN($AT$23:$AT$30) = 0, "", MEDIAN($AT$23:$AT$30))))</f>
        <v/>
      </c>
      <c r="AU22" t="str">
        <f ca="1">IF(ISERROR(IF(MEDIAN($AU$23:$AU$30) = 0, "", MEDIAN($AU$23:$AU$30))), "", (IF(MEDIAN($AU$23:$AU$30) = 0, "", MEDIAN($AU$23:$AU$30))))</f>
        <v/>
      </c>
      <c r="AV22" t="str">
        <f ca="1">IF(ISERROR(IF(MEDIAN($AV$23:$AV$30) = 0, "", MEDIAN($AV$23:$AV$30))), "", (IF(MEDIAN($AV$23:$AV$30) = 0, "", MEDIAN($AV$23:$AV$30))))</f>
        <v/>
      </c>
      <c r="AW22" t="str">
        <f ca="1">IF(ISERROR(IF(MEDIAN($AW$23:$AW$30) = 0, "", MEDIAN($AW$23:$AW$30))), "", (IF(MEDIAN($AW$23:$AW$30) = 0, "", MEDIAN($AW$23:$AW$30))))</f>
        <v/>
      </c>
      <c r="AX22" t="str">
        <f ca="1">IF(ISERROR(IF(MEDIAN($AX$23:$AX$30) = 0, "", MEDIAN($AX$23:$AX$30))), "", (IF(MEDIAN($AX$23:$AX$30) = 0, "", MEDIAN($AX$23:$AX$30))))</f>
        <v/>
      </c>
      <c r="AY22" t="str">
        <f ca="1">IF(ISERROR(IF(MEDIAN($AY$23:$AY$30) = 0, "", MEDIAN($AY$23:$AY$30))), "", (IF(MEDIAN($AY$23:$AY$30) = 0, "", MEDIAN($AY$23:$AY$30))))</f>
        <v/>
      </c>
      <c r="AZ22" t="str">
        <f ca="1">IF(ISERROR(IF(MEDIAN($AZ$23:$AZ$30) = 0, "", MEDIAN($AZ$23:$AZ$30))), "", (IF(MEDIAN($AZ$23:$AZ$30) = 0, "", MEDIAN($AZ$23:$AZ$30))))</f>
        <v/>
      </c>
      <c r="BA22" t="str">
        <f ca="1">IF(ISERROR(IF(MEDIAN($BA$23:$BA$30) = 0, "", MEDIAN($BA$23:$BA$30))), "", (IF(MEDIAN($BA$23:$BA$30) = 0, "", MEDIAN($BA$23:$BA$30))))</f>
        <v/>
      </c>
      <c r="BB22" t="str">
        <f ca="1">IF(ISERROR(IF(MEDIAN($BB$23:$BB$30) = 0, "", MEDIAN($BB$23:$BB$30))), "", (IF(MEDIAN($BB$23:$BB$30) = 0, "", MEDIAN($BB$23:$BB$30))))</f>
        <v/>
      </c>
      <c r="BC22" t="str">
        <f ca="1">IF(ISERROR(IF(MEDIAN($BC$23:$BC$30) = 0, "", MEDIAN($BC$23:$BC$30))), "", (IF(MEDIAN($BC$23:$BC$30) = 0, "", MEDIAN($BC$23:$BC$30))))</f>
        <v/>
      </c>
      <c r="BD22" t="str">
        <f ca="1">IF(ISERROR(IF(MEDIAN($BD$23:$BD$30) = 0, "", MEDIAN($BD$23:$BD$30))), "", (IF(MEDIAN($BD$23:$BD$30) = 0, "", MEDIAN($BD$23:$BD$30))))</f>
        <v/>
      </c>
      <c r="BE22" t="str">
        <f ca="1">IF(ISERROR(IF(MEDIAN($BE$23:$BE$30) = 0, "", MEDIAN($BE$23:$BE$30))), "", (IF(MEDIAN($BE$23:$BE$30) = 0, "", MEDIAN($BE$23:$BE$30))))</f>
        <v/>
      </c>
      <c r="BF22" t="str">
        <f ca="1">IF(ISERROR(IF(MEDIAN($BF$23:$BF$30) = 0, "", MEDIAN($BF$23:$BF$30))), "", (IF(MEDIAN($BF$23:$BF$30) = 0, "", MEDIAN($BF$23:$BF$30))))</f>
        <v/>
      </c>
      <c r="BG22" t="str">
        <f ca="1">IF(ISERROR(IF(MEDIAN($BG$23:$BG$30) = 0, "", MEDIAN($BG$23:$BG$30))), "", (IF(MEDIAN($BG$23:$BG$30) = 0, "", MEDIAN($BG$23:$BG$30))))</f>
        <v/>
      </c>
      <c r="BH22" t="str">
        <f ca="1">IF(ISERROR(IF(MEDIAN($BH$23:$BH$30) = 0, "", MEDIAN($BH$23:$BH$30))), "", (IF(MEDIAN($BH$23:$BH$30) = 0, "", MEDIAN($BH$23:$BH$30))))</f>
        <v/>
      </c>
      <c r="BI22" t="str">
        <f ca="1">IF(ISERROR(IF(MEDIAN($BI$23:$BI$30) = 0, "", MEDIAN($BI$23:$BI$30))), "", (IF(MEDIAN($BI$23:$BI$30) = 0, "", MEDIAN($BI$23:$BI$30))))</f>
        <v/>
      </c>
      <c r="BJ22" t="str">
        <f ca="1">IF(ISERROR(IF(MEDIAN($BJ$23:$BJ$30) = 0, "", MEDIAN($BJ$23:$BJ$30))), "", (IF(MEDIAN($BJ$23:$BJ$30) = 0, "", MEDIAN($BJ$23:$BJ$30))))</f>
        <v/>
      </c>
      <c r="BK22" t="str">
        <f ca="1">IF(ISERROR(IF(MEDIAN($BK$23:$BK$30) = 0, "", MEDIAN($BK$23:$BK$30))), "", (IF(MEDIAN($BK$23:$BK$30) = 0, "", MEDIAN($BK$23:$BK$30))))</f>
        <v/>
      </c>
      <c r="BL22" t="str">
        <f ca="1">IF(ISERROR(IF(MEDIAN($BL$23:$BL$30) = 0, "", MEDIAN($BL$23:$BL$30))), "", (IF(MEDIAN($BL$23:$BL$30) = 0, "", MEDIAN($BL$23:$BL$30))))</f>
        <v/>
      </c>
      <c r="BM22" t="str">
        <f ca="1">IF(ISERROR(IF(MEDIAN($BM$23:$BM$30) = 0, "", MEDIAN($BM$23:$BM$30))), "", (IF(MEDIAN($BM$23:$BM$30) = 0, "", MEDIAN($BM$23:$BM$30))))</f>
        <v/>
      </c>
      <c r="BN22" t="str">
        <f>""</f>
        <v/>
      </c>
      <c r="BO22">
        <f>0</f>
        <v>0</v>
      </c>
      <c r="BP22">
        <f>1.4135</f>
        <v>1.4135</v>
      </c>
      <c r="BQ22">
        <f>0.6965</f>
        <v>0.69650000000000001</v>
      </c>
      <c r="BR22">
        <f>0.6675</f>
        <v>0.66749999999999998</v>
      </c>
      <c r="BS22">
        <f>0.779</f>
        <v>0.77900000000000003</v>
      </c>
      <c r="BT22">
        <f>0.7915</f>
        <v>0.79149999999999998</v>
      </c>
      <c r="BU22">
        <f>1.309</f>
        <v>1.3089999999999999</v>
      </c>
      <c r="BV22">
        <f>0.9185</f>
        <v>0.91849999999999998</v>
      </c>
      <c r="BW22">
        <f>1.293</f>
        <v>1.2929999999999999</v>
      </c>
      <c r="BX22">
        <f>0.8575</f>
        <v>0.85750000000000004</v>
      </c>
      <c r="BY22">
        <f>1.189</f>
        <v>1.1890000000000001</v>
      </c>
      <c r="BZ22">
        <f>0.697</f>
        <v>0.69699999999999995</v>
      </c>
      <c r="CA22">
        <f>0.658</f>
        <v>0.65800000000000003</v>
      </c>
      <c r="CB22">
        <f>1.2825</f>
        <v>1.2825</v>
      </c>
      <c r="CC22">
        <f>1.0945</f>
        <v>1.0945</v>
      </c>
      <c r="CD22">
        <f>0.53</f>
        <v>0.53</v>
      </c>
      <c r="CE22">
        <f>0.7645</f>
        <v>0.76449999999999996</v>
      </c>
      <c r="CF22">
        <f>0.7525</f>
        <v>0.75249999999999995</v>
      </c>
      <c r="CG22">
        <f>0.4935</f>
        <v>0.49349999999999999</v>
      </c>
      <c r="CH22">
        <f>0.538</f>
        <v>0.53800000000000003</v>
      </c>
      <c r="CI22">
        <f>0</f>
        <v>0</v>
      </c>
      <c r="CJ22">
        <f>0.9605</f>
        <v>0.96050000000000002</v>
      </c>
      <c r="CK22">
        <f>1.3585</f>
        <v>1.3585</v>
      </c>
      <c r="CL22">
        <f>1.2185</f>
        <v>1.2184999999999999</v>
      </c>
      <c r="CM22">
        <f>0</f>
        <v>0</v>
      </c>
      <c r="CN22">
        <f>0.9875</f>
        <v>0.98750000000000004</v>
      </c>
      <c r="CO22">
        <f>0.516</f>
        <v>0.51600000000000001</v>
      </c>
      <c r="CP22">
        <f>2.0825</f>
        <v>2.0825</v>
      </c>
      <c r="CQ22">
        <f>0</f>
        <v>0</v>
      </c>
      <c r="CR22">
        <f>1.096</f>
        <v>1.0960000000000001</v>
      </c>
      <c r="CS22">
        <f>0.935</f>
        <v>0.93500000000000005</v>
      </c>
      <c r="CT22">
        <f>0.413</f>
        <v>0.41299999999999998</v>
      </c>
      <c r="CU22">
        <f>0</f>
        <v>0</v>
      </c>
      <c r="CV22">
        <f>1.102</f>
        <v>1.1020000000000001</v>
      </c>
      <c r="CW22">
        <f>1.388</f>
        <v>1.3879999999999999</v>
      </c>
      <c r="CX22">
        <f>0.9425</f>
        <v>0.9425</v>
      </c>
      <c r="CY22" t="str">
        <f>""</f>
        <v/>
      </c>
      <c r="CZ22" t="str">
        <f>""</f>
        <v/>
      </c>
      <c r="DA22">
        <f>0</f>
        <v>0</v>
      </c>
      <c r="DB22" t="str">
        <f>""</f>
        <v/>
      </c>
      <c r="DC22" t="str">
        <f>""</f>
        <v/>
      </c>
      <c r="DD22" t="str">
        <f>""</f>
        <v/>
      </c>
      <c r="DE22" t="str">
        <f>""</f>
        <v/>
      </c>
      <c r="DF22" t="str">
        <f>""</f>
        <v/>
      </c>
      <c r="DG22" t="str">
        <f>""</f>
        <v/>
      </c>
      <c r="DH22" t="str">
        <f>""</f>
        <v/>
      </c>
      <c r="DI22" t="str">
        <f>""</f>
        <v/>
      </c>
      <c r="DJ22" t="str">
        <f>""</f>
        <v/>
      </c>
      <c r="DK22" t="str">
        <f>""</f>
        <v/>
      </c>
      <c r="DL22" t="str">
        <f>""</f>
        <v/>
      </c>
      <c r="DM22" t="str">
        <f>""</f>
        <v/>
      </c>
      <c r="DN22" t="str">
        <f>""</f>
        <v/>
      </c>
      <c r="DO22" t="str">
        <f>""</f>
        <v/>
      </c>
      <c r="DP22" t="str">
        <f>""</f>
        <v/>
      </c>
      <c r="DQ22" t="str">
        <f>""</f>
        <v/>
      </c>
      <c r="DR22" t="str">
        <f>""</f>
        <v/>
      </c>
      <c r="DS22" t="str">
        <f>""</f>
        <v/>
      </c>
      <c r="DT22" t="str">
        <f>""</f>
        <v/>
      </c>
      <c r="DU22" t="str">
        <f>""</f>
        <v/>
      </c>
    </row>
    <row r="23" spans="1:125">
      <c r="A23" t="str">
        <f>"    American Campus Communities In"</f>
        <v xml:space="preserve">    American Campus Communities In</v>
      </c>
      <c r="B23" t="str">
        <f>"ACC US Equity"</f>
        <v>ACC US Equity</v>
      </c>
      <c r="C23" t="str">
        <f t="shared" ref="C23:C30" si="6">"IM281"</f>
        <v>IM281</v>
      </c>
      <c r="D23" t="str">
        <f t="shared" ref="D23:D30" si="7">"IS_NON_REAL_ESTATE_INCOME"</f>
        <v>IS_NON_REAL_ESTATE_INCOME</v>
      </c>
      <c r="E23" t="str">
        <f t="shared" ref="E23:E30" si="8">"动态"</f>
        <v>动态</v>
      </c>
      <c r="F23" t="str">
        <f ca="1">IF(AND(ISNUMBER($F$244),$B$226=1),$F$244,HLOOKUP(INDIRECT(ADDRESS(2,COLUMN())),OFFSET($BN$2,0,0,ROW()-1,60),ROW()-1,FALSE))</f>
        <v/>
      </c>
      <c r="G23">
        <f ca="1">IF(AND(ISNUMBER($G$244),$B$226=1),$G$244,HLOOKUP(INDIRECT(ADDRESS(2,COLUMN())),OFFSET($BN$2,0,0,ROW()-1,60),ROW()-1,FALSE))</f>
        <v>3.528</v>
      </c>
      <c r="H23">
        <f ca="1">IF(AND(ISNUMBER($H$244),$B$226=1),$H$244,HLOOKUP(INDIRECT(ADDRESS(2,COLUMN())),OFFSET($BN$2,0,0,ROW()-1,60),ROW()-1,FALSE))</f>
        <v>4.2789999999999999</v>
      </c>
      <c r="I23">
        <f ca="1">IF(AND(ISNUMBER($I$244),$B$226=1),$I$244,HLOOKUP(INDIRECT(ADDRESS(2,COLUMN())),OFFSET($BN$2,0,0,ROW()-1,60),ROW()-1,FALSE))</f>
        <v>1.393</v>
      </c>
      <c r="J23">
        <f ca="1">IF(AND(ISNUMBER($J$244),$B$226=1),$J$244,HLOOKUP(INDIRECT(ADDRESS(2,COLUMN())),OFFSET($BN$2,0,0,ROW()-1,60),ROW()-1,FALSE))</f>
        <v>1.335</v>
      </c>
      <c r="K23">
        <f ca="1">IF(AND(ISNUMBER($K$244),$B$226=1),$K$244,HLOOKUP(INDIRECT(ADDRESS(2,COLUMN())),OFFSET($BN$2,0,0,ROW()-1,60),ROW()-1,FALSE))</f>
        <v>1.5580000000000001</v>
      </c>
      <c r="L23">
        <f ca="1">IF(AND(ISNUMBER($L$244),$B$226=1),$L$244,HLOOKUP(INDIRECT(ADDRESS(2,COLUMN())),OFFSET($BN$2,0,0,ROW()-1,60),ROW()-1,FALSE))</f>
        <v>1.583</v>
      </c>
      <c r="M23">
        <f ca="1">IF(AND(ISNUMBER($M$244),$B$226=1),$M$244,HLOOKUP(INDIRECT(ADDRESS(2,COLUMN())),OFFSET($BN$2,0,0,ROW()-1,60),ROW()-1,FALSE))</f>
        <v>2.8340000000000001</v>
      </c>
      <c r="N23">
        <f ca="1">IF(AND(ISNUMBER($N$244),$B$226=1),$N$244,HLOOKUP(INDIRECT(ADDRESS(2,COLUMN())),OFFSET($BN$2,0,0,ROW()-1,60),ROW()-1,FALSE))</f>
        <v>1.837</v>
      </c>
      <c r="O23">
        <f ca="1">IF(AND(ISNUMBER($O$244),$B$226=1),$O$244,HLOOKUP(INDIRECT(ADDRESS(2,COLUMN())),OFFSET($BN$2,0,0,ROW()-1,60),ROW()-1,FALSE))</f>
        <v>2.5859999999999999</v>
      </c>
      <c r="P23">
        <f ca="1">IF(AND(ISNUMBER($P$244),$B$226=1),$P$244,HLOOKUP(INDIRECT(ADDRESS(2,COLUMN())),OFFSET($BN$2,0,0,ROW()-1,60),ROW()-1,FALSE))</f>
        <v>1.7150000000000001</v>
      </c>
      <c r="Q23">
        <f ca="1">IF(AND(ISNUMBER($Q$244),$B$226=1),$Q$244,HLOOKUP(INDIRECT(ADDRESS(2,COLUMN())),OFFSET($BN$2,0,0,ROW()-1,60),ROW()-1,FALSE))</f>
        <v>2.3780000000000001</v>
      </c>
      <c r="R23">
        <f ca="1">IF(AND(ISNUMBER($R$244),$B$226=1),$R$244,HLOOKUP(INDIRECT(ADDRESS(2,COLUMN())),OFFSET($BN$2,0,0,ROW()-1,60),ROW()-1,FALSE))</f>
        <v>1.3939999999999999</v>
      </c>
      <c r="S23">
        <f ca="1">IF(AND(ISNUMBER($S$244),$B$226=1),$S$244,HLOOKUP(INDIRECT(ADDRESS(2,COLUMN())),OFFSET($BN$2,0,0,ROW()-1,60),ROW()-1,FALSE))</f>
        <v>1.3160000000000001</v>
      </c>
      <c r="T23">
        <f ca="1">IF(AND(ISNUMBER($T$244),$B$226=1),$T$244,HLOOKUP(INDIRECT(ADDRESS(2,COLUMN())),OFFSET($BN$2,0,0,ROW()-1,60),ROW()-1,FALSE))</f>
        <v>2.5649999999999999</v>
      </c>
      <c r="U23">
        <f ca="1">IF(AND(ISNUMBER($U$244),$B$226=1),$U$244,HLOOKUP(INDIRECT(ADDRESS(2,COLUMN())),OFFSET($BN$2,0,0,ROW()-1,60),ROW()-1,FALSE))</f>
        <v>2.1890000000000001</v>
      </c>
      <c r="V23">
        <f ca="1">IF(AND(ISNUMBER($V$244),$B$226=1),$V$244,HLOOKUP(INDIRECT(ADDRESS(2,COLUMN())),OFFSET($BN$2,0,0,ROW()-1,60),ROW()-1,FALSE))</f>
        <v>1.06</v>
      </c>
      <c r="W23">
        <f ca="1">IF(AND(ISNUMBER($W$244),$B$226=1),$W$244,HLOOKUP(INDIRECT(ADDRESS(2,COLUMN())),OFFSET($BN$2,0,0,ROW()-1,60),ROW()-1,FALSE))</f>
        <v>1.5289999999999999</v>
      </c>
      <c r="X23">
        <f ca="1">IF(AND(ISNUMBER($X$244),$B$226=1),$X$244,HLOOKUP(INDIRECT(ADDRESS(2,COLUMN())),OFFSET($BN$2,0,0,ROW()-1,60),ROW()-1,FALSE))</f>
        <v>1.5049999999999999</v>
      </c>
      <c r="Y23">
        <f ca="1">IF(AND(ISNUMBER($Y$244),$B$226=1),$Y$244,HLOOKUP(INDIRECT(ADDRESS(2,COLUMN())),OFFSET($BN$2,0,0,ROW()-1,60),ROW()-1,FALSE))</f>
        <v>0.98699999999999999</v>
      </c>
      <c r="Z23">
        <f ca="1">IF(AND(ISNUMBER($Z$244),$B$226=1),$Z$244,HLOOKUP(INDIRECT(ADDRESS(2,COLUMN())),OFFSET($BN$2,0,0,ROW()-1,60),ROW()-1,FALSE))</f>
        <v>1.0760000000000001</v>
      </c>
      <c r="AA23">
        <f ca="1">IF(AND(ISNUMBER($AA$244),$B$226=1),$AA$244,HLOOKUP(INDIRECT(ADDRESS(2,COLUMN())),OFFSET($BN$2,0,0,ROW()-1,60),ROW()-1,FALSE))</f>
        <v>1.77</v>
      </c>
      <c r="AB23">
        <f ca="1">IF(AND(ISNUMBER($AB$244),$B$226=1),$AB$244,HLOOKUP(INDIRECT(ADDRESS(2,COLUMN())),OFFSET($BN$2,0,0,ROW()-1,60),ROW()-1,FALSE))</f>
        <v>1.921</v>
      </c>
      <c r="AC23">
        <f ca="1">IF(AND(ISNUMBER($AC$244),$B$226=1),$AC$244,HLOOKUP(INDIRECT(ADDRESS(2,COLUMN())),OFFSET($BN$2,0,0,ROW()-1,60),ROW()-1,FALSE))</f>
        <v>4.0510000000000002</v>
      </c>
      <c r="AD23">
        <f ca="1">IF(AND(ISNUMBER($AD$244),$B$226=1),$AD$244,HLOOKUP(INDIRECT(ADDRESS(2,COLUMN())),OFFSET($BN$2,0,0,ROW()-1,60),ROW()-1,FALSE))</f>
        <v>2.4369999999999998</v>
      </c>
      <c r="AE23">
        <f ca="1">IF(AND(ISNUMBER($AE$244),$B$226=1),$AE$244,HLOOKUP(INDIRECT(ADDRESS(2,COLUMN())),OFFSET($BN$2,0,0,ROW()-1,60),ROW()-1,FALSE))</f>
        <v>1.6779999999999999</v>
      </c>
      <c r="AF23">
        <f ca="1">IF(AND(ISNUMBER($AF$244),$B$226=1),$AF$244,HLOOKUP(INDIRECT(ADDRESS(2,COLUMN())),OFFSET($BN$2,0,0,ROW()-1,60),ROW()-1,FALSE))</f>
        <v>1.9750000000000001</v>
      </c>
      <c r="AG23">
        <f ca="1">IF(AND(ISNUMBER($AG$244),$B$226=1),$AG$244,HLOOKUP(INDIRECT(ADDRESS(2,COLUMN())),OFFSET($BN$2,0,0,ROW()-1,60),ROW()-1,FALSE))</f>
        <v>1.032</v>
      </c>
      <c r="AH23">
        <f ca="1">IF(AND(ISNUMBER($AH$244),$B$226=1),$AH$244,HLOOKUP(INDIRECT(ADDRESS(2,COLUMN())),OFFSET($BN$2,0,0,ROW()-1,60),ROW()-1,FALSE))</f>
        <v>4.165</v>
      </c>
      <c r="AI23">
        <f ca="1">IF(AND(ISNUMBER($AI$244),$B$226=1),$AI$244,HLOOKUP(INDIRECT(ADDRESS(2,COLUMN())),OFFSET($BN$2,0,0,ROW()-1,60),ROW()-1,FALSE))</f>
        <v>1.41</v>
      </c>
      <c r="AJ23">
        <f ca="1">IF(AND(ISNUMBER($AJ$244),$B$226=1),$AJ$244,HLOOKUP(INDIRECT(ADDRESS(2,COLUMN())),OFFSET($BN$2,0,0,ROW()-1,60),ROW()-1,FALSE))</f>
        <v>6.4930000000000003</v>
      </c>
      <c r="AK23">
        <f ca="1">IF(AND(ISNUMBER($AK$244),$B$226=1),$AK$244,HLOOKUP(INDIRECT(ADDRESS(2,COLUMN())),OFFSET($BN$2,0,0,ROW()-1,60),ROW()-1,FALSE))</f>
        <v>1.87</v>
      </c>
      <c r="AL23">
        <f ca="1">IF(AND(ISNUMBER($AL$244),$B$226=1),$AL$244,HLOOKUP(INDIRECT(ADDRESS(2,COLUMN())),OFFSET($BN$2,0,0,ROW()-1,60),ROW()-1,FALSE))</f>
        <v>0.82599999999999996</v>
      </c>
      <c r="AM23">
        <f ca="1">IF(AND(ISNUMBER($AM$244),$B$226=1),$AM$244,HLOOKUP(INDIRECT(ADDRESS(2,COLUMN())),OFFSET($BN$2,0,0,ROW()-1,60),ROW()-1,FALSE))</f>
        <v>2.601</v>
      </c>
      <c r="AN23">
        <f ca="1">IF(AND(ISNUMBER($AN$244),$B$226=1),$AN$244,HLOOKUP(INDIRECT(ADDRESS(2,COLUMN())),OFFSET($BN$2,0,0,ROW()-1,60),ROW()-1,FALSE))</f>
        <v>2.5169999999999999</v>
      </c>
      <c r="AO23">
        <f ca="1">IF(AND(ISNUMBER($AO$244),$B$226=1),$AO$244,HLOOKUP(INDIRECT(ADDRESS(2,COLUMN())),OFFSET($BN$2,0,0,ROW()-1,60),ROW()-1,FALSE))</f>
        <v>2.31</v>
      </c>
      <c r="AP23">
        <f ca="1">IF(AND(ISNUMBER($AP$244),$B$226=1),$AP$244,HLOOKUP(INDIRECT(ADDRESS(2,COLUMN())),OFFSET($BN$2,0,0,ROW()-1,60),ROW()-1,FALSE))</f>
        <v>1.292</v>
      </c>
      <c r="AQ23" t="str">
        <f ca="1">IF(AND(ISNUMBER($AQ$244),$B$226=1),$AQ$244,HLOOKUP(INDIRECT(ADDRESS(2,COLUMN())),OFFSET($BN$2,0,0,ROW()-1,60),ROW()-1,FALSE))</f>
        <v/>
      </c>
      <c r="AR23" t="str">
        <f ca="1">IF(AND(ISNUMBER($AR$244),$B$226=1),$AR$244,HLOOKUP(INDIRECT(ADDRESS(2,COLUMN())),OFFSET($BN$2,0,0,ROW()-1,60),ROW()-1,FALSE))</f>
        <v/>
      </c>
      <c r="AS23" t="str">
        <f ca="1">IF(AND(ISNUMBER($AS$244),$B$226=1),$AS$244,HLOOKUP(INDIRECT(ADDRESS(2,COLUMN())),OFFSET($BN$2,0,0,ROW()-1,60),ROW()-1,FALSE))</f>
        <v/>
      </c>
      <c r="AT23" t="str">
        <f ca="1">IF(AND(ISNUMBER($AT$244),$B$226=1),$AT$244,HLOOKUP(INDIRECT(ADDRESS(2,COLUMN())),OFFSET($BN$2,0,0,ROW()-1,60),ROW()-1,FALSE))</f>
        <v/>
      </c>
      <c r="AU23" t="str">
        <f ca="1">IF(AND(ISNUMBER($AU$244),$B$226=1),$AU$244,HLOOKUP(INDIRECT(ADDRESS(2,COLUMN())),OFFSET($BN$2,0,0,ROW()-1,60),ROW()-1,FALSE))</f>
        <v/>
      </c>
      <c r="AV23" t="str">
        <f ca="1">IF(AND(ISNUMBER($AV$244),$B$226=1),$AV$244,HLOOKUP(INDIRECT(ADDRESS(2,COLUMN())),OFFSET($BN$2,0,0,ROW()-1,60),ROW()-1,FALSE))</f>
        <v/>
      </c>
      <c r="AW23" t="str">
        <f ca="1">IF(AND(ISNUMBER($AW$244),$B$226=1),$AW$244,HLOOKUP(INDIRECT(ADDRESS(2,COLUMN())),OFFSET($BN$2,0,0,ROW()-1,60),ROW()-1,FALSE))</f>
        <v/>
      </c>
      <c r="AX23" t="str">
        <f ca="1">IF(AND(ISNUMBER($AX$244),$B$226=1),$AX$244,HLOOKUP(INDIRECT(ADDRESS(2,COLUMN())),OFFSET($BN$2,0,0,ROW()-1,60),ROW()-1,FALSE))</f>
        <v/>
      </c>
      <c r="AY23" t="str">
        <f ca="1">IF(AND(ISNUMBER($AY$244),$B$226=1),$AY$244,HLOOKUP(INDIRECT(ADDRESS(2,COLUMN())),OFFSET($BN$2,0,0,ROW()-1,60),ROW()-1,FALSE))</f>
        <v/>
      </c>
      <c r="AZ23" t="str">
        <f ca="1">IF(AND(ISNUMBER($AZ$244),$B$226=1),$AZ$244,HLOOKUP(INDIRECT(ADDRESS(2,COLUMN())),OFFSET($BN$2,0,0,ROW()-1,60),ROW()-1,FALSE))</f>
        <v/>
      </c>
      <c r="BA23" t="str">
        <f ca="1">IF(AND(ISNUMBER($BA$244),$B$226=1),$BA$244,HLOOKUP(INDIRECT(ADDRESS(2,COLUMN())),OFFSET($BN$2,0,0,ROW()-1,60),ROW()-1,FALSE))</f>
        <v/>
      </c>
      <c r="BB23" t="str">
        <f ca="1">IF(AND(ISNUMBER($BB$244),$B$226=1),$BB$244,HLOOKUP(INDIRECT(ADDRESS(2,COLUMN())),OFFSET($BN$2,0,0,ROW()-1,60),ROW()-1,FALSE))</f>
        <v/>
      </c>
      <c r="BC23" t="str">
        <f ca="1">IF(AND(ISNUMBER($BC$244),$B$226=1),$BC$244,HLOOKUP(INDIRECT(ADDRESS(2,COLUMN())),OFFSET($BN$2,0,0,ROW()-1,60),ROW()-1,FALSE))</f>
        <v/>
      </c>
      <c r="BD23" t="str">
        <f ca="1">IF(AND(ISNUMBER($BD$244),$B$226=1),$BD$244,HLOOKUP(INDIRECT(ADDRESS(2,COLUMN())),OFFSET($BN$2,0,0,ROW()-1,60),ROW()-1,FALSE))</f>
        <v/>
      </c>
      <c r="BE23" t="str">
        <f ca="1">IF(AND(ISNUMBER($BE$244),$B$226=1),$BE$244,HLOOKUP(INDIRECT(ADDRESS(2,COLUMN())),OFFSET($BN$2,0,0,ROW()-1,60),ROW()-1,FALSE))</f>
        <v/>
      </c>
      <c r="BF23" t="str">
        <f ca="1">IF(AND(ISNUMBER($BF$244),$B$226=1),$BF$244,HLOOKUP(INDIRECT(ADDRESS(2,COLUMN())),OFFSET($BN$2,0,0,ROW()-1,60),ROW()-1,FALSE))</f>
        <v/>
      </c>
      <c r="BG23" t="str">
        <f ca="1">IF(AND(ISNUMBER($BG$244),$B$226=1),$BG$244,HLOOKUP(INDIRECT(ADDRESS(2,COLUMN())),OFFSET($BN$2,0,0,ROW()-1,60),ROW()-1,FALSE))</f>
        <v/>
      </c>
      <c r="BH23" t="str">
        <f ca="1">IF(AND(ISNUMBER($BH$244),$B$226=1),$BH$244,HLOOKUP(INDIRECT(ADDRESS(2,COLUMN())),OFFSET($BN$2,0,0,ROW()-1,60),ROW()-1,FALSE))</f>
        <v/>
      </c>
      <c r="BI23" t="str">
        <f ca="1">IF(AND(ISNUMBER($BI$244),$B$226=1),$BI$244,HLOOKUP(INDIRECT(ADDRESS(2,COLUMN())),OFFSET($BN$2,0,0,ROW()-1,60),ROW()-1,FALSE))</f>
        <v/>
      </c>
      <c r="BJ23" t="str">
        <f ca="1">IF(AND(ISNUMBER($BJ$244),$B$226=1),$BJ$244,HLOOKUP(INDIRECT(ADDRESS(2,COLUMN())),OFFSET($BN$2,0,0,ROW()-1,60),ROW()-1,FALSE))</f>
        <v/>
      </c>
      <c r="BK23" t="str">
        <f ca="1">IF(AND(ISNUMBER($BK$244),$B$226=1),$BK$244,HLOOKUP(INDIRECT(ADDRESS(2,COLUMN())),OFFSET($BN$2,0,0,ROW()-1,60),ROW()-1,FALSE))</f>
        <v/>
      </c>
      <c r="BL23" t="str">
        <f ca="1">IF(AND(ISNUMBER($BL$244),$B$226=1),$BL$244,HLOOKUP(INDIRECT(ADDRESS(2,COLUMN())),OFFSET($BN$2,0,0,ROW()-1,60),ROW()-1,FALSE))</f>
        <v/>
      </c>
      <c r="BM23" t="str">
        <f ca="1">IF(AND(ISNUMBER($BM$244),$B$226=1),$BM$244,HLOOKUP(INDIRECT(ADDRESS(2,COLUMN())),OFFSET($BN$2,0,0,ROW()-1,60),ROW()-1,FALSE))</f>
        <v/>
      </c>
      <c r="BN23" t="str">
        <f>""</f>
        <v/>
      </c>
      <c r="BO23">
        <f>3.528</f>
        <v>3.528</v>
      </c>
      <c r="BP23">
        <f>4.279</f>
        <v>4.2789999999999999</v>
      </c>
      <c r="BQ23">
        <f>1.393</f>
        <v>1.393</v>
      </c>
      <c r="BR23">
        <f>1.335</f>
        <v>1.335</v>
      </c>
      <c r="BS23">
        <f>1.558</f>
        <v>1.5580000000000001</v>
      </c>
      <c r="BT23">
        <f>1.583</f>
        <v>1.583</v>
      </c>
      <c r="BU23">
        <f>2.834</f>
        <v>2.8340000000000001</v>
      </c>
      <c r="BV23">
        <f>1.837</f>
        <v>1.837</v>
      </c>
      <c r="BW23">
        <f>2.586</f>
        <v>2.5859999999999999</v>
      </c>
      <c r="BX23">
        <f>1.715</f>
        <v>1.7150000000000001</v>
      </c>
      <c r="BY23">
        <f>2.378</f>
        <v>2.3780000000000001</v>
      </c>
      <c r="BZ23">
        <f>1.394</f>
        <v>1.3939999999999999</v>
      </c>
      <c r="CA23">
        <f>1.316</f>
        <v>1.3160000000000001</v>
      </c>
      <c r="CB23">
        <f>2.565</f>
        <v>2.5649999999999999</v>
      </c>
      <c r="CC23">
        <f>2.189</f>
        <v>2.1890000000000001</v>
      </c>
      <c r="CD23">
        <f>1.06</f>
        <v>1.06</v>
      </c>
      <c r="CE23">
        <f>1.529</f>
        <v>1.5289999999999999</v>
      </c>
      <c r="CF23">
        <f>1.505</f>
        <v>1.5049999999999999</v>
      </c>
      <c r="CG23">
        <f>0.987</f>
        <v>0.98699999999999999</v>
      </c>
      <c r="CH23">
        <f>1.076</f>
        <v>1.0760000000000001</v>
      </c>
      <c r="CI23">
        <f>1.77</f>
        <v>1.77</v>
      </c>
      <c r="CJ23">
        <f>1.921</f>
        <v>1.921</v>
      </c>
      <c r="CK23">
        <f>4.051</f>
        <v>4.0510000000000002</v>
      </c>
      <c r="CL23">
        <f>2.437</f>
        <v>2.4369999999999998</v>
      </c>
      <c r="CM23">
        <f>1.678</f>
        <v>1.6779999999999999</v>
      </c>
      <c r="CN23">
        <f>1.975</f>
        <v>1.9750000000000001</v>
      </c>
      <c r="CO23">
        <f>1.032</f>
        <v>1.032</v>
      </c>
      <c r="CP23">
        <f>4.165</f>
        <v>4.165</v>
      </c>
      <c r="CQ23">
        <f>1.41</f>
        <v>1.41</v>
      </c>
      <c r="CR23">
        <f>6.493</f>
        <v>6.4930000000000003</v>
      </c>
      <c r="CS23">
        <f>1.87</f>
        <v>1.87</v>
      </c>
      <c r="CT23">
        <f>0.826</f>
        <v>0.82599999999999996</v>
      </c>
      <c r="CU23">
        <f>2.601</f>
        <v>2.601</v>
      </c>
      <c r="CV23">
        <f>2.517</f>
        <v>2.5169999999999999</v>
      </c>
      <c r="CW23">
        <f>2.31</f>
        <v>2.31</v>
      </c>
      <c r="CX23">
        <f>1.292</f>
        <v>1.292</v>
      </c>
      <c r="CY23" t="str">
        <f>""</f>
        <v/>
      </c>
      <c r="CZ23" t="str">
        <f>""</f>
        <v/>
      </c>
      <c r="DA23" t="str">
        <f>""</f>
        <v/>
      </c>
      <c r="DB23" t="str">
        <f>""</f>
        <v/>
      </c>
      <c r="DC23" t="str">
        <f>""</f>
        <v/>
      </c>
      <c r="DD23" t="str">
        <f>""</f>
        <v/>
      </c>
      <c r="DE23" t="str">
        <f>""</f>
        <v/>
      </c>
      <c r="DF23" t="str">
        <f>""</f>
        <v/>
      </c>
      <c r="DG23" t="str">
        <f>""</f>
        <v/>
      </c>
      <c r="DH23" t="str">
        <f>""</f>
        <v/>
      </c>
      <c r="DI23" t="str">
        <f>""</f>
        <v/>
      </c>
      <c r="DJ23" t="str">
        <f>""</f>
        <v/>
      </c>
      <c r="DK23" t="str">
        <f>""</f>
        <v/>
      </c>
      <c r="DL23" t="str">
        <f>""</f>
        <v/>
      </c>
      <c r="DM23" t="str">
        <f>""</f>
        <v/>
      </c>
      <c r="DN23" t="str">
        <f>""</f>
        <v/>
      </c>
      <c r="DO23" t="str">
        <f>""</f>
        <v/>
      </c>
      <c r="DP23" t="str">
        <f>""</f>
        <v/>
      </c>
      <c r="DQ23" t="str">
        <f>""</f>
        <v/>
      </c>
      <c r="DR23" t="str">
        <f>""</f>
        <v/>
      </c>
      <c r="DS23" t="str">
        <f>""</f>
        <v/>
      </c>
      <c r="DT23" t="str">
        <f>""</f>
        <v/>
      </c>
      <c r="DU23" t="str">
        <f>""</f>
        <v/>
      </c>
    </row>
    <row r="24" spans="1:125">
      <c r="A24" t="str">
        <f>"    AvalonBay Communities Inc"</f>
        <v xml:space="preserve">    AvalonBay Communities Inc</v>
      </c>
      <c r="B24" t="str">
        <f>"AVB US Equity"</f>
        <v>AVB US Equity</v>
      </c>
      <c r="C24" t="str">
        <f t="shared" si="6"/>
        <v>IM281</v>
      </c>
      <c r="D24" t="str">
        <f t="shared" si="7"/>
        <v>IS_NON_REAL_ESTATE_INCOME</v>
      </c>
      <c r="E24" t="str">
        <f t="shared" si="8"/>
        <v>动态</v>
      </c>
      <c r="F24" t="str">
        <f ca="1">IF(AND(ISNUMBER($F$245),$B$226=1),$F$245,HLOOKUP(INDIRECT(ADDRESS(2,COLUMN())),OFFSET($BN$2,0,0,ROW()-1,60),ROW()-1,FALSE))</f>
        <v/>
      </c>
      <c r="G24">
        <f ca="1">IF(AND(ISNUMBER($G$245),$B$226=1),$G$245,HLOOKUP(INDIRECT(ADDRESS(2,COLUMN())),OFFSET($BN$2,0,0,ROW()-1,60),ROW()-1,FALSE))</f>
        <v>0</v>
      </c>
      <c r="H24">
        <f ca="1">IF(AND(ISNUMBER($H$245),$B$226=1),$H$245,HLOOKUP(INDIRECT(ADDRESS(2,COLUMN())),OFFSET($BN$2,0,0,ROW()-1,60),ROW()-1,FALSE))</f>
        <v>0</v>
      </c>
      <c r="I24">
        <f ca="1">IF(AND(ISNUMBER($I$245),$B$226=1),$I$245,HLOOKUP(INDIRECT(ADDRESS(2,COLUMN())),OFFSET($BN$2,0,0,ROW()-1,60),ROW()-1,FALSE))</f>
        <v>0</v>
      </c>
      <c r="J24">
        <f ca="1">IF(AND(ISNUMBER($J$245),$B$226=1),$J$245,HLOOKUP(INDIRECT(ADDRESS(2,COLUMN())),OFFSET($BN$2,0,0,ROW()-1,60),ROW()-1,FALSE))</f>
        <v>0</v>
      </c>
      <c r="K24">
        <f ca="1">IF(AND(ISNUMBER($K$245),$B$226=1),$K$245,HLOOKUP(INDIRECT(ADDRESS(2,COLUMN())),OFFSET($BN$2,0,0,ROW()-1,60),ROW()-1,FALSE))</f>
        <v>0</v>
      </c>
      <c r="L24">
        <f ca="1">IF(AND(ISNUMBER($L$245),$B$226=1),$L$245,HLOOKUP(INDIRECT(ADDRESS(2,COLUMN())),OFFSET($BN$2,0,0,ROW()-1,60),ROW()-1,FALSE))</f>
        <v>0</v>
      </c>
      <c r="M24">
        <f ca="1">IF(AND(ISNUMBER($M$245),$B$226=1),$M$245,HLOOKUP(INDIRECT(ADDRESS(2,COLUMN())),OFFSET($BN$2,0,0,ROW()-1,60),ROW()-1,FALSE))</f>
        <v>0</v>
      </c>
      <c r="N24">
        <f ca="1">IF(AND(ISNUMBER($N$245),$B$226=1),$N$245,HLOOKUP(INDIRECT(ADDRESS(2,COLUMN())),OFFSET($BN$2,0,0,ROW()-1,60),ROW()-1,FALSE))</f>
        <v>0</v>
      </c>
      <c r="O24">
        <f ca="1">IF(AND(ISNUMBER($O$245),$B$226=1),$O$245,HLOOKUP(INDIRECT(ADDRESS(2,COLUMN())),OFFSET($BN$2,0,0,ROW()-1,60),ROW()-1,FALSE))</f>
        <v>0</v>
      </c>
      <c r="P24">
        <f ca="1">IF(AND(ISNUMBER($P$245),$B$226=1),$P$245,HLOOKUP(INDIRECT(ADDRESS(2,COLUMN())),OFFSET($BN$2,0,0,ROW()-1,60),ROW()-1,FALSE))</f>
        <v>0</v>
      </c>
      <c r="Q24">
        <f ca="1">IF(AND(ISNUMBER($Q$245),$B$226=1),$Q$245,HLOOKUP(INDIRECT(ADDRESS(2,COLUMN())),OFFSET($BN$2,0,0,ROW()-1,60),ROW()-1,FALSE))</f>
        <v>0</v>
      </c>
      <c r="R24">
        <f ca="1">IF(AND(ISNUMBER($R$245),$B$226=1),$R$245,HLOOKUP(INDIRECT(ADDRESS(2,COLUMN())),OFFSET($BN$2,0,0,ROW()-1,60),ROW()-1,FALSE))</f>
        <v>0</v>
      </c>
      <c r="S24">
        <f ca="1">IF(AND(ISNUMBER($S$245),$B$226=1),$S$245,HLOOKUP(INDIRECT(ADDRESS(2,COLUMN())),OFFSET($BN$2,0,0,ROW()-1,60),ROW()-1,FALSE))</f>
        <v>0</v>
      </c>
      <c r="T24">
        <f ca="1">IF(AND(ISNUMBER($T$245),$B$226=1),$T$245,HLOOKUP(INDIRECT(ADDRESS(2,COLUMN())),OFFSET($BN$2,0,0,ROW()-1,60),ROW()-1,FALSE))</f>
        <v>0</v>
      </c>
      <c r="U24">
        <f ca="1">IF(AND(ISNUMBER($U$245),$B$226=1),$U$245,HLOOKUP(INDIRECT(ADDRESS(2,COLUMN())),OFFSET($BN$2,0,0,ROW()-1,60),ROW()-1,FALSE))</f>
        <v>0</v>
      </c>
      <c r="V24">
        <f ca="1">IF(AND(ISNUMBER($V$245),$B$226=1),$V$245,HLOOKUP(INDIRECT(ADDRESS(2,COLUMN())),OFFSET($BN$2,0,0,ROW()-1,60),ROW()-1,FALSE))</f>
        <v>0</v>
      </c>
      <c r="W24">
        <f ca="1">IF(AND(ISNUMBER($W$245),$B$226=1),$W$245,HLOOKUP(INDIRECT(ADDRESS(2,COLUMN())),OFFSET($BN$2,0,0,ROW()-1,60),ROW()-1,FALSE))</f>
        <v>0</v>
      </c>
      <c r="X24">
        <f ca="1">IF(AND(ISNUMBER($X$245),$B$226=1),$X$245,HLOOKUP(INDIRECT(ADDRESS(2,COLUMN())),OFFSET($BN$2,0,0,ROW()-1,60),ROW()-1,FALSE))</f>
        <v>0</v>
      </c>
      <c r="Y24">
        <f ca="1">IF(AND(ISNUMBER($Y$245),$B$226=1),$Y$245,HLOOKUP(INDIRECT(ADDRESS(2,COLUMN())),OFFSET($BN$2,0,0,ROW()-1,60),ROW()-1,FALSE))</f>
        <v>0</v>
      </c>
      <c r="Z24">
        <f ca="1">IF(AND(ISNUMBER($Z$245),$B$226=1),$Z$245,HLOOKUP(INDIRECT(ADDRESS(2,COLUMN())),OFFSET($BN$2,0,0,ROW()-1,60),ROW()-1,FALSE))</f>
        <v>0</v>
      </c>
      <c r="AA24">
        <f ca="1">IF(AND(ISNUMBER($AA$245),$B$226=1),$AA$245,HLOOKUP(INDIRECT(ADDRESS(2,COLUMN())),OFFSET($BN$2,0,0,ROW()-1,60),ROW()-1,FALSE))</f>
        <v>0</v>
      </c>
      <c r="AB24">
        <f ca="1">IF(AND(ISNUMBER($AB$245),$B$226=1),$AB$245,HLOOKUP(INDIRECT(ADDRESS(2,COLUMN())),OFFSET($BN$2,0,0,ROW()-1,60),ROW()-1,FALSE))</f>
        <v>0</v>
      </c>
      <c r="AC24">
        <f ca="1">IF(AND(ISNUMBER($AC$245),$B$226=1),$AC$245,HLOOKUP(INDIRECT(ADDRESS(2,COLUMN())),OFFSET($BN$2,0,0,ROW()-1,60),ROW()-1,FALSE))</f>
        <v>0</v>
      </c>
      <c r="AD24">
        <f ca="1">IF(AND(ISNUMBER($AD$245),$B$226=1),$AD$245,HLOOKUP(INDIRECT(ADDRESS(2,COLUMN())),OFFSET($BN$2,0,0,ROW()-1,60),ROW()-1,FALSE))</f>
        <v>0</v>
      </c>
      <c r="AE24">
        <f ca="1">IF(AND(ISNUMBER($AE$245),$B$226=1),$AE$245,HLOOKUP(INDIRECT(ADDRESS(2,COLUMN())),OFFSET($BN$2,0,0,ROW()-1,60),ROW()-1,FALSE))</f>
        <v>0</v>
      </c>
      <c r="AF24">
        <f ca="1">IF(AND(ISNUMBER($AF$245),$B$226=1),$AF$245,HLOOKUP(INDIRECT(ADDRESS(2,COLUMN())),OFFSET($BN$2,0,0,ROW()-1,60),ROW()-1,FALSE))</f>
        <v>0</v>
      </c>
      <c r="AG24">
        <f ca="1">IF(AND(ISNUMBER($AG$245),$B$226=1),$AG$245,HLOOKUP(INDIRECT(ADDRESS(2,COLUMN())),OFFSET($BN$2,0,0,ROW()-1,60),ROW()-1,FALSE))</f>
        <v>0</v>
      </c>
      <c r="AH24">
        <f ca="1">IF(AND(ISNUMBER($AH$245),$B$226=1),$AH$245,HLOOKUP(INDIRECT(ADDRESS(2,COLUMN())),OFFSET($BN$2,0,0,ROW()-1,60),ROW()-1,FALSE))</f>
        <v>0</v>
      </c>
      <c r="AI24">
        <f ca="1">IF(AND(ISNUMBER($AI$245),$B$226=1),$AI$245,HLOOKUP(INDIRECT(ADDRESS(2,COLUMN())),OFFSET($BN$2,0,0,ROW()-1,60),ROW()-1,FALSE))</f>
        <v>0</v>
      </c>
      <c r="AJ24">
        <f ca="1">IF(AND(ISNUMBER($AJ$245),$B$226=1),$AJ$245,HLOOKUP(INDIRECT(ADDRESS(2,COLUMN())),OFFSET($BN$2,0,0,ROW()-1,60),ROW()-1,FALSE))</f>
        <v>0</v>
      </c>
      <c r="AK24">
        <f ca="1">IF(AND(ISNUMBER($AK$245),$B$226=1),$AK$245,HLOOKUP(INDIRECT(ADDRESS(2,COLUMN())),OFFSET($BN$2,0,0,ROW()-1,60),ROW()-1,FALSE))</f>
        <v>0</v>
      </c>
      <c r="AL24">
        <f ca="1">IF(AND(ISNUMBER($AL$245),$B$226=1),$AL$245,HLOOKUP(INDIRECT(ADDRESS(2,COLUMN())),OFFSET($BN$2,0,0,ROW()-1,60),ROW()-1,FALSE))</f>
        <v>0</v>
      </c>
      <c r="AM24">
        <f ca="1">IF(AND(ISNUMBER($AM$245),$B$226=1),$AM$245,HLOOKUP(INDIRECT(ADDRESS(2,COLUMN())),OFFSET($BN$2,0,0,ROW()-1,60),ROW()-1,FALSE))</f>
        <v>0</v>
      </c>
      <c r="AN24">
        <f ca="1">IF(AND(ISNUMBER($AN$245),$B$226=1),$AN$245,HLOOKUP(INDIRECT(ADDRESS(2,COLUMN())),OFFSET($BN$2,0,0,ROW()-1,60),ROW()-1,FALSE))</f>
        <v>0</v>
      </c>
      <c r="AO24">
        <f ca="1">IF(AND(ISNUMBER($AO$245),$B$226=1),$AO$245,HLOOKUP(INDIRECT(ADDRESS(2,COLUMN())),OFFSET($BN$2,0,0,ROW()-1,60),ROW()-1,FALSE))</f>
        <v>0</v>
      </c>
      <c r="AP24">
        <f ca="1">IF(AND(ISNUMBER($AP$245),$B$226=1),$AP$245,HLOOKUP(INDIRECT(ADDRESS(2,COLUMN())),OFFSET($BN$2,0,0,ROW()-1,60),ROW()-1,FALSE))</f>
        <v>0</v>
      </c>
      <c r="AQ24" t="str">
        <f ca="1">IF(AND(ISNUMBER($AQ$245),$B$226=1),$AQ$245,HLOOKUP(INDIRECT(ADDRESS(2,COLUMN())),OFFSET($BN$2,0,0,ROW()-1,60),ROW()-1,FALSE))</f>
        <v/>
      </c>
      <c r="AR24" t="str">
        <f ca="1">IF(AND(ISNUMBER($AR$245),$B$226=1),$AR$245,HLOOKUP(INDIRECT(ADDRESS(2,COLUMN())),OFFSET($BN$2,0,0,ROW()-1,60),ROW()-1,FALSE))</f>
        <v/>
      </c>
      <c r="AS24" t="str">
        <f ca="1">IF(AND(ISNUMBER($AS$245),$B$226=1),$AS$245,HLOOKUP(INDIRECT(ADDRESS(2,COLUMN())),OFFSET($BN$2,0,0,ROW()-1,60),ROW()-1,FALSE))</f>
        <v/>
      </c>
      <c r="AT24" t="str">
        <f ca="1">IF(AND(ISNUMBER($AT$245),$B$226=1),$AT$245,HLOOKUP(INDIRECT(ADDRESS(2,COLUMN())),OFFSET($BN$2,0,0,ROW()-1,60),ROW()-1,FALSE))</f>
        <v/>
      </c>
      <c r="AU24" t="str">
        <f ca="1">IF(AND(ISNUMBER($AU$245),$B$226=1),$AU$245,HLOOKUP(INDIRECT(ADDRESS(2,COLUMN())),OFFSET($BN$2,0,0,ROW()-1,60),ROW()-1,FALSE))</f>
        <v/>
      </c>
      <c r="AV24" t="str">
        <f ca="1">IF(AND(ISNUMBER($AV$245),$B$226=1),$AV$245,HLOOKUP(INDIRECT(ADDRESS(2,COLUMN())),OFFSET($BN$2,0,0,ROW()-1,60),ROW()-1,FALSE))</f>
        <v/>
      </c>
      <c r="AW24" t="str">
        <f ca="1">IF(AND(ISNUMBER($AW$245),$B$226=1),$AW$245,HLOOKUP(INDIRECT(ADDRESS(2,COLUMN())),OFFSET($BN$2,0,0,ROW()-1,60),ROW()-1,FALSE))</f>
        <v/>
      </c>
      <c r="AX24" t="str">
        <f ca="1">IF(AND(ISNUMBER($AX$245),$B$226=1),$AX$245,HLOOKUP(INDIRECT(ADDRESS(2,COLUMN())),OFFSET($BN$2,0,0,ROW()-1,60),ROW()-1,FALSE))</f>
        <v/>
      </c>
      <c r="AY24" t="str">
        <f ca="1">IF(AND(ISNUMBER($AY$245),$B$226=1),$AY$245,HLOOKUP(INDIRECT(ADDRESS(2,COLUMN())),OFFSET($BN$2,0,0,ROW()-1,60),ROW()-1,FALSE))</f>
        <v/>
      </c>
      <c r="AZ24" t="str">
        <f ca="1">IF(AND(ISNUMBER($AZ$245),$B$226=1),$AZ$245,HLOOKUP(INDIRECT(ADDRESS(2,COLUMN())),OFFSET($BN$2,0,0,ROW()-1,60),ROW()-1,FALSE))</f>
        <v/>
      </c>
      <c r="BA24" t="str">
        <f ca="1">IF(AND(ISNUMBER($BA$245),$B$226=1),$BA$245,HLOOKUP(INDIRECT(ADDRESS(2,COLUMN())),OFFSET($BN$2,0,0,ROW()-1,60),ROW()-1,FALSE))</f>
        <v/>
      </c>
      <c r="BB24" t="str">
        <f ca="1">IF(AND(ISNUMBER($BB$245),$B$226=1),$BB$245,HLOOKUP(INDIRECT(ADDRESS(2,COLUMN())),OFFSET($BN$2,0,0,ROW()-1,60),ROW()-1,FALSE))</f>
        <v/>
      </c>
      <c r="BC24" t="str">
        <f ca="1">IF(AND(ISNUMBER($BC$245),$B$226=1),$BC$245,HLOOKUP(INDIRECT(ADDRESS(2,COLUMN())),OFFSET($BN$2,0,0,ROW()-1,60),ROW()-1,FALSE))</f>
        <v/>
      </c>
      <c r="BD24" t="str">
        <f ca="1">IF(AND(ISNUMBER($BD$245),$B$226=1),$BD$245,HLOOKUP(INDIRECT(ADDRESS(2,COLUMN())),OFFSET($BN$2,0,0,ROW()-1,60),ROW()-1,FALSE))</f>
        <v/>
      </c>
      <c r="BE24" t="str">
        <f ca="1">IF(AND(ISNUMBER($BE$245),$B$226=1),$BE$245,HLOOKUP(INDIRECT(ADDRESS(2,COLUMN())),OFFSET($BN$2,0,0,ROW()-1,60),ROW()-1,FALSE))</f>
        <v/>
      </c>
      <c r="BF24" t="str">
        <f ca="1">IF(AND(ISNUMBER($BF$245),$B$226=1),$BF$245,HLOOKUP(INDIRECT(ADDRESS(2,COLUMN())),OFFSET($BN$2,0,0,ROW()-1,60),ROW()-1,FALSE))</f>
        <v/>
      </c>
      <c r="BG24" t="str">
        <f ca="1">IF(AND(ISNUMBER($BG$245),$B$226=1),$BG$245,HLOOKUP(INDIRECT(ADDRESS(2,COLUMN())),OFFSET($BN$2,0,0,ROW()-1,60),ROW()-1,FALSE))</f>
        <v/>
      </c>
      <c r="BH24" t="str">
        <f ca="1">IF(AND(ISNUMBER($BH$245),$B$226=1),$BH$245,HLOOKUP(INDIRECT(ADDRESS(2,COLUMN())),OFFSET($BN$2,0,0,ROW()-1,60),ROW()-1,FALSE))</f>
        <v/>
      </c>
      <c r="BI24" t="str">
        <f ca="1">IF(AND(ISNUMBER($BI$245),$B$226=1),$BI$245,HLOOKUP(INDIRECT(ADDRESS(2,COLUMN())),OFFSET($BN$2,0,0,ROW()-1,60),ROW()-1,FALSE))</f>
        <v/>
      </c>
      <c r="BJ24" t="str">
        <f ca="1">IF(AND(ISNUMBER($BJ$245),$B$226=1),$BJ$245,HLOOKUP(INDIRECT(ADDRESS(2,COLUMN())),OFFSET($BN$2,0,0,ROW()-1,60),ROW()-1,FALSE))</f>
        <v/>
      </c>
      <c r="BK24" t="str">
        <f ca="1">IF(AND(ISNUMBER($BK$245),$B$226=1),$BK$245,HLOOKUP(INDIRECT(ADDRESS(2,COLUMN())),OFFSET($BN$2,0,0,ROW()-1,60),ROW()-1,FALSE))</f>
        <v/>
      </c>
      <c r="BL24" t="str">
        <f ca="1">IF(AND(ISNUMBER($BL$245),$B$226=1),$BL$245,HLOOKUP(INDIRECT(ADDRESS(2,COLUMN())),OFFSET($BN$2,0,0,ROW()-1,60),ROW()-1,FALSE))</f>
        <v/>
      </c>
      <c r="BM24" t="str">
        <f ca="1">IF(AND(ISNUMBER($BM$245),$B$226=1),$BM$245,HLOOKUP(INDIRECT(ADDRESS(2,COLUMN())),OFFSET($BN$2,0,0,ROW()-1,60),ROW()-1,FALSE))</f>
        <v/>
      </c>
      <c r="BN24" t="str">
        <f>""</f>
        <v/>
      </c>
      <c r="BO24">
        <f>0</f>
        <v>0</v>
      </c>
      <c r="BP24">
        <f>0</f>
        <v>0</v>
      </c>
      <c r="BQ24">
        <f>0</f>
        <v>0</v>
      </c>
      <c r="BR24">
        <f>0</f>
        <v>0</v>
      </c>
      <c r="BS24">
        <f>0</f>
        <v>0</v>
      </c>
      <c r="BT24">
        <f>0</f>
        <v>0</v>
      </c>
      <c r="BU24">
        <f>0</f>
        <v>0</v>
      </c>
      <c r="BV24">
        <f>0</f>
        <v>0</v>
      </c>
      <c r="BW24">
        <f>0</f>
        <v>0</v>
      </c>
      <c r="BX24">
        <f>0</f>
        <v>0</v>
      </c>
      <c r="BY24">
        <f>0</f>
        <v>0</v>
      </c>
      <c r="BZ24">
        <f>0</f>
        <v>0</v>
      </c>
      <c r="CA24">
        <f>0</f>
        <v>0</v>
      </c>
      <c r="CB24">
        <f>0</f>
        <v>0</v>
      </c>
      <c r="CC24">
        <f>0</f>
        <v>0</v>
      </c>
      <c r="CD24">
        <f>0</f>
        <v>0</v>
      </c>
      <c r="CE24">
        <f>0</f>
        <v>0</v>
      </c>
      <c r="CF24">
        <f>0</f>
        <v>0</v>
      </c>
      <c r="CG24">
        <f>0</f>
        <v>0</v>
      </c>
      <c r="CH24">
        <f>0</f>
        <v>0</v>
      </c>
      <c r="CI24">
        <f>0</f>
        <v>0</v>
      </c>
      <c r="CJ24">
        <f>0</f>
        <v>0</v>
      </c>
      <c r="CK24">
        <f>0</f>
        <v>0</v>
      </c>
      <c r="CL24">
        <f>0</f>
        <v>0</v>
      </c>
      <c r="CM24">
        <f>0</f>
        <v>0</v>
      </c>
      <c r="CN24">
        <f>0</f>
        <v>0</v>
      </c>
      <c r="CO24">
        <f>0</f>
        <v>0</v>
      </c>
      <c r="CP24">
        <f>0</f>
        <v>0</v>
      </c>
      <c r="CQ24">
        <f>0</f>
        <v>0</v>
      </c>
      <c r="CR24">
        <f>0</f>
        <v>0</v>
      </c>
      <c r="CS24">
        <f>0</f>
        <v>0</v>
      </c>
      <c r="CT24">
        <f>0</f>
        <v>0</v>
      </c>
      <c r="CU24">
        <f>0</f>
        <v>0</v>
      </c>
      <c r="CV24">
        <f>0</f>
        <v>0</v>
      </c>
      <c r="CW24">
        <f>0</f>
        <v>0</v>
      </c>
      <c r="CX24">
        <f>0</f>
        <v>0</v>
      </c>
      <c r="CY24" t="str">
        <f>""</f>
        <v/>
      </c>
      <c r="CZ24" t="str">
        <f>""</f>
        <v/>
      </c>
      <c r="DA24" t="str">
        <f>""</f>
        <v/>
      </c>
      <c r="DB24" t="str">
        <f>""</f>
        <v/>
      </c>
      <c r="DC24" t="str">
        <f>""</f>
        <v/>
      </c>
      <c r="DD24" t="str">
        <f>""</f>
        <v/>
      </c>
      <c r="DE24" t="str">
        <f>""</f>
        <v/>
      </c>
      <c r="DF24" t="str">
        <f>""</f>
        <v/>
      </c>
      <c r="DG24" t="str">
        <f>""</f>
        <v/>
      </c>
      <c r="DH24" t="str">
        <f>""</f>
        <v/>
      </c>
      <c r="DI24" t="str">
        <f>""</f>
        <v/>
      </c>
      <c r="DJ24" t="str">
        <f>""</f>
        <v/>
      </c>
      <c r="DK24" t="str">
        <f>""</f>
        <v/>
      </c>
      <c r="DL24" t="str">
        <f>""</f>
        <v/>
      </c>
      <c r="DM24" t="str">
        <f>""</f>
        <v/>
      </c>
      <c r="DN24" t="str">
        <f>""</f>
        <v/>
      </c>
      <c r="DO24" t="str">
        <f>""</f>
        <v/>
      </c>
      <c r="DP24" t="str">
        <f>""</f>
        <v/>
      </c>
      <c r="DQ24" t="str">
        <f>""</f>
        <v/>
      </c>
      <c r="DR24" t="str">
        <f>""</f>
        <v/>
      </c>
      <c r="DS24" t="str">
        <f>""</f>
        <v/>
      </c>
      <c r="DT24" t="str">
        <f>""</f>
        <v/>
      </c>
      <c r="DU24" t="str">
        <f>""</f>
        <v/>
      </c>
    </row>
    <row r="25" spans="1:125">
      <c r="A25" t="str">
        <f>"    Camden Property Trust"</f>
        <v xml:space="preserve">    Camden Property Trust</v>
      </c>
      <c r="B25" t="str">
        <f>"CPT US Equity"</f>
        <v>CPT US Equity</v>
      </c>
      <c r="C25" t="str">
        <f t="shared" si="6"/>
        <v>IM281</v>
      </c>
      <c r="D25" t="str">
        <f t="shared" si="7"/>
        <v>IS_NON_REAL_ESTATE_INCOME</v>
      </c>
      <c r="E25" t="str">
        <f t="shared" si="8"/>
        <v>动态</v>
      </c>
      <c r="F25" t="str">
        <f ca="1">IF(AND(ISNUMBER($F$246),$B$226=1),$F$246,HLOOKUP(INDIRECT(ADDRESS(2,COLUMN())),OFFSET($BN$2,0,0,ROW()-1,60),ROW()-1,FALSE))</f>
        <v/>
      </c>
      <c r="G25">
        <f ca="1">IF(AND(ISNUMBER($G$246),$B$226=1),$G$246,HLOOKUP(INDIRECT(ADDRESS(2,COLUMN())),OFFSET($BN$2,0,0,ROW()-1,60),ROW()-1,FALSE))</f>
        <v>32.548999999999999</v>
      </c>
      <c r="H25">
        <f ca="1">IF(AND(ISNUMBER($H$246),$B$226=1),$H$246,HLOOKUP(INDIRECT(ADDRESS(2,COLUMN())),OFFSET($BN$2,0,0,ROW()-1,60),ROW()-1,FALSE))</f>
        <v>33.488</v>
      </c>
      <c r="I25">
        <f ca="1">IF(AND(ISNUMBER($I$246),$B$226=1),$I$246,HLOOKUP(INDIRECT(ADDRESS(2,COLUMN())),OFFSET($BN$2,0,0,ROW()-1,60),ROW()-1,FALSE))</f>
        <v>32.9</v>
      </c>
      <c r="J25">
        <f ca="1">IF(AND(ISNUMBER($J$246),$B$226=1),$J$246,HLOOKUP(INDIRECT(ADDRESS(2,COLUMN())),OFFSET($BN$2,0,0,ROW()-1,60),ROW()-1,FALSE))</f>
        <v>31.419</v>
      </c>
      <c r="K25">
        <f ca="1">IF(AND(ISNUMBER($K$246),$B$226=1),$K$246,HLOOKUP(INDIRECT(ADDRESS(2,COLUMN())),OFFSET($BN$2,0,0,ROW()-1,60),ROW()-1,FALSE))</f>
        <v>30.678000000000001</v>
      </c>
      <c r="L25">
        <f ca="1">IF(AND(ISNUMBER($L$246),$B$226=1),$L$246,HLOOKUP(INDIRECT(ADDRESS(2,COLUMN())),OFFSET($BN$2,0,0,ROW()-1,60),ROW()-1,FALSE))</f>
        <v>32.463999999999999</v>
      </c>
      <c r="M25">
        <f ca="1">IF(AND(ISNUMBER($M$246),$B$226=1),$M$246,HLOOKUP(INDIRECT(ADDRESS(2,COLUMN())),OFFSET($BN$2,0,0,ROW()-1,60),ROW()-1,FALSE))</f>
        <v>32.231999999999999</v>
      </c>
      <c r="N25">
        <f ca="1">IF(AND(ISNUMBER($N$246),$B$226=1),$N$246,HLOOKUP(INDIRECT(ADDRESS(2,COLUMN())),OFFSET($BN$2,0,0,ROW()-1,60),ROW()-1,FALSE))</f>
        <v>30.475999999999999</v>
      </c>
      <c r="O25">
        <f ca="1">IF(AND(ISNUMBER($O$246),$B$226=1),$O$246,HLOOKUP(INDIRECT(ADDRESS(2,COLUMN())),OFFSET($BN$2,0,0,ROW()-1,60),ROW()-1,FALSE))</f>
        <v>29.352</v>
      </c>
      <c r="P25">
        <f ca="1">IF(AND(ISNUMBER($P$246),$B$226=1),$P$246,HLOOKUP(INDIRECT(ADDRESS(2,COLUMN())),OFFSET($BN$2,0,0,ROW()-1,60),ROW()-1,FALSE))</f>
        <v>29.943000000000001</v>
      </c>
      <c r="Q25">
        <f ca="1">IF(AND(ISNUMBER($Q$246),$B$226=1),$Q$246,HLOOKUP(INDIRECT(ADDRESS(2,COLUMN())),OFFSET($BN$2,0,0,ROW()-1,60),ROW()-1,FALSE))</f>
        <v>28.119</v>
      </c>
      <c r="R25">
        <f ca="1">IF(AND(ISNUMBER($R$246),$B$226=1),$R$246,HLOOKUP(INDIRECT(ADDRESS(2,COLUMN())),OFFSET($BN$2,0,0,ROW()-1,60),ROW()-1,FALSE))</f>
        <v>28.577000000000002</v>
      </c>
      <c r="S25">
        <f ca="1">IF(AND(ISNUMBER($S$246),$B$226=1),$S$246,HLOOKUP(INDIRECT(ADDRESS(2,COLUMN())),OFFSET($BN$2,0,0,ROW()-1,60),ROW()-1,FALSE))</f>
        <v>28.234000000000002</v>
      </c>
      <c r="T25">
        <f ca="1">IF(AND(ISNUMBER($T$246),$B$226=1),$T$246,HLOOKUP(INDIRECT(ADDRESS(2,COLUMN())),OFFSET($BN$2,0,0,ROW()-1,60),ROW()-1,FALSE))</f>
        <v>28.850999999999999</v>
      </c>
      <c r="U25">
        <f ca="1">IF(AND(ISNUMBER($U$246),$B$226=1),$U$246,HLOOKUP(INDIRECT(ADDRESS(2,COLUMN())),OFFSET($BN$2,0,0,ROW()-1,60),ROW()-1,FALSE))</f>
        <v>28.053999999999998</v>
      </c>
      <c r="V25">
        <f ca="1">IF(AND(ISNUMBER($V$246),$B$226=1),$V$246,HLOOKUP(INDIRECT(ADDRESS(2,COLUMN())),OFFSET($BN$2,0,0,ROW()-1,60),ROW()-1,FALSE))</f>
        <v>26.965</v>
      </c>
      <c r="W25">
        <f ca="1">IF(AND(ISNUMBER($W$246),$B$226=1),$W$246,HLOOKUP(INDIRECT(ADDRESS(2,COLUMN())),OFFSET($BN$2,0,0,ROW()-1,60),ROW()-1,FALSE))</f>
        <v>26.521999999999998</v>
      </c>
      <c r="X25">
        <f ca="1">IF(AND(ISNUMBER($X$246),$B$226=1),$X$246,HLOOKUP(INDIRECT(ADDRESS(2,COLUMN())),OFFSET($BN$2,0,0,ROW()-1,60),ROW()-1,FALSE))</f>
        <v>27.2</v>
      </c>
      <c r="Y25">
        <f ca="1">IF(AND(ISNUMBER($Y$246),$B$226=1),$Y$246,HLOOKUP(INDIRECT(ADDRESS(2,COLUMN())),OFFSET($BN$2,0,0,ROW()-1,60),ROW()-1,FALSE))</f>
        <v>26.349</v>
      </c>
      <c r="Z25">
        <f ca="1">IF(AND(ISNUMBER($Z$246),$B$226=1),$Z$246,HLOOKUP(INDIRECT(ADDRESS(2,COLUMN())),OFFSET($BN$2,0,0,ROW()-1,60),ROW()-1,FALSE))</f>
        <v>25.417999999999999</v>
      </c>
      <c r="AA25">
        <f ca="1">IF(AND(ISNUMBER($AA$246),$B$226=1),$AA$246,HLOOKUP(INDIRECT(ADDRESS(2,COLUMN())),OFFSET($BN$2,0,0,ROW()-1,60),ROW()-1,FALSE))</f>
        <v>24.591000000000001</v>
      </c>
      <c r="AB25">
        <f ca="1">IF(AND(ISNUMBER($AB$246),$B$226=1),$AB$246,HLOOKUP(INDIRECT(ADDRESS(2,COLUMN())),OFFSET($BN$2,0,0,ROW()-1,60),ROW()-1,FALSE))</f>
        <v>25.779</v>
      </c>
      <c r="AC25">
        <f ca="1">IF(AND(ISNUMBER($AC$246),$B$226=1),$AC$246,HLOOKUP(INDIRECT(ADDRESS(2,COLUMN())),OFFSET($BN$2,0,0,ROW()-1,60),ROW()-1,FALSE))</f>
        <v>25.143000000000001</v>
      </c>
      <c r="AD25">
        <f ca="1">IF(AND(ISNUMBER($AD$246),$B$226=1),$AD$246,HLOOKUP(INDIRECT(ADDRESS(2,COLUMN())),OFFSET($BN$2,0,0,ROW()-1,60),ROW()-1,FALSE))</f>
        <v>23.445</v>
      </c>
      <c r="AE25">
        <f ca="1">IF(AND(ISNUMBER($AE$246),$B$226=1),$AE$246,HLOOKUP(INDIRECT(ADDRESS(2,COLUMN())),OFFSET($BN$2,0,0,ROW()-1,60),ROW()-1,FALSE))</f>
        <v>21.774999999999999</v>
      </c>
      <c r="AF25">
        <f ca="1">IF(AND(ISNUMBER($AF$246),$B$226=1),$AF$246,HLOOKUP(INDIRECT(ADDRESS(2,COLUMN())),OFFSET($BN$2,0,0,ROW()-1,60),ROW()-1,FALSE))</f>
        <v>23.891999999999999</v>
      </c>
      <c r="AG25">
        <f ca="1">IF(AND(ISNUMBER($AG$246),$B$226=1),$AG$246,HLOOKUP(INDIRECT(ADDRESS(2,COLUMN())),OFFSET($BN$2,0,0,ROW()-1,60),ROW()-1,FALSE))</f>
        <v>23.234999999999999</v>
      </c>
      <c r="AH25">
        <f ca="1">IF(AND(ISNUMBER($AH$246),$B$226=1),$AH$246,HLOOKUP(INDIRECT(ADDRESS(2,COLUMN())),OFFSET($BN$2,0,0,ROW()-1,60),ROW()-1,FALSE))</f>
        <v>21.766999999999999</v>
      </c>
      <c r="AI25">
        <f ca="1">IF(AND(ISNUMBER($AI$246),$B$226=1),$AI$246,HLOOKUP(INDIRECT(ADDRESS(2,COLUMN())),OFFSET($BN$2,0,0,ROW()-1,60),ROW()-1,FALSE))</f>
        <v>21.052</v>
      </c>
      <c r="AJ25">
        <f ca="1">IF(AND(ISNUMBER($AJ$246),$B$226=1),$AJ$246,HLOOKUP(INDIRECT(ADDRESS(2,COLUMN())),OFFSET($BN$2,0,0,ROW()-1,60),ROW()-1,FALSE))</f>
        <v>22.363</v>
      </c>
      <c r="AK25">
        <f ca="1">IF(AND(ISNUMBER($AK$246),$B$226=1),$AK$246,HLOOKUP(INDIRECT(ADDRESS(2,COLUMN())),OFFSET($BN$2,0,0,ROW()-1,60),ROW()-1,FALSE))</f>
        <v>21.677</v>
      </c>
      <c r="AL25">
        <f ca="1">IF(AND(ISNUMBER($AL$246),$B$226=1),$AL$246,HLOOKUP(INDIRECT(ADDRESS(2,COLUMN())),OFFSET($BN$2,0,0,ROW()-1,60),ROW()-1,FALSE))</f>
        <v>20.600999999999999</v>
      </c>
      <c r="AM25">
        <f ca="1">IF(AND(ISNUMBER($AM$246),$B$226=1),$AM$246,HLOOKUP(INDIRECT(ADDRESS(2,COLUMN())),OFFSET($BN$2,0,0,ROW()-1,60),ROW()-1,FALSE))</f>
        <v>21.166</v>
      </c>
      <c r="AN25">
        <f ca="1">IF(AND(ISNUMBER($AN$246),$B$226=1),$AN$246,HLOOKUP(INDIRECT(ADDRESS(2,COLUMN())),OFFSET($BN$2,0,0,ROW()-1,60),ROW()-1,FALSE))</f>
        <v>22.466999999999999</v>
      </c>
      <c r="AO25">
        <f ca="1">IF(AND(ISNUMBER($AO$246),$B$226=1),$AO$246,HLOOKUP(INDIRECT(ADDRESS(2,COLUMN())),OFFSET($BN$2,0,0,ROW()-1,60),ROW()-1,FALSE))</f>
        <v>21.454000000000001</v>
      </c>
      <c r="AP25">
        <f ca="1">IF(AND(ISNUMBER($AP$246),$B$226=1),$AP$246,HLOOKUP(INDIRECT(ADDRESS(2,COLUMN())),OFFSET($BN$2,0,0,ROW()-1,60),ROW()-1,FALSE))</f>
        <v>20.532</v>
      </c>
      <c r="AQ25" t="str">
        <f ca="1">IF(AND(ISNUMBER($AQ$246),$B$226=1),$AQ$246,HLOOKUP(INDIRECT(ADDRESS(2,COLUMN())),OFFSET($BN$2,0,0,ROW()-1,60),ROW()-1,FALSE))</f>
        <v/>
      </c>
      <c r="AR25" t="str">
        <f ca="1">IF(AND(ISNUMBER($AR$246),$B$226=1),$AR$246,HLOOKUP(INDIRECT(ADDRESS(2,COLUMN())),OFFSET($BN$2,0,0,ROW()-1,60),ROW()-1,FALSE))</f>
        <v/>
      </c>
      <c r="AS25" t="str">
        <f ca="1">IF(AND(ISNUMBER($AS$246),$B$226=1),$AS$246,HLOOKUP(INDIRECT(ADDRESS(2,COLUMN())),OFFSET($BN$2,0,0,ROW()-1,60),ROW()-1,FALSE))</f>
        <v/>
      </c>
      <c r="AT25" t="str">
        <f ca="1">IF(AND(ISNUMBER($AT$246),$B$226=1),$AT$246,HLOOKUP(INDIRECT(ADDRESS(2,COLUMN())),OFFSET($BN$2,0,0,ROW()-1,60),ROW()-1,FALSE))</f>
        <v/>
      </c>
      <c r="AU25" t="str">
        <f ca="1">IF(AND(ISNUMBER($AU$246),$B$226=1),$AU$246,HLOOKUP(INDIRECT(ADDRESS(2,COLUMN())),OFFSET($BN$2,0,0,ROW()-1,60),ROW()-1,FALSE))</f>
        <v/>
      </c>
      <c r="AV25" t="str">
        <f ca="1">IF(AND(ISNUMBER($AV$246),$B$226=1),$AV$246,HLOOKUP(INDIRECT(ADDRESS(2,COLUMN())),OFFSET($BN$2,0,0,ROW()-1,60),ROW()-1,FALSE))</f>
        <v/>
      </c>
      <c r="AW25" t="str">
        <f ca="1">IF(AND(ISNUMBER($AW$246),$B$226=1),$AW$246,HLOOKUP(INDIRECT(ADDRESS(2,COLUMN())),OFFSET($BN$2,0,0,ROW()-1,60),ROW()-1,FALSE))</f>
        <v/>
      </c>
      <c r="AX25" t="str">
        <f ca="1">IF(AND(ISNUMBER($AX$246),$B$226=1),$AX$246,HLOOKUP(INDIRECT(ADDRESS(2,COLUMN())),OFFSET($BN$2,0,0,ROW()-1,60),ROW()-1,FALSE))</f>
        <v/>
      </c>
      <c r="AY25" t="str">
        <f ca="1">IF(AND(ISNUMBER($AY$246),$B$226=1),$AY$246,HLOOKUP(INDIRECT(ADDRESS(2,COLUMN())),OFFSET($BN$2,0,0,ROW()-1,60),ROW()-1,FALSE))</f>
        <v/>
      </c>
      <c r="AZ25" t="str">
        <f ca="1">IF(AND(ISNUMBER($AZ$246),$B$226=1),$AZ$246,HLOOKUP(INDIRECT(ADDRESS(2,COLUMN())),OFFSET($BN$2,0,0,ROW()-1,60),ROW()-1,FALSE))</f>
        <v/>
      </c>
      <c r="BA25" t="str">
        <f ca="1">IF(AND(ISNUMBER($BA$246),$B$226=1),$BA$246,HLOOKUP(INDIRECT(ADDRESS(2,COLUMN())),OFFSET($BN$2,0,0,ROW()-1,60),ROW()-1,FALSE))</f>
        <v/>
      </c>
      <c r="BB25" t="str">
        <f ca="1">IF(AND(ISNUMBER($BB$246),$B$226=1),$BB$246,HLOOKUP(INDIRECT(ADDRESS(2,COLUMN())),OFFSET($BN$2,0,0,ROW()-1,60),ROW()-1,FALSE))</f>
        <v/>
      </c>
      <c r="BC25" t="str">
        <f ca="1">IF(AND(ISNUMBER($BC$246),$B$226=1),$BC$246,HLOOKUP(INDIRECT(ADDRESS(2,COLUMN())),OFFSET($BN$2,0,0,ROW()-1,60),ROW()-1,FALSE))</f>
        <v/>
      </c>
      <c r="BD25" t="str">
        <f ca="1">IF(AND(ISNUMBER($BD$246),$B$226=1),$BD$246,HLOOKUP(INDIRECT(ADDRESS(2,COLUMN())),OFFSET($BN$2,0,0,ROW()-1,60),ROW()-1,FALSE))</f>
        <v/>
      </c>
      <c r="BE25" t="str">
        <f ca="1">IF(AND(ISNUMBER($BE$246),$B$226=1),$BE$246,HLOOKUP(INDIRECT(ADDRESS(2,COLUMN())),OFFSET($BN$2,0,0,ROW()-1,60),ROW()-1,FALSE))</f>
        <v/>
      </c>
      <c r="BF25" t="str">
        <f ca="1">IF(AND(ISNUMBER($BF$246),$B$226=1),$BF$246,HLOOKUP(INDIRECT(ADDRESS(2,COLUMN())),OFFSET($BN$2,0,0,ROW()-1,60),ROW()-1,FALSE))</f>
        <v/>
      </c>
      <c r="BG25" t="str">
        <f ca="1">IF(AND(ISNUMBER($BG$246),$B$226=1),$BG$246,HLOOKUP(INDIRECT(ADDRESS(2,COLUMN())),OFFSET($BN$2,0,0,ROW()-1,60),ROW()-1,FALSE))</f>
        <v/>
      </c>
      <c r="BH25" t="str">
        <f ca="1">IF(AND(ISNUMBER($BH$246),$B$226=1),$BH$246,HLOOKUP(INDIRECT(ADDRESS(2,COLUMN())),OFFSET($BN$2,0,0,ROW()-1,60),ROW()-1,FALSE))</f>
        <v/>
      </c>
      <c r="BI25" t="str">
        <f ca="1">IF(AND(ISNUMBER($BI$246),$B$226=1),$BI$246,HLOOKUP(INDIRECT(ADDRESS(2,COLUMN())),OFFSET($BN$2,0,0,ROW()-1,60),ROW()-1,FALSE))</f>
        <v/>
      </c>
      <c r="BJ25" t="str">
        <f ca="1">IF(AND(ISNUMBER($BJ$246),$B$226=1),$BJ$246,HLOOKUP(INDIRECT(ADDRESS(2,COLUMN())),OFFSET($BN$2,0,0,ROW()-1,60),ROW()-1,FALSE))</f>
        <v/>
      </c>
      <c r="BK25" t="str">
        <f ca="1">IF(AND(ISNUMBER($BK$246),$B$226=1),$BK$246,HLOOKUP(INDIRECT(ADDRESS(2,COLUMN())),OFFSET($BN$2,0,0,ROW()-1,60),ROW()-1,FALSE))</f>
        <v/>
      </c>
      <c r="BL25" t="str">
        <f ca="1">IF(AND(ISNUMBER($BL$246),$B$226=1),$BL$246,HLOOKUP(INDIRECT(ADDRESS(2,COLUMN())),OFFSET($BN$2,0,0,ROW()-1,60),ROW()-1,FALSE))</f>
        <v/>
      </c>
      <c r="BM25" t="str">
        <f ca="1">IF(AND(ISNUMBER($BM$246),$B$226=1),$BM$246,HLOOKUP(INDIRECT(ADDRESS(2,COLUMN())),OFFSET($BN$2,0,0,ROW()-1,60),ROW()-1,FALSE))</f>
        <v/>
      </c>
      <c r="BN25" t="str">
        <f>""</f>
        <v/>
      </c>
      <c r="BO25">
        <f>32.549</f>
        <v>32.548999999999999</v>
      </c>
      <c r="BP25">
        <f>33.488</f>
        <v>33.488</v>
      </c>
      <c r="BQ25">
        <f>32.9</f>
        <v>32.9</v>
      </c>
      <c r="BR25">
        <f>31.419</f>
        <v>31.419</v>
      </c>
      <c r="BS25">
        <f>30.678</f>
        <v>30.678000000000001</v>
      </c>
      <c r="BT25">
        <f>32.464</f>
        <v>32.463999999999999</v>
      </c>
      <c r="BU25">
        <f>32.232</f>
        <v>32.231999999999999</v>
      </c>
      <c r="BV25">
        <f>30.476</f>
        <v>30.475999999999999</v>
      </c>
      <c r="BW25">
        <f>29.352</f>
        <v>29.352</v>
      </c>
      <c r="BX25">
        <f>29.943</f>
        <v>29.943000000000001</v>
      </c>
      <c r="BY25">
        <f>28.119</f>
        <v>28.119</v>
      </c>
      <c r="BZ25">
        <f>28.577</f>
        <v>28.577000000000002</v>
      </c>
      <c r="CA25">
        <f>28.234</f>
        <v>28.234000000000002</v>
      </c>
      <c r="CB25">
        <f>28.851</f>
        <v>28.850999999999999</v>
      </c>
      <c r="CC25">
        <f>28.054</f>
        <v>28.053999999999998</v>
      </c>
      <c r="CD25">
        <f>26.965</f>
        <v>26.965</v>
      </c>
      <c r="CE25">
        <f>26.522</f>
        <v>26.521999999999998</v>
      </c>
      <c r="CF25">
        <f>27.2</f>
        <v>27.2</v>
      </c>
      <c r="CG25">
        <f>26.349</f>
        <v>26.349</v>
      </c>
      <c r="CH25">
        <f>25.418</f>
        <v>25.417999999999999</v>
      </c>
      <c r="CI25">
        <f>24.591</f>
        <v>24.591000000000001</v>
      </c>
      <c r="CJ25">
        <f>25.779</f>
        <v>25.779</v>
      </c>
      <c r="CK25">
        <f>25.143</f>
        <v>25.143000000000001</v>
      </c>
      <c r="CL25">
        <f>23.445</f>
        <v>23.445</v>
      </c>
      <c r="CM25">
        <f>21.775</f>
        <v>21.774999999999999</v>
      </c>
      <c r="CN25">
        <f>23.892</f>
        <v>23.891999999999999</v>
      </c>
      <c r="CO25">
        <f>23.235</f>
        <v>23.234999999999999</v>
      </c>
      <c r="CP25">
        <f>21.767</f>
        <v>21.766999999999999</v>
      </c>
      <c r="CQ25">
        <f>21.052</f>
        <v>21.052</v>
      </c>
      <c r="CR25">
        <f>22.363</f>
        <v>22.363</v>
      </c>
      <c r="CS25">
        <f>21.677</f>
        <v>21.677</v>
      </c>
      <c r="CT25">
        <f>20.601</f>
        <v>20.600999999999999</v>
      </c>
      <c r="CU25">
        <f>21.166</f>
        <v>21.166</v>
      </c>
      <c r="CV25">
        <f>22.467</f>
        <v>22.466999999999999</v>
      </c>
      <c r="CW25">
        <f>21.454</f>
        <v>21.454000000000001</v>
      </c>
      <c r="CX25">
        <f>20.532</f>
        <v>20.532</v>
      </c>
      <c r="CY25" t="str">
        <f>""</f>
        <v/>
      </c>
      <c r="CZ25" t="str">
        <f>""</f>
        <v/>
      </c>
      <c r="DA25" t="str">
        <f>""</f>
        <v/>
      </c>
      <c r="DB25" t="str">
        <f>""</f>
        <v/>
      </c>
      <c r="DC25" t="str">
        <f>""</f>
        <v/>
      </c>
      <c r="DD25" t="str">
        <f>""</f>
        <v/>
      </c>
      <c r="DE25" t="str">
        <f>""</f>
        <v/>
      </c>
      <c r="DF25" t="str">
        <f>""</f>
        <v/>
      </c>
      <c r="DG25" t="str">
        <f>""</f>
        <v/>
      </c>
      <c r="DH25" t="str">
        <f>""</f>
        <v/>
      </c>
      <c r="DI25" t="str">
        <f>""</f>
        <v/>
      </c>
      <c r="DJ25" t="str">
        <f>""</f>
        <v/>
      </c>
      <c r="DK25" t="str">
        <f>""</f>
        <v/>
      </c>
      <c r="DL25" t="str">
        <f>""</f>
        <v/>
      </c>
      <c r="DM25" t="str">
        <f>""</f>
        <v/>
      </c>
      <c r="DN25" t="str">
        <f>""</f>
        <v/>
      </c>
      <c r="DO25" t="str">
        <f>""</f>
        <v/>
      </c>
      <c r="DP25" t="str">
        <f>""</f>
        <v/>
      </c>
      <c r="DQ25" t="str">
        <f>""</f>
        <v/>
      </c>
      <c r="DR25" t="str">
        <f>""</f>
        <v/>
      </c>
      <c r="DS25" t="str">
        <f>""</f>
        <v/>
      </c>
      <c r="DT25" t="str">
        <f>""</f>
        <v/>
      </c>
      <c r="DU25" t="str">
        <f>""</f>
        <v/>
      </c>
    </row>
    <row r="26" spans="1:125">
      <c r="A26" t="str">
        <f>"    Education Realty Trust Inc"</f>
        <v xml:space="preserve">    Education Realty Trust Inc</v>
      </c>
      <c r="B26" t="str">
        <f>"EDR US Equity"</f>
        <v>EDR US Equity</v>
      </c>
      <c r="C26" t="str">
        <f t="shared" si="6"/>
        <v>IM281</v>
      </c>
      <c r="D26" t="str">
        <f t="shared" si="7"/>
        <v>IS_NON_REAL_ESTATE_INCOME</v>
      </c>
      <c r="E26" t="str">
        <f t="shared" si="8"/>
        <v>动态</v>
      </c>
      <c r="F26" t="str">
        <f ca="1">IF(AND(ISNUMBER($F$247),$B$226=1),$F$247,HLOOKUP(INDIRECT(ADDRESS(2,COLUMN())),OFFSET($BN$2,0,0,ROW()-1,60),ROW()-1,FALSE))</f>
        <v/>
      </c>
      <c r="G26">
        <f ca="1">IF(AND(ISNUMBER($G$247),$B$226=1),$G$247,HLOOKUP(INDIRECT(ADDRESS(2,COLUMN())),OFFSET($BN$2,0,0,ROW()-1,60),ROW()-1,FALSE))</f>
        <v>0</v>
      </c>
      <c r="H26">
        <f ca="1">IF(AND(ISNUMBER($H$247),$B$226=1),$H$247,HLOOKUP(INDIRECT(ADDRESS(2,COLUMN())),OFFSET($BN$2,0,0,ROW()-1,60),ROW()-1,FALSE))</f>
        <v>0</v>
      </c>
      <c r="I26">
        <f ca="1">IF(AND(ISNUMBER($I$247),$B$226=1),$I$247,HLOOKUP(INDIRECT(ADDRESS(2,COLUMN())),OFFSET($BN$2,0,0,ROW()-1,60),ROW()-1,FALSE))</f>
        <v>0</v>
      </c>
      <c r="J26">
        <f ca="1">IF(AND(ISNUMBER($J$247),$B$226=1),$J$247,HLOOKUP(INDIRECT(ADDRESS(2,COLUMN())),OFFSET($BN$2,0,0,ROW()-1,60),ROW()-1,FALSE))</f>
        <v>0</v>
      </c>
      <c r="K26">
        <f ca="1">IF(AND(ISNUMBER($K$247),$B$226=1),$K$247,HLOOKUP(INDIRECT(ADDRESS(2,COLUMN())),OFFSET($BN$2,0,0,ROW()-1,60),ROW()-1,FALSE))</f>
        <v>0</v>
      </c>
      <c r="L26">
        <f ca="1">IF(AND(ISNUMBER($L$247),$B$226=1),$L$247,HLOOKUP(INDIRECT(ADDRESS(2,COLUMN())),OFFSET($BN$2,0,0,ROW()-1,60),ROW()-1,FALSE))</f>
        <v>0</v>
      </c>
      <c r="M26">
        <f ca="1">IF(AND(ISNUMBER($M$247),$B$226=1),$M$247,HLOOKUP(INDIRECT(ADDRESS(2,COLUMN())),OFFSET($BN$2,0,0,ROW()-1,60),ROW()-1,FALSE))</f>
        <v>0</v>
      </c>
      <c r="N26">
        <f ca="1">IF(AND(ISNUMBER($N$247),$B$226=1),$N$247,HLOOKUP(INDIRECT(ADDRESS(2,COLUMN())),OFFSET($BN$2,0,0,ROW()-1,60),ROW()-1,FALSE))</f>
        <v>0</v>
      </c>
      <c r="O26">
        <f ca="1">IF(AND(ISNUMBER($O$247),$B$226=1),$O$247,HLOOKUP(INDIRECT(ADDRESS(2,COLUMN())),OFFSET($BN$2,0,0,ROW()-1,60),ROW()-1,FALSE))</f>
        <v>0</v>
      </c>
      <c r="P26">
        <f ca="1">IF(AND(ISNUMBER($P$247),$B$226=1),$P$247,HLOOKUP(INDIRECT(ADDRESS(2,COLUMN())),OFFSET($BN$2,0,0,ROW()-1,60),ROW()-1,FALSE))</f>
        <v>0</v>
      </c>
      <c r="Q26">
        <f ca="1">IF(AND(ISNUMBER($Q$247),$B$226=1),$Q$247,HLOOKUP(INDIRECT(ADDRESS(2,COLUMN())),OFFSET($BN$2,0,0,ROW()-1,60),ROW()-1,FALSE))</f>
        <v>0</v>
      </c>
      <c r="R26">
        <f ca="1">IF(AND(ISNUMBER($R$247),$B$226=1),$R$247,HLOOKUP(INDIRECT(ADDRESS(2,COLUMN())),OFFSET($BN$2,0,0,ROW()-1,60),ROW()-1,FALSE))</f>
        <v>0</v>
      </c>
      <c r="S26">
        <f ca="1">IF(AND(ISNUMBER($S$247),$B$226=1),$S$247,HLOOKUP(INDIRECT(ADDRESS(2,COLUMN())),OFFSET($BN$2,0,0,ROW()-1,60),ROW()-1,FALSE))</f>
        <v>0</v>
      </c>
      <c r="T26">
        <f ca="1">IF(AND(ISNUMBER($T$247),$B$226=1),$T$247,HLOOKUP(INDIRECT(ADDRESS(2,COLUMN())),OFFSET($BN$2,0,0,ROW()-1,60),ROW()-1,FALSE))</f>
        <v>0</v>
      </c>
      <c r="U26">
        <f ca="1">IF(AND(ISNUMBER($U$247),$B$226=1),$U$247,HLOOKUP(INDIRECT(ADDRESS(2,COLUMN())),OFFSET($BN$2,0,0,ROW()-1,60),ROW()-1,FALSE))</f>
        <v>0</v>
      </c>
      <c r="V26">
        <f ca="1">IF(AND(ISNUMBER($V$247),$B$226=1),$V$247,HLOOKUP(INDIRECT(ADDRESS(2,COLUMN())),OFFSET($BN$2,0,0,ROW()-1,60),ROW()-1,FALSE))</f>
        <v>0</v>
      </c>
      <c r="W26">
        <f ca="1">IF(AND(ISNUMBER($W$247),$B$226=1),$W$247,HLOOKUP(INDIRECT(ADDRESS(2,COLUMN())),OFFSET($BN$2,0,0,ROW()-1,60),ROW()-1,FALSE))</f>
        <v>0</v>
      </c>
      <c r="X26">
        <f ca="1">IF(AND(ISNUMBER($X$247),$B$226=1),$X$247,HLOOKUP(INDIRECT(ADDRESS(2,COLUMN())),OFFSET($BN$2,0,0,ROW()-1,60),ROW()-1,FALSE))</f>
        <v>0</v>
      </c>
      <c r="Y26">
        <f ca="1">IF(AND(ISNUMBER($Y$247),$B$226=1),$Y$247,HLOOKUP(INDIRECT(ADDRESS(2,COLUMN())),OFFSET($BN$2,0,0,ROW()-1,60),ROW()-1,FALSE))</f>
        <v>0</v>
      </c>
      <c r="Z26">
        <f ca="1">IF(AND(ISNUMBER($Z$247),$B$226=1),$Z$247,HLOOKUP(INDIRECT(ADDRESS(2,COLUMN())),OFFSET($BN$2,0,0,ROW()-1,60),ROW()-1,FALSE))</f>
        <v>0</v>
      </c>
      <c r="AA26">
        <f ca="1">IF(AND(ISNUMBER($AA$247),$B$226=1),$AA$247,HLOOKUP(INDIRECT(ADDRESS(2,COLUMN())),OFFSET($BN$2,0,0,ROW()-1,60),ROW()-1,FALSE))</f>
        <v>0</v>
      </c>
      <c r="AB26">
        <f ca="1">IF(AND(ISNUMBER($AB$247),$B$226=1),$AB$247,HLOOKUP(INDIRECT(ADDRESS(2,COLUMN())),OFFSET($BN$2,0,0,ROW()-1,60),ROW()-1,FALSE))</f>
        <v>0</v>
      </c>
      <c r="AC26">
        <f ca="1">IF(AND(ISNUMBER($AC$247),$B$226=1),$AC$247,HLOOKUP(INDIRECT(ADDRESS(2,COLUMN())),OFFSET($BN$2,0,0,ROW()-1,60),ROW()-1,FALSE))</f>
        <v>0</v>
      </c>
      <c r="AD26">
        <f ca="1">IF(AND(ISNUMBER($AD$247),$B$226=1),$AD$247,HLOOKUP(INDIRECT(ADDRESS(2,COLUMN())),OFFSET($BN$2,0,0,ROW()-1,60),ROW()-1,FALSE))</f>
        <v>0</v>
      </c>
      <c r="AE26">
        <f ca="1">IF(AND(ISNUMBER($AE$247),$B$226=1),$AE$247,HLOOKUP(INDIRECT(ADDRESS(2,COLUMN())),OFFSET($BN$2,0,0,ROW()-1,60),ROW()-1,FALSE))</f>
        <v>0</v>
      </c>
      <c r="AF26">
        <f ca="1">IF(AND(ISNUMBER($AF$247),$B$226=1),$AF$247,HLOOKUP(INDIRECT(ADDRESS(2,COLUMN())),OFFSET($BN$2,0,0,ROW()-1,60),ROW()-1,FALSE))</f>
        <v>0</v>
      </c>
      <c r="AG26">
        <f ca="1">IF(AND(ISNUMBER($AG$247),$B$226=1),$AG$247,HLOOKUP(INDIRECT(ADDRESS(2,COLUMN())),OFFSET($BN$2,0,0,ROW()-1,60),ROW()-1,FALSE))</f>
        <v>0</v>
      </c>
      <c r="AH26">
        <f ca="1">IF(AND(ISNUMBER($AH$247),$B$226=1),$AH$247,HLOOKUP(INDIRECT(ADDRESS(2,COLUMN())),OFFSET($BN$2,0,0,ROW()-1,60),ROW()-1,FALSE))</f>
        <v>0</v>
      </c>
      <c r="AI26">
        <f ca="1">IF(AND(ISNUMBER($AI$247),$B$226=1),$AI$247,HLOOKUP(INDIRECT(ADDRESS(2,COLUMN())),OFFSET($BN$2,0,0,ROW()-1,60),ROW()-1,FALSE))</f>
        <v>0</v>
      </c>
      <c r="AJ26">
        <f ca="1">IF(AND(ISNUMBER($AJ$247),$B$226=1),$AJ$247,HLOOKUP(INDIRECT(ADDRESS(2,COLUMN())),OFFSET($BN$2,0,0,ROW()-1,60),ROW()-1,FALSE))</f>
        <v>0</v>
      </c>
      <c r="AK26">
        <f ca="1">IF(AND(ISNUMBER($AK$247),$B$226=1),$AK$247,HLOOKUP(INDIRECT(ADDRESS(2,COLUMN())),OFFSET($BN$2,0,0,ROW()-1,60),ROW()-1,FALSE))</f>
        <v>0</v>
      </c>
      <c r="AL26">
        <f ca="1">IF(AND(ISNUMBER($AL$247),$B$226=1),$AL$247,HLOOKUP(INDIRECT(ADDRESS(2,COLUMN())),OFFSET($BN$2,0,0,ROW()-1,60),ROW()-1,FALSE))</f>
        <v>0</v>
      </c>
      <c r="AM26">
        <f ca="1">IF(AND(ISNUMBER($AM$247),$B$226=1),$AM$247,HLOOKUP(INDIRECT(ADDRESS(2,COLUMN())),OFFSET($BN$2,0,0,ROW()-1,60),ROW()-1,FALSE))</f>
        <v>0</v>
      </c>
      <c r="AN26">
        <f ca="1">IF(AND(ISNUMBER($AN$247),$B$226=1),$AN$247,HLOOKUP(INDIRECT(ADDRESS(2,COLUMN())),OFFSET($BN$2,0,0,ROW()-1,60),ROW()-1,FALSE))</f>
        <v>0.57699999999999996</v>
      </c>
      <c r="AO26">
        <f ca="1">IF(AND(ISNUMBER($AO$247),$B$226=1),$AO$247,HLOOKUP(INDIRECT(ADDRESS(2,COLUMN())),OFFSET($BN$2,0,0,ROW()-1,60),ROW()-1,FALSE))</f>
        <v>0.46600000000000003</v>
      </c>
      <c r="AP26">
        <f ca="1">IF(AND(ISNUMBER($AP$247),$B$226=1),$AP$247,HLOOKUP(INDIRECT(ADDRESS(2,COLUMN())),OFFSET($BN$2,0,0,ROW()-1,60),ROW()-1,FALSE))</f>
        <v>0.59299999999999997</v>
      </c>
      <c r="AQ26" t="str">
        <f ca="1">IF(AND(ISNUMBER($AQ$247),$B$226=1),$AQ$247,HLOOKUP(INDIRECT(ADDRESS(2,COLUMN())),OFFSET($BN$2,0,0,ROW()-1,60),ROW()-1,FALSE))</f>
        <v/>
      </c>
      <c r="AR26" t="str">
        <f ca="1">IF(AND(ISNUMBER($AR$247),$B$226=1),$AR$247,HLOOKUP(INDIRECT(ADDRESS(2,COLUMN())),OFFSET($BN$2,0,0,ROW()-1,60),ROW()-1,FALSE))</f>
        <v/>
      </c>
      <c r="AS26" t="str">
        <f ca="1">IF(AND(ISNUMBER($AS$247),$B$226=1),$AS$247,HLOOKUP(INDIRECT(ADDRESS(2,COLUMN())),OFFSET($BN$2,0,0,ROW()-1,60),ROW()-1,FALSE))</f>
        <v/>
      </c>
      <c r="AT26" t="str">
        <f ca="1">IF(AND(ISNUMBER($AT$247),$B$226=1),$AT$247,HLOOKUP(INDIRECT(ADDRESS(2,COLUMN())),OFFSET($BN$2,0,0,ROW()-1,60),ROW()-1,FALSE))</f>
        <v/>
      </c>
      <c r="AU26" t="str">
        <f ca="1">IF(AND(ISNUMBER($AU$247),$B$226=1),$AU$247,HLOOKUP(INDIRECT(ADDRESS(2,COLUMN())),OFFSET($BN$2,0,0,ROW()-1,60),ROW()-1,FALSE))</f>
        <v/>
      </c>
      <c r="AV26" t="str">
        <f ca="1">IF(AND(ISNUMBER($AV$247),$B$226=1),$AV$247,HLOOKUP(INDIRECT(ADDRESS(2,COLUMN())),OFFSET($BN$2,0,0,ROW()-1,60),ROW()-1,FALSE))</f>
        <v/>
      </c>
      <c r="AW26" t="str">
        <f ca="1">IF(AND(ISNUMBER($AW$247),$B$226=1),$AW$247,HLOOKUP(INDIRECT(ADDRESS(2,COLUMN())),OFFSET($BN$2,0,0,ROW()-1,60),ROW()-1,FALSE))</f>
        <v/>
      </c>
      <c r="AX26" t="str">
        <f ca="1">IF(AND(ISNUMBER($AX$247),$B$226=1),$AX$247,HLOOKUP(INDIRECT(ADDRESS(2,COLUMN())),OFFSET($BN$2,0,0,ROW()-1,60),ROW()-1,FALSE))</f>
        <v/>
      </c>
      <c r="AY26" t="str">
        <f ca="1">IF(AND(ISNUMBER($AY$247),$B$226=1),$AY$247,HLOOKUP(INDIRECT(ADDRESS(2,COLUMN())),OFFSET($BN$2,0,0,ROW()-1,60),ROW()-1,FALSE))</f>
        <v/>
      </c>
      <c r="AZ26" t="str">
        <f ca="1">IF(AND(ISNUMBER($AZ$247),$B$226=1),$AZ$247,HLOOKUP(INDIRECT(ADDRESS(2,COLUMN())),OFFSET($BN$2,0,0,ROW()-1,60),ROW()-1,FALSE))</f>
        <v/>
      </c>
      <c r="BA26" t="str">
        <f ca="1">IF(AND(ISNUMBER($BA$247),$B$226=1),$BA$247,HLOOKUP(INDIRECT(ADDRESS(2,COLUMN())),OFFSET($BN$2,0,0,ROW()-1,60),ROW()-1,FALSE))</f>
        <v/>
      </c>
      <c r="BB26" t="str">
        <f ca="1">IF(AND(ISNUMBER($BB$247),$B$226=1),$BB$247,HLOOKUP(INDIRECT(ADDRESS(2,COLUMN())),OFFSET($BN$2,0,0,ROW()-1,60),ROW()-1,FALSE))</f>
        <v/>
      </c>
      <c r="BC26" t="str">
        <f ca="1">IF(AND(ISNUMBER($BC$247),$B$226=1),$BC$247,HLOOKUP(INDIRECT(ADDRESS(2,COLUMN())),OFFSET($BN$2,0,0,ROW()-1,60),ROW()-1,FALSE))</f>
        <v/>
      </c>
      <c r="BD26" t="str">
        <f ca="1">IF(AND(ISNUMBER($BD$247),$B$226=1),$BD$247,HLOOKUP(INDIRECT(ADDRESS(2,COLUMN())),OFFSET($BN$2,0,0,ROW()-1,60),ROW()-1,FALSE))</f>
        <v/>
      </c>
      <c r="BE26" t="str">
        <f ca="1">IF(AND(ISNUMBER($BE$247),$B$226=1),$BE$247,HLOOKUP(INDIRECT(ADDRESS(2,COLUMN())),OFFSET($BN$2,0,0,ROW()-1,60),ROW()-1,FALSE))</f>
        <v/>
      </c>
      <c r="BF26" t="str">
        <f ca="1">IF(AND(ISNUMBER($BF$247),$B$226=1),$BF$247,HLOOKUP(INDIRECT(ADDRESS(2,COLUMN())),OFFSET($BN$2,0,0,ROW()-1,60),ROW()-1,FALSE))</f>
        <v/>
      </c>
      <c r="BG26" t="str">
        <f ca="1">IF(AND(ISNUMBER($BG$247),$B$226=1),$BG$247,HLOOKUP(INDIRECT(ADDRESS(2,COLUMN())),OFFSET($BN$2,0,0,ROW()-1,60),ROW()-1,FALSE))</f>
        <v/>
      </c>
      <c r="BH26" t="str">
        <f ca="1">IF(AND(ISNUMBER($BH$247),$B$226=1),$BH$247,HLOOKUP(INDIRECT(ADDRESS(2,COLUMN())),OFFSET($BN$2,0,0,ROW()-1,60),ROW()-1,FALSE))</f>
        <v/>
      </c>
      <c r="BI26" t="str">
        <f ca="1">IF(AND(ISNUMBER($BI$247),$B$226=1),$BI$247,HLOOKUP(INDIRECT(ADDRESS(2,COLUMN())),OFFSET($BN$2,0,0,ROW()-1,60),ROW()-1,FALSE))</f>
        <v/>
      </c>
      <c r="BJ26" t="str">
        <f ca="1">IF(AND(ISNUMBER($BJ$247),$B$226=1),$BJ$247,HLOOKUP(INDIRECT(ADDRESS(2,COLUMN())),OFFSET($BN$2,0,0,ROW()-1,60),ROW()-1,FALSE))</f>
        <v/>
      </c>
      <c r="BK26" t="str">
        <f ca="1">IF(AND(ISNUMBER($BK$247),$B$226=1),$BK$247,HLOOKUP(INDIRECT(ADDRESS(2,COLUMN())),OFFSET($BN$2,0,0,ROW()-1,60),ROW()-1,FALSE))</f>
        <v/>
      </c>
      <c r="BL26" t="str">
        <f ca="1">IF(AND(ISNUMBER($BL$247),$B$226=1),$BL$247,HLOOKUP(INDIRECT(ADDRESS(2,COLUMN())),OFFSET($BN$2,0,0,ROW()-1,60),ROW()-1,FALSE))</f>
        <v/>
      </c>
      <c r="BM26" t="str">
        <f ca="1">IF(AND(ISNUMBER($BM$247),$B$226=1),$BM$247,HLOOKUP(INDIRECT(ADDRESS(2,COLUMN())),OFFSET($BN$2,0,0,ROW()-1,60),ROW()-1,FALSE))</f>
        <v/>
      </c>
      <c r="BN26" t="str">
        <f>""</f>
        <v/>
      </c>
      <c r="BO26">
        <f>0</f>
        <v>0</v>
      </c>
      <c r="BP26">
        <f>0</f>
        <v>0</v>
      </c>
      <c r="BQ26">
        <f>0</f>
        <v>0</v>
      </c>
      <c r="BR26">
        <f>0</f>
        <v>0</v>
      </c>
      <c r="BS26">
        <f>0</f>
        <v>0</v>
      </c>
      <c r="BT26">
        <f>0</f>
        <v>0</v>
      </c>
      <c r="BU26">
        <f>0</f>
        <v>0</v>
      </c>
      <c r="BV26">
        <f>0</f>
        <v>0</v>
      </c>
      <c r="BW26">
        <f>0</f>
        <v>0</v>
      </c>
      <c r="BX26">
        <f>0</f>
        <v>0</v>
      </c>
      <c r="BY26">
        <f>0</f>
        <v>0</v>
      </c>
      <c r="BZ26">
        <f>0</f>
        <v>0</v>
      </c>
      <c r="CA26">
        <f>0</f>
        <v>0</v>
      </c>
      <c r="CB26">
        <f>0</f>
        <v>0</v>
      </c>
      <c r="CC26">
        <f>0</f>
        <v>0</v>
      </c>
      <c r="CD26">
        <f>0</f>
        <v>0</v>
      </c>
      <c r="CE26">
        <f>0</f>
        <v>0</v>
      </c>
      <c r="CF26">
        <f>0</f>
        <v>0</v>
      </c>
      <c r="CG26">
        <f>0</f>
        <v>0</v>
      </c>
      <c r="CH26">
        <f>0</f>
        <v>0</v>
      </c>
      <c r="CI26">
        <f>0</f>
        <v>0</v>
      </c>
      <c r="CJ26">
        <f>0</f>
        <v>0</v>
      </c>
      <c r="CK26">
        <f>0</f>
        <v>0</v>
      </c>
      <c r="CL26">
        <f>0</f>
        <v>0</v>
      </c>
      <c r="CM26">
        <f>0</f>
        <v>0</v>
      </c>
      <c r="CN26">
        <f>0</f>
        <v>0</v>
      </c>
      <c r="CO26">
        <f>0</f>
        <v>0</v>
      </c>
      <c r="CP26">
        <f>0</f>
        <v>0</v>
      </c>
      <c r="CQ26">
        <f>0</f>
        <v>0</v>
      </c>
      <c r="CR26">
        <f>0</f>
        <v>0</v>
      </c>
      <c r="CS26">
        <f>0</f>
        <v>0</v>
      </c>
      <c r="CT26">
        <f>0</f>
        <v>0</v>
      </c>
      <c r="CU26">
        <f>0</f>
        <v>0</v>
      </c>
      <c r="CV26">
        <f>0.577</f>
        <v>0.57699999999999996</v>
      </c>
      <c r="CW26">
        <f>0.466</f>
        <v>0.46600000000000003</v>
      </c>
      <c r="CX26">
        <f>0.593</f>
        <v>0.59299999999999997</v>
      </c>
      <c r="CY26" t="str">
        <f>""</f>
        <v/>
      </c>
      <c r="CZ26" t="str">
        <f>""</f>
        <v/>
      </c>
      <c r="DA26" t="str">
        <f>""</f>
        <v/>
      </c>
      <c r="DB26" t="str">
        <f>""</f>
        <v/>
      </c>
      <c r="DC26" t="str">
        <f>""</f>
        <v/>
      </c>
      <c r="DD26" t="str">
        <f>""</f>
        <v/>
      </c>
      <c r="DE26" t="str">
        <f>""</f>
        <v/>
      </c>
      <c r="DF26" t="str">
        <f>""</f>
        <v/>
      </c>
      <c r="DG26" t="str">
        <f>""</f>
        <v/>
      </c>
      <c r="DH26" t="str">
        <f>""</f>
        <v/>
      </c>
      <c r="DI26" t="str">
        <f>""</f>
        <v/>
      </c>
      <c r="DJ26" t="str">
        <f>""</f>
        <v/>
      </c>
      <c r="DK26" t="str">
        <f>""</f>
        <v/>
      </c>
      <c r="DL26" t="str">
        <f>""</f>
        <v/>
      </c>
      <c r="DM26" t="str">
        <f>""</f>
        <v/>
      </c>
      <c r="DN26" t="str">
        <f>""</f>
        <v/>
      </c>
      <c r="DO26" t="str">
        <f>""</f>
        <v/>
      </c>
      <c r="DP26" t="str">
        <f>""</f>
        <v/>
      </c>
      <c r="DQ26" t="str">
        <f>""</f>
        <v/>
      </c>
      <c r="DR26" t="str">
        <f>""</f>
        <v/>
      </c>
      <c r="DS26" t="str">
        <f>""</f>
        <v/>
      </c>
      <c r="DT26" t="str">
        <f>""</f>
        <v/>
      </c>
      <c r="DU26" t="str">
        <f>""</f>
        <v/>
      </c>
    </row>
    <row r="27" spans="1:125">
      <c r="A27" t="str">
        <f>"    Equity Residential"</f>
        <v xml:space="preserve">    Equity Residential</v>
      </c>
      <c r="B27" t="str">
        <f>"EQR US Equity"</f>
        <v>EQR US Equity</v>
      </c>
      <c r="C27" t="str">
        <f t="shared" si="6"/>
        <v>IM281</v>
      </c>
      <c r="D27" t="str">
        <f t="shared" si="7"/>
        <v>IS_NON_REAL_ESTATE_INCOME</v>
      </c>
      <c r="E27" t="str">
        <f t="shared" si="8"/>
        <v>动态</v>
      </c>
      <c r="F27" t="str">
        <f ca="1">IF(AND(ISNUMBER($F$248),$B$226=1),$F$248,HLOOKUP(INDIRECT(ADDRESS(2,COLUMN())),OFFSET($BN$2,0,0,ROW()-1,60),ROW()-1,FALSE))</f>
        <v/>
      </c>
      <c r="G27">
        <f ca="1">IF(AND(ISNUMBER($G$248),$B$226=1),$G$248,HLOOKUP(INDIRECT(ADDRESS(2,COLUMN())),OFFSET($BN$2,0,0,ROW()-1,60),ROW()-1,FALSE))</f>
        <v>0</v>
      </c>
      <c r="H27">
        <f ca="1">IF(AND(ISNUMBER($H$248),$B$226=1),$H$248,HLOOKUP(INDIRECT(ADDRESS(2,COLUMN())),OFFSET($BN$2,0,0,ROW()-1,60),ROW()-1,FALSE))</f>
        <v>0</v>
      </c>
      <c r="I27">
        <f ca="1">IF(AND(ISNUMBER($I$248),$B$226=1),$I$248,HLOOKUP(INDIRECT(ADDRESS(2,COLUMN())),OFFSET($BN$2,0,0,ROW()-1,60),ROW()-1,FALSE))</f>
        <v>0</v>
      </c>
      <c r="J27">
        <f ca="1">IF(AND(ISNUMBER($J$248),$B$226=1),$J$248,HLOOKUP(INDIRECT(ADDRESS(2,COLUMN())),OFFSET($BN$2,0,0,ROW()-1,60),ROW()-1,FALSE))</f>
        <v>0</v>
      </c>
      <c r="K27">
        <f ca="1">IF(AND(ISNUMBER($K$248),$B$226=1),$K$248,HLOOKUP(INDIRECT(ADDRESS(2,COLUMN())),OFFSET($BN$2,0,0,ROW()-1,60),ROW()-1,FALSE))</f>
        <v>0</v>
      </c>
      <c r="L27">
        <f ca="1">IF(AND(ISNUMBER($L$248),$B$226=1),$L$248,HLOOKUP(INDIRECT(ADDRESS(2,COLUMN())),OFFSET($BN$2,0,0,ROW()-1,60),ROW()-1,FALSE))</f>
        <v>0</v>
      </c>
      <c r="M27">
        <f ca="1">IF(AND(ISNUMBER($M$248),$B$226=1),$M$248,HLOOKUP(INDIRECT(ADDRESS(2,COLUMN())),OFFSET($BN$2,0,0,ROW()-1,60),ROW()-1,FALSE))</f>
        <v>0</v>
      </c>
      <c r="N27">
        <f ca="1">IF(AND(ISNUMBER($N$248),$B$226=1),$N$248,HLOOKUP(INDIRECT(ADDRESS(2,COLUMN())),OFFSET($BN$2,0,0,ROW()-1,60),ROW()-1,FALSE))</f>
        <v>0</v>
      </c>
      <c r="O27">
        <f ca="1">IF(AND(ISNUMBER($O$248),$B$226=1),$O$248,HLOOKUP(INDIRECT(ADDRESS(2,COLUMN())),OFFSET($BN$2,0,0,ROW()-1,60),ROW()-1,FALSE))</f>
        <v>0</v>
      </c>
      <c r="P27">
        <f ca="1">IF(AND(ISNUMBER($P$248),$B$226=1),$P$248,HLOOKUP(INDIRECT(ADDRESS(2,COLUMN())),OFFSET($BN$2,0,0,ROW()-1,60),ROW()-1,FALSE))</f>
        <v>0</v>
      </c>
      <c r="Q27">
        <f ca="1">IF(AND(ISNUMBER($Q$248),$B$226=1),$Q$248,HLOOKUP(INDIRECT(ADDRESS(2,COLUMN())),OFFSET($BN$2,0,0,ROW()-1,60),ROW()-1,FALSE))</f>
        <v>0</v>
      </c>
      <c r="R27">
        <f ca="1">IF(AND(ISNUMBER($R$248),$B$226=1),$R$248,HLOOKUP(INDIRECT(ADDRESS(2,COLUMN())),OFFSET($BN$2,0,0,ROW()-1,60),ROW()-1,FALSE))</f>
        <v>0</v>
      </c>
      <c r="S27">
        <f ca="1">IF(AND(ISNUMBER($S$248),$B$226=1),$S$248,HLOOKUP(INDIRECT(ADDRESS(2,COLUMN())),OFFSET($BN$2,0,0,ROW()-1,60),ROW()-1,FALSE))</f>
        <v>0</v>
      </c>
      <c r="T27">
        <f ca="1">IF(AND(ISNUMBER($T$248),$B$226=1),$T$248,HLOOKUP(INDIRECT(ADDRESS(2,COLUMN())),OFFSET($BN$2,0,0,ROW()-1,60),ROW()-1,FALSE))</f>
        <v>0</v>
      </c>
      <c r="U27">
        <f ca="1">IF(AND(ISNUMBER($U$248),$B$226=1),$U$248,HLOOKUP(INDIRECT(ADDRESS(2,COLUMN())),OFFSET($BN$2,0,0,ROW()-1,60),ROW()-1,FALSE))</f>
        <v>0</v>
      </c>
      <c r="V27">
        <f ca="1">IF(AND(ISNUMBER($V$248),$B$226=1),$V$248,HLOOKUP(INDIRECT(ADDRESS(2,COLUMN())),OFFSET($BN$2,0,0,ROW()-1,60),ROW()-1,FALSE))</f>
        <v>0</v>
      </c>
      <c r="W27">
        <f ca="1">IF(AND(ISNUMBER($W$248),$B$226=1),$W$248,HLOOKUP(INDIRECT(ADDRESS(2,COLUMN())),OFFSET($BN$2,0,0,ROW()-1,60),ROW()-1,FALSE))</f>
        <v>0</v>
      </c>
      <c r="X27">
        <f ca="1">IF(AND(ISNUMBER($X$248),$B$226=1),$X$248,HLOOKUP(INDIRECT(ADDRESS(2,COLUMN())),OFFSET($BN$2,0,0,ROW()-1,60),ROW()-1,FALSE))</f>
        <v>0</v>
      </c>
      <c r="Y27">
        <f ca="1">IF(AND(ISNUMBER($Y$248),$B$226=1),$Y$248,HLOOKUP(INDIRECT(ADDRESS(2,COLUMN())),OFFSET($BN$2,0,0,ROW()-1,60),ROW()-1,FALSE))</f>
        <v>0</v>
      </c>
      <c r="Z27">
        <f ca="1">IF(AND(ISNUMBER($Z$248),$B$226=1),$Z$248,HLOOKUP(INDIRECT(ADDRESS(2,COLUMN())),OFFSET($BN$2,0,0,ROW()-1,60),ROW()-1,FALSE))</f>
        <v>0</v>
      </c>
      <c r="AA27">
        <f ca="1">IF(AND(ISNUMBER($AA$248),$B$226=1),$AA$248,HLOOKUP(INDIRECT(ADDRESS(2,COLUMN())),OFFSET($BN$2,0,0,ROW()-1,60),ROW()-1,FALSE))</f>
        <v>0</v>
      </c>
      <c r="AB27">
        <f ca="1">IF(AND(ISNUMBER($AB$248),$B$226=1),$AB$248,HLOOKUP(INDIRECT(ADDRESS(2,COLUMN())),OFFSET($BN$2,0,0,ROW()-1,60),ROW()-1,FALSE))</f>
        <v>0</v>
      </c>
      <c r="AC27">
        <f ca="1">IF(AND(ISNUMBER($AC$248),$B$226=1),$AC$248,HLOOKUP(INDIRECT(ADDRESS(2,COLUMN())),OFFSET($BN$2,0,0,ROW()-1,60),ROW()-1,FALSE))</f>
        <v>0</v>
      </c>
      <c r="AD27">
        <f ca="1">IF(AND(ISNUMBER($AD$248),$B$226=1),$AD$248,HLOOKUP(INDIRECT(ADDRESS(2,COLUMN())),OFFSET($BN$2,0,0,ROW()-1,60),ROW()-1,FALSE))</f>
        <v>0</v>
      </c>
      <c r="AE27">
        <f ca="1">IF(AND(ISNUMBER($AE$248),$B$226=1),$AE$248,HLOOKUP(INDIRECT(ADDRESS(2,COLUMN())),OFFSET($BN$2,0,0,ROW()-1,60),ROW()-1,FALSE))</f>
        <v>0</v>
      </c>
      <c r="AF27">
        <f ca="1">IF(AND(ISNUMBER($AF$248),$B$226=1),$AF$248,HLOOKUP(INDIRECT(ADDRESS(2,COLUMN())),OFFSET($BN$2,0,0,ROW()-1,60),ROW()-1,FALSE))</f>
        <v>0</v>
      </c>
      <c r="AG27">
        <f ca="1">IF(AND(ISNUMBER($AG$248),$B$226=1),$AG$248,HLOOKUP(INDIRECT(ADDRESS(2,COLUMN())),OFFSET($BN$2,0,0,ROW()-1,60),ROW()-1,FALSE))</f>
        <v>0</v>
      </c>
      <c r="AH27">
        <f ca="1">IF(AND(ISNUMBER($AH$248),$B$226=1),$AH$248,HLOOKUP(INDIRECT(ADDRESS(2,COLUMN())),OFFSET($BN$2,0,0,ROW()-1,60),ROW()-1,FALSE))</f>
        <v>0</v>
      </c>
      <c r="AI27">
        <f ca="1">IF(AND(ISNUMBER($AI$248),$B$226=1),$AI$248,HLOOKUP(INDIRECT(ADDRESS(2,COLUMN())),OFFSET($BN$2,0,0,ROW()-1,60),ROW()-1,FALSE))</f>
        <v>0</v>
      </c>
      <c r="AJ27">
        <f ca="1">IF(AND(ISNUMBER($AJ$248),$B$226=1),$AJ$248,HLOOKUP(INDIRECT(ADDRESS(2,COLUMN())),OFFSET($BN$2,0,0,ROW()-1,60),ROW()-1,FALSE))</f>
        <v>0</v>
      </c>
      <c r="AK27">
        <f ca="1">IF(AND(ISNUMBER($AK$248),$B$226=1),$AK$248,HLOOKUP(INDIRECT(ADDRESS(2,COLUMN())),OFFSET($BN$2,0,0,ROW()-1,60),ROW()-1,FALSE))</f>
        <v>0</v>
      </c>
      <c r="AL27">
        <f ca="1">IF(AND(ISNUMBER($AL$248),$B$226=1),$AL$248,HLOOKUP(INDIRECT(ADDRESS(2,COLUMN())),OFFSET($BN$2,0,0,ROW()-1,60),ROW()-1,FALSE))</f>
        <v>0</v>
      </c>
      <c r="AM27">
        <f ca="1">IF(AND(ISNUMBER($AM$248),$B$226=1),$AM$248,HLOOKUP(INDIRECT(ADDRESS(2,COLUMN())),OFFSET($BN$2,0,0,ROW()-1,60),ROW()-1,FALSE))</f>
        <v>0</v>
      </c>
      <c r="AN27">
        <f ca="1">IF(AND(ISNUMBER($AN$248),$B$226=1),$AN$248,HLOOKUP(INDIRECT(ADDRESS(2,COLUMN())),OFFSET($BN$2,0,0,ROW()-1,60),ROW()-1,FALSE))</f>
        <v>0</v>
      </c>
      <c r="AO27">
        <f ca="1">IF(AND(ISNUMBER($AO$248),$B$226=1),$AO$248,HLOOKUP(INDIRECT(ADDRESS(2,COLUMN())),OFFSET($BN$2,0,0,ROW()-1,60),ROW()-1,FALSE))</f>
        <v>0</v>
      </c>
      <c r="AP27">
        <f ca="1">IF(AND(ISNUMBER($AP$248),$B$226=1),$AP$248,HLOOKUP(INDIRECT(ADDRESS(2,COLUMN())),OFFSET($BN$2,0,0,ROW()-1,60),ROW()-1,FALSE))</f>
        <v>0</v>
      </c>
      <c r="AQ27" t="str">
        <f ca="1">IF(AND(ISNUMBER($AQ$248),$B$226=1),$AQ$248,HLOOKUP(INDIRECT(ADDRESS(2,COLUMN())),OFFSET($BN$2,0,0,ROW()-1,60),ROW()-1,FALSE))</f>
        <v/>
      </c>
      <c r="AR27" t="str">
        <f ca="1">IF(AND(ISNUMBER($AR$248),$B$226=1),$AR$248,HLOOKUP(INDIRECT(ADDRESS(2,COLUMN())),OFFSET($BN$2,0,0,ROW()-1,60),ROW()-1,FALSE))</f>
        <v/>
      </c>
      <c r="AS27" t="str">
        <f ca="1">IF(AND(ISNUMBER($AS$248),$B$226=1),$AS$248,HLOOKUP(INDIRECT(ADDRESS(2,COLUMN())),OFFSET($BN$2,0,0,ROW()-1,60),ROW()-1,FALSE))</f>
        <v/>
      </c>
      <c r="AT27" t="str">
        <f ca="1">IF(AND(ISNUMBER($AT$248),$B$226=1),$AT$248,HLOOKUP(INDIRECT(ADDRESS(2,COLUMN())),OFFSET($BN$2,0,0,ROW()-1,60),ROW()-1,FALSE))</f>
        <v/>
      </c>
      <c r="AU27" t="str">
        <f ca="1">IF(AND(ISNUMBER($AU$248),$B$226=1),$AU$248,HLOOKUP(INDIRECT(ADDRESS(2,COLUMN())),OFFSET($BN$2,0,0,ROW()-1,60),ROW()-1,FALSE))</f>
        <v/>
      </c>
      <c r="AV27" t="str">
        <f ca="1">IF(AND(ISNUMBER($AV$248),$B$226=1),$AV$248,HLOOKUP(INDIRECT(ADDRESS(2,COLUMN())),OFFSET($BN$2,0,0,ROW()-1,60),ROW()-1,FALSE))</f>
        <v/>
      </c>
      <c r="AW27" t="str">
        <f ca="1">IF(AND(ISNUMBER($AW$248),$B$226=1),$AW$248,HLOOKUP(INDIRECT(ADDRESS(2,COLUMN())),OFFSET($BN$2,0,0,ROW()-1,60),ROW()-1,FALSE))</f>
        <v/>
      </c>
      <c r="AX27" t="str">
        <f ca="1">IF(AND(ISNUMBER($AX$248),$B$226=1),$AX$248,HLOOKUP(INDIRECT(ADDRESS(2,COLUMN())),OFFSET($BN$2,0,0,ROW()-1,60),ROW()-1,FALSE))</f>
        <v/>
      </c>
      <c r="AY27" t="str">
        <f ca="1">IF(AND(ISNUMBER($AY$248),$B$226=1),$AY$248,HLOOKUP(INDIRECT(ADDRESS(2,COLUMN())),OFFSET($BN$2,0,0,ROW()-1,60),ROW()-1,FALSE))</f>
        <v/>
      </c>
      <c r="AZ27" t="str">
        <f ca="1">IF(AND(ISNUMBER($AZ$248),$B$226=1),$AZ$248,HLOOKUP(INDIRECT(ADDRESS(2,COLUMN())),OFFSET($BN$2,0,0,ROW()-1,60),ROW()-1,FALSE))</f>
        <v/>
      </c>
      <c r="BA27" t="str">
        <f ca="1">IF(AND(ISNUMBER($BA$248),$B$226=1),$BA$248,HLOOKUP(INDIRECT(ADDRESS(2,COLUMN())),OFFSET($BN$2,0,0,ROW()-1,60),ROW()-1,FALSE))</f>
        <v/>
      </c>
      <c r="BB27" t="str">
        <f ca="1">IF(AND(ISNUMBER($BB$248),$B$226=1),$BB$248,HLOOKUP(INDIRECT(ADDRESS(2,COLUMN())),OFFSET($BN$2,0,0,ROW()-1,60),ROW()-1,FALSE))</f>
        <v/>
      </c>
      <c r="BC27" t="str">
        <f ca="1">IF(AND(ISNUMBER($BC$248),$B$226=1),$BC$248,HLOOKUP(INDIRECT(ADDRESS(2,COLUMN())),OFFSET($BN$2,0,0,ROW()-1,60),ROW()-1,FALSE))</f>
        <v/>
      </c>
      <c r="BD27" t="str">
        <f ca="1">IF(AND(ISNUMBER($BD$248),$B$226=1),$BD$248,HLOOKUP(INDIRECT(ADDRESS(2,COLUMN())),OFFSET($BN$2,0,0,ROW()-1,60),ROW()-1,FALSE))</f>
        <v/>
      </c>
      <c r="BE27" t="str">
        <f ca="1">IF(AND(ISNUMBER($BE$248),$B$226=1),$BE$248,HLOOKUP(INDIRECT(ADDRESS(2,COLUMN())),OFFSET($BN$2,0,0,ROW()-1,60),ROW()-1,FALSE))</f>
        <v/>
      </c>
      <c r="BF27" t="str">
        <f ca="1">IF(AND(ISNUMBER($BF$248),$B$226=1),$BF$248,HLOOKUP(INDIRECT(ADDRESS(2,COLUMN())),OFFSET($BN$2,0,0,ROW()-1,60),ROW()-1,FALSE))</f>
        <v/>
      </c>
      <c r="BG27" t="str">
        <f ca="1">IF(AND(ISNUMBER($BG$248),$B$226=1),$BG$248,HLOOKUP(INDIRECT(ADDRESS(2,COLUMN())),OFFSET($BN$2,0,0,ROW()-1,60),ROW()-1,FALSE))</f>
        <v/>
      </c>
      <c r="BH27" t="str">
        <f ca="1">IF(AND(ISNUMBER($BH$248),$B$226=1),$BH$248,HLOOKUP(INDIRECT(ADDRESS(2,COLUMN())),OFFSET($BN$2,0,0,ROW()-1,60),ROW()-1,FALSE))</f>
        <v/>
      </c>
      <c r="BI27" t="str">
        <f ca="1">IF(AND(ISNUMBER($BI$248),$B$226=1),$BI$248,HLOOKUP(INDIRECT(ADDRESS(2,COLUMN())),OFFSET($BN$2,0,0,ROW()-1,60),ROW()-1,FALSE))</f>
        <v/>
      </c>
      <c r="BJ27" t="str">
        <f ca="1">IF(AND(ISNUMBER($BJ$248),$B$226=1),$BJ$248,HLOOKUP(INDIRECT(ADDRESS(2,COLUMN())),OFFSET($BN$2,0,0,ROW()-1,60),ROW()-1,FALSE))</f>
        <v/>
      </c>
      <c r="BK27" t="str">
        <f ca="1">IF(AND(ISNUMBER($BK$248),$B$226=1),$BK$248,HLOOKUP(INDIRECT(ADDRESS(2,COLUMN())),OFFSET($BN$2,0,0,ROW()-1,60),ROW()-1,FALSE))</f>
        <v/>
      </c>
      <c r="BL27" t="str">
        <f ca="1">IF(AND(ISNUMBER($BL$248),$B$226=1),$BL$248,HLOOKUP(INDIRECT(ADDRESS(2,COLUMN())),OFFSET($BN$2,0,0,ROW()-1,60),ROW()-1,FALSE))</f>
        <v/>
      </c>
      <c r="BM27" t="str">
        <f ca="1">IF(AND(ISNUMBER($BM$248),$B$226=1),$BM$248,HLOOKUP(INDIRECT(ADDRESS(2,COLUMN())),OFFSET($BN$2,0,0,ROW()-1,60),ROW()-1,FALSE))</f>
        <v/>
      </c>
      <c r="BN27" t="str">
        <f>""</f>
        <v/>
      </c>
      <c r="BO27">
        <f>0</f>
        <v>0</v>
      </c>
      <c r="BP27">
        <f>0</f>
        <v>0</v>
      </c>
      <c r="BQ27">
        <f>0</f>
        <v>0</v>
      </c>
      <c r="BR27">
        <f>0</f>
        <v>0</v>
      </c>
      <c r="BS27">
        <f>0</f>
        <v>0</v>
      </c>
      <c r="BT27">
        <f>0</f>
        <v>0</v>
      </c>
      <c r="BU27">
        <f>0</f>
        <v>0</v>
      </c>
      <c r="BV27">
        <f>0</f>
        <v>0</v>
      </c>
      <c r="BW27">
        <f>0</f>
        <v>0</v>
      </c>
      <c r="BX27">
        <f>0</f>
        <v>0</v>
      </c>
      <c r="BY27">
        <f>0</f>
        <v>0</v>
      </c>
      <c r="BZ27">
        <f>0</f>
        <v>0</v>
      </c>
      <c r="CA27">
        <f>0</f>
        <v>0</v>
      </c>
      <c r="CB27">
        <f>0</f>
        <v>0</v>
      </c>
      <c r="CC27">
        <f>0</f>
        <v>0</v>
      </c>
      <c r="CD27">
        <f>0</f>
        <v>0</v>
      </c>
      <c r="CE27">
        <f>0</f>
        <v>0</v>
      </c>
      <c r="CF27">
        <f>0</f>
        <v>0</v>
      </c>
      <c r="CG27">
        <f>0</f>
        <v>0</v>
      </c>
      <c r="CH27">
        <f>0</f>
        <v>0</v>
      </c>
      <c r="CI27">
        <f>0</f>
        <v>0</v>
      </c>
      <c r="CJ27">
        <f>0</f>
        <v>0</v>
      </c>
      <c r="CK27">
        <f>0</f>
        <v>0</v>
      </c>
      <c r="CL27">
        <f>0</f>
        <v>0</v>
      </c>
      <c r="CM27">
        <f>0</f>
        <v>0</v>
      </c>
      <c r="CN27">
        <f>0</f>
        <v>0</v>
      </c>
      <c r="CO27">
        <f>0</f>
        <v>0</v>
      </c>
      <c r="CP27">
        <f>0</f>
        <v>0</v>
      </c>
      <c r="CQ27">
        <f>0</f>
        <v>0</v>
      </c>
      <c r="CR27">
        <f>0</f>
        <v>0</v>
      </c>
      <c r="CS27">
        <f>0</f>
        <v>0</v>
      </c>
      <c r="CT27">
        <f>0</f>
        <v>0</v>
      </c>
      <c r="CU27">
        <f>0</f>
        <v>0</v>
      </c>
      <c r="CV27">
        <f>0</f>
        <v>0</v>
      </c>
      <c r="CW27">
        <f>0</f>
        <v>0</v>
      </c>
      <c r="CX27">
        <f>0</f>
        <v>0</v>
      </c>
      <c r="CY27" t="str">
        <f>""</f>
        <v/>
      </c>
      <c r="CZ27" t="str">
        <f>""</f>
        <v/>
      </c>
      <c r="DA27" t="str">
        <f>""</f>
        <v/>
      </c>
      <c r="DB27" t="str">
        <f>""</f>
        <v/>
      </c>
      <c r="DC27" t="str">
        <f>""</f>
        <v/>
      </c>
      <c r="DD27" t="str">
        <f>""</f>
        <v/>
      </c>
      <c r="DE27" t="str">
        <f>""</f>
        <v/>
      </c>
      <c r="DF27" t="str">
        <f>""</f>
        <v/>
      </c>
      <c r="DG27" t="str">
        <f>""</f>
        <v/>
      </c>
      <c r="DH27" t="str">
        <f>""</f>
        <v/>
      </c>
      <c r="DI27" t="str">
        <f>""</f>
        <v/>
      </c>
      <c r="DJ27" t="str">
        <f>""</f>
        <v/>
      </c>
      <c r="DK27" t="str">
        <f>""</f>
        <v/>
      </c>
      <c r="DL27" t="str">
        <f>""</f>
        <v/>
      </c>
      <c r="DM27" t="str">
        <f>""</f>
        <v/>
      </c>
      <c r="DN27" t="str">
        <f>""</f>
        <v/>
      </c>
      <c r="DO27" t="str">
        <f>""</f>
        <v/>
      </c>
      <c r="DP27" t="str">
        <f>""</f>
        <v/>
      </c>
      <c r="DQ27" t="str">
        <f>""</f>
        <v/>
      </c>
      <c r="DR27" t="str">
        <f>""</f>
        <v/>
      </c>
      <c r="DS27" t="str">
        <f>""</f>
        <v/>
      </c>
      <c r="DT27" t="str">
        <f>""</f>
        <v/>
      </c>
      <c r="DU27" t="str">
        <f>""</f>
        <v/>
      </c>
    </row>
    <row r="28" spans="1:125">
      <c r="A28" t="str">
        <f>"    Essex Property Trust Inc"</f>
        <v xml:space="preserve">    Essex Property Trust Inc</v>
      </c>
      <c r="B28" t="str">
        <f>"ESS US Equity"</f>
        <v>ESS US Equity</v>
      </c>
      <c r="C28" t="str">
        <f t="shared" si="6"/>
        <v>IM281</v>
      </c>
      <c r="D28" t="str">
        <f t="shared" si="7"/>
        <v>IS_NON_REAL_ESTATE_INCOME</v>
      </c>
      <c r="E28" t="str">
        <f t="shared" si="8"/>
        <v>动态</v>
      </c>
      <c r="F28" t="str">
        <f ca="1">IF(AND(ISNUMBER($F$249),$B$226=1),$F$249,HLOOKUP(INDIRECT(ADDRESS(2,COLUMN())),OFFSET($BN$2,0,0,ROW()-1,60),ROW()-1,FALSE))</f>
        <v/>
      </c>
      <c r="G28">
        <f ca="1">IF(AND(ISNUMBER($G$249),$B$226=1),$G$249,HLOOKUP(INDIRECT(ADDRESS(2,COLUMN())),OFFSET($BN$2,0,0,ROW()-1,60),ROW()-1,FALSE))</f>
        <v>0</v>
      </c>
      <c r="H28">
        <f ca="1">IF(AND(ISNUMBER($H$249),$B$226=1),$H$249,HLOOKUP(INDIRECT(ADDRESS(2,COLUMN())),OFFSET($BN$2,0,0,ROW()-1,60),ROW()-1,FALSE))</f>
        <v>0</v>
      </c>
      <c r="I28">
        <f ca="1">IF(AND(ISNUMBER($I$249),$B$226=1),$I$249,HLOOKUP(INDIRECT(ADDRESS(2,COLUMN())),OFFSET($BN$2,0,0,ROW()-1,60),ROW()-1,FALSE))</f>
        <v>0</v>
      </c>
      <c r="J28">
        <f ca="1">IF(AND(ISNUMBER($J$249),$B$226=1),$J$249,HLOOKUP(INDIRECT(ADDRESS(2,COLUMN())),OFFSET($BN$2,0,0,ROW()-1,60),ROW()-1,FALSE))</f>
        <v>0</v>
      </c>
      <c r="K28">
        <f ca="1">IF(AND(ISNUMBER($K$249),$B$226=1),$K$249,HLOOKUP(INDIRECT(ADDRESS(2,COLUMN())),OFFSET($BN$2,0,0,ROW()-1,60),ROW()-1,FALSE))</f>
        <v>0</v>
      </c>
      <c r="L28">
        <f ca="1">IF(AND(ISNUMBER($L$249),$B$226=1),$L$249,HLOOKUP(INDIRECT(ADDRESS(2,COLUMN())),OFFSET($BN$2,0,0,ROW()-1,60),ROW()-1,FALSE))</f>
        <v>0</v>
      </c>
      <c r="M28">
        <f ca="1">IF(AND(ISNUMBER($M$249),$B$226=1),$M$249,HLOOKUP(INDIRECT(ADDRESS(2,COLUMN())),OFFSET($BN$2,0,0,ROW()-1,60),ROW()-1,FALSE))</f>
        <v>0</v>
      </c>
      <c r="N28">
        <f ca="1">IF(AND(ISNUMBER($N$249),$B$226=1),$N$249,HLOOKUP(INDIRECT(ADDRESS(2,COLUMN())),OFFSET($BN$2,0,0,ROW()-1,60),ROW()-1,FALSE))</f>
        <v>0</v>
      </c>
      <c r="O28">
        <f ca="1">IF(AND(ISNUMBER($O$249),$B$226=1),$O$249,HLOOKUP(INDIRECT(ADDRESS(2,COLUMN())),OFFSET($BN$2,0,0,ROW()-1,60),ROW()-1,FALSE))</f>
        <v>0</v>
      </c>
      <c r="P28">
        <f ca="1">IF(AND(ISNUMBER($P$249),$B$226=1),$P$249,HLOOKUP(INDIRECT(ADDRESS(2,COLUMN())),OFFSET($BN$2,0,0,ROW()-1,60),ROW()-1,FALSE))</f>
        <v>0</v>
      </c>
      <c r="Q28">
        <f ca="1">IF(AND(ISNUMBER($Q$249),$B$226=1),$Q$249,HLOOKUP(INDIRECT(ADDRESS(2,COLUMN())),OFFSET($BN$2,0,0,ROW()-1,60),ROW()-1,FALSE))</f>
        <v>0</v>
      </c>
      <c r="R28">
        <f ca="1">IF(AND(ISNUMBER($R$249),$B$226=1),$R$249,HLOOKUP(INDIRECT(ADDRESS(2,COLUMN())),OFFSET($BN$2,0,0,ROW()-1,60),ROW()-1,FALSE))</f>
        <v>0</v>
      </c>
      <c r="S28">
        <f ca="1">IF(AND(ISNUMBER($S$249),$B$226=1),$S$249,HLOOKUP(INDIRECT(ADDRESS(2,COLUMN())),OFFSET($BN$2,0,0,ROW()-1,60),ROW()-1,FALSE))</f>
        <v>0</v>
      </c>
      <c r="T28">
        <f ca="1">IF(AND(ISNUMBER($T$249),$B$226=1),$T$249,HLOOKUP(INDIRECT(ADDRESS(2,COLUMN())),OFFSET($BN$2,0,0,ROW()-1,60),ROW()-1,FALSE))</f>
        <v>0</v>
      </c>
      <c r="U28">
        <f ca="1">IF(AND(ISNUMBER($U$249),$B$226=1),$U$249,HLOOKUP(INDIRECT(ADDRESS(2,COLUMN())),OFFSET($BN$2,0,0,ROW()-1,60),ROW()-1,FALSE))</f>
        <v>0</v>
      </c>
      <c r="V28">
        <f ca="1">IF(AND(ISNUMBER($V$249),$B$226=1),$V$249,HLOOKUP(INDIRECT(ADDRESS(2,COLUMN())),OFFSET($BN$2,0,0,ROW()-1,60),ROW()-1,FALSE))</f>
        <v>0</v>
      </c>
      <c r="W28">
        <f ca="1">IF(AND(ISNUMBER($W$249),$B$226=1),$W$249,HLOOKUP(INDIRECT(ADDRESS(2,COLUMN())),OFFSET($BN$2,0,0,ROW()-1,60),ROW()-1,FALSE))</f>
        <v>0</v>
      </c>
      <c r="X28">
        <f ca="1">IF(AND(ISNUMBER($X$249),$B$226=1),$X$249,HLOOKUP(INDIRECT(ADDRESS(2,COLUMN())),OFFSET($BN$2,0,0,ROW()-1,60),ROW()-1,FALSE))</f>
        <v>0</v>
      </c>
      <c r="Y28">
        <f ca="1">IF(AND(ISNUMBER($Y$249),$B$226=1),$Y$249,HLOOKUP(INDIRECT(ADDRESS(2,COLUMN())),OFFSET($BN$2,0,0,ROW()-1,60),ROW()-1,FALSE))</f>
        <v>0</v>
      </c>
      <c r="Z28">
        <f ca="1">IF(AND(ISNUMBER($Z$249),$B$226=1),$Z$249,HLOOKUP(INDIRECT(ADDRESS(2,COLUMN())),OFFSET($BN$2,0,0,ROW()-1,60),ROW()-1,FALSE))</f>
        <v>0</v>
      </c>
      <c r="AA28">
        <f ca="1">IF(AND(ISNUMBER($AA$249),$B$226=1),$AA$249,HLOOKUP(INDIRECT(ADDRESS(2,COLUMN())),OFFSET($BN$2,0,0,ROW()-1,60),ROW()-1,FALSE))</f>
        <v>0</v>
      </c>
      <c r="AB28">
        <f ca="1">IF(AND(ISNUMBER($AB$249),$B$226=1),$AB$249,HLOOKUP(INDIRECT(ADDRESS(2,COLUMN())),OFFSET($BN$2,0,0,ROW()-1,60),ROW()-1,FALSE))</f>
        <v>0</v>
      </c>
      <c r="AC28">
        <f ca="1">IF(AND(ISNUMBER($AC$249),$B$226=1),$AC$249,HLOOKUP(INDIRECT(ADDRESS(2,COLUMN())),OFFSET($BN$2,0,0,ROW()-1,60),ROW()-1,FALSE))</f>
        <v>0</v>
      </c>
      <c r="AD28">
        <f ca="1">IF(AND(ISNUMBER($AD$249),$B$226=1),$AD$249,HLOOKUP(INDIRECT(ADDRESS(2,COLUMN())),OFFSET($BN$2,0,0,ROW()-1,60),ROW()-1,FALSE))</f>
        <v>0</v>
      </c>
      <c r="AE28">
        <f ca="1">IF(AND(ISNUMBER($AE$249),$B$226=1),$AE$249,HLOOKUP(INDIRECT(ADDRESS(2,COLUMN())),OFFSET($BN$2,0,0,ROW()-1,60),ROW()-1,FALSE))</f>
        <v>0</v>
      </c>
      <c r="AF28">
        <f ca="1">IF(AND(ISNUMBER($AF$249),$B$226=1),$AF$249,HLOOKUP(INDIRECT(ADDRESS(2,COLUMN())),OFFSET($BN$2,0,0,ROW()-1,60),ROW()-1,FALSE))</f>
        <v>0</v>
      </c>
      <c r="AG28">
        <f ca="1">IF(AND(ISNUMBER($AG$249),$B$226=1),$AG$249,HLOOKUP(INDIRECT(ADDRESS(2,COLUMN())),OFFSET($BN$2,0,0,ROW()-1,60),ROW()-1,FALSE))</f>
        <v>0</v>
      </c>
      <c r="AH28">
        <f ca="1">IF(AND(ISNUMBER($AH$249),$B$226=1),$AH$249,HLOOKUP(INDIRECT(ADDRESS(2,COLUMN())),OFFSET($BN$2,0,0,ROW()-1,60),ROW()-1,FALSE))</f>
        <v>0</v>
      </c>
      <c r="AI28">
        <f ca="1">IF(AND(ISNUMBER($AI$249),$B$226=1),$AI$249,HLOOKUP(INDIRECT(ADDRESS(2,COLUMN())),OFFSET($BN$2,0,0,ROW()-1,60),ROW()-1,FALSE))</f>
        <v>0</v>
      </c>
      <c r="AJ28">
        <f ca="1">IF(AND(ISNUMBER($AJ$249),$B$226=1),$AJ$249,HLOOKUP(INDIRECT(ADDRESS(2,COLUMN())),OFFSET($BN$2,0,0,ROW()-1,60),ROW()-1,FALSE))</f>
        <v>0</v>
      </c>
      <c r="AK28">
        <f ca="1">IF(AND(ISNUMBER($AK$249),$B$226=1),$AK$249,HLOOKUP(INDIRECT(ADDRESS(2,COLUMN())),OFFSET($BN$2,0,0,ROW()-1,60),ROW()-1,FALSE))</f>
        <v>0</v>
      </c>
      <c r="AL28">
        <f ca="1">IF(AND(ISNUMBER($AL$249),$B$226=1),$AL$249,HLOOKUP(INDIRECT(ADDRESS(2,COLUMN())),OFFSET($BN$2,0,0,ROW()-1,60),ROW()-1,FALSE))</f>
        <v>0</v>
      </c>
      <c r="AM28">
        <f ca="1">IF(AND(ISNUMBER($AM$249),$B$226=1),$AM$249,HLOOKUP(INDIRECT(ADDRESS(2,COLUMN())),OFFSET($BN$2,0,0,ROW()-1,60),ROW()-1,FALSE))</f>
        <v>0</v>
      </c>
      <c r="AN28">
        <f ca="1">IF(AND(ISNUMBER($AN$249),$B$226=1),$AN$249,HLOOKUP(INDIRECT(ADDRESS(2,COLUMN())),OFFSET($BN$2,0,0,ROW()-1,60),ROW()-1,FALSE))</f>
        <v>0</v>
      </c>
      <c r="AO28">
        <f ca="1">IF(AND(ISNUMBER($AO$249),$B$226=1),$AO$249,HLOOKUP(INDIRECT(ADDRESS(2,COLUMN())),OFFSET($BN$2,0,0,ROW()-1,60),ROW()-1,FALSE))</f>
        <v>0</v>
      </c>
      <c r="AP28">
        <f ca="1">IF(AND(ISNUMBER($AP$249),$B$226=1),$AP$249,HLOOKUP(INDIRECT(ADDRESS(2,COLUMN())),OFFSET($BN$2,0,0,ROW()-1,60),ROW()-1,FALSE))</f>
        <v>0</v>
      </c>
      <c r="AQ28" t="str">
        <f ca="1">IF(AND(ISNUMBER($AQ$249),$B$226=1),$AQ$249,HLOOKUP(INDIRECT(ADDRESS(2,COLUMN())),OFFSET($BN$2,0,0,ROW()-1,60),ROW()-1,FALSE))</f>
        <v/>
      </c>
      <c r="AR28" t="str">
        <f ca="1">IF(AND(ISNUMBER($AR$249),$B$226=1),$AR$249,HLOOKUP(INDIRECT(ADDRESS(2,COLUMN())),OFFSET($BN$2,0,0,ROW()-1,60),ROW()-1,FALSE))</f>
        <v/>
      </c>
      <c r="AS28">
        <f ca="1">IF(AND(ISNUMBER($AS$249),$B$226=1),$AS$249,HLOOKUP(INDIRECT(ADDRESS(2,COLUMN())),OFFSET($BN$2,0,0,ROW()-1,60),ROW()-1,FALSE))</f>
        <v>0</v>
      </c>
      <c r="AT28" t="str">
        <f ca="1">IF(AND(ISNUMBER($AT$249),$B$226=1),$AT$249,HLOOKUP(INDIRECT(ADDRESS(2,COLUMN())),OFFSET($BN$2,0,0,ROW()-1,60),ROW()-1,FALSE))</f>
        <v/>
      </c>
      <c r="AU28" t="str">
        <f ca="1">IF(AND(ISNUMBER($AU$249),$B$226=1),$AU$249,HLOOKUP(INDIRECT(ADDRESS(2,COLUMN())),OFFSET($BN$2,0,0,ROW()-1,60),ROW()-1,FALSE))</f>
        <v/>
      </c>
      <c r="AV28" t="str">
        <f ca="1">IF(AND(ISNUMBER($AV$249),$B$226=1),$AV$249,HLOOKUP(INDIRECT(ADDRESS(2,COLUMN())),OFFSET($BN$2,0,0,ROW()-1,60),ROW()-1,FALSE))</f>
        <v/>
      </c>
      <c r="AW28" t="str">
        <f ca="1">IF(AND(ISNUMBER($AW$249),$B$226=1),$AW$249,HLOOKUP(INDIRECT(ADDRESS(2,COLUMN())),OFFSET($BN$2,0,0,ROW()-1,60),ROW()-1,FALSE))</f>
        <v/>
      </c>
      <c r="AX28" t="str">
        <f ca="1">IF(AND(ISNUMBER($AX$249),$B$226=1),$AX$249,HLOOKUP(INDIRECT(ADDRESS(2,COLUMN())),OFFSET($BN$2,0,0,ROW()-1,60),ROW()-1,FALSE))</f>
        <v/>
      </c>
      <c r="AY28" t="str">
        <f ca="1">IF(AND(ISNUMBER($AY$249),$B$226=1),$AY$249,HLOOKUP(INDIRECT(ADDRESS(2,COLUMN())),OFFSET($BN$2,0,0,ROW()-1,60),ROW()-1,FALSE))</f>
        <v/>
      </c>
      <c r="AZ28" t="str">
        <f ca="1">IF(AND(ISNUMBER($AZ$249),$B$226=1),$AZ$249,HLOOKUP(INDIRECT(ADDRESS(2,COLUMN())),OFFSET($BN$2,0,0,ROW()-1,60),ROW()-1,FALSE))</f>
        <v/>
      </c>
      <c r="BA28" t="str">
        <f ca="1">IF(AND(ISNUMBER($BA$249),$B$226=1),$BA$249,HLOOKUP(INDIRECT(ADDRESS(2,COLUMN())),OFFSET($BN$2,0,0,ROW()-1,60),ROW()-1,FALSE))</f>
        <v/>
      </c>
      <c r="BB28" t="str">
        <f ca="1">IF(AND(ISNUMBER($BB$249),$B$226=1),$BB$249,HLOOKUP(INDIRECT(ADDRESS(2,COLUMN())),OFFSET($BN$2,0,0,ROW()-1,60),ROW()-1,FALSE))</f>
        <v/>
      </c>
      <c r="BC28" t="str">
        <f ca="1">IF(AND(ISNUMBER($BC$249),$B$226=1),$BC$249,HLOOKUP(INDIRECT(ADDRESS(2,COLUMN())),OFFSET($BN$2,0,0,ROW()-1,60),ROW()-1,FALSE))</f>
        <v/>
      </c>
      <c r="BD28" t="str">
        <f ca="1">IF(AND(ISNUMBER($BD$249),$B$226=1),$BD$249,HLOOKUP(INDIRECT(ADDRESS(2,COLUMN())),OFFSET($BN$2,0,0,ROW()-1,60),ROW()-1,FALSE))</f>
        <v/>
      </c>
      <c r="BE28" t="str">
        <f ca="1">IF(AND(ISNUMBER($BE$249),$B$226=1),$BE$249,HLOOKUP(INDIRECT(ADDRESS(2,COLUMN())),OFFSET($BN$2,0,0,ROW()-1,60),ROW()-1,FALSE))</f>
        <v/>
      </c>
      <c r="BF28" t="str">
        <f ca="1">IF(AND(ISNUMBER($BF$249),$B$226=1),$BF$249,HLOOKUP(INDIRECT(ADDRESS(2,COLUMN())),OFFSET($BN$2,0,0,ROW()-1,60),ROW()-1,FALSE))</f>
        <v/>
      </c>
      <c r="BG28" t="str">
        <f ca="1">IF(AND(ISNUMBER($BG$249),$B$226=1),$BG$249,HLOOKUP(INDIRECT(ADDRESS(2,COLUMN())),OFFSET($BN$2,0,0,ROW()-1,60),ROW()-1,FALSE))</f>
        <v/>
      </c>
      <c r="BH28" t="str">
        <f ca="1">IF(AND(ISNUMBER($BH$249),$B$226=1),$BH$249,HLOOKUP(INDIRECT(ADDRESS(2,COLUMN())),OFFSET($BN$2,0,0,ROW()-1,60),ROW()-1,FALSE))</f>
        <v/>
      </c>
      <c r="BI28" t="str">
        <f ca="1">IF(AND(ISNUMBER($BI$249),$B$226=1),$BI$249,HLOOKUP(INDIRECT(ADDRESS(2,COLUMN())),OFFSET($BN$2,0,0,ROW()-1,60),ROW()-1,FALSE))</f>
        <v/>
      </c>
      <c r="BJ28" t="str">
        <f ca="1">IF(AND(ISNUMBER($BJ$249),$B$226=1),$BJ$249,HLOOKUP(INDIRECT(ADDRESS(2,COLUMN())),OFFSET($BN$2,0,0,ROW()-1,60),ROW()-1,FALSE))</f>
        <v/>
      </c>
      <c r="BK28" t="str">
        <f ca="1">IF(AND(ISNUMBER($BK$249),$B$226=1),$BK$249,HLOOKUP(INDIRECT(ADDRESS(2,COLUMN())),OFFSET($BN$2,0,0,ROW()-1,60),ROW()-1,FALSE))</f>
        <v/>
      </c>
      <c r="BL28" t="str">
        <f ca="1">IF(AND(ISNUMBER($BL$249),$B$226=1),$BL$249,HLOOKUP(INDIRECT(ADDRESS(2,COLUMN())),OFFSET($BN$2,0,0,ROW()-1,60),ROW()-1,FALSE))</f>
        <v/>
      </c>
      <c r="BM28" t="str">
        <f ca="1">IF(AND(ISNUMBER($BM$249),$B$226=1),$BM$249,HLOOKUP(INDIRECT(ADDRESS(2,COLUMN())),OFFSET($BN$2,0,0,ROW()-1,60),ROW()-1,FALSE))</f>
        <v/>
      </c>
      <c r="BN28" t="str">
        <f>""</f>
        <v/>
      </c>
      <c r="BO28">
        <f>0</f>
        <v>0</v>
      </c>
      <c r="BP28">
        <f>0</f>
        <v>0</v>
      </c>
      <c r="BQ28">
        <f>0</f>
        <v>0</v>
      </c>
      <c r="BR28">
        <f>0</f>
        <v>0</v>
      </c>
      <c r="BS28">
        <f>0</f>
        <v>0</v>
      </c>
      <c r="BT28">
        <f>0</f>
        <v>0</v>
      </c>
      <c r="BU28">
        <f>0</f>
        <v>0</v>
      </c>
      <c r="BV28">
        <f>0</f>
        <v>0</v>
      </c>
      <c r="BW28">
        <f>0</f>
        <v>0</v>
      </c>
      <c r="BX28">
        <f>0</f>
        <v>0</v>
      </c>
      <c r="BY28">
        <f>0</f>
        <v>0</v>
      </c>
      <c r="BZ28">
        <f>0</f>
        <v>0</v>
      </c>
      <c r="CA28">
        <f>0</f>
        <v>0</v>
      </c>
      <c r="CB28">
        <f>0</f>
        <v>0</v>
      </c>
      <c r="CC28">
        <f>0</f>
        <v>0</v>
      </c>
      <c r="CD28">
        <f>0</f>
        <v>0</v>
      </c>
      <c r="CE28">
        <f>0</f>
        <v>0</v>
      </c>
      <c r="CF28">
        <f>0</f>
        <v>0</v>
      </c>
      <c r="CG28">
        <f>0</f>
        <v>0</v>
      </c>
      <c r="CH28">
        <f>0</f>
        <v>0</v>
      </c>
      <c r="CI28">
        <f>0</f>
        <v>0</v>
      </c>
      <c r="CJ28">
        <f>0</f>
        <v>0</v>
      </c>
      <c r="CK28">
        <f>0</f>
        <v>0</v>
      </c>
      <c r="CL28">
        <f>0</f>
        <v>0</v>
      </c>
      <c r="CM28">
        <f>0</f>
        <v>0</v>
      </c>
      <c r="CN28">
        <f>0</f>
        <v>0</v>
      </c>
      <c r="CO28">
        <f>0</f>
        <v>0</v>
      </c>
      <c r="CP28">
        <f>0</f>
        <v>0</v>
      </c>
      <c r="CQ28">
        <f>0</f>
        <v>0</v>
      </c>
      <c r="CR28">
        <f>0</f>
        <v>0</v>
      </c>
      <c r="CS28">
        <f>0</f>
        <v>0</v>
      </c>
      <c r="CT28">
        <f>0</f>
        <v>0</v>
      </c>
      <c r="CU28">
        <f>0</f>
        <v>0</v>
      </c>
      <c r="CV28">
        <f>0</f>
        <v>0</v>
      </c>
      <c r="CW28">
        <f>0</f>
        <v>0</v>
      </c>
      <c r="CX28">
        <f>0</f>
        <v>0</v>
      </c>
      <c r="CY28" t="str">
        <f>""</f>
        <v/>
      </c>
      <c r="CZ28" t="str">
        <f>""</f>
        <v/>
      </c>
      <c r="DA28">
        <f>0</f>
        <v>0</v>
      </c>
      <c r="DB28" t="str">
        <f>""</f>
        <v/>
      </c>
      <c r="DC28" t="str">
        <f>""</f>
        <v/>
      </c>
      <c r="DD28" t="str">
        <f>""</f>
        <v/>
      </c>
      <c r="DE28" t="str">
        <f>""</f>
        <v/>
      </c>
      <c r="DF28" t="str">
        <f>""</f>
        <v/>
      </c>
      <c r="DG28" t="str">
        <f>""</f>
        <v/>
      </c>
      <c r="DH28" t="str">
        <f>""</f>
        <v/>
      </c>
      <c r="DI28" t="str">
        <f>""</f>
        <v/>
      </c>
      <c r="DJ28" t="str">
        <f>""</f>
        <v/>
      </c>
      <c r="DK28" t="str">
        <f>""</f>
        <v/>
      </c>
      <c r="DL28" t="str">
        <f>""</f>
        <v/>
      </c>
      <c r="DM28" t="str">
        <f>""</f>
        <v/>
      </c>
      <c r="DN28" t="str">
        <f>""</f>
        <v/>
      </c>
      <c r="DO28" t="str">
        <f>""</f>
        <v/>
      </c>
      <c r="DP28" t="str">
        <f>""</f>
        <v/>
      </c>
      <c r="DQ28" t="str">
        <f>""</f>
        <v/>
      </c>
      <c r="DR28" t="str">
        <f>""</f>
        <v/>
      </c>
      <c r="DS28" t="str">
        <f>""</f>
        <v/>
      </c>
      <c r="DT28" t="str">
        <f>""</f>
        <v/>
      </c>
      <c r="DU28" t="str">
        <f>""</f>
        <v/>
      </c>
    </row>
    <row r="29" spans="1:125">
      <c r="A29" t="str">
        <f>"    Mid-America Apartment Communit"</f>
        <v xml:space="preserve">    Mid-America Apartment Communit</v>
      </c>
      <c r="B29" t="str">
        <f>"MAA US Equity"</f>
        <v>MAA US Equity</v>
      </c>
      <c r="C29" t="str">
        <f t="shared" si="6"/>
        <v>IM281</v>
      </c>
      <c r="D29" t="str">
        <f t="shared" si="7"/>
        <v>IS_NON_REAL_ESTATE_INCOME</v>
      </c>
      <c r="E29" t="str">
        <f t="shared" si="8"/>
        <v>动态</v>
      </c>
      <c r="F29" t="str">
        <f ca="1">IF(AND(ISNUMBER($F$250),$B$226=1),$F$250,HLOOKUP(INDIRECT(ADDRESS(2,COLUMN())),OFFSET($BN$2,0,0,ROW()-1,60),ROW()-1,FALSE))</f>
        <v/>
      </c>
      <c r="G29">
        <f ca="1">IF(AND(ISNUMBER($G$250),$B$226=1),$G$250,HLOOKUP(INDIRECT(ADDRESS(2,COLUMN())),OFFSET($BN$2,0,0,ROW()-1,60),ROW()-1,FALSE))</f>
        <v>0</v>
      </c>
      <c r="H29">
        <f ca="1">IF(AND(ISNUMBER($H$250),$B$226=1),$H$250,HLOOKUP(INDIRECT(ADDRESS(2,COLUMN())),OFFSET($BN$2,0,0,ROW()-1,60),ROW()-1,FALSE))</f>
        <v>26.931000000000001</v>
      </c>
      <c r="I29">
        <f ca="1">IF(AND(ISNUMBER($I$250),$B$226=1),$I$250,HLOOKUP(INDIRECT(ADDRESS(2,COLUMN())),OFFSET($BN$2,0,0,ROW()-1,60),ROW()-1,FALSE))</f>
        <v>26.959</v>
      </c>
      <c r="J29">
        <f ca="1">IF(AND(ISNUMBER($J$250),$B$226=1),$J$250,HLOOKUP(INDIRECT(ADDRESS(2,COLUMN())),OFFSET($BN$2,0,0,ROW()-1,60),ROW()-1,FALSE))</f>
        <v>27.731000000000002</v>
      </c>
      <c r="K29">
        <f ca="1">IF(AND(ISNUMBER($K$250),$B$226=1),$K$250,HLOOKUP(INDIRECT(ADDRESS(2,COLUMN())),OFFSET($BN$2,0,0,ROW()-1,60),ROW()-1,FALSE))</f>
        <v>22.741</v>
      </c>
      <c r="L29">
        <f ca="1">IF(AND(ISNUMBER($L$250),$B$226=1),$L$250,HLOOKUP(INDIRECT(ADDRESS(2,COLUMN())),OFFSET($BN$2,0,0,ROW()-1,60),ROW()-1,FALSE))</f>
        <v>22.736999999999998</v>
      </c>
      <c r="M29">
        <f ca="1">IF(AND(ISNUMBER($M$250),$B$226=1),$M$250,HLOOKUP(INDIRECT(ADDRESS(2,COLUMN())),OFFSET($BN$2,0,0,ROW()-1,60),ROW()-1,FALSE))</f>
        <v>22.91</v>
      </c>
      <c r="N29">
        <f ca="1">IF(AND(ISNUMBER($N$250),$B$226=1),$N$250,HLOOKUP(INDIRECT(ADDRESS(2,COLUMN())),OFFSET($BN$2,0,0,ROW()-1,60),ROW()-1,FALSE))</f>
        <v>23.350999999999999</v>
      </c>
      <c r="O29">
        <f ca="1">IF(AND(ISNUMBER($O$250),$B$226=1),$O$250,HLOOKUP(INDIRECT(ADDRESS(2,COLUMN())),OFFSET($BN$2,0,0,ROW()-1,60),ROW()-1,FALSE))</f>
        <v>21.916</v>
      </c>
      <c r="P29">
        <f ca="1">IF(AND(ISNUMBER($P$250),$B$226=1),$P$250,HLOOKUP(INDIRECT(ADDRESS(2,COLUMN())),OFFSET($BN$2,0,0,ROW()-1,60),ROW()-1,FALSE))</f>
        <v>22.327999999999999</v>
      </c>
      <c r="Q29">
        <f ca="1">IF(AND(ISNUMBER($Q$250),$B$226=1),$Q$250,HLOOKUP(INDIRECT(ADDRESS(2,COLUMN())),OFFSET($BN$2,0,0,ROW()-1,60),ROW()-1,FALSE))</f>
        <v>22.725999999999999</v>
      </c>
      <c r="R29">
        <f ca="1">IF(AND(ISNUMBER($R$250),$B$226=1),$R$250,HLOOKUP(INDIRECT(ADDRESS(2,COLUMN())),OFFSET($BN$2,0,0,ROW()-1,60),ROW()-1,FALSE))</f>
        <v>23.611000000000001</v>
      </c>
      <c r="S29">
        <f ca="1">IF(AND(ISNUMBER($S$250),$B$226=1),$S$250,HLOOKUP(INDIRECT(ADDRESS(2,COLUMN())),OFFSET($BN$2,0,0,ROW()-1,60),ROW()-1,FALSE))</f>
        <v>22.736999999999998</v>
      </c>
      <c r="T29">
        <f ca="1">IF(AND(ISNUMBER($T$250),$B$226=1),$T$250,HLOOKUP(INDIRECT(ADDRESS(2,COLUMN())),OFFSET($BN$2,0,0,ROW()-1,60),ROW()-1,FALSE))</f>
        <v>22.978999999999999</v>
      </c>
      <c r="U29">
        <f ca="1">IF(AND(ISNUMBER($U$250),$B$226=1),$U$250,HLOOKUP(INDIRECT(ADDRESS(2,COLUMN())),OFFSET($BN$2,0,0,ROW()-1,60),ROW()-1,FALSE))</f>
        <v>21.882999999999999</v>
      </c>
      <c r="V29">
        <f ca="1">IF(AND(ISNUMBER($V$250),$B$226=1),$V$250,HLOOKUP(INDIRECT(ADDRESS(2,COLUMN())),OFFSET($BN$2,0,0,ROW()-1,60),ROW()-1,FALSE))</f>
        <v>22.402000000000001</v>
      </c>
      <c r="W29">
        <f ca="1">IF(AND(ISNUMBER($W$250),$B$226=1),$W$250,HLOOKUP(INDIRECT(ADDRESS(2,COLUMN())),OFFSET($BN$2,0,0,ROW()-1,60),ROW()-1,FALSE))</f>
        <v>22.663</v>
      </c>
      <c r="X29">
        <f ca="1">IF(AND(ISNUMBER($X$250),$B$226=1),$X$250,HLOOKUP(INDIRECT(ADDRESS(2,COLUMN())),OFFSET($BN$2,0,0,ROW()-1,60),ROW()-1,FALSE))</f>
        <v>10.648</v>
      </c>
      <c r="Y29">
        <f ca="1">IF(AND(ISNUMBER($Y$250),$B$226=1),$Y$250,HLOOKUP(INDIRECT(ADDRESS(2,COLUMN())),OFFSET($BN$2,0,0,ROW()-1,60),ROW()-1,FALSE))</f>
        <v>10.531000000000001</v>
      </c>
      <c r="Z29">
        <f ca="1">IF(AND(ISNUMBER($Z$250),$B$226=1),$Z$250,HLOOKUP(INDIRECT(ADDRESS(2,COLUMN())),OFFSET($BN$2,0,0,ROW()-1,60),ROW()-1,FALSE))</f>
        <v>10.038</v>
      </c>
      <c r="AA29">
        <f ca="1">IF(AND(ISNUMBER($AA$250),$B$226=1),$AA$250,HLOOKUP(INDIRECT(ADDRESS(2,COLUMN())),OFFSET($BN$2,0,0,ROW()-1,60),ROW()-1,FALSE))</f>
        <v>0</v>
      </c>
      <c r="AB29">
        <f ca="1">IF(AND(ISNUMBER($AB$250),$B$226=1),$AB$250,HLOOKUP(INDIRECT(ADDRESS(2,COLUMN())),OFFSET($BN$2,0,0,ROW()-1,60),ROW()-1,FALSE))</f>
        <v>9.9659999999999993</v>
      </c>
      <c r="AC29">
        <f ca="1">IF(AND(ISNUMBER($AC$250),$B$226=1),$AC$250,HLOOKUP(INDIRECT(ADDRESS(2,COLUMN())),OFFSET($BN$2,0,0,ROW()-1,60),ROW()-1,FALSE))</f>
        <v>9.84</v>
      </c>
      <c r="AD29">
        <f ca="1">IF(AND(ISNUMBER($AD$250),$B$226=1),$AD$250,HLOOKUP(INDIRECT(ADDRESS(2,COLUMN())),OFFSET($BN$2,0,0,ROW()-1,60),ROW()-1,FALSE))</f>
        <v>9.6750000000000007</v>
      </c>
      <c r="AE29">
        <f ca="1">IF(AND(ISNUMBER($AE$250),$B$226=1),$AE$250,HLOOKUP(INDIRECT(ADDRESS(2,COLUMN())),OFFSET($BN$2,0,0,ROW()-1,60),ROW()-1,FALSE))</f>
        <v>0</v>
      </c>
      <c r="AF29">
        <f ca="1">IF(AND(ISNUMBER($AF$250),$B$226=1),$AF$250,HLOOKUP(INDIRECT(ADDRESS(2,COLUMN())),OFFSET($BN$2,0,0,ROW()-1,60),ROW()-1,FALSE))</f>
        <v>9.0519999999999996</v>
      </c>
      <c r="AG29">
        <f ca="1">IF(AND(ISNUMBER($AG$250),$B$226=1),$AG$250,HLOOKUP(INDIRECT(ADDRESS(2,COLUMN())),OFFSET($BN$2,0,0,ROW()-1,60),ROW()-1,FALSE))</f>
        <v>8.9420000000000002</v>
      </c>
      <c r="AH29">
        <f ca="1">IF(AND(ISNUMBER($AH$250),$B$226=1),$AH$250,HLOOKUP(INDIRECT(ADDRESS(2,COLUMN())),OFFSET($BN$2,0,0,ROW()-1,60),ROW()-1,FALSE))</f>
        <v>8.98</v>
      </c>
      <c r="AI29">
        <f ca="1">IF(AND(ISNUMBER($AI$250),$B$226=1),$AI$250,HLOOKUP(INDIRECT(ADDRESS(2,COLUMN())),OFFSET($BN$2,0,0,ROW()-1,60),ROW()-1,FALSE))</f>
        <v>0</v>
      </c>
      <c r="AJ29">
        <f ca="1">IF(AND(ISNUMBER($AJ$250),$B$226=1),$AJ$250,HLOOKUP(INDIRECT(ADDRESS(2,COLUMN())),OFFSET($BN$2,0,0,ROW()-1,60),ROW()-1,FALSE))</f>
        <v>8.3070000000000004</v>
      </c>
      <c r="AK29">
        <f ca="1">IF(AND(ISNUMBER($AK$250),$B$226=1),$AK$250,HLOOKUP(INDIRECT(ADDRESS(2,COLUMN())),OFFSET($BN$2,0,0,ROW()-1,60),ROW()-1,FALSE))</f>
        <v>7.6479999999999997</v>
      </c>
      <c r="AL29">
        <f ca="1">IF(AND(ISNUMBER($AL$250),$B$226=1),$AL$250,HLOOKUP(INDIRECT(ADDRESS(2,COLUMN())),OFFSET($BN$2,0,0,ROW()-1,60),ROW()-1,FALSE))</f>
        <v>7.02</v>
      </c>
      <c r="AM29">
        <f ca="1">IF(AND(ISNUMBER($AM$250),$B$226=1),$AM$250,HLOOKUP(INDIRECT(ADDRESS(2,COLUMN())),OFFSET($BN$2,0,0,ROW()-1,60),ROW()-1,FALSE))</f>
        <v>0</v>
      </c>
      <c r="AN29">
        <f ca="1">IF(AND(ISNUMBER($AN$250),$B$226=1),$AN$250,HLOOKUP(INDIRECT(ADDRESS(2,COLUMN())),OFFSET($BN$2,0,0,ROW()-1,60),ROW()-1,FALSE))</f>
        <v>5.7009999999999996</v>
      </c>
      <c r="AO29">
        <f ca="1">IF(AND(ISNUMBER($AO$250),$B$226=1),$AO$250,HLOOKUP(INDIRECT(ADDRESS(2,COLUMN())),OFFSET($BN$2,0,0,ROW()-1,60),ROW()-1,FALSE))</f>
        <v>4.9059999999999997</v>
      </c>
      <c r="AP29">
        <f ca="1">IF(AND(ISNUMBER($AP$250),$B$226=1),$AP$250,HLOOKUP(INDIRECT(ADDRESS(2,COLUMN())),OFFSET($BN$2,0,0,ROW()-1,60),ROW()-1,FALSE))</f>
        <v>4.4020000000000001</v>
      </c>
      <c r="AQ29" t="str">
        <f ca="1">IF(AND(ISNUMBER($AQ$250),$B$226=1),$AQ$250,HLOOKUP(INDIRECT(ADDRESS(2,COLUMN())),OFFSET($BN$2,0,0,ROW()-1,60),ROW()-1,FALSE))</f>
        <v/>
      </c>
      <c r="AR29" t="str">
        <f ca="1">IF(AND(ISNUMBER($AR$250),$B$226=1),$AR$250,HLOOKUP(INDIRECT(ADDRESS(2,COLUMN())),OFFSET($BN$2,0,0,ROW()-1,60),ROW()-1,FALSE))</f>
        <v/>
      </c>
      <c r="AS29" t="str">
        <f ca="1">IF(AND(ISNUMBER($AS$250),$B$226=1),$AS$250,HLOOKUP(INDIRECT(ADDRESS(2,COLUMN())),OFFSET($BN$2,0,0,ROW()-1,60),ROW()-1,FALSE))</f>
        <v/>
      </c>
      <c r="AT29" t="str">
        <f ca="1">IF(AND(ISNUMBER($AT$250),$B$226=1),$AT$250,HLOOKUP(INDIRECT(ADDRESS(2,COLUMN())),OFFSET($BN$2,0,0,ROW()-1,60),ROW()-1,FALSE))</f>
        <v/>
      </c>
      <c r="AU29" t="str">
        <f ca="1">IF(AND(ISNUMBER($AU$250),$B$226=1),$AU$250,HLOOKUP(INDIRECT(ADDRESS(2,COLUMN())),OFFSET($BN$2,0,0,ROW()-1,60),ROW()-1,FALSE))</f>
        <v/>
      </c>
      <c r="AV29" t="str">
        <f ca="1">IF(AND(ISNUMBER($AV$250),$B$226=1),$AV$250,HLOOKUP(INDIRECT(ADDRESS(2,COLUMN())),OFFSET($BN$2,0,0,ROW()-1,60),ROW()-1,FALSE))</f>
        <v/>
      </c>
      <c r="AW29" t="str">
        <f ca="1">IF(AND(ISNUMBER($AW$250),$B$226=1),$AW$250,HLOOKUP(INDIRECT(ADDRESS(2,COLUMN())),OFFSET($BN$2,0,0,ROW()-1,60),ROW()-1,FALSE))</f>
        <v/>
      </c>
      <c r="AX29" t="str">
        <f ca="1">IF(AND(ISNUMBER($AX$250),$B$226=1),$AX$250,HLOOKUP(INDIRECT(ADDRESS(2,COLUMN())),OFFSET($BN$2,0,0,ROW()-1,60),ROW()-1,FALSE))</f>
        <v/>
      </c>
      <c r="AY29" t="str">
        <f ca="1">IF(AND(ISNUMBER($AY$250),$B$226=1),$AY$250,HLOOKUP(INDIRECT(ADDRESS(2,COLUMN())),OFFSET($BN$2,0,0,ROW()-1,60),ROW()-1,FALSE))</f>
        <v/>
      </c>
      <c r="AZ29" t="str">
        <f ca="1">IF(AND(ISNUMBER($AZ$250),$B$226=1),$AZ$250,HLOOKUP(INDIRECT(ADDRESS(2,COLUMN())),OFFSET($BN$2,0,0,ROW()-1,60),ROW()-1,FALSE))</f>
        <v/>
      </c>
      <c r="BA29" t="str">
        <f ca="1">IF(AND(ISNUMBER($BA$250),$B$226=1),$BA$250,HLOOKUP(INDIRECT(ADDRESS(2,COLUMN())),OFFSET($BN$2,0,0,ROW()-1,60),ROW()-1,FALSE))</f>
        <v/>
      </c>
      <c r="BB29" t="str">
        <f ca="1">IF(AND(ISNUMBER($BB$250),$B$226=1),$BB$250,HLOOKUP(INDIRECT(ADDRESS(2,COLUMN())),OFFSET($BN$2,0,0,ROW()-1,60),ROW()-1,FALSE))</f>
        <v/>
      </c>
      <c r="BC29" t="str">
        <f ca="1">IF(AND(ISNUMBER($BC$250),$B$226=1),$BC$250,HLOOKUP(INDIRECT(ADDRESS(2,COLUMN())),OFFSET($BN$2,0,0,ROW()-1,60),ROW()-1,FALSE))</f>
        <v/>
      </c>
      <c r="BD29" t="str">
        <f ca="1">IF(AND(ISNUMBER($BD$250),$B$226=1),$BD$250,HLOOKUP(INDIRECT(ADDRESS(2,COLUMN())),OFFSET($BN$2,0,0,ROW()-1,60),ROW()-1,FALSE))</f>
        <v/>
      </c>
      <c r="BE29" t="str">
        <f ca="1">IF(AND(ISNUMBER($BE$250),$B$226=1),$BE$250,HLOOKUP(INDIRECT(ADDRESS(2,COLUMN())),OFFSET($BN$2,0,0,ROW()-1,60),ROW()-1,FALSE))</f>
        <v/>
      </c>
      <c r="BF29" t="str">
        <f ca="1">IF(AND(ISNUMBER($BF$250),$B$226=1),$BF$250,HLOOKUP(INDIRECT(ADDRESS(2,COLUMN())),OFFSET($BN$2,0,0,ROW()-1,60),ROW()-1,FALSE))</f>
        <v/>
      </c>
      <c r="BG29" t="str">
        <f ca="1">IF(AND(ISNUMBER($BG$250),$B$226=1),$BG$250,HLOOKUP(INDIRECT(ADDRESS(2,COLUMN())),OFFSET($BN$2,0,0,ROW()-1,60),ROW()-1,FALSE))</f>
        <v/>
      </c>
      <c r="BH29" t="str">
        <f ca="1">IF(AND(ISNUMBER($BH$250),$B$226=1),$BH$250,HLOOKUP(INDIRECT(ADDRESS(2,COLUMN())),OFFSET($BN$2,0,0,ROW()-1,60),ROW()-1,FALSE))</f>
        <v/>
      </c>
      <c r="BI29" t="str">
        <f ca="1">IF(AND(ISNUMBER($BI$250),$B$226=1),$BI$250,HLOOKUP(INDIRECT(ADDRESS(2,COLUMN())),OFFSET($BN$2,0,0,ROW()-1,60),ROW()-1,FALSE))</f>
        <v/>
      </c>
      <c r="BJ29" t="str">
        <f ca="1">IF(AND(ISNUMBER($BJ$250),$B$226=1),$BJ$250,HLOOKUP(INDIRECT(ADDRESS(2,COLUMN())),OFFSET($BN$2,0,0,ROW()-1,60),ROW()-1,FALSE))</f>
        <v/>
      </c>
      <c r="BK29" t="str">
        <f ca="1">IF(AND(ISNUMBER($BK$250),$B$226=1),$BK$250,HLOOKUP(INDIRECT(ADDRESS(2,COLUMN())),OFFSET($BN$2,0,0,ROW()-1,60),ROW()-1,FALSE))</f>
        <v/>
      </c>
      <c r="BL29" t="str">
        <f ca="1">IF(AND(ISNUMBER($BL$250),$B$226=1),$BL$250,HLOOKUP(INDIRECT(ADDRESS(2,COLUMN())),OFFSET($BN$2,0,0,ROW()-1,60),ROW()-1,FALSE))</f>
        <v/>
      </c>
      <c r="BM29" t="str">
        <f ca="1">IF(AND(ISNUMBER($BM$250),$B$226=1),$BM$250,HLOOKUP(INDIRECT(ADDRESS(2,COLUMN())),OFFSET($BN$2,0,0,ROW()-1,60),ROW()-1,FALSE))</f>
        <v/>
      </c>
      <c r="BN29" t="str">
        <f>""</f>
        <v/>
      </c>
      <c r="BO29">
        <f>0</f>
        <v>0</v>
      </c>
      <c r="BP29">
        <f>26.931</f>
        <v>26.931000000000001</v>
      </c>
      <c r="BQ29">
        <f>26.959</f>
        <v>26.959</v>
      </c>
      <c r="BR29">
        <f>27.731</f>
        <v>27.731000000000002</v>
      </c>
      <c r="BS29">
        <f>22.741</f>
        <v>22.741</v>
      </c>
      <c r="BT29">
        <f>22.737</f>
        <v>22.736999999999998</v>
      </c>
      <c r="BU29">
        <f>22.91</f>
        <v>22.91</v>
      </c>
      <c r="BV29">
        <f>23.351</f>
        <v>23.350999999999999</v>
      </c>
      <c r="BW29">
        <f>21.916</f>
        <v>21.916</v>
      </c>
      <c r="BX29">
        <f>22.328</f>
        <v>22.327999999999999</v>
      </c>
      <c r="BY29">
        <f>22.726</f>
        <v>22.725999999999999</v>
      </c>
      <c r="BZ29">
        <f>23.611</f>
        <v>23.611000000000001</v>
      </c>
      <c r="CA29">
        <f>22.737</f>
        <v>22.736999999999998</v>
      </c>
      <c r="CB29">
        <f>22.979</f>
        <v>22.978999999999999</v>
      </c>
      <c r="CC29">
        <f>21.883</f>
        <v>21.882999999999999</v>
      </c>
      <c r="CD29">
        <f>22.402</f>
        <v>22.402000000000001</v>
      </c>
      <c r="CE29">
        <f>22.663</f>
        <v>22.663</v>
      </c>
      <c r="CF29">
        <f>10.648</f>
        <v>10.648</v>
      </c>
      <c r="CG29">
        <f>10.531</f>
        <v>10.531000000000001</v>
      </c>
      <c r="CH29">
        <f>10.038</f>
        <v>10.038</v>
      </c>
      <c r="CI29">
        <f>0</f>
        <v>0</v>
      </c>
      <c r="CJ29">
        <f>9.966</f>
        <v>9.9659999999999993</v>
      </c>
      <c r="CK29">
        <f>9.84</f>
        <v>9.84</v>
      </c>
      <c r="CL29">
        <f>9.675</f>
        <v>9.6750000000000007</v>
      </c>
      <c r="CM29">
        <f>0</f>
        <v>0</v>
      </c>
      <c r="CN29">
        <f>9.052</f>
        <v>9.0519999999999996</v>
      </c>
      <c r="CO29">
        <f>8.942</f>
        <v>8.9420000000000002</v>
      </c>
      <c r="CP29">
        <f>8.98</f>
        <v>8.98</v>
      </c>
      <c r="CQ29">
        <f>0</f>
        <v>0</v>
      </c>
      <c r="CR29">
        <f>8.307</f>
        <v>8.3070000000000004</v>
      </c>
      <c r="CS29">
        <f>7.648</f>
        <v>7.6479999999999997</v>
      </c>
      <c r="CT29">
        <f>7.02</f>
        <v>7.02</v>
      </c>
      <c r="CU29">
        <f>0</f>
        <v>0</v>
      </c>
      <c r="CV29">
        <f>5.701</f>
        <v>5.7009999999999996</v>
      </c>
      <c r="CW29">
        <f>4.906</f>
        <v>4.9059999999999997</v>
      </c>
      <c r="CX29">
        <f>4.402</f>
        <v>4.4020000000000001</v>
      </c>
      <c r="CY29" t="str">
        <f>""</f>
        <v/>
      </c>
      <c r="CZ29" t="str">
        <f>""</f>
        <v/>
      </c>
      <c r="DA29" t="str">
        <f>""</f>
        <v/>
      </c>
      <c r="DB29" t="str">
        <f>""</f>
        <v/>
      </c>
      <c r="DC29" t="str">
        <f>""</f>
        <v/>
      </c>
      <c r="DD29" t="str">
        <f>""</f>
        <v/>
      </c>
      <c r="DE29" t="str">
        <f>""</f>
        <v/>
      </c>
      <c r="DF29" t="str">
        <f>""</f>
        <v/>
      </c>
      <c r="DG29" t="str">
        <f>""</f>
        <v/>
      </c>
      <c r="DH29" t="str">
        <f>""</f>
        <v/>
      </c>
      <c r="DI29" t="str">
        <f>""</f>
        <v/>
      </c>
      <c r="DJ29" t="str">
        <f>""</f>
        <v/>
      </c>
      <c r="DK29" t="str">
        <f>""</f>
        <v/>
      </c>
      <c r="DL29" t="str">
        <f>""</f>
        <v/>
      </c>
      <c r="DM29" t="str">
        <f>""</f>
        <v/>
      </c>
      <c r="DN29" t="str">
        <f>""</f>
        <v/>
      </c>
      <c r="DO29" t="str">
        <f>""</f>
        <v/>
      </c>
      <c r="DP29" t="str">
        <f>""</f>
        <v/>
      </c>
      <c r="DQ29" t="str">
        <f>""</f>
        <v/>
      </c>
      <c r="DR29" t="str">
        <f>""</f>
        <v/>
      </c>
      <c r="DS29" t="str">
        <f>""</f>
        <v/>
      </c>
      <c r="DT29" t="str">
        <f>""</f>
        <v/>
      </c>
      <c r="DU29" t="str">
        <f>""</f>
        <v/>
      </c>
    </row>
    <row r="30" spans="1:125">
      <c r="A30" t="str">
        <f>"    UDR Inc"</f>
        <v xml:space="preserve">    UDR Inc</v>
      </c>
      <c r="B30" t="str">
        <f>"UDR US Equity"</f>
        <v>UDR US Equity</v>
      </c>
      <c r="C30" t="str">
        <f t="shared" si="6"/>
        <v>IM281</v>
      </c>
      <c r="D30" t="str">
        <f t="shared" si="7"/>
        <v>IS_NON_REAL_ESTATE_INCOME</v>
      </c>
      <c r="E30" t="str">
        <f t="shared" si="8"/>
        <v>动态</v>
      </c>
      <c r="F30" t="str">
        <f ca="1">IF(AND(ISNUMBER($F$251),$B$226=1),$F$251,HLOOKUP(INDIRECT(ADDRESS(2,COLUMN())),OFFSET($BN$2,0,0,ROW()-1,60),ROW()-1,FALSE))</f>
        <v/>
      </c>
      <c r="G30">
        <f ca="1">IF(AND(ISNUMBER($G$251),$B$226=1),$G$251,HLOOKUP(INDIRECT(ADDRESS(2,COLUMN())),OFFSET($BN$2,0,0,ROW()-1,60),ROW()-1,FALSE))</f>
        <v>2.7639999999999998</v>
      </c>
      <c r="H30">
        <f ca="1">IF(AND(ISNUMBER($H$251),$B$226=1),$H$251,HLOOKUP(INDIRECT(ADDRESS(2,COLUMN())),OFFSET($BN$2,0,0,ROW()-1,60),ROW()-1,FALSE))</f>
        <v>2.827</v>
      </c>
      <c r="I30">
        <f ca="1">IF(AND(ISNUMBER($I$251),$B$226=1),$I$251,HLOOKUP(INDIRECT(ADDRESS(2,COLUMN())),OFFSET($BN$2,0,0,ROW()-1,60),ROW()-1,FALSE))</f>
        <v>3.3210000000000002</v>
      </c>
      <c r="J30">
        <f ca="1">IF(AND(ISNUMBER($J$251),$B$226=1),$J$251,HLOOKUP(INDIRECT(ADDRESS(2,COLUMN())),OFFSET($BN$2,0,0,ROW()-1,60),ROW()-1,FALSE))</f>
        <v>2.57</v>
      </c>
      <c r="K30">
        <f ca="1">IF(AND(ISNUMBER($K$251),$B$226=1),$K$251,HLOOKUP(INDIRECT(ADDRESS(2,COLUMN())),OFFSET($BN$2,0,0,ROW()-1,60),ROW()-1,FALSE))</f>
        <v>2.927</v>
      </c>
      <c r="L30">
        <f ca="1">IF(AND(ISNUMBER($L$251),$B$226=1),$L$251,HLOOKUP(INDIRECT(ADDRESS(2,COLUMN())),OFFSET($BN$2,0,0,ROW()-1,60),ROW()-1,FALSE))</f>
        <v>2.9969999999999999</v>
      </c>
      <c r="M30">
        <f ca="1">IF(AND(ISNUMBER($M$251),$B$226=1),$M$251,HLOOKUP(INDIRECT(ADDRESS(2,COLUMN())),OFFSET($BN$2,0,0,ROW()-1,60),ROW()-1,FALSE))</f>
        <v>2.6179999999999999</v>
      </c>
      <c r="N30">
        <f ca="1">IF(AND(ISNUMBER($N$251),$B$226=1),$N$251,HLOOKUP(INDIRECT(ADDRESS(2,COLUMN())),OFFSET($BN$2,0,0,ROW()-1,60),ROW()-1,FALSE))</f>
        <v>2.8580000000000001</v>
      </c>
      <c r="O30">
        <f ca="1">IF(AND(ISNUMBER($O$251),$B$226=1),$O$251,HLOOKUP(INDIRECT(ADDRESS(2,COLUMN())),OFFSET($BN$2,0,0,ROW()-1,60),ROW()-1,FALSE))</f>
        <v>3.2530000000000001</v>
      </c>
      <c r="P30">
        <f ca="1">IF(AND(ISNUMBER($P$251),$B$226=1),$P$251,HLOOKUP(INDIRECT(ADDRESS(2,COLUMN())),OFFSET($BN$2,0,0,ROW()-1,60),ROW()-1,FALSE))</f>
        <v>3.653</v>
      </c>
      <c r="Q30">
        <f ca="1">IF(AND(ISNUMBER($Q$251),$B$226=1),$Q$251,HLOOKUP(INDIRECT(ADDRESS(2,COLUMN())),OFFSET($BN$2,0,0,ROW()-1,60),ROW()-1,FALSE))</f>
        <v>3.0979999999999999</v>
      </c>
      <c r="R30">
        <f ca="1">IF(AND(ISNUMBER($R$251),$B$226=1),$R$251,HLOOKUP(INDIRECT(ADDRESS(2,COLUMN())),OFFSET($BN$2,0,0,ROW()-1,60),ROW()-1,FALSE))</f>
        <v>12.706</v>
      </c>
      <c r="S30">
        <f ca="1">IF(AND(ISNUMBER($S$251),$B$226=1),$S$251,HLOOKUP(INDIRECT(ADDRESS(2,COLUMN())),OFFSET($BN$2,0,0,ROW()-1,60),ROW()-1,FALSE))</f>
        <v>3.4449999999999998</v>
      </c>
      <c r="T30">
        <f ca="1">IF(AND(ISNUMBER($T$251),$B$226=1),$T$251,HLOOKUP(INDIRECT(ADDRESS(2,COLUMN())),OFFSET($BN$2,0,0,ROW()-1,60),ROW()-1,FALSE))</f>
        <v>3.165</v>
      </c>
      <c r="U30">
        <f ca="1">IF(AND(ISNUMBER($U$251),$B$226=1),$U$251,HLOOKUP(INDIRECT(ADDRESS(2,COLUMN())),OFFSET($BN$2,0,0,ROW()-1,60),ROW()-1,FALSE))</f>
        <v>2.7469999999999999</v>
      </c>
      <c r="V30">
        <f ca="1">IF(AND(ISNUMBER($V$251),$B$226=1),$V$251,HLOOKUP(INDIRECT(ADDRESS(2,COLUMN())),OFFSET($BN$2,0,0,ROW()-1,60),ROW()-1,FALSE))</f>
        <v>3.6869999999999998</v>
      </c>
      <c r="W30">
        <f ca="1">IF(AND(ISNUMBER($W$251),$B$226=1),$W$251,HLOOKUP(INDIRECT(ADDRESS(2,COLUMN())),OFFSET($BN$2,0,0,ROW()-1,60),ROW()-1,FALSE))</f>
        <v>3.0950000000000002</v>
      </c>
      <c r="X30">
        <f ca="1">IF(AND(ISNUMBER($X$251),$B$226=1),$X$251,HLOOKUP(INDIRECT(ADDRESS(2,COLUMN())),OFFSET($BN$2,0,0,ROW()-1,60),ROW()-1,FALSE))</f>
        <v>3.2069999999999999</v>
      </c>
      <c r="Y30">
        <f ca="1">IF(AND(ISNUMBER($Y$251),$B$226=1),$Y$251,HLOOKUP(INDIRECT(ADDRESS(2,COLUMN())),OFFSET($BN$2,0,0,ROW()-1,60),ROW()-1,FALSE))</f>
        <v>3.2170000000000001</v>
      </c>
      <c r="Z30">
        <f ca="1">IF(AND(ISNUMBER($Z$251),$B$226=1),$Z$251,HLOOKUP(INDIRECT(ADDRESS(2,COLUMN())),OFFSET($BN$2,0,0,ROW()-1,60),ROW()-1,FALSE))</f>
        <v>2.923</v>
      </c>
      <c r="AA30">
        <f ca="1">IF(AND(ISNUMBER($AA$251),$B$226=1),$AA$251,HLOOKUP(INDIRECT(ADDRESS(2,COLUMN())),OFFSET($BN$2,0,0,ROW()-1,60),ROW()-1,FALSE))</f>
        <v>2.8849999999999998</v>
      </c>
      <c r="AB30">
        <f ca="1">IF(AND(ISNUMBER($AB$251),$B$226=1),$AB$251,HLOOKUP(INDIRECT(ADDRESS(2,COLUMN())),OFFSET($BN$2,0,0,ROW()-1,60),ROW()-1,FALSE))</f>
        <v>3.32</v>
      </c>
      <c r="AC30">
        <f ca="1">IF(AND(ISNUMBER($AC$251),$B$226=1),$AC$251,HLOOKUP(INDIRECT(ADDRESS(2,COLUMN())),OFFSET($BN$2,0,0,ROW()-1,60),ROW()-1,FALSE))</f>
        <v>2.7170000000000001</v>
      </c>
      <c r="AD30">
        <f ca="1">IF(AND(ISNUMBER($AD$251),$B$226=1),$AD$251,HLOOKUP(INDIRECT(ADDRESS(2,COLUMN())),OFFSET($BN$2,0,0,ROW()-1,60),ROW()-1,FALSE))</f>
        <v>2.9889999999999999</v>
      </c>
      <c r="AE30">
        <f ca="1">IF(AND(ISNUMBER($AE$251),$B$226=1),$AE$251,HLOOKUP(INDIRECT(ADDRESS(2,COLUMN())),OFFSET($BN$2,0,0,ROW()-1,60),ROW()-1,FALSE))</f>
        <v>0</v>
      </c>
      <c r="AF30">
        <f ca="1">IF(AND(ISNUMBER($AF$251),$B$226=1),$AF$251,HLOOKUP(INDIRECT(ADDRESS(2,COLUMN())),OFFSET($BN$2,0,0,ROW()-1,60),ROW()-1,FALSE))</f>
        <v>5.2290000000000001</v>
      </c>
      <c r="AG30">
        <f ca="1">IF(AND(ISNUMBER($AG$251),$B$226=1),$AG$251,HLOOKUP(INDIRECT(ADDRESS(2,COLUMN())),OFFSET($BN$2,0,0,ROW()-1,60),ROW()-1,FALSE))</f>
        <v>2.8530000000000002</v>
      </c>
      <c r="AH30">
        <f ca="1">IF(AND(ISNUMBER($AH$251),$B$226=1),$AH$251,HLOOKUP(INDIRECT(ADDRESS(2,COLUMN())),OFFSET($BN$2,0,0,ROW()-1,60),ROW()-1,FALSE))</f>
        <v>4.5359999999999996</v>
      </c>
      <c r="AI30">
        <f ca="1">IF(AND(ISNUMBER($AI$251),$B$226=1),$AI$251,HLOOKUP(INDIRECT(ADDRESS(2,COLUMN())),OFFSET($BN$2,0,0,ROW()-1,60),ROW()-1,FALSE))</f>
        <v>0</v>
      </c>
      <c r="AJ30">
        <f ca="1">IF(AND(ISNUMBER($AJ$251),$B$226=1),$AJ$251,HLOOKUP(INDIRECT(ADDRESS(2,COLUMN())),OFFSET($BN$2,0,0,ROW()-1,60),ROW()-1,FALSE))</f>
        <v>2.1920000000000002</v>
      </c>
      <c r="AK30">
        <f ca="1">IF(AND(ISNUMBER($AK$251),$B$226=1),$AK$251,HLOOKUP(INDIRECT(ADDRESS(2,COLUMN())),OFFSET($BN$2,0,0,ROW()-1,60),ROW()-1,FALSE))</f>
        <v>2.056</v>
      </c>
      <c r="AL30">
        <f ca="1">IF(AND(ISNUMBER($AL$251),$B$226=1),$AL$251,HLOOKUP(INDIRECT(ADDRESS(2,COLUMN())),OFFSET($BN$2,0,0,ROW()-1,60),ROW()-1,FALSE))</f>
        <v>1.4710000000000001</v>
      </c>
      <c r="AM30">
        <f ca="1">IF(AND(ISNUMBER($AM$251),$B$226=1),$AM$251,HLOOKUP(INDIRECT(ADDRESS(2,COLUMN())),OFFSET($BN$2,0,0,ROW()-1,60),ROW()-1,FALSE))</f>
        <v>0</v>
      </c>
      <c r="AN30">
        <f ca="1">IF(AND(ISNUMBER($AN$251),$B$226=1),$AN$251,HLOOKUP(INDIRECT(ADDRESS(2,COLUMN())),OFFSET($BN$2,0,0,ROW()-1,60),ROW()-1,FALSE))</f>
        <v>1.627</v>
      </c>
      <c r="AO30">
        <f ca="1">IF(AND(ISNUMBER($AO$251),$B$226=1),$AO$251,HLOOKUP(INDIRECT(ADDRESS(2,COLUMN())),OFFSET($BN$2,0,0,ROW()-1,60),ROW()-1,FALSE))</f>
        <v>3.9580000000000002</v>
      </c>
      <c r="AP30">
        <f ca="1">IF(AND(ISNUMBER($AP$251),$B$226=1),$AP$251,HLOOKUP(INDIRECT(ADDRESS(2,COLUMN())),OFFSET($BN$2,0,0,ROW()-1,60),ROW()-1,FALSE))</f>
        <v>5.024</v>
      </c>
      <c r="AQ30" t="str">
        <f ca="1">IF(AND(ISNUMBER($AQ$251),$B$226=1),$AQ$251,HLOOKUP(INDIRECT(ADDRESS(2,COLUMN())),OFFSET($BN$2,0,0,ROW()-1,60),ROW()-1,FALSE))</f>
        <v/>
      </c>
      <c r="AR30" t="str">
        <f ca="1">IF(AND(ISNUMBER($AR$251),$B$226=1),$AR$251,HLOOKUP(INDIRECT(ADDRESS(2,COLUMN())),OFFSET($BN$2,0,0,ROW()-1,60),ROW()-1,FALSE))</f>
        <v/>
      </c>
      <c r="AS30" t="str">
        <f ca="1">IF(AND(ISNUMBER($AS$251),$B$226=1),$AS$251,HLOOKUP(INDIRECT(ADDRESS(2,COLUMN())),OFFSET($BN$2,0,0,ROW()-1,60),ROW()-1,FALSE))</f>
        <v/>
      </c>
      <c r="AT30" t="str">
        <f ca="1">IF(AND(ISNUMBER($AT$251),$B$226=1),$AT$251,HLOOKUP(INDIRECT(ADDRESS(2,COLUMN())),OFFSET($BN$2,0,0,ROW()-1,60),ROW()-1,FALSE))</f>
        <v/>
      </c>
      <c r="AU30" t="str">
        <f ca="1">IF(AND(ISNUMBER($AU$251),$B$226=1),$AU$251,HLOOKUP(INDIRECT(ADDRESS(2,COLUMN())),OFFSET($BN$2,0,0,ROW()-1,60),ROW()-1,FALSE))</f>
        <v/>
      </c>
      <c r="AV30" t="str">
        <f ca="1">IF(AND(ISNUMBER($AV$251),$B$226=1),$AV$251,HLOOKUP(INDIRECT(ADDRESS(2,COLUMN())),OFFSET($BN$2,0,0,ROW()-1,60),ROW()-1,FALSE))</f>
        <v/>
      </c>
      <c r="AW30" t="str">
        <f ca="1">IF(AND(ISNUMBER($AW$251),$B$226=1),$AW$251,HLOOKUP(INDIRECT(ADDRESS(2,COLUMN())),OFFSET($BN$2,0,0,ROW()-1,60),ROW()-1,FALSE))</f>
        <v/>
      </c>
      <c r="AX30" t="str">
        <f ca="1">IF(AND(ISNUMBER($AX$251),$B$226=1),$AX$251,HLOOKUP(INDIRECT(ADDRESS(2,COLUMN())),OFFSET($BN$2,0,0,ROW()-1,60),ROW()-1,FALSE))</f>
        <v/>
      </c>
      <c r="AY30" t="str">
        <f ca="1">IF(AND(ISNUMBER($AY$251),$B$226=1),$AY$251,HLOOKUP(INDIRECT(ADDRESS(2,COLUMN())),OFFSET($BN$2,0,0,ROW()-1,60),ROW()-1,FALSE))</f>
        <v/>
      </c>
      <c r="AZ30" t="str">
        <f ca="1">IF(AND(ISNUMBER($AZ$251),$B$226=1),$AZ$251,HLOOKUP(INDIRECT(ADDRESS(2,COLUMN())),OFFSET($BN$2,0,0,ROW()-1,60),ROW()-1,FALSE))</f>
        <v/>
      </c>
      <c r="BA30" t="str">
        <f ca="1">IF(AND(ISNUMBER($BA$251),$B$226=1),$BA$251,HLOOKUP(INDIRECT(ADDRESS(2,COLUMN())),OFFSET($BN$2,0,0,ROW()-1,60),ROW()-1,FALSE))</f>
        <v/>
      </c>
      <c r="BB30" t="str">
        <f ca="1">IF(AND(ISNUMBER($BB$251),$B$226=1),$BB$251,HLOOKUP(INDIRECT(ADDRESS(2,COLUMN())),OFFSET($BN$2,0,0,ROW()-1,60),ROW()-1,FALSE))</f>
        <v/>
      </c>
      <c r="BC30" t="str">
        <f ca="1">IF(AND(ISNUMBER($BC$251),$B$226=1),$BC$251,HLOOKUP(INDIRECT(ADDRESS(2,COLUMN())),OFFSET($BN$2,0,0,ROW()-1,60),ROW()-1,FALSE))</f>
        <v/>
      </c>
      <c r="BD30" t="str">
        <f ca="1">IF(AND(ISNUMBER($BD$251),$B$226=1),$BD$251,HLOOKUP(INDIRECT(ADDRESS(2,COLUMN())),OFFSET($BN$2,0,0,ROW()-1,60),ROW()-1,FALSE))</f>
        <v/>
      </c>
      <c r="BE30" t="str">
        <f ca="1">IF(AND(ISNUMBER($BE$251),$B$226=1),$BE$251,HLOOKUP(INDIRECT(ADDRESS(2,COLUMN())),OFFSET($BN$2,0,0,ROW()-1,60),ROW()-1,FALSE))</f>
        <v/>
      </c>
      <c r="BF30" t="str">
        <f ca="1">IF(AND(ISNUMBER($BF$251),$B$226=1),$BF$251,HLOOKUP(INDIRECT(ADDRESS(2,COLUMN())),OFFSET($BN$2,0,0,ROW()-1,60),ROW()-1,FALSE))</f>
        <v/>
      </c>
      <c r="BG30" t="str">
        <f ca="1">IF(AND(ISNUMBER($BG$251),$B$226=1),$BG$251,HLOOKUP(INDIRECT(ADDRESS(2,COLUMN())),OFFSET($BN$2,0,0,ROW()-1,60),ROW()-1,FALSE))</f>
        <v/>
      </c>
      <c r="BH30" t="str">
        <f ca="1">IF(AND(ISNUMBER($BH$251),$B$226=1),$BH$251,HLOOKUP(INDIRECT(ADDRESS(2,COLUMN())),OFFSET($BN$2,0,0,ROW()-1,60),ROW()-1,FALSE))</f>
        <v/>
      </c>
      <c r="BI30" t="str">
        <f ca="1">IF(AND(ISNUMBER($BI$251),$B$226=1),$BI$251,HLOOKUP(INDIRECT(ADDRESS(2,COLUMN())),OFFSET($BN$2,0,0,ROW()-1,60),ROW()-1,FALSE))</f>
        <v/>
      </c>
      <c r="BJ30" t="str">
        <f ca="1">IF(AND(ISNUMBER($BJ$251),$B$226=1),$BJ$251,HLOOKUP(INDIRECT(ADDRESS(2,COLUMN())),OFFSET($BN$2,0,0,ROW()-1,60),ROW()-1,FALSE))</f>
        <v/>
      </c>
      <c r="BK30" t="str">
        <f ca="1">IF(AND(ISNUMBER($BK$251),$B$226=1),$BK$251,HLOOKUP(INDIRECT(ADDRESS(2,COLUMN())),OFFSET($BN$2,0,0,ROW()-1,60),ROW()-1,FALSE))</f>
        <v/>
      </c>
      <c r="BL30" t="str">
        <f ca="1">IF(AND(ISNUMBER($BL$251),$B$226=1),$BL$251,HLOOKUP(INDIRECT(ADDRESS(2,COLUMN())),OFFSET($BN$2,0,0,ROW()-1,60),ROW()-1,FALSE))</f>
        <v/>
      </c>
      <c r="BM30" t="str">
        <f ca="1">IF(AND(ISNUMBER($BM$251),$B$226=1),$BM$251,HLOOKUP(INDIRECT(ADDRESS(2,COLUMN())),OFFSET($BN$2,0,0,ROW()-1,60),ROW()-1,FALSE))</f>
        <v/>
      </c>
      <c r="BN30" t="str">
        <f>""</f>
        <v/>
      </c>
      <c r="BO30">
        <f>2.764</f>
        <v>2.7639999999999998</v>
      </c>
      <c r="BP30">
        <f>2.827</f>
        <v>2.827</v>
      </c>
      <c r="BQ30">
        <f>3.321</f>
        <v>3.3210000000000002</v>
      </c>
      <c r="BR30">
        <f>2.57</f>
        <v>2.57</v>
      </c>
      <c r="BS30">
        <f>2.927</f>
        <v>2.927</v>
      </c>
      <c r="BT30">
        <f>2.997</f>
        <v>2.9969999999999999</v>
      </c>
      <c r="BU30">
        <f>2.618</f>
        <v>2.6179999999999999</v>
      </c>
      <c r="BV30">
        <f>2.858</f>
        <v>2.8580000000000001</v>
      </c>
      <c r="BW30">
        <f>3.253</f>
        <v>3.2530000000000001</v>
      </c>
      <c r="BX30">
        <f>3.653</f>
        <v>3.653</v>
      </c>
      <c r="BY30">
        <f>3.098</f>
        <v>3.0979999999999999</v>
      </c>
      <c r="BZ30">
        <f>12.706</f>
        <v>12.706</v>
      </c>
      <c r="CA30">
        <f>3.445</f>
        <v>3.4449999999999998</v>
      </c>
      <c r="CB30">
        <f>3.165</f>
        <v>3.165</v>
      </c>
      <c r="CC30">
        <f>2.747</f>
        <v>2.7469999999999999</v>
      </c>
      <c r="CD30">
        <f>3.687</f>
        <v>3.6869999999999998</v>
      </c>
      <c r="CE30">
        <f>3.095</f>
        <v>3.0950000000000002</v>
      </c>
      <c r="CF30">
        <f>3.207</f>
        <v>3.2069999999999999</v>
      </c>
      <c r="CG30">
        <f>3.217</f>
        <v>3.2170000000000001</v>
      </c>
      <c r="CH30">
        <f>2.923</f>
        <v>2.923</v>
      </c>
      <c r="CI30">
        <f>2.885</f>
        <v>2.8849999999999998</v>
      </c>
      <c r="CJ30">
        <f>3.32</f>
        <v>3.32</v>
      </c>
      <c r="CK30">
        <f>2.717</f>
        <v>2.7170000000000001</v>
      </c>
      <c r="CL30">
        <f>2.989</f>
        <v>2.9889999999999999</v>
      </c>
      <c r="CM30">
        <f>0</f>
        <v>0</v>
      </c>
      <c r="CN30">
        <f>5.229</f>
        <v>5.2290000000000001</v>
      </c>
      <c r="CO30">
        <f>2.853</f>
        <v>2.8530000000000002</v>
      </c>
      <c r="CP30">
        <f>4.536</f>
        <v>4.5359999999999996</v>
      </c>
      <c r="CQ30">
        <f>0</f>
        <v>0</v>
      </c>
      <c r="CR30">
        <f>2.192</f>
        <v>2.1920000000000002</v>
      </c>
      <c r="CS30">
        <f>2.056</f>
        <v>2.056</v>
      </c>
      <c r="CT30">
        <f>1.471</f>
        <v>1.4710000000000001</v>
      </c>
      <c r="CU30">
        <f>0</f>
        <v>0</v>
      </c>
      <c r="CV30">
        <f>1.627</f>
        <v>1.627</v>
      </c>
      <c r="CW30">
        <f>3.958</f>
        <v>3.9580000000000002</v>
      </c>
      <c r="CX30">
        <f>5.024</f>
        <v>5.024</v>
      </c>
      <c r="CY30" t="str">
        <f>""</f>
        <v/>
      </c>
      <c r="CZ30" t="str">
        <f>""</f>
        <v/>
      </c>
      <c r="DA30" t="str">
        <f>""</f>
        <v/>
      </c>
      <c r="DB30" t="str">
        <f>""</f>
        <v/>
      </c>
      <c r="DC30" t="str">
        <f>""</f>
        <v/>
      </c>
      <c r="DD30" t="str">
        <f>""</f>
        <v/>
      </c>
      <c r="DE30" t="str">
        <f>""</f>
        <v/>
      </c>
      <c r="DF30" t="str">
        <f>""</f>
        <v/>
      </c>
      <c r="DG30" t="str">
        <f>""</f>
        <v/>
      </c>
      <c r="DH30" t="str">
        <f>""</f>
        <v/>
      </c>
      <c r="DI30" t="str">
        <f>""</f>
        <v/>
      </c>
      <c r="DJ30" t="str">
        <f>""</f>
        <v/>
      </c>
      <c r="DK30" t="str">
        <f>""</f>
        <v/>
      </c>
      <c r="DL30" t="str">
        <f>""</f>
        <v/>
      </c>
      <c r="DM30" t="str">
        <f>""</f>
        <v/>
      </c>
      <c r="DN30" t="str">
        <f>""</f>
        <v/>
      </c>
      <c r="DO30" t="str">
        <f>""</f>
        <v/>
      </c>
      <c r="DP30" t="str">
        <f>""</f>
        <v/>
      </c>
      <c r="DQ30" t="str">
        <f>""</f>
        <v/>
      </c>
      <c r="DR30" t="str">
        <f>""</f>
        <v/>
      </c>
      <c r="DS30" t="str">
        <f>""</f>
        <v/>
      </c>
      <c r="DT30" t="str">
        <f>""</f>
        <v/>
      </c>
      <c r="DU30" t="str">
        <f>""</f>
        <v/>
      </c>
    </row>
    <row r="31" spans="1:125">
      <c r="A31" t="str">
        <f>"管理与咨询费收入"</f>
        <v>管理与咨询费收入</v>
      </c>
      <c r="B31" t="str">
        <f>""</f>
        <v/>
      </c>
      <c r="E31" t="str">
        <f>"Median"</f>
        <v>Median</v>
      </c>
      <c r="F31" t="str">
        <f ca="1">IF(ISERROR(IF(MEDIAN($F$32:$F$39) = 0, "", MEDIAN($F$32:$F$39))), "", (IF(MEDIAN($F$32:$F$39) = 0, "", MEDIAN($F$32:$F$39))))</f>
        <v/>
      </c>
      <c r="G31">
        <f ca="1">IF(ISERROR(IF(MEDIAN($G$32:$G$39) = 0, "", MEDIAN($G$32:$G$39))), "", (IF(MEDIAN($G$32:$G$39) = 0, "", MEDIAN($G$32:$G$39))))</f>
        <v>1.5110000000000001</v>
      </c>
      <c r="H31">
        <f ca="1">IF(ISERROR(IF(MEDIAN($H$32:$H$39) = 0, "", MEDIAN($H$32:$H$39))), "", (IF(MEDIAN($H$32:$H$39) = 0, "", MEDIAN($H$32:$H$39))))</f>
        <v>1.5365000000000002</v>
      </c>
      <c r="I31">
        <f ca="1">IF(ISERROR(IF(MEDIAN($I$32:$I$39) = 0, "", MEDIAN($I$32:$I$39))), "", (IF(MEDIAN($I$32:$I$39) = 0, "", MEDIAN($I$32:$I$39))))</f>
        <v>1.52</v>
      </c>
      <c r="J31">
        <f ca="1">IF(ISERROR(IF(MEDIAN($J$32:$J$39) = 0, "", MEDIAN($J$32:$J$39))), "", (IF(MEDIAN($J$32:$J$39) = 0, "", MEDIAN($J$32:$J$39))))</f>
        <v>1.474</v>
      </c>
      <c r="K31">
        <f ca="1">IF(ISERROR(IF(MEDIAN($K$32:$K$39) = 0, "", MEDIAN($K$32:$K$39))), "", (IF(MEDIAN($K$32:$K$39) = 0, "", MEDIAN($K$32:$K$39))))</f>
        <v>1.4645000000000001</v>
      </c>
      <c r="L31">
        <f ca="1">IF(ISERROR(IF(MEDIAN($L$32:$L$39) = 0, "", MEDIAN($L$32:$L$39))), "", (IF(MEDIAN($L$32:$L$39) = 0, "", MEDIAN($L$32:$L$39))))</f>
        <v>1.4935</v>
      </c>
      <c r="M31">
        <f ca="1">IF(ISERROR(IF(MEDIAN($M$32:$M$39) = 0, "", MEDIAN($M$32:$M$39))), "", (IF(MEDIAN($M$32:$M$39) = 0, "", MEDIAN($M$32:$M$39))))</f>
        <v>1.3155000000000001</v>
      </c>
      <c r="N31">
        <f ca="1">IF(ISERROR(IF(MEDIAN($N$32:$N$39) = 0, "", MEDIAN($N$32:$N$39))), "", (IF(MEDIAN($N$32:$N$39) = 0, "", MEDIAN($N$32:$N$39))))</f>
        <v>1.6444999999999999</v>
      </c>
      <c r="O31">
        <f ca="1">IF(ISERROR(IF(MEDIAN($O$32:$O$39) = 0, "", MEDIAN($O$32:$O$39))), "", (IF(MEDIAN($O$32:$O$39) = 0, "", MEDIAN($O$32:$O$39))))</f>
        <v>1.9449999999999998</v>
      </c>
      <c r="P31">
        <f ca="1">IF(ISERROR(IF(MEDIAN($P$32:$P$39) = 0, "", MEDIAN($P$32:$P$39))), "", (IF(MEDIAN($P$32:$P$39) = 0, "", MEDIAN($P$32:$P$39))))</f>
        <v>1.9729999999999999</v>
      </c>
      <c r="Q31">
        <f ca="1">IF(ISERROR(IF(MEDIAN($Q$32:$Q$39) = 0, "", MEDIAN($Q$32:$Q$39))), "", (IF(MEDIAN($Q$32:$Q$39) = 0, "", MEDIAN($Q$32:$Q$39))))</f>
        <v>1.8395000000000001</v>
      </c>
      <c r="R31">
        <f ca="1">IF(ISERROR(IF(MEDIAN($R$32:$R$39) = 0, "", MEDIAN($R$32:$R$39))), "", (IF(MEDIAN($R$32:$R$39) = 0, "", MEDIAN($R$32:$R$39))))</f>
        <v>1.7075</v>
      </c>
      <c r="S31">
        <f ca="1">IF(ISERROR(IF(MEDIAN($S$32:$S$39) = 0, "", MEDIAN($S$32:$S$39))), "", (IF(MEDIAN($S$32:$S$39) = 0, "", MEDIAN($S$32:$S$39))))</f>
        <v>2.2040000000000002</v>
      </c>
      <c r="T31">
        <f ca="1">IF(ISERROR(IF(MEDIAN($T$32:$T$39) = 0, "", MEDIAN($T$32:$T$39))), "", (IF(MEDIAN($T$32:$T$39) = 0, "", MEDIAN($T$32:$T$39))))</f>
        <v>2.1040000000000001</v>
      </c>
      <c r="U31">
        <f ca="1">IF(ISERROR(IF(MEDIAN($U$32:$U$39) = 0, "", MEDIAN($U$32:$U$39))), "", (IF(MEDIAN($U$32:$U$39) = 0, "", MEDIAN($U$32:$U$39))))</f>
        <v>2.0720000000000001</v>
      </c>
      <c r="V31">
        <f ca="1">IF(ISERROR(IF(MEDIAN($V$32:$V$39) = 0, "", MEDIAN($V$32:$V$39))), "", (IF(MEDIAN($V$32:$V$39) = 0, "", MEDIAN($V$32:$V$39))))</f>
        <v>1.9025000000000001</v>
      </c>
      <c r="W31">
        <f ca="1">IF(ISERROR(IF(MEDIAN($W$32:$W$39) = 0, "", MEDIAN($W$32:$W$39))), "", (IF(MEDIAN($W$32:$W$39) = 0, "", MEDIAN($W$32:$W$39))))</f>
        <v>2.0375000000000001</v>
      </c>
      <c r="X31">
        <f ca="1">IF(ISERROR(IF(MEDIAN($X$32:$X$39) = 0, "", MEDIAN($X$32:$X$39))), "", (IF(MEDIAN($X$32:$X$39) = 0, "", MEDIAN($X$32:$X$39))))</f>
        <v>1.7814999999999999</v>
      </c>
      <c r="Y31">
        <f ca="1">IF(ISERROR(IF(MEDIAN($Y$32:$Y$39) = 0, "", MEDIAN($Y$32:$Y$39))), "", (IF(MEDIAN($Y$32:$Y$39) = 0, "", MEDIAN($Y$32:$Y$39))))</f>
        <v>1.9789999999999999</v>
      </c>
      <c r="Z31">
        <f ca="1">IF(ISERROR(IF(MEDIAN($Z$32:$Z$39) = 0, "", MEDIAN($Z$32:$Z$39))), "", (IF(MEDIAN($Z$32:$Z$39) = 0, "", MEDIAN($Z$32:$Z$39))))</f>
        <v>1.9345000000000001</v>
      </c>
      <c r="AA31">
        <f ca="1">IF(ISERROR(IF(MEDIAN($AA$32:$AA$39) = 0, "", MEDIAN($AA$32:$AA$39))), "", (IF(MEDIAN($AA$32:$AA$39) = 0, "", MEDIAN($AA$32:$AA$39))))</f>
        <v>2.0274999999999999</v>
      </c>
      <c r="AB31">
        <f ca="1">IF(ISERROR(IF(MEDIAN($AB$32:$AB$39) = 0, "", MEDIAN($AB$32:$AB$39))), "", (IF(MEDIAN($AB$32:$AB$39) = 0, "", MEDIAN($AB$32:$AB$39))))</f>
        <v>2.11</v>
      </c>
      <c r="AC31">
        <f ca="1">IF(ISERROR(IF(MEDIAN($AC$32:$AC$39) = 0, "", MEDIAN($AC$32:$AC$39))), "", (IF(MEDIAN($AC$32:$AC$39) = 0, "", MEDIAN($AC$32:$AC$39))))</f>
        <v>1.925</v>
      </c>
      <c r="AD31">
        <f ca="1">IF(ISERROR(IF(MEDIAN($AD$32:$AD$39) = 0, "", MEDIAN($AD$32:$AD$39))), "", (IF(MEDIAN($AD$32:$AD$39) = 0, "", MEDIAN($AD$32:$AD$39))))</f>
        <v>1.911</v>
      </c>
      <c r="AE31">
        <f ca="1">IF(ISERROR(IF(MEDIAN($AE$32:$AE$39) = 0, "", MEDIAN($AE$32:$AE$39))), "", (IF(MEDIAN($AE$32:$AE$39) = 0, "", MEDIAN($AE$32:$AE$39))))</f>
        <v>2.0114999999999998</v>
      </c>
      <c r="AF31">
        <f ca="1">IF(ISERROR(IF(MEDIAN($AF$32:$AF$39) = 0, "", MEDIAN($AF$32:$AF$39))), "", (IF(MEDIAN($AF$32:$AF$39) = 0, "", MEDIAN($AF$32:$AF$39))))</f>
        <v>1.9590000000000001</v>
      </c>
      <c r="AG31">
        <f ca="1">IF(ISERROR(IF(MEDIAN($AG$32:$AG$39) = 0, "", MEDIAN($AG$32:$AG$39))), "", (IF(MEDIAN($AG$32:$AG$39) = 0, "", MEDIAN($AG$32:$AG$39))))</f>
        <v>1.8105</v>
      </c>
      <c r="AH31">
        <f ca="1">IF(ISERROR(IF(MEDIAN($AH$32:$AH$39) = 0, "", MEDIAN($AH$32:$AH$39))), "", (IF(MEDIAN($AH$32:$AH$39) = 0, "", MEDIAN($AH$32:$AH$39))))</f>
        <v>1.8180000000000001</v>
      </c>
      <c r="AI31">
        <f ca="1">IF(ISERROR(IF(MEDIAN($AI$32:$AI$39) = 0, "", MEDIAN($AI$32:$AI$39))), "", (IF(MEDIAN($AI$32:$AI$39) = 0, "", MEDIAN($AI$32:$AI$39))))</f>
        <v>1.7709999999999999</v>
      </c>
      <c r="AJ31">
        <f ca="1">IF(ISERROR(IF(MEDIAN($AJ$32:$AJ$39) = 0, "", MEDIAN($AJ$32:$AJ$39))), "", (IF(MEDIAN($AJ$32:$AJ$39) = 0, "", MEDIAN($AJ$32:$AJ$39))))</f>
        <v>1.448</v>
      </c>
      <c r="AK31">
        <f ca="1">IF(ISERROR(IF(MEDIAN($AK$32:$AK$39) = 0, "", MEDIAN($AK$32:$AK$39))), "", (IF(MEDIAN($AK$32:$AK$39) = 0, "", MEDIAN($AK$32:$AK$39))))</f>
        <v>1.5194999999999999</v>
      </c>
      <c r="AL31">
        <f ca="1">IF(ISERROR(IF(MEDIAN($AL$32:$AL$39) = 0, "", MEDIAN($AL$32:$AL$39))), "", (IF(MEDIAN($AL$32:$AL$39) = 0, "", MEDIAN($AL$32:$AL$39))))</f>
        <v>1.6985000000000001</v>
      </c>
      <c r="AM31">
        <f ca="1">IF(ISERROR(IF(MEDIAN($AM$32:$AM$39) = 0, "", MEDIAN($AM$32:$AM$39))), "", (IF(MEDIAN($AM$32:$AM$39) = 0, "", MEDIAN($AM$32:$AM$39))))</f>
        <v>1.6105</v>
      </c>
      <c r="AN31">
        <f ca="1">IF(ISERROR(IF(MEDIAN($AN$32:$AN$39) = 0, "", MEDIAN($AN$32:$AN$39))), "", (IF(MEDIAN($AN$32:$AN$39) = 0, "", MEDIAN($AN$32:$AN$39))))</f>
        <v>1.7890000000000001</v>
      </c>
      <c r="AO31">
        <f ca="1">IF(ISERROR(IF(MEDIAN($AO$32:$AO$39) = 0, "", MEDIAN($AO$32:$AO$39))), "", (IF(MEDIAN($AO$32:$AO$39) = 0, "", MEDIAN($AO$32:$AO$39))))</f>
        <v>1.569</v>
      </c>
      <c r="AP31">
        <f ca="1">IF(ISERROR(IF(MEDIAN($AP$32:$AP$39) = 0, "", MEDIAN($AP$32:$AP$39))), "", (IF(MEDIAN($AP$32:$AP$39) = 0, "", MEDIAN($AP$32:$AP$39))))</f>
        <v>1.7495000000000001</v>
      </c>
      <c r="AQ31">
        <f ca="1">IF(ISERROR(IF(MEDIAN($AQ$32:$AQ$39) = 0, "", MEDIAN($AQ$32:$AQ$39))), "", (IF(MEDIAN($AQ$32:$AQ$39) = 0, "", MEDIAN($AQ$32:$AQ$39))))</f>
        <v>2.0185</v>
      </c>
      <c r="AR31">
        <f ca="1">IF(ISERROR(IF(MEDIAN($AR$32:$AR$39) = 0, "", MEDIAN($AR$32:$AR$39))), "", (IF(MEDIAN($AR$32:$AR$39) = 0, "", MEDIAN($AR$32:$AR$39))))</f>
        <v>1.8315000000000001</v>
      </c>
      <c r="AS31">
        <f ca="1">IF(ISERROR(IF(MEDIAN($AS$32:$AS$39) = 0, "", MEDIAN($AS$32:$AS$39))), "", (IF(MEDIAN($AS$32:$AS$39) = 0, "", MEDIAN($AS$32:$AS$39))))</f>
        <v>1.579</v>
      </c>
      <c r="AT31">
        <f ca="1">IF(ISERROR(IF(MEDIAN($AT$32:$AT$39) = 0, "", MEDIAN($AT$32:$AT$39))), "", (IF(MEDIAN($AT$32:$AT$39) = 0, "", MEDIAN($AT$32:$AT$39))))</f>
        <v>1.4325000000000001</v>
      </c>
      <c r="AU31">
        <f ca="1">IF(ISERROR(IF(MEDIAN($AU$32:$AU$39) = 0, "", MEDIAN($AU$32:$AU$39))), "", (IF(MEDIAN($AU$32:$AU$39) = 0, "", MEDIAN($AU$32:$AU$39))))</f>
        <v>1.125</v>
      </c>
      <c r="AV31">
        <f ca="1">IF(ISERROR(IF(MEDIAN($AV$32:$AV$39) = 0, "", MEDIAN($AV$32:$AV$39))), "", (IF(MEDIAN($AV$32:$AV$39) = 0, "", MEDIAN($AV$32:$AV$39))))</f>
        <v>1.49</v>
      </c>
      <c r="AW31">
        <f ca="1">IF(ISERROR(IF(MEDIAN($AW$32:$AW$39) = 0, "", MEDIAN($AW$32:$AW$39))), "", (IF(MEDIAN($AW$32:$AW$39) = 0, "", MEDIAN($AW$32:$AW$39))))</f>
        <v>1.421</v>
      </c>
      <c r="AX31">
        <f ca="1">IF(ISERROR(IF(MEDIAN($AX$32:$AX$39) = 0, "", MEDIAN($AX$32:$AX$39))), "", (IF(MEDIAN($AX$32:$AX$39) = 0, "", MEDIAN($AX$32:$AX$39))))</f>
        <v>1.242</v>
      </c>
      <c r="AY31">
        <f ca="1">IF(ISERROR(IF(MEDIAN($AY$32:$AY$39) = 0, "", MEDIAN($AY$32:$AY$39))), "", (IF(MEDIAN($AY$32:$AY$39) = 0, "", MEDIAN($AY$32:$AY$39))))</f>
        <v>1.7885</v>
      </c>
      <c r="AZ31">
        <f ca="1">IF(ISERROR(IF(MEDIAN($AZ$32:$AZ$39) = 0, "", MEDIAN($AZ$32:$AZ$39))), "", (IF(MEDIAN($AZ$32:$AZ$39) = 0, "", MEDIAN($AZ$32:$AZ$39))))</f>
        <v>1.5469999999999999</v>
      </c>
      <c r="BA31">
        <f ca="1">IF(ISERROR(IF(MEDIAN($BA$32:$BA$39) = 0, "", MEDIAN($BA$32:$BA$39))), "", (IF(MEDIAN($BA$32:$BA$39) = 0, "", MEDIAN($BA$32:$BA$39))))</f>
        <v>1.1125</v>
      </c>
      <c r="BB31">
        <f ca="1">IF(ISERROR(IF(MEDIAN($BB$32:$BB$39) = 0, "", MEDIAN($BB$32:$BB$39))), "", (IF(MEDIAN($BB$32:$BB$39) = 0, "", MEDIAN($BB$32:$BB$39))))</f>
        <v>1.0155000000000001</v>
      </c>
      <c r="BC31">
        <f ca="1">IF(ISERROR(IF(MEDIAN($BC$32:$BC$39) = 0, "", MEDIAN($BC$32:$BC$39))), "", (IF(MEDIAN($BC$32:$BC$39) = 0, "", MEDIAN($BC$32:$BC$39))))</f>
        <v>1.486</v>
      </c>
      <c r="BD31">
        <f ca="1">IF(ISERROR(IF(MEDIAN($BD$32:$BD$39) = 0, "", MEDIAN($BD$32:$BD$39))), "", (IF(MEDIAN($BD$32:$BD$39) = 0, "", MEDIAN($BD$32:$BD$39))))</f>
        <v>1.3405</v>
      </c>
      <c r="BE31">
        <f ca="1">IF(ISERROR(IF(MEDIAN($BE$32:$BE$39) = 0, "", MEDIAN($BE$32:$BE$39))), "", (IF(MEDIAN($BE$32:$BE$39) = 0, "", MEDIAN($BE$32:$BE$39))))</f>
        <v>0.93100000000000005</v>
      </c>
      <c r="BF31">
        <f ca="1">IF(ISERROR(IF(MEDIAN($BF$32:$BF$39) = 0, "", MEDIAN($BF$32:$BF$39))), "", (IF(MEDIAN($BF$32:$BF$39) = 0, "", MEDIAN($BF$32:$BF$39))))</f>
        <v>0.41300000000000003</v>
      </c>
      <c r="BG31">
        <f ca="1">IF(ISERROR(IF(MEDIAN($BG$32:$BG$39) = 0, "", MEDIAN($BG$32:$BG$39))), "", (IF(MEDIAN($BG$32:$BG$39) = 0, "", MEDIAN($BG$32:$BG$39))))</f>
        <v>0.14199999999999999</v>
      </c>
      <c r="BH31">
        <f ca="1">IF(ISERROR(IF(MEDIAN($BH$32:$BH$39) = 0, "", MEDIAN($BH$32:$BH$39))), "", (IF(MEDIAN($BH$32:$BH$39) = 0, "", MEDIAN($BH$32:$BH$39))))</f>
        <v>1.151</v>
      </c>
      <c r="BI31">
        <f ca="1">IF(ISERROR(IF(MEDIAN($BI$32:$BI$39) = 0, "", MEDIAN($BI$32:$BI$39))), "", (IF(MEDIAN($BI$32:$BI$39) = 0, "", MEDIAN($BI$32:$BI$39))))</f>
        <v>0.278500003</v>
      </c>
      <c r="BJ31">
        <f ca="1">IF(ISERROR(IF(MEDIAN($BJ$32:$BJ$39) = 0, "", MEDIAN($BJ$32:$BJ$39))), "", (IF(MEDIAN($BJ$32:$BJ$39) = 0, "", MEDIAN($BJ$32:$BJ$39))))</f>
        <v>1.1089999665000001</v>
      </c>
      <c r="BK31">
        <f ca="1">IF(ISERROR(IF(MEDIAN($BK$32:$BK$39) = 0, "", MEDIAN($BK$32:$BK$39))), "", (IF(MEDIAN($BK$32:$BK$39) = 0, "", MEDIAN($BK$32:$BK$39))))</f>
        <v>0.279499993</v>
      </c>
      <c r="BL31">
        <f ca="1">IF(ISERROR(IF(MEDIAN($BL$32:$BL$39) = 0, "", MEDIAN($BL$32:$BL$39))), "", (IF(MEDIAN($BL$32:$BL$39) = 0, "", MEDIAN($BL$32:$BL$39))))</f>
        <v>0.23400000000000001</v>
      </c>
      <c r="BM31">
        <f ca="1">IF(ISERROR(IF(MEDIAN($BM$32:$BM$39) = 0, "", MEDIAN($BM$32:$BM$39))), "", (IF(MEDIAN($BM$32:$BM$39) = 0, "", MEDIAN($BM$32:$BM$39))))</f>
        <v>0.26600000000000001</v>
      </c>
      <c r="BN31" t="str">
        <f>""</f>
        <v/>
      </c>
      <c r="BO31">
        <f>1.511</f>
        <v>1.5109999999999999</v>
      </c>
      <c r="BP31">
        <f>1.5365</f>
        <v>1.5365</v>
      </c>
      <c r="BQ31">
        <f>1.52</f>
        <v>1.52</v>
      </c>
      <c r="BR31">
        <f>1.474</f>
        <v>1.474</v>
      </c>
      <c r="BS31">
        <f>1.4645</f>
        <v>1.4644999999999999</v>
      </c>
      <c r="BT31">
        <f>1.4935</f>
        <v>1.4935</v>
      </c>
      <c r="BU31">
        <f>1.3155</f>
        <v>1.3154999999999999</v>
      </c>
      <c r="BV31">
        <f>1.6445</f>
        <v>1.6445000000000001</v>
      </c>
      <c r="BW31">
        <f>1.945</f>
        <v>1.9450000000000001</v>
      </c>
      <c r="BX31">
        <f>1.973</f>
        <v>1.9730000000000001</v>
      </c>
      <c r="BY31">
        <f>1.8395</f>
        <v>1.8394999999999999</v>
      </c>
      <c r="BZ31">
        <f>1.7075</f>
        <v>1.7075</v>
      </c>
      <c r="CA31">
        <f>2.204</f>
        <v>2.2040000000000002</v>
      </c>
      <c r="CB31">
        <f>2.104</f>
        <v>2.1040000000000001</v>
      </c>
      <c r="CC31">
        <f>2.072</f>
        <v>2.0720000000000001</v>
      </c>
      <c r="CD31">
        <f>1.9025</f>
        <v>1.9025000000000001</v>
      </c>
      <c r="CE31">
        <f>2.0375</f>
        <v>2.0375000000000001</v>
      </c>
      <c r="CF31">
        <f>1.7815</f>
        <v>1.7815000000000001</v>
      </c>
      <c r="CG31">
        <f>1.979</f>
        <v>1.9790000000000001</v>
      </c>
      <c r="CH31">
        <f>1.9345</f>
        <v>1.9345000000000001</v>
      </c>
      <c r="CI31">
        <f>2.0275</f>
        <v>2.0274999999999999</v>
      </c>
      <c r="CJ31">
        <f>2.11</f>
        <v>2.11</v>
      </c>
      <c r="CK31">
        <f>1.925</f>
        <v>1.925</v>
      </c>
      <c r="CL31">
        <f>1.911</f>
        <v>1.911</v>
      </c>
      <c r="CM31">
        <f>2.0115</f>
        <v>2.0114999999999998</v>
      </c>
      <c r="CN31">
        <f>1.959</f>
        <v>1.9590000000000001</v>
      </c>
      <c r="CO31">
        <f>1.8105</f>
        <v>1.8105</v>
      </c>
      <c r="CP31">
        <f>1.818</f>
        <v>1.8180000000000001</v>
      </c>
      <c r="CQ31">
        <f>1.771</f>
        <v>1.7709999999999999</v>
      </c>
      <c r="CR31">
        <f>1.448</f>
        <v>1.448</v>
      </c>
      <c r="CS31">
        <f>1.5195</f>
        <v>1.5195000000000001</v>
      </c>
      <c r="CT31">
        <f>1.6985</f>
        <v>1.6984999999999999</v>
      </c>
      <c r="CU31">
        <f>1.6105</f>
        <v>1.6105</v>
      </c>
      <c r="CV31">
        <f>1.789</f>
        <v>1.7889999999999999</v>
      </c>
      <c r="CW31">
        <f>1.569</f>
        <v>1.569</v>
      </c>
      <c r="CX31">
        <f>1.7495</f>
        <v>1.7495000000000001</v>
      </c>
      <c r="CY31">
        <f>2.0185</f>
        <v>2.0185</v>
      </c>
      <c r="CZ31">
        <f>1.8315</f>
        <v>1.8314999999999999</v>
      </c>
      <c r="DA31">
        <f>1.579</f>
        <v>1.579</v>
      </c>
      <c r="DB31">
        <f>1.4325</f>
        <v>1.4325000000000001</v>
      </c>
      <c r="DC31">
        <f>1.125</f>
        <v>1.125</v>
      </c>
      <c r="DD31">
        <f>1.49</f>
        <v>1.49</v>
      </c>
      <c r="DE31">
        <f>1.421</f>
        <v>1.421</v>
      </c>
      <c r="DF31">
        <f>1.242</f>
        <v>1.242</v>
      </c>
      <c r="DG31">
        <f>1.7885</f>
        <v>1.7885</v>
      </c>
      <c r="DH31">
        <f>1.547</f>
        <v>1.5469999999999999</v>
      </c>
      <c r="DI31">
        <f>1.1125</f>
        <v>1.1125</v>
      </c>
      <c r="DJ31">
        <f>1.0155</f>
        <v>1.0155000000000001</v>
      </c>
      <c r="DK31">
        <f>1.486</f>
        <v>1.486</v>
      </c>
      <c r="DL31">
        <f>1.3405</f>
        <v>1.3405</v>
      </c>
      <c r="DM31">
        <f>0.931</f>
        <v>0.93100000000000005</v>
      </c>
      <c r="DN31">
        <f>0.413</f>
        <v>0.41299999999999998</v>
      </c>
      <c r="DO31">
        <f>0.142</f>
        <v>0.14199999999999999</v>
      </c>
      <c r="DP31">
        <f>1.151</f>
        <v>1.151</v>
      </c>
      <c r="DQ31">
        <f>0.278500003</f>
        <v>0.278500003</v>
      </c>
      <c r="DR31">
        <f>1.108999967</f>
        <v>1.1089999669999999</v>
      </c>
      <c r="DS31">
        <f>0.279499993</f>
        <v>0.279499993</v>
      </c>
      <c r="DT31">
        <f>0.234</f>
        <v>0.23400000000000001</v>
      </c>
      <c r="DU31">
        <f>0.266</f>
        <v>0.26600000000000001</v>
      </c>
    </row>
    <row r="32" spans="1:125">
      <c r="A32" t="str">
        <f>"    American Campus Communities In"</f>
        <v xml:space="preserve">    American Campus Communities In</v>
      </c>
      <c r="B32" t="str">
        <f>"ACC US Equity"</f>
        <v>ACC US Equity</v>
      </c>
      <c r="C32" t="str">
        <f t="shared" ref="C32:C39" si="9">"IS019"</f>
        <v>IS019</v>
      </c>
      <c r="D32" t="str">
        <f t="shared" ref="D32:D39" si="10">"IS_COMM_AND_FEE_EARN_INC_REO"</f>
        <v>IS_COMM_AND_FEE_EARN_INC_REO</v>
      </c>
      <c r="E32" t="str">
        <f t="shared" ref="E32:E39" si="11">"动态"</f>
        <v>动态</v>
      </c>
      <c r="F32" t="str">
        <f ca="1">IF(AND(ISNUMBER($F$252),$B$226=1),$F$252,HLOOKUP(INDIRECT(ADDRESS(2,COLUMN())),OFFSET($BN$2,0,0,ROW()-1,60),ROW()-1,FALSE))</f>
        <v/>
      </c>
      <c r="G32">
        <f ca="1">IF(AND(ISNUMBER($G$252),$B$226=1),$G$252,HLOOKUP(INDIRECT(ADDRESS(2,COLUMN())),OFFSET($BN$2,0,0,ROW()-1,60),ROW()-1,FALSE))</f>
        <v>6.0640000000000001</v>
      </c>
      <c r="H32">
        <f ca="1">IF(AND(ISNUMBER($H$252),$B$226=1),$H$252,HLOOKUP(INDIRECT(ADDRESS(2,COLUMN())),OFFSET($BN$2,0,0,ROW()-1,60),ROW()-1,FALSE))</f>
        <v>2.2909999999999999</v>
      </c>
      <c r="I32">
        <f ca="1">IF(AND(ISNUMBER($I$252),$B$226=1),$I$252,HLOOKUP(INDIRECT(ADDRESS(2,COLUMN())),OFFSET($BN$2,0,0,ROW()-1,60),ROW()-1,FALSE))</f>
        <v>2.2879999999999998</v>
      </c>
      <c r="J32">
        <f ca="1">IF(AND(ISNUMBER($J$252),$B$226=1),$J$252,HLOOKUP(INDIRECT(ADDRESS(2,COLUMN())),OFFSET($BN$2,0,0,ROW()-1,60),ROW()-1,FALSE))</f>
        <v>2.6139999999999999</v>
      </c>
      <c r="K32">
        <f ca="1">IF(AND(ISNUMBER($K$252),$B$226=1),$K$252,HLOOKUP(INDIRECT(ADDRESS(2,COLUMN())),OFFSET($BN$2,0,0,ROW()-1,60),ROW()-1,FALSE))</f>
        <v>2.6850000000000001</v>
      </c>
      <c r="L32">
        <f ca="1">IF(AND(ISNUMBER($L$252),$B$226=1),$L$252,HLOOKUP(INDIRECT(ADDRESS(2,COLUMN())),OFFSET($BN$2,0,0,ROW()-1,60),ROW()-1,FALSE))</f>
        <v>2.3759999999999999</v>
      </c>
      <c r="M32">
        <f ca="1">IF(AND(ISNUMBER($M$252),$B$226=1),$M$252,HLOOKUP(INDIRECT(ADDRESS(2,COLUMN())),OFFSET($BN$2,0,0,ROW()-1,60),ROW()-1,FALSE))</f>
        <v>2.2530000000000001</v>
      </c>
      <c r="N32">
        <f ca="1">IF(AND(ISNUMBER($N$252),$B$226=1),$N$252,HLOOKUP(INDIRECT(ADDRESS(2,COLUMN())),OFFSET($BN$2,0,0,ROW()-1,60),ROW()-1,FALSE))</f>
        <v>2.41</v>
      </c>
      <c r="O32">
        <f ca="1">IF(AND(ISNUMBER($O$252),$B$226=1),$O$252,HLOOKUP(INDIRECT(ADDRESS(2,COLUMN())),OFFSET($BN$2,0,0,ROW()-1,60),ROW()-1,FALSE))</f>
        <v>2.2269999999999999</v>
      </c>
      <c r="P32">
        <f ca="1">IF(AND(ISNUMBER($P$252),$B$226=1),$P$252,HLOOKUP(INDIRECT(ADDRESS(2,COLUMN())),OFFSET($BN$2,0,0,ROW()-1,60),ROW()-1,FALSE))</f>
        <v>2.2610000000000001</v>
      </c>
      <c r="Q32">
        <f ca="1">IF(AND(ISNUMBER($Q$252),$B$226=1),$Q$252,HLOOKUP(INDIRECT(ADDRESS(2,COLUMN())),OFFSET($BN$2,0,0,ROW()-1,60),ROW()-1,FALSE))</f>
        <v>2.3239999999999998</v>
      </c>
      <c r="R32">
        <f ca="1">IF(AND(ISNUMBER($R$252),$B$226=1),$R$252,HLOOKUP(INDIRECT(ADDRESS(2,COLUMN())),OFFSET($BN$2,0,0,ROW()-1,60),ROW()-1,FALSE))</f>
        <v>2.0009999999999999</v>
      </c>
      <c r="S32">
        <f ca="1">IF(AND(ISNUMBER($S$252),$B$226=1),$S$252,HLOOKUP(INDIRECT(ADDRESS(2,COLUMN())),OFFSET($BN$2,0,0,ROW()-1,60),ROW()-1,FALSE))</f>
        <v>1.9179999999999999</v>
      </c>
      <c r="T32">
        <f ca="1">IF(AND(ISNUMBER($T$252),$B$226=1),$T$252,HLOOKUP(INDIRECT(ADDRESS(2,COLUMN())),OFFSET($BN$2,0,0,ROW()-1,60),ROW()-1,FALSE))</f>
        <v>1.7689999999999999</v>
      </c>
      <c r="U32">
        <f ca="1">IF(AND(ISNUMBER($U$252),$B$226=1),$U$252,HLOOKUP(INDIRECT(ADDRESS(2,COLUMN())),OFFSET($BN$2,0,0,ROW()-1,60),ROW()-1,FALSE))</f>
        <v>1.9970000000000001</v>
      </c>
      <c r="V32">
        <f ca="1">IF(AND(ISNUMBER($V$252),$B$226=1),$V$252,HLOOKUP(INDIRECT(ADDRESS(2,COLUMN())),OFFSET($BN$2,0,0,ROW()-1,60),ROW()-1,FALSE))</f>
        <v>1.9850000000000001</v>
      </c>
      <c r="W32">
        <f ca="1">IF(AND(ISNUMBER($W$252),$B$226=1),$W$252,HLOOKUP(INDIRECT(ADDRESS(2,COLUMN())),OFFSET($BN$2,0,0,ROW()-1,60),ROW()-1,FALSE))</f>
        <v>2.089</v>
      </c>
      <c r="X32">
        <f ca="1">IF(AND(ISNUMBER($X$252),$B$226=1),$X$252,HLOOKUP(INDIRECT(ADDRESS(2,COLUMN())),OFFSET($BN$2,0,0,ROW()-1,60),ROW()-1,FALSE))</f>
        <v>1.792</v>
      </c>
      <c r="Y32">
        <f ca="1">IF(AND(ISNUMBER($Y$252),$B$226=1),$Y$252,HLOOKUP(INDIRECT(ADDRESS(2,COLUMN())),OFFSET($BN$2,0,0,ROW()-1,60),ROW()-1,FALSE))</f>
        <v>1.9239999999999999</v>
      </c>
      <c r="Z32">
        <f ca="1">IF(AND(ISNUMBER($Z$252),$B$226=1),$Z$252,HLOOKUP(INDIRECT(ADDRESS(2,COLUMN())),OFFSET($BN$2,0,0,ROW()-1,60),ROW()-1,FALSE))</f>
        <v>1.7090000000000001</v>
      </c>
      <c r="AA32">
        <f ca="1">IF(AND(ISNUMBER($AA$252),$B$226=1),$AA$252,HLOOKUP(INDIRECT(ADDRESS(2,COLUMN())),OFFSET($BN$2,0,0,ROW()-1,60),ROW()-1,FALSE))</f>
        <v>1.81</v>
      </c>
      <c r="AB32">
        <f ca="1">IF(AND(ISNUMBER($AB$252),$B$226=1),$AB$252,HLOOKUP(INDIRECT(ADDRESS(2,COLUMN())),OFFSET($BN$2,0,0,ROW()-1,60),ROW()-1,FALSE))</f>
        <v>1.6870000000000001</v>
      </c>
      <c r="AC32">
        <f ca="1">IF(AND(ISNUMBER($AC$252),$B$226=1),$AC$252,HLOOKUP(INDIRECT(ADDRESS(2,COLUMN())),OFFSET($BN$2,0,0,ROW()-1,60),ROW()-1,FALSE))</f>
        <v>1.6379999999999999</v>
      </c>
      <c r="AD32">
        <f ca="1">IF(AND(ISNUMBER($AD$252),$B$226=1),$AD$252,HLOOKUP(INDIRECT(ADDRESS(2,COLUMN())),OFFSET($BN$2,0,0,ROW()-1,60),ROW()-1,FALSE))</f>
        <v>1.758</v>
      </c>
      <c r="AE32">
        <f ca="1">IF(AND(ISNUMBER($AE$252),$B$226=1),$AE$252,HLOOKUP(INDIRECT(ADDRESS(2,COLUMN())),OFFSET($BN$2,0,0,ROW()-1,60),ROW()-1,FALSE))</f>
        <v>1.827</v>
      </c>
      <c r="AF32">
        <f ca="1">IF(AND(ISNUMBER($AF$252),$B$226=1),$AF$252,HLOOKUP(INDIRECT(ADDRESS(2,COLUMN())),OFFSET($BN$2,0,0,ROW()-1,60),ROW()-1,FALSE))</f>
        <v>1.794</v>
      </c>
      <c r="AG32">
        <f ca="1">IF(AND(ISNUMBER($AG$252),$B$226=1),$AG$252,HLOOKUP(INDIRECT(ADDRESS(2,COLUMN())),OFFSET($BN$2,0,0,ROW()-1,60),ROW()-1,FALSE))</f>
        <v>1.8029999999999999</v>
      </c>
      <c r="AH32">
        <f ca="1">IF(AND(ISNUMBER($AH$252),$B$226=1),$AH$252,HLOOKUP(INDIRECT(ADDRESS(2,COLUMN())),OFFSET($BN$2,0,0,ROW()-1,60),ROW()-1,FALSE))</f>
        <v>1.83</v>
      </c>
      <c r="AI32">
        <f ca="1">IF(AND(ISNUMBER($AI$252),$B$226=1),$AI$252,HLOOKUP(INDIRECT(ADDRESS(2,COLUMN())),OFFSET($BN$2,0,0,ROW()-1,60),ROW()-1,FALSE))</f>
        <v>2.0609999999999999</v>
      </c>
      <c r="AJ32">
        <f ca="1">IF(AND(ISNUMBER($AJ$252),$B$226=1),$AJ$252,HLOOKUP(INDIRECT(ADDRESS(2,COLUMN())),OFFSET($BN$2,0,0,ROW()-1,60),ROW()-1,FALSE))</f>
        <v>2.274</v>
      </c>
      <c r="AK32">
        <f ca="1">IF(AND(ISNUMBER($AK$252),$B$226=1),$AK$252,HLOOKUP(INDIRECT(ADDRESS(2,COLUMN())),OFFSET($BN$2,0,0,ROW()-1,60),ROW()-1,FALSE))</f>
        <v>2.121</v>
      </c>
      <c r="AL32">
        <f ca="1">IF(AND(ISNUMBER($AL$252),$B$226=1),$AL$252,HLOOKUP(INDIRECT(ADDRESS(2,COLUMN())),OFFSET($BN$2,0,0,ROW()-1,60),ROW()-1,FALSE))</f>
        <v>2.214</v>
      </c>
      <c r="AM32">
        <f ca="1">IF(AND(ISNUMBER($AM$252),$B$226=1),$AM$252,HLOOKUP(INDIRECT(ADDRESS(2,COLUMN())),OFFSET($BN$2,0,0,ROW()-1,60),ROW()-1,FALSE))</f>
        <v>1.3169999999999999</v>
      </c>
      <c r="AN32">
        <f ca="1">IF(AND(ISNUMBER($AN$252),$B$226=1),$AN$252,HLOOKUP(INDIRECT(ADDRESS(2,COLUMN())),OFFSET($BN$2,0,0,ROW()-1,60),ROW()-1,FALSE))</f>
        <v>1.76</v>
      </c>
      <c r="AO32">
        <f ca="1">IF(AND(ISNUMBER($AO$252),$B$226=1),$AO$252,HLOOKUP(INDIRECT(ADDRESS(2,COLUMN())),OFFSET($BN$2,0,0,ROW()-1,60),ROW()-1,FALSE))</f>
        <v>0.88600000000000001</v>
      </c>
      <c r="AP32">
        <f ca="1">IF(AND(ISNUMBER($AP$252),$B$226=1),$AP$252,HLOOKUP(INDIRECT(ADDRESS(2,COLUMN())),OFFSET($BN$2,0,0,ROW()-1,60),ROW()-1,FALSE))</f>
        <v>2.242</v>
      </c>
      <c r="AQ32">
        <f ca="1">IF(AND(ISNUMBER($AQ$252),$B$226=1),$AQ$252,HLOOKUP(INDIRECT(ADDRESS(2,COLUMN())),OFFSET($BN$2,0,0,ROW()-1,60),ROW()-1,FALSE))</f>
        <v>2.3929999999999998</v>
      </c>
      <c r="AR32">
        <f ca="1">IF(AND(ISNUMBER($AR$252),$B$226=1),$AR$252,HLOOKUP(INDIRECT(ADDRESS(2,COLUMN())),OFFSET($BN$2,0,0,ROW()-1,60),ROW()-1,FALSE))</f>
        <v>2.0409999999999999</v>
      </c>
      <c r="AS32">
        <f ca="1">IF(AND(ISNUMBER($AS$252),$B$226=1),$AS$252,HLOOKUP(INDIRECT(ADDRESS(2,COLUMN())),OFFSET($BN$2,0,0,ROW()-1,60),ROW()-1,FALSE))</f>
        <v>1.222</v>
      </c>
      <c r="AT32">
        <f ca="1">IF(AND(ISNUMBER($AT$252),$B$226=1),$AT$252,HLOOKUP(INDIRECT(ADDRESS(2,COLUMN())),OFFSET($BN$2,0,0,ROW()-1,60),ROW()-1,FALSE))</f>
        <v>0.92200000000000004</v>
      </c>
      <c r="AU32">
        <f ca="1">IF(AND(ISNUMBER($AU$252),$B$226=1),$AU$252,HLOOKUP(INDIRECT(ADDRESS(2,COLUMN())),OFFSET($BN$2,0,0,ROW()-1,60),ROW()-1,FALSE))</f>
        <v>0.82199999999999995</v>
      </c>
      <c r="AV32">
        <f ca="1">IF(AND(ISNUMBER($AV$252),$B$226=1),$AV$252,HLOOKUP(INDIRECT(ADDRESS(2,COLUMN())),OFFSET($BN$2,0,0,ROW()-1,60),ROW()-1,FALSE))</f>
        <v>0.627</v>
      </c>
      <c r="AW32">
        <f ca="1">IF(AND(ISNUMBER($AW$252),$B$226=1),$AW$252,HLOOKUP(INDIRECT(ADDRESS(2,COLUMN())),OFFSET($BN$2,0,0,ROW()-1,60),ROW()-1,FALSE))</f>
        <v>0.65</v>
      </c>
      <c r="AX32">
        <f ca="1">IF(AND(ISNUMBER($AX$252),$B$226=1),$AX$252,HLOOKUP(INDIRECT(ADDRESS(2,COLUMN())),OFFSET($BN$2,0,0,ROW()-1,60),ROW()-1,FALSE))</f>
        <v>0.72199999999999998</v>
      </c>
      <c r="AY32">
        <f ca="1">IF(AND(ISNUMBER($AY$252),$B$226=1),$AY$252,HLOOKUP(INDIRECT(ADDRESS(2,COLUMN())),OFFSET($BN$2,0,0,ROW()-1,60),ROW()-1,FALSE))</f>
        <v>0.68799999999999994</v>
      </c>
      <c r="AZ32">
        <f ca="1">IF(AND(ISNUMBER($AZ$252),$B$226=1),$AZ$252,HLOOKUP(INDIRECT(ADDRESS(2,COLUMN())),OFFSET($BN$2,0,0,ROW()-1,60),ROW()-1,FALSE))</f>
        <v>0</v>
      </c>
      <c r="BA32">
        <f ca="1">IF(AND(ISNUMBER($BA$252),$B$226=1),$BA$252,HLOOKUP(INDIRECT(ADDRESS(2,COLUMN())),OFFSET($BN$2,0,0,ROW()-1,60),ROW()-1,FALSE))</f>
        <v>0.69099999999999995</v>
      </c>
      <c r="BB32">
        <f ca="1">IF(AND(ISNUMBER($BB$252),$B$226=1),$BB$252,HLOOKUP(INDIRECT(ADDRESS(2,COLUMN())),OFFSET($BN$2,0,0,ROW()-1,60),ROW()-1,FALSE))</f>
        <v>0.66200000000000003</v>
      </c>
      <c r="BC32">
        <f ca="1">IF(AND(ISNUMBER($BC$252),$B$226=1),$BC$252,HLOOKUP(INDIRECT(ADDRESS(2,COLUMN())),OFFSET($BN$2,0,0,ROW()-1,60),ROW()-1,FALSE))</f>
        <v>2.2240000000000002</v>
      </c>
      <c r="BD32">
        <f ca="1">IF(AND(ISNUMBER($BD$252),$B$226=1),$BD$252,HLOOKUP(INDIRECT(ADDRESS(2,COLUMN())),OFFSET($BN$2,0,0,ROW()-1,60),ROW()-1,FALSE))</f>
        <v>0</v>
      </c>
      <c r="BE32">
        <f ca="1">IF(AND(ISNUMBER($BE$252),$B$226=1),$BE$252,HLOOKUP(INDIRECT(ADDRESS(2,COLUMN())),OFFSET($BN$2,0,0,ROW()-1,60),ROW()-1,FALSE))</f>
        <v>0.56200000000000006</v>
      </c>
      <c r="BF32">
        <f ca="1">IF(AND(ISNUMBER($BF$252),$B$226=1),$BF$252,HLOOKUP(INDIRECT(ADDRESS(2,COLUMN())),OFFSET($BN$2,0,0,ROW()-1,60),ROW()-1,FALSE))</f>
        <v>0</v>
      </c>
      <c r="BG32">
        <f ca="1">IF(AND(ISNUMBER($BG$252),$B$226=1),$BG$252,HLOOKUP(INDIRECT(ADDRESS(2,COLUMN())),OFFSET($BN$2,0,0,ROW()-1,60),ROW()-1,FALSE))</f>
        <v>0.79800000000000004</v>
      </c>
      <c r="BH32">
        <f ca="1">IF(AND(ISNUMBER($BH$252),$B$226=1),$BH$252,HLOOKUP(INDIRECT(ADDRESS(2,COLUMN())),OFFSET($BN$2,0,0,ROW()-1,60),ROW()-1,FALSE))</f>
        <v>0.34</v>
      </c>
      <c r="BI32">
        <f ca="1">IF(AND(ISNUMBER($BI$252),$B$226=1),$BI$252,HLOOKUP(INDIRECT(ADDRESS(2,COLUMN())),OFFSET($BN$2,0,0,ROW()-1,60),ROW()-1,FALSE))</f>
        <v>0.40000000600000002</v>
      </c>
      <c r="BJ32">
        <f ca="1">IF(AND(ISNUMBER($BJ$252),$B$226=1),$BJ$252,HLOOKUP(INDIRECT(ADDRESS(2,COLUMN())),OFFSET($BN$2,0,0,ROW()-1,60),ROW()-1,FALSE))</f>
        <v>2.0699999330000001</v>
      </c>
      <c r="BK32">
        <f ca="1">IF(AND(ISNUMBER($BK$252),$B$226=1),$BK$252,HLOOKUP(INDIRECT(ADDRESS(2,COLUMN())),OFFSET($BN$2,0,0,ROW()-1,60),ROW()-1,FALSE))</f>
        <v>0.370999992</v>
      </c>
      <c r="BL32" t="str">
        <f ca="1">IF(AND(ISNUMBER($BL$252),$B$226=1),$BL$252,HLOOKUP(INDIRECT(ADDRESS(2,COLUMN())),OFFSET($BN$2,0,0,ROW()-1,60),ROW()-1,FALSE))</f>
        <v/>
      </c>
      <c r="BM32" t="str">
        <f ca="1">IF(AND(ISNUMBER($BM$252),$B$226=1),$BM$252,HLOOKUP(INDIRECT(ADDRESS(2,COLUMN())),OFFSET($BN$2,0,0,ROW()-1,60),ROW()-1,FALSE))</f>
        <v/>
      </c>
      <c r="BN32" t="str">
        <f>""</f>
        <v/>
      </c>
      <c r="BO32">
        <f>6.064</f>
        <v>6.0640000000000001</v>
      </c>
      <c r="BP32">
        <f>2.291</f>
        <v>2.2909999999999999</v>
      </c>
      <c r="BQ32">
        <f>2.288</f>
        <v>2.2879999999999998</v>
      </c>
      <c r="BR32">
        <f>2.614</f>
        <v>2.6139999999999999</v>
      </c>
      <c r="BS32">
        <f>2.685</f>
        <v>2.6850000000000001</v>
      </c>
      <c r="BT32">
        <f>2.376</f>
        <v>2.3759999999999999</v>
      </c>
      <c r="BU32">
        <f>2.253</f>
        <v>2.2530000000000001</v>
      </c>
      <c r="BV32">
        <f>2.41</f>
        <v>2.41</v>
      </c>
      <c r="BW32">
        <f>2.227</f>
        <v>2.2269999999999999</v>
      </c>
      <c r="BX32">
        <f>2.261</f>
        <v>2.2610000000000001</v>
      </c>
      <c r="BY32">
        <f>2.324</f>
        <v>2.3239999999999998</v>
      </c>
      <c r="BZ32">
        <f>2.001</f>
        <v>2.0009999999999999</v>
      </c>
      <c r="CA32">
        <f>1.918</f>
        <v>1.9179999999999999</v>
      </c>
      <c r="CB32">
        <f>1.769</f>
        <v>1.7689999999999999</v>
      </c>
      <c r="CC32">
        <f>1.997</f>
        <v>1.9970000000000001</v>
      </c>
      <c r="CD32">
        <f>1.985</f>
        <v>1.9850000000000001</v>
      </c>
      <c r="CE32">
        <f>2.089</f>
        <v>2.089</v>
      </c>
      <c r="CF32">
        <f>1.792</f>
        <v>1.792</v>
      </c>
      <c r="CG32">
        <f>1.924</f>
        <v>1.9239999999999999</v>
      </c>
      <c r="CH32">
        <f>1.709</f>
        <v>1.7090000000000001</v>
      </c>
      <c r="CI32">
        <f>1.81</f>
        <v>1.81</v>
      </c>
      <c r="CJ32">
        <f>1.687</f>
        <v>1.6870000000000001</v>
      </c>
      <c r="CK32">
        <f>1.638</f>
        <v>1.6379999999999999</v>
      </c>
      <c r="CL32">
        <f>1.758</f>
        <v>1.758</v>
      </c>
      <c r="CM32">
        <f>1.827</f>
        <v>1.827</v>
      </c>
      <c r="CN32">
        <f>1.794</f>
        <v>1.794</v>
      </c>
      <c r="CO32">
        <f>1.803</f>
        <v>1.8029999999999999</v>
      </c>
      <c r="CP32">
        <f>1.83</f>
        <v>1.83</v>
      </c>
      <c r="CQ32">
        <f>2.061</f>
        <v>2.0609999999999999</v>
      </c>
      <c r="CR32">
        <f>2.274</f>
        <v>2.274</v>
      </c>
      <c r="CS32">
        <f>2.121</f>
        <v>2.121</v>
      </c>
      <c r="CT32">
        <f>2.214</f>
        <v>2.214</v>
      </c>
      <c r="CU32">
        <f>1.317</f>
        <v>1.3169999999999999</v>
      </c>
      <c r="CV32">
        <f>1.76</f>
        <v>1.76</v>
      </c>
      <c r="CW32">
        <f>0.886</f>
        <v>0.88600000000000001</v>
      </c>
      <c r="CX32">
        <f>2.242</f>
        <v>2.242</v>
      </c>
      <c r="CY32">
        <f>2.393</f>
        <v>2.3929999999999998</v>
      </c>
      <c r="CZ32">
        <f>2.041</f>
        <v>2.0409999999999999</v>
      </c>
      <c r="DA32">
        <f>1.222</f>
        <v>1.222</v>
      </c>
      <c r="DB32">
        <f>0.922</f>
        <v>0.92200000000000004</v>
      </c>
      <c r="DC32">
        <f>0.822</f>
        <v>0.82199999999999995</v>
      </c>
      <c r="DD32">
        <f>0.627</f>
        <v>0.627</v>
      </c>
      <c r="DE32">
        <f>0.65</f>
        <v>0.65</v>
      </c>
      <c r="DF32">
        <f>0.722</f>
        <v>0.72199999999999998</v>
      </c>
      <c r="DG32">
        <f>0.688</f>
        <v>0.68799999999999994</v>
      </c>
      <c r="DH32">
        <f>0</f>
        <v>0</v>
      </c>
      <c r="DI32">
        <f>0.691</f>
        <v>0.69099999999999995</v>
      </c>
      <c r="DJ32">
        <f>0.662</f>
        <v>0.66200000000000003</v>
      </c>
      <c r="DK32">
        <f>2.224</f>
        <v>2.2240000000000002</v>
      </c>
      <c r="DL32">
        <f>0</f>
        <v>0</v>
      </c>
      <c r="DM32">
        <f>0.562</f>
        <v>0.56200000000000006</v>
      </c>
      <c r="DN32">
        <f>0</f>
        <v>0</v>
      </c>
      <c r="DO32">
        <f>0.798</f>
        <v>0.79800000000000004</v>
      </c>
      <c r="DP32">
        <f>0.34</f>
        <v>0.34</v>
      </c>
      <c r="DQ32">
        <f>0.400000006</f>
        <v>0.40000000600000002</v>
      </c>
      <c r="DR32">
        <f>2.069999933</f>
        <v>2.0699999330000001</v>
      </c>
      <c r="DS32">
        <f>0.370999992</f>
        <v>0.370999992</v>
      </c>
      <c r="DT32" t="str">
        <f>""</f>
        <v/>
      </c>
      <c r="DU32" t="str">
        <f>""</f>
        <v/>
      </c>
    </row>
    <row r="33" spans="1:125">
      <c r="A33" t="str">
        <f>"    AvalonBay Communities Inc"</f>
        <v xml:space="preserve">    AvalonBay Communities Inc</v>
      </c>
      <c r="B33" t="str">
        <f>"AVB US Equity"</f>
        <v>AVB US Equity</v>
      </c>
      <c r="C33" t="str">
        <f t="shared" si="9"/>
        <v>IS019</v>
      </c>
      <c r="D33" t="str">
        <f t="shared" si="10"/>
        <v>IS_COMM_AND_FEE_EARN_INC_REO</v>
      </c>
      <c r="E33" t="str">
        <f t="shared" si="11"/>
        <v>动态</v>
      </c>
      <c r="F33" t="str">
        <f ca="1">IF(AND(ISNUMBER($F$253),$B$226=1),$F$253,HLOOKUP(INDIRECT(ADDRESS(2,COLUMN())),OFFSET($BN$2,0,0,ROW()-1,60),ROW()-1,FALSE))</f>
        <v/>
      </c>
      <c r="G33">
        <f ca="1">IF(AND(ISNUMBER($G$253),$B$226=1),$G$253,HLOOKUP(INDIRECT(ADDRESS(2,COLUMN())),OFFSET($BN$2,0,0,ROW()-1,60),ROW()-1,FALSE))</f>
        <v>0.85699999999999998</v>
      </c>
      <c r="H33">
        <f ca="1">IF(AND(ISNUMBER($H$253),$B$226=1),$H$253,HLOOKUP(INDIRECT(ADDRESS(2,COLUMN())),OFFSET($BN$2,0,0,ROW()-1,60),ROW()-1,FALSE))</f>
        <v>0.99299999999999999</v>
      </c>
      <c r="I33">
        <f ca="1">IF(AND(ISNUMBER($I$253),$B$226=1),$I$253,HLOOKUP(INDIRECT(ADDRESS(2,COLUMN())),OFFSET($BN$2,0,0,ROW()-1,60),ROW()-1,FALSE))</f>
        <v>1.0980000000000001</v>
      </c>
      <c r="J33">
        <f ca="1">IF(AND(ISNUMBER($J$253),$B$226=1),$J$253,HLOOKUP(INDIRECT(ADDRESS(2,COLUMN())),OFFSET($BN$2,0,0,ROW()-1,60),ROW()-1,FALSE))</f>
        <v>1.2</v>
      </c>
      <c r="K33">
        <f ca="1">IF(AND(ISNUMBER($K$253),$B$226=1),$K$253,HLOOKUP(INDIRECT(ADDRESS(2,COLUMN())),OFFSET($BN$2,0,0,ROW()-1,60),ROW()-1,FALSE))</f>
        <v>1.288</v>
      </c>
      <c r="L33">
        <f ca="1">IF(AND(ISNUMBER($L$253),$B$226=1),$L$253,HLOOKUP(INDIRECT(ADDRESS(2,COLUMN())),OFFSET($BN$2,0,0,ROW()-1,60),ROW()-1,FALSE))</f>
        <v>1.32</v>
      </c>
      <c r="M33">
        <f ca="1">IF(AND(ISNUMBER($M$253),$B$226=1),$M$253,HLOOKUP(INDIRECT(ADDRESS(2,COLUMN())),OFFSET($BN$2,0,0,ROW()-1,60),ROW()-1,FALSE))</f>
        <v>1.4670000000000001</v>
      </c>
      <c r="N33">
        <f ca="1">IF(AND(ISNUMBER($N$253),$B$226=1),$N$253,HLOOKUP(INDIRECT(ADDRESS(2,COLUMN())),OFFSET($BN$2,0,0,ROW()-1,60),ROW()-1,FALSE))</f>
        <v>1.524</v>
      </c>
      <c r="O33">
        <f ca="1">IF(AND(ISNUMBER($O$253),$B$226=1),$O$253,HLOOKUP(INDIRECT(ADDRESS(2,COLUMN())),OFFSET($BN$2,0,0,ROW()-1,60),ROW()-1,FALSE))</f>
        <v>2.2330000000000001</v>
      </c>
      <c r="P33">
        <f ca="1">IF(AND(ISNUMBER($P$253),$B$226=1),$P$253,HLOOKUP(INDIRECT(ADDRESS(2,COLUMN())),OFFSET($BN$2,0,0,ROW()-1,60),ROW()-1,FALSE))</f>
        <v>2.161</v>
      </c>
      <c r="Q33">
        <f ca="1">IF(AND(ISNUMBER($Q$253),$B$226=1),$Q$253,HLOOKUP(INDIRECT(ADDRESS(2,COLUMN())),OFFSET($BN$2,0,0,ROW()-1,60),ROW()-1,FALSE))</f>
        <v>2.9420000000000002</v>
      </c>
      <c r="R33">
        <f ca="1">IF(AND(ISNUMBER($R$253),$B$226=1),$R$253,HLOOKUP(INDIRECT(ADDRESS(2,COLUMN())),OFFSET($BN$2,0,0,ROW()-1,60),ROW()-1,FALSE))</f>
        <v>2.6110000000000002</v>
      </c>
      <c r="S33">
        <f ca="1">IF(AND(ISNUMBER($S$253),$B$226=1),$S$253,HLOOKUP(INDIRECT(ADDRESS(2,COLUMN())),OFFSET($BN$2,0,0,ROW()-1,60),ROW()-1,FALSE))</f>
        <v>2.7970000000000002</v>
      </c>
      <c r="T33">
        <f ca="1">IF(AND(ISNUMBER($T$253),$B$226=1),$T$253,HLOOKUP(INDIRECT(ADDRESS(2,COLUMN())),OFFSET($BN$2,0,0,ROW()-1,60),ROW()-1,FALSE))</f>
        <v>2.5030000000000001</v>
      </c>
      <c r="U33">
        <f ca="1">IF(AND(ISNUMBER($U$253),$B$226=1),$U$253,HLOOKUP(INDIRECT(ADDRESS(2,COLUMN())),OFFSET($BN$2,0,0,ROW()-1,60),ROW()-1,FALSE))</f>
        <v>2.6720000000000002</v>
      </c>
      <c r="V33">
        <f ca="1">IF(AND(ISNUMBER($V$253),$B$226=1),$V$253,HLOOKUP(INDIRECT(ADDRESS(2,COLUMN())),OFFSET($BN$2,0,0,ROW()-1,60),ROW()-1,FALSE))</f>
        <v>3.077</v>
      </c>
      <c r="W33">
        <f ca="1">IF(AND(ISNUMBER($W$253),$B$226=1),$W$253,HLOOKUP(INDIRECT(ADDRESS(2,COLUMN())),OFFSET($BN$2,0,0,ROW()-1,60),ROW()-1,FALSE))</f>
        <v>3.3029999999999999</v>
      </c>
      <c r="X33">
        <f ca="1">IF(AND(ISNUMBER($X$253),$B$226=1),$X$253,HLOOKUP(INDIRECT(ADDRESS(2,COLUMN())),OFFSET($BN$2,0,0,ROW()-1,60),ROW()-1,FALSE))</f>
        <v>3.0139999999999998</v>
      </c>
      <c r="Y33">
        <f ca="1">IF(AND(ISNUMBER($Y$253),$B$226=1),$Y$253,HLOOKUP(INDIRECT(ADDRESS(2,COLUMN())),OFFSET($BN$2,0,0,ROW()-1,60),ROW()-1,FALSE))</f>
        <v>2.9129999999999998</v>
      </c>
      <c r="Z33">
        <f ca="1">IF(AND(ISNUMBER($Z$253),$B$226=1),$Z$253,HLOOKUP(INDIRECT(ADDRESS(2,COLUMN())),OFFSET($BN$2,0,0,ROW()-1,60),ROW()-1,FALSE))</f>
        <v>2.2719999999999998</v>
      </c>
      <c r="AA33">
        <f ca="1">IF(AND(ISNUMBER($AA$253),$B$226=1),$AA$253,HLOOKUP(INDIRECT(ADDRESS(2,COLUMN())),OFFSET($BN$2,0,0,ROW()-1,60),ROW()-1,FALSE))</f>
        <v>2.4049999999999998</v>
      </c>
      <c r="AB33">
        <f ca="1">IF(AND(ISNUMBER($AB$253),$B$226=1),$AB$253,HLOOKUP(INDIRECT(ADDRESS(2,COLUMN())),OFFSET($BN$2,0,0,ROW()-1,60),ROW()-1,FALSE))</f>
        <v>2.5329999999999999</v>
      </c>
      <c r="AC33">
        <f ca="1">IF(AND(ISNUMBER($AC$253),$B$226=1),$AC$253,HLOOKUP(INDIRECT(ADDRESS(2,COLUMN())),OFFSET($BN$2,0,0,ROW()-1,60),ROW()-1,FALSE))</f>
        <v>2.77</v>
      </c>
      <c r="AD33">
        <f ca="1">IF(AND(ISNUMBER($AD$253),$B$226=1),$AD$253,HLOOKUP(INDIRECT(ADDRESS(2,COLUMN())),OFFSET($BN$2,0,0,ROW()-1,60),ROW()-1,FALSE))</f>
        <v>2.5489999999999999</v>
      </c>
      <c r="AE33">
        <f ca="1">IF(AND(ISNUMBER($AE$253),$B$226=1),$AE$253,HLOOKUP(INDIRECT(ADDRESS(2,COLUMN())),OFFSET($BN$2,0,0,ROW()-1,60),ROW()-1,FALSE))</f>
        <v>2.5710000000000002</v>
      </c>
      <c r="AF33">
        <f ca="1">IF(AND(ISNUMBER($AF$253),$B$226=1),$AF$253,HLOOKUP(INDIRECT(ADDRESS(2,COLUMN())),OFFSET($BN$2,0,0,ROW()-1,60),ROW()-1,FALSE))</f>
        <v>2.4329999999999998</v>
      </c>
      <c r="AG33">
        <f ca="1">IF(AND(ISNUMBER($AG$253),$B$226=1),$AG$253,HLOOKUP(INDIRECT(ADDRESS(2,COLUMN())),OFFSET($BN$2,0,0,ROW()-1,60),ROW()-1,FALSE))</f>
        <v>2.3319999999999999</v>
      </c>
      <c r="AH33">
        <f ca="1">IF(AND(ISNUMBER($AH$253),$B$226=1),$AH$253,HLOOKUP(INDIRECT(ADDRESS(2,COLUMN())),OFFSET($BN$2,0,0,ROW()-1,60),ROW()-1,FALSE))</f>
        <v>2.3199999999999998</v>
      </c>
      <c r="AI33">
        <f ca="1">IF(AND(ISNUMBER($AI$253),$B$226=1),$AI$253,HLOOKUP(INDIRECT(ADDRESS(2,COLUMN())),OFFSET($BN$2,0,0,ROW()-1,60),ROW()-1,FALSE))</f>
        <v>2.0209999999999999</v>
      </c>
      <c r="AJ33">
        <f ca="1">IF(AND(ISNUMBER($AJ$253),$B$226=1),$AJ$253,HLOOKUP(INDIRECT(ADDRESS(2,COLUMN())),OFFSET($BN$2,0,0,ROW()-1,60),ROW()-1,FALSE))</f>
        <v>1.8</v>
      </c>
      <c r="AK33">
        <f ca="1">IF(AND(ISNUMBER($AK$253),$B$226=1),$AK$253,HLOOKUP(INDIRECT(ADDRESS(2,COLUMN())),OFFSET($BN$2,0,0,ROW()-1,60),ROW()-1,FALSE))</f>
        <v>1.6839999999999999</v>
      </c>
      <c r="AL33">
        <f ca="1">IF(AND(ISNUMBER($AL$253),$B$226=1),$AL$253,HLOOKUP(INDIRECT(ADDRESS(2,COLUMN())),OFFSET($BN$2,0,0,ROW()-1,60),ROW()-1,FALSE))</f>
        <v>1.849</v>
      </c>
      <c r="AM33">
        <f ca="1">IF(AND(ISNUMBER($AM$253),$B$226=1),$AM$253,HLOOKUP(INDIRECT(ADDRESS(2,COLUMN())),OFFSET($BN$2,0,0,ROW()-1,60),ROW()-1,FALSE))</f>
        <v>1.9039999999999999</v>
      </c>
      <c r="AN33">
        <f ca="1">IF(AND(ISNUMBER($AN$253),$B$226=1),$AN$253,HLOOKUP(INDIRECT(ADDRESS(2,COLUMN())),OFFSET($BN$2,0,0,ROW()-1,60),ROW()-1,FALSE))</f>
        <v>1.8779999999999999</v>
      </c>
      <c r="AO33">
        <f ca="1">IF(AND(ISNUMBER($AO$253),$B$226=1),$AO$253,HLOOKUP(INDIRECT(ADDRESS(2,COLUMN())),OFFSET($BN$2,0,0,ROW()-1,60),ROW()-1,FALSE))</f>
        <v>2.077</v>
      </c>
      <c r="AP33">
        <f ca="1">IF(AND(ISNUMBER($AP$253),$B$226=1),$AP$253,HLOOKUP(INDIRECT(ADDRESS(2,COLUMN())),OFFSET($BN$2,0,0,ROW()-1,60),ROW()-1,FALSE))</f>
        <v>1.468</v>
      </c>
      <c r="AQ33">
        <f ca="1">IF(AND(ISNUMBER($AQ$253),$B$226=1),$AQ$253,HLOOKUP(INDIRECT(ADDRESS(2,COLUMN())),OFFSET($BN$2,0,0,ROW()-1,60),ROW()-1,FALSE))</f>
        <v>1.7629999999999999</v>
      </c>
      <c r="AR33">
        <f ca="1">IF(AND(ISNUMBER($AR$253),$B$226=1),$AR$253,HLOOKUP(INDIRECT(ADDRESS(2,COLUMN())),OFFSET($BN$2,0,0,ROW()-1,60),ROW()-1,FALSE))</f>
        <v>1.6220000000000001</v>
      </c>
      <c r="AS33">
        <f ca="1">IF(AND(ISNUMBER($AS$253),$B$226=1),$AS$253,HLOOKUP(INDIRECT(ADDRESS(2,COLUMN())),OFFSET($BN$2,0,0,ROW()-1,60),ROW()-1,FALSE))</f>
        <v>1.579</v>
      </c>
      <c r="AT33">
        <f ca="1">IF(AND(ISNUMBER($AT$253),$B$226=1),$AT$253,HLOOKUP(INDIRECT(ADDRESS(2,COLUMN())),OFFSET($BN$2,0,0,ROW()-1,60),ROW()-1,FALSE))</f>
        <v>1.6379999999999999</v>
      </c>
      <c r="AU33">
        <f ca="1">IF(AND(ISNUMBER($AU$253),$B$226=1),$AU$253,HLOOKUP(INDIRECT(ADDRESS(2,COLUMN())),OFFSET($BN$2,0,0,ROW()-1,60),ROW()-1,FALSE))</f>
        <v>1.72</v>
      </c>
      <c r="AV33">
        <f ca="1">IF(AND(ISNUMBER($AV$253),$B$226=1),$AV$253,HLOOKUP(INDIRECT(ADDRESS(2,COLUMN())),OFFSET($BN$2,0,0,ROW()-1,60),ROW()-1,FALSE))</f>
        <v>1.49</v>
      </c>
      <c r="AW33">
        <f ca="1">IF(AND(ISNUMBER($AW$253),$B$226=1),$AW$253,HLOOKUP(INDIRECT(ADDRESS(2,COLUMN())),OFFSET($BN$2,0,0,ROW()-1,60),ROW()-1,FALSE))</f>
        <v>1.488</v>
      </c>
      <c r="AX33">
        <f ca="1">IF(AND(ISNUMBER($AX$253),$B$226=1),$AX$253,HLOOKUP(INDIRECT(ADDRESS(2,COLUMN())),OFFSET($BN$2,0,0,ROW()-1,60),ROW()-1,FALSE))</f>
        <v>1.444</v>
      </c>
      <c r="AY33">
        <f ca="1">IF(AND(ISNUMBER($AY$253),$B$226=1),$AY$253,HLOOKUP(INDIRECT(ADDRESS(2,COLUMN())),OFFSET($BN$2,0,0,ROW()-1,60),ROW()-1,FALSE))</f>
        <v>2.073</v>
      </c>
      <c r="AZ33">
        <f ca="1">IF(AND(ISNUMBER($AZ$253),$B$226=1),$AZ$253,HLOOKUP(INDIRECT(ADDRESS(2,COLUMN())),OFFSET($BN$2,0,0,ROW()-1,60),ROW()-1,FALSE))</f>
        <v>1.585</v>
      </c>
      <c r="BA33">
        <f ca="1">IF(AND(ISNUMBER($BA$253),$B$226=1),$BA$253,HLOOKUP(INDIRECT(ADDRESS(2,COLUMN())),OFFSET($BN$2,0,0,ROW()-1,60),ROW()-1,FALSE))</f>
        <v>1.395</v>
      </c>
      <c r="BB33">
        <f ca="1">IF(AND(ISNUMBER($BB$253),$B$226=1),$BB$253,HLOOKUP(INDIRECT(ADDRESS(2,COLUMN())),OFFSET($BN$2,0,0,ROW()-1,60),ROW()-1,FALSE))</f>
        <v>1.2070000000000001</v>
      </c>
      <c r="BC33">
        <f ca="1">IF(AND(ISNUMBER($BC$253),$B$226=1),$BC$253,HLOOKUP(INDIRECT(ADDRESS(2,COLUMN())),OFFSET($BN$2,0,0,ROW()-1,60),ROW()-1,FALSE))</f>
        <v>1.129</v>
      </c>
      <c r="BD33">
        <f ca="1">IF(AND(ISNUMBER($BD$253),$B$226=1),$BD$253,HLOOKUP(INDIRECT(ADDRESS(2,COLUMN())),OFFSET($BN$2,0,0,ROW()-1,60),ROW()-1,FALSE))</f>
        <v>1.379</v>
      </c>
      <c r="BE33">
        <f ca="1">IF(AND(ISNUMBER($BE$253),$B$226=1),$BE$253,HLOOKUP(INDIRECT(ADDRESS(2,COLUMN())),OFFSET($BN$2,0,0,ROW()-1,60),ROW()-1,FALSE))</f>
        <v>1.363</v>
      </c>
      <c r="BF33">
        <f ca="1">IF(AND(ISNUMBER($BF$253),$B$226=1),$BF$253,HLOOKUP(INDIRECT(ADDRESS(2,COLUMN())),OFFSET($BN$2,0,0,ROW()-1,60),ROW()-1,FALSE))</f>
        <v>0.434</v>
      </c>
      <c r="BG33">
        <f ca="1">IF(AND(ISNUMBER($BG$253),$B$226=1),$BG$253,HLOOKUP(INDIRECT(ADDRESS(2,COLUMN())),OFFSET($BN$2,0,0,ROW()-1,60),ROW()-1,FALSE))</f>
        <v>0.14199999999999999</v>
      </c>
      <c r="BH33">
        <f ca="1">IF(AND(ISNUMBER($BH$253),$B$226=1),$BH$253,HLOOKUP(INDIRECT(ADDRESS(2,COLUMN())),OFFSET($BN$2,0,0,ROW()-1,60),ROW()-1,FALSE))</f>
        <v>0.157</v>
      </c>
      <c r="BI33">
        <f ca="1">IF(AND(ISNUMBER($BI$253),$B$226=1),$BI$253,HLOOKUP(INDIRECT(ADDRESS(2,COLUMN())),OFFSET($BN$2,0,0,ROW()-1,60),ROW()-1,FALSE))</f>
        <v>0.157</v>
      </c>
      <c r="BJ33">
        <f ca="1">IF(AND(ISNUMBER($BJ$253),$B$226=1),$BJ$253,HLOOKUP(INDIRECT(ADDRESS(2,COLUMN())),OFFSET($BN$2,0,0,ROW()-1,60),ROW()-1,FALSE))</f>
        <v>0.14799999999999999</v>
      </c>
      <c r="BK33">
        <f ca="1">IF(AND(ISNUMBER($BK$253),$B$226=1),$BK$253,HLOOKUP(INDIRECT(ADDRESS(2,COLUMN())),OFFSET($BN$2,0,0,ROW()-1,60),ROW()-1,FALSE))</f>
        <v>0.187999994</v>
      </c>
      <c r="BL33">
        <f ca="1">IF(AND(ISNUMBER($BL$253),$B$226=1),$BL$253,HLOOKUP(INDIRECT(ADDRESS(2,COLUMN())),OFFSET($BN$2,0,0,ROW()-1,60),ROW()-1,FALSE))</f>
        <v>0.23400000000000001</v>
      </c>
      <c r="BM33">
        <f ca="1">IF(AND(ISNUMBER($BM$253),$B$226=1),$BM$253,HLOOKUP(INDIRECT(ADDRESS(2,COLUMN())),OFFSET($BN$2,0,0,ROW()-1,60),ROW()-1,FALSE))</f>
        <v>0.247</v>
      </c>
      <c r="BN33" t="str">
        <f>""</f>
        <v/>
      </c>
      <c r="BO33">
        <f>0.857</f>
        <v>0.85699999999999998</v>
      </c>
      <c r="BP33">
        <f>0.993</f>
        <v>0.99299999999999999</v>
      </c>
      <c r="BQ33">
        <f>1.098</f>
        <v>1.0980000000000001</v>
      </c>
      <c r="BR33">
        <f>1.2</f>
        <v>1.2</v>
      </c>
      <c r="BS33">
        <f>1.288</f>
        <v>1.288</v>
      </c>
      <c r="BT33">
        <f>1.32</f>
        <v>1.32</v>
      </c>
      <c r="BU33">
        <f>1.467</f>
        <v>1.4670000000000001</v>
      </c>
      <c r="BV33">
        <f>1.524</f>
        <v>1.524</v>
      </c>
      <c r="BW33">
        <f>2.233</f>
        <v>2.2330000000000001</v>
      </c>
      <c r="BX33">
        <f>2.161</f>
        <v>2.161</v>
      </c>
      <c r="BY33">
        <f>2.942</f>
        <v>2.9420000000000002</v>
      </c>
      <c r="BZ33">
        <f>2.611</f>
        <v>2.6110000000000002</v>
      </c>
      <c r="CA33">
        <f>2.797</f>
        <v>2.7970000000000002</v>
      </c>
      <c r="CB33">
        <f>2.503</f>
        <v>2.5030000000000001</v>
      </c>
      <c r="CC33">
        <f>2.672</f>
        <v>2.6720000000000002</v>
      </c>
      <c r="CD33">
        <f>3.077</f>
        <v>3.077</v>
      </c>
      <c r="CE33">
        <f>3.303</f>
        <v>3.3029999999999999</v>
      </c>
      <c r="CF33">
        <f>3.014</f>
        <v>3.0139999999999998</v>
      </c>
      <c r="CG33">
        <f>2.913</f>
        <v>2.9129999999999998</v>
      </c>
      <c r="CH33">
        <f>2.272</f>
        <v>2.2719999999999998</v>
      </c>
      <c r="CI33">
        <f>2.405</f>
        <v>2.4049999999999998</v>
      </c>
      <c r="CJ33">
        <f>2.533</f>
        <v>2.5329999999999999</v>
      </c>
      <c r="CK33">
        <f>2.77</f>
        <v>2.77</v>
      </c>
      <c r="CL33">
        <f>2.549</f>
        <v>2.5489999999999999</v>
      </c>
      <c r="CM33">
        <f>2.571</f>
        <v>2.5710000000000002</v>
      </c>
      <c r="CN33">
        <f>2.433</f>
        <v>2.4329999999999998</v>
      </c>
      <c r="CO33">
        <f>2.332</f>
        <v>2.3319999999999999</v>
      </c>
      <c r="CP33">
        <f>2.32</f>
        <v>2.3199999999999998</v>
      </c>
      <c r="CQ33">
        <f>2.021</f>
        <v>2.0209999999999999</v>
      </c>
      <c r="CR33">
        <f>1.8</f>
        <v>1.8</v>
      </c>
      <c r="CS33">
        <f>1.684</f>
        <v>1.6839999999999999</v>
      </c>
      <c r="CT33">
        <f>1.849</f>
        <v>1.849</v>
      </c>
      <c r="CU33">
        <f>1.904</f>
        <v>1.9039999999999999</v>
      </c>
      <c r="CV33">
        <f>1.878</f>
        <v>1.8779999999999999</v>
      </c>
      <c r="CW33">
        <f>2.077</f>
        <v>2.077</v>
      </c>
      <c r="CX33">
        <f>1.468</f>
        <v>1.468</v>
      </c>
      <c r="CY33">
        <f>1.763</f>
        <v>1.7629999999999999</v>
      </c>
      <c r="CZ33">
        <f>1.622</f>
        <v>1.6220000000000001</v>
      </c>
      <c r="DA33">
        <f>1.579</f>
        <v>1.579</v>
      </c>
      <c r="DB33">
        <f>1.638</f>
        <v>1.6379999999999999</v>
      </c>
      <c r="DC33">
        <f>1.72</f>
        <v>1.72</v>
      </c>
      <c r="DD33">
        <f>1.49</f>
        <v>1.49</v>
      </c>
      <c r="DE33">
        <f>1.488</f>
        <v>1.488</v>
      </c>
      <c r="DF33">
        <f>1.444</f>
        <v>1.444</v>
      </c>
      <c r="DG33">
        <f>2.073</f>
        <v>2.073</v>
      </c>
      <c r="DH33">
        <f>1.585</f>
        <v>1.585</v>
      </c>
      <c r="DI33">
        <f>1.395</f>
        <v>1.395</v>
      </c>
      <c r="DJ33">
        <f>1.207</f>
        <v>1.2070000000000001</v>
      </c>
      <c r="DK33">
        <f>1.129</f>
        <v>1.129</v>
      </c>
      <c r="DL33">
        <f>1.379</f>
        <v>1.379</v>
      </c>
      <c r="DM33">
        <f>1.363</f>
        <v>1.363</v>
      </c>
      <c r="DN33">
        <f>0.434</f>
        <v>0.434</v>
      </c>
      <c r="DO33">
        <f>0.142</f>
        <v>0.14199999999999999</v>
      </c>
      <c r="DP33">
        <f>0.157</f>
        <v>0.157</v>
      </c>
      <c r="DQ33">
        <f>0.157</f>
        <v>0.157</v>
      </c>
      <c r="DR33">
        <f>0.148</f>
        <v>0.14799999999999999</v>
      </c>
      <c r="DS33">
        <f>0.187999994</f>
        <v>0.187999994</v>
      </c>
      <c r="DT33">
        <f>0.234</f>
        <v>0.23400000000000001</v>
      </c>
      <c r="DU33">
        <f>0.247</f>
        <v>0.247</v>
      </c>
    </row>
    <row r="34" spans="1:125">
      <c r="A34" t="str">
        <f>"    Camden Property Trust"</f>
        <v xml:space="preserve">    Camden Property Trust</v>
      </c>
      <c r="B34" t="str">
        <f>"CPT US Equity"</f>
        <v>CPT US Equity</v>
      </c>
      <c r="C34" t="str">
        <f t="shared" si="9"/>
        <v>IS019</v>
      </c>
      <c r="D34" t="str">
        <f t="shared" si="10"/>
        <v>IS_COMM_AND_FEE_EARN_INC_REO</v>
      </c>
      <c r="E34" t="str">
        <f t="shared" si="11"/>
        <v>动态</v>
      </c>
      <c r="F34" t="str">
        <f ca="1">IF(AND(ISNUMBER($F$254),$B$226=1),$F$254,HLOOKUP(INDIRECT(ADDRESS(2,COLUMN())),OFFSET($BN$2,0,0,ROW()-1,60),ROW()-1,FALSE))</f>
        <v/>
      </c>
      <c r="G34">
        <f ca="1">IF(AND(ISNUMBER($G$254),$B$226=1),$G$254,HLOOKUP(INDIRECT(ADDRESS(2,COLUMN())),OFFSET($BN$2,0,0,ROW()-1,60),ROW()-1,FALSE))</f>
        <v>2.37</v>
      </c>
      <c r="H34">
        <f ca="1">IF(AND(ISNUMBER($H$254),$B$226=1),$H$254,HLOOKUP(INDIRECT(ADDRESS(2,COLUMN())),OFFSET($BN$2,0,0,ROW()-1,60),ROW()-1,FALSE))</f>
        <v>2.1160000000000001</v>
      </c>
      <c r="I34">
        <f ca="1">IF(AND(ISNUMBER($I$254),$B$226=1),$I$254,HLOOKUP(INDIRECT(ADDRESS(2,COLUMN())),OFFSET($BN$2,0,0,ROW()-1,60),ROW()-1,FALSE))</f>
        <v>1.9419999999999999</v>
      </c>
      <c r="J34">
        <f ca="1">IF(AND(ISNUMBER($J$254),$B$226=1),$J$254,HLOOKUP(INDIRECT(ADDRESS(2,COLUMN())),OFFSET($BN$2,0,0,ROW()-1,60),ROW()-1,FALSE))</f>
        <v>1.748</v>
      </c>
      <c r="K34">
        <f ca="1">IF(AND(ISNUMBER($K$254),$B$226=1),$K$254,HLOOKUP(INDIRECT(ADDRESS(2,COLUMN())),OFFSET($BN$2,0,0,ROW()-1,60),ROW()-1,FALSE))</f>
        <v>1.641</v>
      </c>
      <c r="L34">
        <f ca="1">IF(AND(ISNUMBER($L$254),$B$226=1),$L$254,HLOOKUP(INDIRECT(ADDRESS(2,COLUMN())),OFFSET($BN$2,0,0,ROW()-1,60),ROW()-1,FALSE))</f>
        <v>1.667</v>
      </c>
      <c r="M34">
        <f ca="1">IF(AND(ISNUMBER($M$254),$B$226=1),$M$254,HLOOKUP(INDIRECT(ADDRESS(2,COLUMN())),OFFSET($BN$2,0,0,ROW()-1,60),ROW()-1,FALSE))</f>
        <v>1.7909999999999999</v>
      </c>
      <c r="N34">
        <f ca="1">IF(AND(ISNUMBER($N$254),$B$226=1),$N$254,HLOOKUP(INDIRECT(ADDRESS(2,COLUMN())),OFFSET($BN$2,0,0,ROW()-1,60),ROW()-1,FALSE))</f>
        <v>1.7649999999999999</v>
      </c>
      <c r="O34">
        <f ca="1">IF(AND(ISNUMBER($O$254),$B$226=1),$O$254,HLOOKUP(INDIRECT(ADDRESS(2,COLUMN())),OFFSET($BN$2,0,0,ROW()-1,60),ROW()-1,FALSE))</f>
        <v>1.9159999999999999</v>
      </c>
      <c r="P34">
        <f ca="1">IF(AND(ISNUMBER($P$254),$B$226=1),$P$254,HLOOKUP(INDIRECT(ADDRESS(2,COLUMN())),OFFSET($BN$2,0,0,ROW()-1,60),ROW()-1,FALSE))</f>
        <v>1.9019999999999999</v>
      </c>
      <c r="Q34">
        <f ca="1">IF(AND(ISNUMBER($Q$254),$B$226=1),$Q$254,HLOOKUP(INDIRECT(ADDRESS(2,COLUMN())),OFFSET($BN$2,0,0,ROW()-1,60),ROW()-1,FALSE))</f>
        <v>1.6180000000000001</v>
      </c>
      <c r="R34">
        <f ca="1">IF(AND(ISNUMBER($R$254),$B$226=1),$R$254,HLOOKUP(INDIRECT(ADDRESS(2,COLUMN())),OFFSET($BN$2,0,0,ROW()-1,60),ROW()-1,FALSE))</f>
        <v>1.5629999999999999</v>
      </c>
      <c r="S34">
        <f ca="1">IF(AND(ISNUMBER($S$254),$B$226=1),$S$254,HLOOKUP(INDIRECT(ADDRESS(2,COLUMN())),OFFSET($BN$2,0,0,ROW()-1,60),ROW()-1,FALSE))</f>
        <v>2.5310000000000001</v>
      </c>
      <c r="T34">
        <f ca="1">IF(AND(ISNUMBER($T$254),$B$226=1),$T$254,HLOOKUP(INDIRECT(ADDRESS(2,COLUMN())),OFFSET($BN$2,0,0,ROW()-1,60),ROW()-1,FALSE))</f>
        <v>2.1309999999999998</v>
      </c>
      <c r="U34">
        <f ca="1">IF(AND(ISNUMBER($U$254),$B$226=1),$U$254,HLOOKUP(INDIRECT(ADDRESS(2,COLUMN())),OFFSET($BN$2,0,0,ROW()-1,60),ROW()-1,FALSE))</f>
        <v>2.1469999999999998</v>
      </c>
      <c r="V34">
        <f ca="1">IF(AND(ISNUMBER($V$254),$B$226=1),$V$254,HLOOKUP(INDIRECT(ADDRESS(2,COLUMN())),OFFSET($BN$2,0,0,ROW()-1,60),ROW()-1,FALSE))</f>
        <v>3.0230000000000001</v>
      </c>
      <c r="W34">
        <f ca="1">IF(AND(ISNUMBER($W$254),$B$226=1),$W$254,HLOOKUP(INDIRECT(ADDRESS(2,COLUMN())),OFFSET($BN$2,0,0,ROW()-1,60),ROW()-1,FALSE))</f>
        <v>2.8730000000000002</v>
      </c>
      <c r="X34">
        <f ca="1">IF(AND(ISNUMBER($X$254),$B$226=1),$X$254,HLOOKUP(INDIRECT(ADDRESS(2,COLUMN())),OFFSET($BN$2,0,0,ROW()-1,60),ROW()-1,FALSE))</f>
        <v>3.0960000000000001</v>
      </c>
      <c r="Y34">
        <f ca="1">IF(AND(ISNUMBER($Y$254),$B$226=1),$Y$254,HLOOKUP(INDIRECT(ADDRESS(2,COLUMN())),OFFSET($BN$2,0,0,ROW()-1,60),ROW()-1,FALSE))</f>
        <v>2.827</v>
      </c>
      <c r="Z34">
        <f ca="1">IF(AND(ISNUMBER($Z$254),$B$226=1),$Z$254,HLOOKUP(INDIRECT(ADDRESS(2,COLUMN())),OFFSET($BN$2,0,0,ROW()-1,60),ROW()-1,FALSE))</f>
        <v>2.8940000000000001</v>
      </c>
      <c r="AA34">
        <f ca="1">IF(AND(ISNUMBER($AA$254),$B$226=1),$AA$254,HLOOKUP(INDIRECT(ADDRESS(2,COLUMN())),OFFSET($BN$2,0,0,ROW()-1,60),ROW()-1,FALSE))</f>
        <v>2.7730000000000001</v>
      </c>
      <c r="AB34">
        <f ca="1">IF(AND(ISNUMBER($AB$254),$B$226=1),$AB$254,HLOOKUP(INDIRECT(ADDRESS(2,COLUMN())),OFFSET($BN$2,0,0,ROW()-1,60),ROW()-1,FALSE))</f>
        <v>3.0409999999999999</v>
      </c>
      <c r="AC34">
        <f ca="1">IF(AND(ISNUMBER($AC$254),$B$226=1),$AC$254,HLOOKUP(INDIRECT(ADDRESS(2,COLUMN())),OFFSET($BN$2,0,0,ROW()-1,60),ROW()-1,FALSE))</f>
        <v>3.6080000000000001</v>
      </c>
      <c r="AD34">
        <f ca="1">IF(AND(ISNUMBER($AD$254),$B$226=1),$AD$254,HLOOKUP(INDIRECT(ADDRESS(2,COLUMN())),OFFSET($BN$2,0,0,ROW()-1,60),ROW()-1,FALSE))</f>
        <v>2.923</v>
      </c>
      <c r="AE34">
        <f ca="1">IF(AND(ISNUMBER($AE$254),$B$226=1),$AE$254,HLOOKUP(INDIRECT(ADDRESS(2,COLUMN())),OFFSET($BN$2,0,0,ROW()-1,60),ROW()-1,FALSE))</f>
        <v>3.0179999999999998</v>
      </c>
      <c r="AF34">
        <f ca="1">IF(AND(ISNUMBER($AF$254),$B$226=1),$AF$254,HLOOKUP(INDIRECT(ADDRESS(2,COLUMN())),OFFSET($BN$2,0,0,ROW()-1,60),ROW()-1,FALSE))</f>
        <v>2.6459999999999999</v>
      </c>
      <c r="AG34">
        <f ca="1">IF(AND(ISNUMBER($AG$254),$B$226=1),$AG$254,HLOOKUP(INDIRECT(ADDRESS(2,COLUMN())),OFFSET($BN$2,0,0,ROW()-1,60),ROW()-1,FALSE))</f>
        <v>2.4710000000000001</v>
      </c>
      <c r="AH34">
        <f ca="1">IF(AND(ISNUMBER($AH$254),$B$226=1),$AH$254,HLOOKUP(INDIRECT(ADDRESS(2,COLUMN())),OFFSET($BN$2,0,0,ROW()-1,60),ROW()-1,FALSE))</f>
        <v>1.8380000000000001</v>
      </c>
      <c r="AI34">
        <f ca="1">IF(AND(ISNUMBER($AI$254),$B$226=1),$AI$254,HLOOKUP(INDIRECT(ADDRESS(2,COLUMN())),OFFSET($BN$2,0,0,ROW()-1,60),ROW()-1,FALSE))</f>
        <v>2.1440000000000001</v>
      </c>
      <c r="AJ34">
        <f ca="1">IF(AND(ISNUMBER($AJ$254),$B$226=1),$AJ$254,HLOOKUP(INDIRECT(ADDRESS(2,COLUMN())),OFFSET($BN$2,0,0,ROW()-1,60),ROW()-1,FALSE))</f>
        <v>2.145</v>
      </c>
      <c r="AK34">
        <f ca="1">IF(AND(ISNUMBER($AK$254),$B$226=1),$AK$254,HLOOKUP(INDIRECT(ADDRESS(2,COLUMN())),OFFSET($BN$2,0,0,ROW()-1,60),ROW()-1,FALSE))</f>
        <v>2.0449999999999999</v>
      </c>
      <c r="AL34">
        <f ca="1">IF(AND(ISNUMBER($AL$254),$B$226=1),$AL$254,HLOOKUP(INDIRECT(ADDRESS(2,COLUMN())),OFFSET($BN$2,0,0,ROW()-1,60),ROW()-1,FALSE))</f>
        <v>1.8380000000000001</v>
      </c>
      <c r="AM34">
        <f ca="1">IF(AND(ISNUMBER($AM$254),$B$226=1),$AM$254,HLOOKUP(INDIRECT(ADDRESS(2,COLUMN())),OFFSET($BN$2,0,0,ROW()-1,60),ROW()-1,FALSE))</f>
        <v>1.915</v>
      </c>
      <c r="AN34">
        <f ca="1">IF(AND(ISNUMBER($AN$254),$B$226=1),$AN$254,HLOOKUP(INDIRECT(ADDRESS(2,COLUMN())),OFFSET($BN$2,0,0,ROW()-1,60),ROW()-1,FALSE))</f>
        <v>1.8180000000000001</v>
      </c>
      <c r="AO34">
        <f ca="1">IF(AND(ISNUMBER($AO$254),$B$226=1),$AO$254,HLOOKUP(INDIRECT(ADDRESS(2,COLUMN())),OFFSET($BN$2,0,0,ROW()-1,60),ROW()-1,FALSE))</f>
        <v>2.2440000000000002</v>
      </c>
      <c r="AP34">
        <f ca="1">IF(AND(ISNUMBER($AP$254),$B$226=1),$AP$254,HLOOKUP(INDIRECT(ADDRESS(2,COLUMN())),OFFSET($BN$2,0,0,ROW()-1,60),ROW()-1,FALSE))</f>
        <v>2.0310000000000001</v>
      </c>
      <c r="AQ34">
        <f ca="1">IF(AND(ISNUMBER($AQ$254),$B$226=1),$AQ$254,HLOOKUP(INDIRECT(ADDRESS(2,COLUMN())),OFFSET($BN$2,0,0,ROW()-1,60),ROW()-1,FALSE))</f>
        <v>2.274</v>
      </c>
      <c r="AR34">
        <f ca="1">IF(AND(ISNUMBER($AR$254),$B$226=1),$AR$254,HLOOKUP(INDIRECT(ADDRESS(2,COLUMN())),OFFSET($BN$2,0,0,ROW()-1,60),ROW()-1,FALSE))</f>
        <v>2.35</v>
      </c>
      <c r="AS34">
        <f ca="1">IF(AND(ISNUMBER($AS$254),$B$226=1),$AS$254,HLOOKUP(INDIRECT(ADDRESS(2,COLUMN())),OFFSET($BN$2,0,0,ROW()-1,60),ROW()-1,FALSE))</f>
        <v>2.1309999999999998</v>
      </c>
      <c r="AT34">
        <f ca="1">IF(AND(ISNUMBER($AT$254),$B$226=1),$AT$254,HLOOKUP(INDIRECT(ADDRESS(2,COLUMN())),OFFSET($BN$2,0,0,ROW()-1,60),ROW()-1,FALSE))</f>
        <v>2.4119999999999999</v>
      </c>
      <c r="AU34">
        <f ca="1">IF(AND(ISNUMBER($AU$254),$B$226=1),$AU$254,HLOOKUP(INDIRECT(ADDRESS(2,COLUMN())),OFFSET($BN$2,0,0,ROW()-1,60),ROW()-1,FALSE))</f>
        <v>1.722</v>
      </c>
      <c r="AV34">
        <f ca="1">IF(AND(ISNUMBER($AV$254),$B$226=1),$AV$254,HLOOKUP(INDIRECT(ADDRESS(2,COLUMN())),OFFSET($BN$2,0,0,ROW()-1,60),ROW()-1,FALSE))</f>
        <v>1.7649999999999999</v>
      </c>
      <c r="AW34">
        <f ca="1">IF(AND(ISNUMBER($AW$254),$B$226=1),$AW$254,HLOOKUP(INDIRECT(ADDRESS(2,COLUMN())),OFFSET($BN$2,0,0,ROW()-1,60),ROW()-1,FALSE))</f>
        <v>2.42</v>
      </c>
      <c r="AX34">
        <f ca="1">IF(AND(ISNUMBER($AX$254),$B$226=1),$AX$254,HLOOKUP(INDIRECT(ADDRESS(2,COLUMN())),OFFSET($BN$2,0,0,ROW()-1,60),ROW()-1,FALSE))</f>
        <v>2.3860000000000001</v>
      </c>
      <c r="AY34">
        <f ca="1">IF(AND(ISNUMBER($AY$254),$B$226=1),$AY$254,HLOOKUP(INDIRECT(ADDRESS(2,COLUMN())),OFFSET($BN$2,0,0,ROW()-1,60),ROW()-1,FALSE))</f>
        <v>3.0110000000000001</v>
      </c>
      <c r="AZ34">
        <f ca="1">IF(AND(ISNUMBER($AZ$254),$B$226=1),$AZ$254,HLOOKUP(INDIRECT(ADDRESS(2,COLUMN())),OFFSET($BN$2,0,0,ROW()-1,60),ROW()-1,FALSE))</f>
        <v>5.4329999999999998</v>
      </c>
      <c r="BA34">
        <f ca="1">IF(AND(ISNUMBER($BA$254),$B$226=1),$BA$254,HLOOKUP(INDIRECT(ADDRESS(2,COLUMN())),OFFSET($BN$2,0,0,ROW()-1,60),ROW()-1,FALSE))</f>
        <v>3.12</v>
      </c>
      <c r="BB34">
        <f ca="1">IF(AND(ISNUMBER($BB$254),$B$226=1),$BB$254,HLOOKUP(INDIRECT(ADDRESS(2,COLUMN())),OFFSET($BN$2,0,0,ROW()-1,60),ROW()-1,FALSE))</f>
        <v>2.4769999999999999</v>
      </c>
      <c r="BC34">
        <f ca="1">IF(AND(ISNUMBER($BC$254),$B$226=1),$BC$254,HLOOKUP(INDIRECT(ADDRESS(2,COLUMN())),OFFSET($BN$2,0,0,ROW()-1,60),ROW()-1,FALSE))</f>
        <v>1.9830000000000001</v>
      </c>
      <c r="BD34">
        <f ca="1">IF(AND(ISNUMBER($BD$254),$B$226=1),$BD$254,HLOOKUP(INDIRECT(ADDRESS(2,COLUMN())),OFFSET($BN$2,0,0,ROW()-1,60),ROW()-1,FALSE))</f>
        <v>1.7889999999999999</v>
      </c>
      <c r="BE34">
        <f ca="1">IF(AND(ISNUMBER($BE$254),$B$226=1),$BE$254,HLOOKUP(INDIRECT(ADDRESS(2,COLUMN())),OFFSET($BN$2,0,0,ROW()-1,60),ROW()-1,FALSE))</f>
        <v>1.8340000000000001</v>
      </c>
      <c r="BF34">
        <f ca="1">IF(AND(ISNUMBER($BF$254),$B$226=1),$BF$254,HLOOKUP(INDIRECT(ADDRESS(2,COLUMN())),OFFSET($BN$2,0,0,ROW()-1,60),ROW()-1,FALSE))</f>
        <v>7.306</v>
      </c>
      <c r="BG34">
        <f ca="1">IF(AND(ISNUMBER($BG$254),$B$226=1),$BG$254,HLOOKUP(INDIRECT(ADDRESS(2,COLUMN())),OFFSET($BN$2,0,0,ROW()-1,60),ROW()-1,FALSE))</f>
        <v>2.548</v>
      </c>
      <c r="BH34">
        <f ca="1">IF(AND(ISNUMBER($BH$254),$B$226=1),$BH$254,HLOOKUP(INDIRECT(ADDRESS(2,COLUMN())),OFFSET($BN$2,0,0,ROW()-1,60),ROW()-1,FALSE))</f>
        <v>1.962</v>
      </c>
      <c r="BI34">
        <f ca="1">IF(AND(ISNUMBER($BI$254),$B$226=1),$BI$254,HLOOKUP(INDIRECT(ADDRESS(2,COLUMN())),OFFSET($BN$2,0,0,ROW()-1,60),ROW()-1,FALSE))</f>
        <v>2.496</v>
      </c>
      <c r="BJ34">
        <f ca="1">IF(AND(ISNUMBER($BJ$254),$B$226=1),$BJ$254,HLOOKUP(INDIRECT(ADDRESS(2,COLUMN())),OFFSET($BN$2,0,0,ROW()-1,60),ROW()-1,FALSE))</f>
        <v>2.181</v>
      </c>
      <c r="BK34">
        <f ca="1">IF(AND(ISNUMBER($BK$254),$B$226=1),$BK$254,HLOOKUP(INDIRECT(ADDRESS(2,COLUMN())),OFFSET($BN$2,0,0,ROW()-1,60),ROW()-1,FALSE))</f>
        <v>1.873999953</v>
      </c>
      <c r="BL34">
        <f ca="1">IF(AND(ISNUMBER($BL$254),$B$226=1),$BL$254,HLOOKUP(INDIRECT(ADDRESS(2,COLUMN())),OFFSET($BN$2,0,0,ROW()-1,60),ROW()-1,FALSE))</f>
        <v>1.944</v>
      </c>
      <c r="BM34">
        <f ca="1">IF(AND(ISNUMBER($BM$254),$B$226=1),$BM$254,HLOOKUP(INDIRECT(ADDRESS(2,COLUMN())),OFFSET($BN$2,0,0,ROW()-1,60),ROW()-1,FALSE))</f>
        <v>1.6879999999999999</v>
      </c>
      <c r="BN34" t="str">
        <f>""</f>
        <v/>
      </c>
      <c r="BO34">
        <f>2.37</f>
        <v>2.37</v>
      </c>
      <c r="BP34">
        <f>2.116</f>
        <v>2.1160000000000001</v>
      </c>
      <c r="BQ34">
        <f>1.942</f>
        <v>1.9419999999999999</v>
      </c>
      <c r="BR34">
        <f>1.748</f>
        <v>1.748</v>
      </c>
      <c r="BS34">
        <f>1.641</f>
        <v>1.641</v>
      </c>
      <c r="BT34">
        <f>1.667</f>
        <v>1.667</v>
      </c>
      <c r="BU34">
        <f>1.791</f>
        <v>1.7909999999999999</v>
      </c>
      <c r="BV34">
        <f>1.765</f>
        <v>1.7649999999999999</v>
      </c>
      <c r="BW34">
        <f>1.916</f>
        <v>1.9159999999999999</v>
      </c>
      <c r="BX34">
        <f>1.902</f>
        <v>1.9019999999999999</v>
      </c>
      <c r="BY34">
        <f>1.618</f>
        <v>1.6180000000000001</v>
      </c>
      <c r="BZ34">
        <f>1.563</f>
        <v>1.5629999999999999</v>
      </c>
      <c r="CA34">
        <f>2.531</f>
        <v>2.5310000000000001</v>
      </c>
      <c r="CB34">
        <f>2.131</f>
        <v>2.1309999999999998</v>
      </c>
      <c r="CC34">
        <f>2.147</f>
        <v>2.1469999999999998</v>
      </c>
      <c r="CD34">
        <f>3.023</f>
        <v>3.0230000000000001</v>
      </c>
      <c r="CE34">
        <f>2.873</f>
        <v>2.8730000000000002</v>
      </c>
      <c r="CF34">
        <f>3.096</f>
        <v>3.0960000000000001</v>
      </c>
      <c r="CG34">
        <f>2.827</f>
        <v>2.827</v>
      </c>
      <c r="CH34">
        <f>2.894</f>
        <v>2.8940000000000001</v>
      </c>
      <c r="CI34">
        <f>2.773</f>
        <v>2.7730000000000001</v>
      </c>
      <c r="CJ34">
        <f>3.041</f>
        <v>3.0409999999999999</v>
      </c>
      <c r="CK34">
        <f>3.608</f>
        <v>3.6080000000000001</v>
      </c>
      <c r="CL34">
        <f>2.923</f>
        <v>2.923</v>
      </c>
      <c r="CM34">
        <f>3.018</f>
        <v>3.0179999999999998</v>
      </c>
      <c r="CN34">
        <f>2.646</f>
        <v>2.6459999999999999</v>
      </c>
      <c r="CO34">
        <f>2.471</f>
        <v>2.4710000000000001</v>
      </c>
      <c r="CP34">
        <f>1.838</f>
        <v>1.8380000000000001</v>
      </c>
      <c r="CQ34">
        <f>2.144</f>
        <v>2.1440000000000001</v>
      </c>
      <c r="CR34">
        <f>2.145</f>
        <v>2.145</v>
      </c>
      <c r="CS34">
        <f>2.045</f>
        <v>2.0449999999999999</v>
      </c>
      <c r="CT34">
        <f>1.838</f>
        <v>1.8380000000000001</v>
      </c>
      <c r="CU34">
        <f>1.915</f>
        <v>1.915</v>
      </c>
      <c r="CV34">
        <f>1.818</f>
        <v>1.8180000000000001</v>
      </c>
      <c r="CW34">
        <f>2.244</f>
        <v>2.2440000000000002</v>
      </c>
      <c r="CX34">
        <f>2.031</f>
        <v>2.0310000000000001</v>
      </c>
      <c r="CY34">
        <f>2.274</f>
        <v>2.274</v>
      </c>
      <c r="CZ34">
        <f>2.35</f>
        <v>2.35</v>
      </c>
      <c r="DA34">
        <f>2.131</f>
        <v>2.1309999999999998</v>
      </c>
      <c r="DB34">
        <f>2.412</f>
        <v>2.4119999999999999</v>
      </c>
      <c r="DC34">
        <f>1.722</f>
        <v>1.722</v>
      </c>
      <c r="DD34">
        <f>1.765</f>
        <v>1.7649999999999999</v>
      </c>
      <c r="DE34">
        <f>2.42</f>
        <v>2.42</v>
      </c>
      <c r="DF34">
        <f>2.386</f>
        <v>2.3860000000000001</v>
      </c>
      <c r="DG34">
        <f>3.011</f>
        <v>3.0110000000000001</v>
      </c>
      <c r="DH34">
        <f>5.433</f>
        <v>5.4329999999999998</v>
      </c>
      <c r="DI34">
        <f>3.12</f>
        <v>3.12</v>
      </c>
      <c r="DJ34">
        <f>2.477</f>
        <v>2.4769999999999999</v>
      </c>
      <c r="DK34">
        <f>1.983</f>
        <v>1.9830000000000001</v>
      </c>
      <c r="DL34">
        <f>1.789</f>
        <v>1.7889999999999999</v>
      </c>
      <c r="DM34">
        <f>1.834</f>
        <v>1.8340000000000001</v>
      </c>
      <c r="DN34">
        <f>7.306</f>
        <v>7.306</v>
      </c>
      <c r="DO34">
        <f>2.548</f>
        <v>2.548</v>
      </c>
      <c r="DP34">
        <f>1.962</f>
        <v>1.962</v>
      </c>
      <c r="DQ34">
        <f>2.496</f>
        <v>2.496</v>
      </c>
      <c r="DR34">
        <f>2.181</f>
        <v>2.181</v>
      </c>
      <c r="DS34">
        <f>1.873999953</f>
        <v>1.873999953</v>
      </c>
      <c r="DT34">
        <f>1.944</f>
        <v>1.944</v>
      </c>
      <c r="DU34">
        <f>1.688</f>
        <v>1.6879999999999999</v>
      </c>
    </row>
    <row r="35" spans="1:125">
      <c r="A35" t="str">
        <f>"    Education Realty Trust Inc"</f>
        <v xml:space="preserve">    Education Realty Trust Inc</v>
      </c>
      <c r="B35" t="str">
        <f>"EDR US Equity"</f>
        <v>EDR US Equity</v>
      </c>
      <c r="C35" t="str">
        <f t="shared" si="9"/>
        <v>IS019</v>
      </c>
      <c r="D35" t="str">
        <f t="shared" si="10"/>
        <v>IS_COMM_AND_FEE_EARN_INC_REO</v>
      </c>
      <c r="E35" t="str">
        <f t="shared" si="11"/>
        <v>动态</v>
      </c>
      <c r="F35" t="str">
        <f ca="1">IF(AND(ISNUMBER($F$255),$B$226=1),$F$255,HLOOKUP(INDIRECT(ADDRESS(2,COLUMN())),OFFSET($BN$2,0,0,ROW()-1,60),ROW()-1,FALSE))</f>
        <v/>
      </c>
      <c r="G35">
        <f ca="1">IF(AND(ISNUMBER($G$255),$B$226=1),$G$255,HLOOKUP(INDIRECT(ADDRESS(2,COLUMN())),OFFSET($BN$2,0,0,ROW()-1,60),ROW()-1,FALSE))</f>
        <v>2.165</v>
      </c>
      <c r="H35">
        <f ca="1">IF(AND(ISNUMBER($H$255),$B$226=1),$H$255,HLOOKUP(INDIRECT(ADDRESS(2,COLUMN())),OFFSET($BN$2,0,0,ROW()-1,60),ROW()-1,FALSE))</f>
        <v>2.08</v>
      </c>
      <c r="I35">
        <f ca="1">IF(AND(ISNUMBER($I$255),$B$226=1),$I$255,HLOOKUP(INDIRECT(ADDRESS(2,COLUMN())),OFFSET($BN$2,0,0,ROW()-1,60),ROW()-1,FALSE))</f>
        <v>1.9870000000000001</v>
      </c>
      <c r="J35">
        <f ca="1">IF(AND(ISNUMBER($J$255),$B$226=1),$J$255,HLOOKUP(INDIRECT(ADDRESS(2,COLUMN())),OFFSET($BN$2,0,0,ROW()-1,60),ROW()-1,FALSE))</f>
        <v>2.76</v>
      </c>
      <c r="K35">
        <f ca="1">IF(AND(ISNUMBER($K$255),$B$226=1),$K$255,HLOOKUP(INDIRECT(ADDRESS(2,COLUMN())),OFFSET($BN$2,0,0,ROW()-1,60),ROW()-1,FALSE))</f>
        <v>1.6679999999999999</v>
      </c>
      <c r="L35">
        <f ca="1">IF(AND(ISNUMBER($L$255),$B$226=1),$L$255,HLOOKUP(INDIRECT(ADDRESS(2,COLUMN())),OFFSET($BN$2,0,0,ROW()-1,60),ROW()-1,FALSE))</f>
        <v>1.7430000000000001</v>
      </c>
      <c r="M35">
        <f ca="1">IF(AND(ISNUMBER($M$255),$B$226=1),$M$255,HLOOKUP(INDIRECT(ADDRESS(2,COLUMN())),OFFSET($BN$2,0,0,ROW()-1,60),ROW()-1,FALSE))</f>
        <v>1.1639999999999999</v>
      </c>
      <c r="N35">
        <f ca="1">IF(AND(ISNUMBER($N$255),$B$226=1),$N$255,HLOOKUP(INDIRECT(ADDRESS(2,COLUMN())),OFFSET($BN$2,0,0,ROW()-1,60),ROW()-1,FALSE))</f>
        <v>1.377</v>
      </c>
      <c r="O35">
        <f ca="1">IF(AND(ISNUMBER($O$255),$B$226=1),$O$255,HLOOKUP(INDIRECT(ADDRESS(2,COLUMN())),OFFSET($BN$2,0,0,ROW()-1,60),ROW()-1,FALSE))</f>
        <v>1.6739999999999999</v>
      </c>
      <c r="P35">
        <f ca="1">IF(AND(ISNUMBER($P$255),$B$226=1),$P$255,HLOOKUP(INDIRECT(ADDRESS(2,COLUMN())),OFFSET($BN$2,0,0,ROW()-1,60),ROW()-1,FALSE))</f>
        <v>1.355</v>
      </c>
      <c r="Q35">
        <f ca="1">IF(AND(ISNUMBER($Q$255),$B$226=1),$Q$255,HLOOKUP(INDIRECT(ADDRESS(2,COLUMN())),OFFSET($BN$2,0,0,ROW()-1,60),ROW()-1,FALSE))</f>
        <v>1.224</v>
      </c>
      <c r="R35">
        <f ca="1">IF(AND(ISNUMBER($R$255),$B$226=1),$R$255,HLOOKUP(INDIRECT(ADDRESS(2,COLUMN())),OFFSET($BN$2,0,0,ROW()-1,60),ROW()-1,FALSE))</f>
        <v>1.65</v>
      </c>
      <c r="S35">
        <f ca="1">IF(AND(ISNUMBER($S$255),$B$226=1),$S$255,HLOOKUP(INDIRECT(ADDRESS(2,COLUMN())),OFFSET($BN$2,0,0,ROW()-1,60),ROW()-1,FALSE))</f>
        <v>2.6440000000000001</v>
      </c>
      <c r="T35">
        <f ca="1">IF(AND(ISNUMBER($T$255),$B$226=1),$T$255,HLOOKUP(INDIRECT(ADDRESS(2,COLUMN())),OFFSET($BN$2,0,0,ROW()-1,60),ROW()-1,FALSE))</f>
        <v>4.7569999999999997</v>
      </c>
      <c r="U35">
        <f ca="1">IF(AND(ISNUMBER($U$255),$B$226=1),$U$255,HLOOKUP(INDIRECT(ADDRESS(2,COLUMN())),OFFSET($BN$2,0,0,ROW()-1,60),ROW()-1,FALSE))</f>
        <v>1.5429999999999999</v>
      </c>
      <c r="V35">
        <f ca="1">IF(AND(ISNUMBER($V$255),$B$226=1),$V$255,HLOOKUP(INDIRECT(ADDRESS(2,COLUMN())),OFFSET($BN$2,0,0,ROW()-1,60),ROW()-1,FALSE))</f>
        <v>1.82</v>
      </c>
      <c r="W35">
        <f ca="1">IF(AND(ISNUMBER($W$255),$B$226=1),$W$255,HLOOKUP(INDIRECT(ADDRESS(2,COLUMN())),OFFSET($BN$2,0,0,ROW()-1,60),ROW()-1,FALSE))</f>
        <v>1.986</v>
      </c>
      <c r="X35">
        <f ca="1">IF(AND(ISNUMBER($X$255),$B$226=1),$X$255,HLOOKUP(INDIRECT(ADDRESS(2,COLUMN())),OFFSET($BN$2,0,0,ROW()-1,60),ROW()-1,FALSE))</f>
        <v>1.7569999999999999</v>
      </c>
      <c r="Y35">
        <f ca="1">IF(AND(ISNUMBER($Y$255),$B$226=1),$Y$255,HLOOKUP(INDIRECT(ADDRESS(2,COLUMN())),OFFSET($BN$2,0,0,ROW()-1,60),ROW()-1,FALSE))</f>
        <v>1.5820000000000001</v>
      </c>
      <c r="Z35">
        <f ca="1">IF(AND(ISNUMBER($Z$255),$B$226=1),$Z$255,HLOOKUP(INDIRECT(ADDRESS(2,COLUMN())),OFFSET($BN$2,0,0,ROW()-1,60),ROW()-1,FALSE))</f>
        <v>1.36</v>
      </c>
      <c r="AA35">
        <f ca="1">IF(AND(ISNUMBER($AA$255),$B$226=1),$AA$255,HLOOKUP(INDIRECT(ADDRESS(2,COLUMN())),OFFSET($BN$2,0,0,ROW()-1,60),ROW()-1,FALSE))</f>
        <v>1.325</v>
      </c>
      <c r="AB35">
        <f ca="1">IF(AND(ISNUMBER($AB$255),$B$226=1),$AB$255,HLOOKUP(INDIRECT(ADDRESS(2,COLUMN())),OFFSET($BN$2,0,0,ROW()-1,60),ROW()-1,FALSE))</f>
        <v>1.024</v>
      </c>
      <c r="AC35">
        <f ca="1">IF(AND(ISNUMBER($AC$255),$B$226=1),$AC$255,HLOOKUP(INDIRECT(ADDRESS(2,COLUMN())),OFFSET($BN$2,0,0,ROW()-1,60),ROW()-1,FALSE))</f>
        <v>0.73599999999999999</v>
      </c>
      <c r="AD35">
        <f ca="1">IF(AND(ISNUMBER($AD$255),$B$226=1),$AD$255,HLOOKUP(INDIRECT(ADDRESS(2,COLUMN())),OFFSET($BN$2,0,0,ROW()-1,60),ROW()-1,FALSE))</f>
        <v>1.181</v>
      </c>
      <c r="AE35">
        <f ca="1">IF(AND(ISNUMBER($AE$255),$B$226=1),$AE$255,HLOOKUP(INDIRECT(ADDRESS(2,COLUMN())),OFFSET($BN$2,0,0,ROW()-1,60),ROW()-1,FALSE))</f>
        <v>1.5329999999999999</v>
      </c>
      <c r="AF35">
        <f ca="1">IF(AND(ISNUMBER($AF$255),$B$226=1),$AF$255,HLOOKUP(INDIRECT(ADDRESS(2,COLUMN())),OFFSET($BN$2,0,0,ROW()-1,60),ROW()-1,FALSE))</f>
        <v>1.978</v>
      </c>
      <c r="AG35">
        <f ca="1">IF(AND(ISNUMBER($AG$255),$B$226=1),$AG$255,HLOOKUP(INDIRECT(ADDRESS(2,COLUMN())),OFFSET($BN$2,0,0,ROW()-1,60),ROW()-1,FALSE))</f>
        <v>1.8180000000000001</v>
      </c>
      <c r="AH35">
        <f ca="1">IF(AND(ISNUMBER($AH$255),$B$226=1),$AH$255,HLOOKUP(INDIRECT(ADDRESS(2,COLUMN())),OFFSET($BN$2,0,0,ROW()-1,60),ROW()-1,FALSE))</f>
        <v>2.11</v>
      </c>
      <c r="AI35">
        <f ca="1">IF(AND(ISNUMBER($AI$255),$B$226=1),$AI$255,HLOOKUP(INDIRECT(ADDRESS(2,COLUMN())),OFFSET($BN$2,0,0,ROW()-1,60),ROW()-1,FALSE))</f>
        <v>1.6619999999999999</v>
      </c>
      <c r="AJ35">
        <f ca="1">IF(AND(ISNUMBER($AJ$255),$B$226=1),$AJ$255,HLOOKUP(INDIRECT(ADDRESS(2,COLUMN())),OFFSET($BN$2,0,0,ROW()-1,60),ROW()-1,FALSE))</f>
        <v>1.0960000000000001</v>
      </c>
      <c r="AK35">
        <f ca="1">IF(AND(ISNUMBER($AK$255),$B$226=1),$AK$255,HLOOKUP(INDIRECT(ADDRESS(2,COLUMN())),OFFSET($BN$2,0,0,ROW()-1,60),ROW()-1,FALSE))</f>
        <v>1.355</v>
      </c>
      <c r="AL35">
        <f ca="1">IF(AND(ISNUMBER($AL$255),$B$226=1),$AL$255,HLOOKUP(INDIRECT(ADDRESS(2,COLUMN())),OFFSET($BN$2,0,0,ROW()-1,60),ROW()-1,FALSE))</f>
        <v>1.5589999999999999</v>
      </c>
      <c r="AM35">
        <f ca="1">IF(AND(ISNUMBER($AM$255),$B$226=1),$AM$255,HLOOKUP(INDIRECT(ADDRESS(2,COLUMN())),OFFSET($BN$2,0,0,ROW()-1,60),ROW()-1,FALSE))</f>
        <v>3.754</v>
      </c>
      <c r="AN35">
        <f ca="1">IF(AND(ISNUMBER($AN$255),$B$226=1),$AN$255,HLOOKUP(INDIRECT(ADDRESS(2,COLUMN())),OFFSET($BN$2,0,0,ROW()-1,60),ROW()-1,FALSE))</f>
        <v>3.2970000000000002</v>
      </c>
      <c r="AO35">
        <f ca="1">IF(AND(ISNUMBER($AO$255),$B$226=1),$AO$255,HLOOKUP(INDIRECT(ADDRESS(2,COLUMN())),OFFSET($BN$2,0,0,ROW()-1,60),ROW()-1,FALSE))</f>
        <v>1.982</v>
      </c>
      <c r="AP35">
        <f ca="1">IF(AND(ISNUMBER($AP$255),$B$226=1),$AP$255,HLOOKUP(INDIRECT(ADDRESS(2,COLUMN())),OFFSET($BN$2,0,0,ROW()-1,60),ROW()-1,FALSE))</f>
        <v>2.3660000000000001</v>
      </c>
      <c r="AQ35">
        <f ca="1">IF(AND(ISNUMBER($AQ$255),$B$226=1),$AQ$255,HLOOKUP(INDIRECT(ADDRESS(2,COLUMN())),OFFSET($BN$2,0,0,ROW()-1,60),ROW()-1,FALSE))</f>
        <v>3.0739999999999998</v>
      </c>
      <c r="AR35">
        <f ca="1">IF(AND(ISNUMBER($AR$255),$B$226=1),$AR$255,HLOOKUP(INDIRECT(ADDRESS(2,COLUMN())),OFFSET($BN$2,0,0,ROW()-1,60),ROW()-1,FALSE))</f>
        <v>4.0860000000000003</v>
      </c>
      <c r="AS35">
        <f ca="1">IF(AND(ISNUMBER($AS$255),$B$226=1),$AS$255,HLOOKUP(INDIRECT(ADDRESS(2,COLUMN())),OFFSET($BN$2,0,0,ROW()-1,60),ROW()-1,FALSE))</f>
        <v>2.0529999999999999</v>
      </c>
      <c r="AT35">
        <f ca="1">IF(AND(ISNUMBER($AT$255),$B$226=1),$AT$255,HLOOKUP(INDIRECT(ADDRESS(2,COLUMN())),OFFSET($BN$2,0,0,ROW()-1,60),ROW()-1,FALSE))</f>
        <v>2.762</v>
      </c>
      <c r="AU35">
        <f ca="1">IF(AND(ISNUMBER($AU$255),$B$226=1),$AU$255,HLOOKUP(INDIRECT(ADDRESS(2,COLUMN())),OFFSET($BN$2,0,0,ROW()-1,60),ROW()-1,FALSE))</f>
        <v>-2.41</v>
      </c>
      <c r="AV35">
        <f ca="1">IF(AND(ISNUMBER($AV$255),$B$226=1),$AV$255,HLOOKUP(INDIRECT(ADDRESS(2,COLUMN())),OFFSET($BN$2,0,0,ROW()-1,60),ROW()-1,FALSE))</f>
        <v>2.1309999999999998</v>
      </c>
      <c r="AW35">
        <f ca="1">IF(AND(ISNUMBER($AW$255),$B$226=1),$AW$255,HLOOKUP(INDIRECT(ADDRESS(2,COLUMN())),OFFSET($BN$2,0,0,ROW()-1,60),ROW()-1,FALSE))</f>
        <v>1.7450000000000001</v>
      </c>
      <c r="AX35">
        <f ca="1">IF(AND(ISNUMBER($AX$255),$B$226=1),$AX$255,HLOOKUP(INDIRECT(ADDRESS(2,COLUMN())),OFFSET($BN$2,0,0,ROW()-1,60),ROW()-1,FALSE))</f>
        <v>1.925</v>
      </c>
      <c r="AY35">
        <f ca="1">IF(AND(ISNUMBER($AY$255),$B$226=1),$AY$255,HLOOKUP(INDIRECT(ADDRESS(2,COLUMN())),OFFSET($BN$2,0,0,ROW()-1,60),ROW()-1,FALSE))</f>
        <v>2.2349999999999999</v>
      </c>
      <c r="AZ35">
        <f ca="1">IF(AND(ISNUMBER($AZ$255),$B$226=1),$AZ$255,HLOOKUP(INDIRECT(ADDRESS(2,COLUMN())),OFFSET($BN$2,0,0,ROW()-1,60),ROW()-1,FALSE))</f>
        <v>1.5089999999999999</v>
      </c>
      <c r="BA35">
        <f ca="1">IF(AND(ISNUMBER($BA$255),$B$226=1),$BA$255,HLOOKUP(INDIRECT(ADDRESS(2,COLUMN())),OFFSET($BN$2,0,0,ROW()-1,60),ROW()-1,FALSE))</f>
        <v>1.571</v>
      </c>
      <c r="BB35">
        <f ca="1">IF(AND(ISNUMBER($BB$255),$B$226=1),$BB$255,HLOOKUP(INDIRECT(ADDRESS(2,COLUMN())),OFFSET($BN$2,0,0,ROW()-1,60),ROW()-1,FALSE))</f>
        <v>1.254</v>
      </c>
      <c r="BC35">
        <f ca="1">IF(AND(ISNUMBER($BC$255),$B$226=1),$BC$255,HLOOKUP(INDIRECT(ADDRESS(2,COLUMN())),OFFSET($BN$2,0,0,ROW()-1,60),ROW()-1,FALSE))</f>
        <v>0.71</v>
      </c>
      <c r="BD35">
        <f ca="1">IF(AND(ISNUMBER($BD$255),$B$226=1),$BD$255,HLOOKUP(INDIRECT(ADDRESS(2,COLUMN())),OFFSET($BN$2,0,0,ROW()-1,60),ROW()-1,FALSE))</f>
        <v>1.302</v>
      </c>
      <c r="BE35">
        <f ca="1">IF(AND(ISNUMBER($BE$255),$B$226=1),$BE$255,HLOOKUP(INDIRECT(ADDRESS(2,COLUMN())),OFFSET($BN$2,0,0,ROW()-1,60),ROW()-1,FALSE))</f>
        <v>0.52800000000000002</v>
      </c>
      <c r="BF35">
        <f ca="1">IF(AND(ISNUMBER($BF$255),$B$226=1),$BF$255,HLOOKUP(INDIRECT(ADDRESS(2,COLUMN())),OFFSET($BN$2,0,0,ROW()-1,60),ROW()-1,FALSE))</f>
        <v>0.39200000000000002</v>
      </c>
      <c r="BG35" t="str">
        <f ca="1">IF(AND(ISNUMBER($BG$255),$B$226=1),$BG$255,HLOOKUP(INDIRECT(ADDRESS(2,COLUMN())),OFFSET($BN$2,0,0,ROW()-1,60),ROW()-1,FALSE))</f>
        <v/>
      </c>
      <c r="BH35" t="str">
        <f ca="1">IF(AND(ISNUMBER($BH$255),$B$226=1),$BH$255,HLOOKUP(INDIRECT(ADDRESS(2,COLUMN())),OFFSET($BN$2,0,0,ROW()-1,60),ROW()-1,FALSE))</f>
        <v/>
      </c>
      <c r="BI35" t="str">
        <f ca="1">IF(AND(ISNUMBER($BI$255),$B$226=1),$BI$255,HLOOKUP(INDIRECT(ADDRESS(2,COLUMN())),OFFSET($BN$2,0,0,ROW()-1,60),ROW()-1,FALSE))</f>
        <v/>
      </c>
      <c r="BJ35" t="str">
        <f ca="1">IF(AND(ISNUMBER($BJ$255),$B$226=1),$BJ$255,HLOOKUP(INDIRECT(ADDRESS(2,COLUMN())),OFFSET($BN$2,0,0,ROW()-1,60),ROW()-1,FALSE))</f>
        <v/>
      </c>
      <c r="BK35" t="str">
        <f ca="1">IF(AND(ISNUMBER($BK$255),$B$226=1),$BK$255,HLOOKUP(INDIRECT(ADDRESS(2,COLUMN())),OFFSET($BN$2,0,0,ROW()-1,60),ROW()-1,FALSE))</f>
        <v/>
      </c>
      <c r="BL35" t="str">
        <f ca="1">IF(AND(ISNUMBER($BL$255),$B$226=1),$BL$255,HLOOKUP(INDIRECT(ADDRESS(2,COLUMN())),OFFSET($BN$2,0,0,ROW()-1,60),ROW()-1,FALSE))</f>
        <v/>
      </c>
      <c r="BM35" t="str">
        <f ca="1">IF(AND(ISNUMBER($BM$255),$B$226=1),$BM$255,HLOOKUP(INDIRECT(ADDRESS(2,COLUMN())),OFFSET($BN$2,0,0,ROW()-1,60),ROW()-1,FALSE))</f>
        <v/>
      </c>
      <c r="BN35" t="str">
        <f>""</f>
        <v/>
      </c>
      <c r="BO35">
        <f>2.165</f>
        <v>2.165</v>
      </c>
      <c r="BP35">
        <f>2.08</f>
        <v>2.08</v>
      </c>
      <c r="BQ35">
        <f>1.987</f>
        <v>1.9870000000000001</v>
      </c>
      <c r="BR35">
        <f>2.76</f>
        <v>2.76</v>
      </c>
      <c r="BS35">
        <f>1.668</f>
        <v>1.6679999999999999</v>
      </c>
      <c r="BT35">
        <f>1.743</f>
        <v>1.7430000000000001</v>
      </c>
      <c r="BU35">
        <f>1.164</f>
        <v>1.1639999999999999</v>
      </c>
      <c r="BV35">
        <f>1.377</f>
        <v>1.377</v>
      </c>
      <c r="BW35">
        <f>1.674</f>
        <v>1.6739999999999999</v>
      </c>
      <c r="BX35">
        <f>1.355</f>
        <v>1.355</v>
      </c>
      <c r="BY35">
        <f>1.224</f>
        <v>1.224</v>
      </c>
      <c r="BZ35">
        <f>1.65</f>
        <v>1.65</v>
      </c>
      <c r="CA35">
        <f>2.644</f>
        <v>2.6440000000000001</v>
      </c>
      <c r="CB35">
        <f>4.757</f>
        <v>4.7569999999999997</v>
      </c>
      <c r="CC35">
        <f>1.543</f>
        <v>1.5429999999999999</v>
      </c>
      <c r="CD35">
        <f>1.82</f>
        <v>1.82</v>
      </c>
      <c r="CE35">
        <f>1.986</f>
        <v>1.986</v>
      </c>
      <c r="CF35">
        <f>1.757</f>
        <v>1.7569999999999999</v>
      </c>
      <c r="CG35">
        <f>1.582</f>
        <v>1.5820000000000001</v>
      </c>
      <c r="CH35">
        <f>1.36</f>
        <v>1.36</v>
      </c>
      <c r="CI35">
        <f>1.325</f>
        <v>1.325</v>
      </c>
      <c r="CJ35">
        <f>1.024</f>
        <v>1.024</v>
      </c>
      <c r="CK35">
        <f>0.736</f>
        <v>0.73599999999999999</v>
      </c>
      <c r="CL35">
        <f>1.181</f>
        <v>1.181</v>
      </c>
      <c r="CM35">
        <f>1.533</f>
        <v>1.5329999999999999</v>
      </c>
      <c r="CN35">
        <f>1.978</f>
        <v>1.978</v>
      </c>
      <c r="CO35">
        <f>1.818</f>
        <v>1.8180000000000001</v>
      </c>
      <c r="CP35">
        <f>2.11</f>
        <v>2.11</v>
      </c>
      <c r="CQ35">
        <f>1.662</f>
        <v>1.6619999999999999</v>
      </c>
      <c r="CR35">
        <f>1.096</f>
        <v>1.0960000000000001</v>
      </c>
      <c r="CS35">
        <f>1.355</f>
        <v>1.355</v>
      </c>
      <c r="CT35">
        <f>1.559</f>
        <v>1.5589999999999999</v>
      </c>
      <c r="CU35">
        <f>3.754</f>
        <v>3.754</v>
      </c>
      <c r="CV35">
        <f>3.297</f>
        <v>3.2970000000000002</v>
      </c>
      <c r="CW35">
        <f>1.982</f>
        <v>1.982</v>
      </c>
      <c r="CX35">
        <f>2.366</f>
        <v>2.3660000000000001</v>
      </c>
      <c r="CY35">
        <f>3.074</f>
        <v>3.0739999999999998</v>
      </c>
      <c r="CZ35">
        <f>4.086</f>
        <v>4.0860000000000003</v>
      </c>
      <c r="DA35">
        <f>2.053</f>
        <v>2.0529999999999999</v>
      </c>
      <c r="DB35">
        <f>2.762</f>
        <v>2.762</v>
      </c>
      <c r="DC35">
        <f>-2.41</f>
        <v>-2.41</v>
      </c>
      <c r="DD35">
        <f>2.131</f>
        <v>2.1309999999999998</v>
      </c>
      <c r="DE35">
        <f>1.745</f>
        <v>1.7450000000000001</v>
      </c>
      <c r="DF35">
        <f>1.925</f>
        <v>1.925</v>
      </c>
      <c r="DG35">
        <f>2.235</f>
        <v>2.2349999999999999</v>
      </c>
      <c r="DH35">
        <f>1.509</f>
        <v>1.5089999999999999</v>
      </c>
      <c r="DI35">
        <f>1.571</f>
        <v>1.571</v>
      </c>
      <c r="DJ35">
        <f>1.254</f>
        <v>1.254</v>
      </c>
      <c r="DK35">
        <f>0.71</f>
        <v>0.71</v>
      </c>
      <c r="DL35">
        <f>1.302</f>
        <v>1.302</v>
      </c>
      <c r="DM35">
        <f>0.528</f>
        <v>0.52800000000000002</v>
      </c>
      <c r="DN35">
        <f>0.392</f>
        <v>0.39200000000000002</v>
      </c>
      <c r="DO35" t="str">
        <f>""</f>
        <v/>
      </c>
      <c r="DP35" t="str">
        <f>""</f>
        <v/>
      </c>
      <c r="DQ35" t="str">
        <f>""</f>
        <v/>
      </c>
      <c r="DR35" t="str">
        <f>""</f>
        <v/>
      </c>
      <c r="DS35" t="str">
        <f>""</f>
        <v/>
      </c>
      <c r="DT35" t="str">
        <f>""</f>
        <v/>
      </c>
      <c r="DU35" t="str">
        <f>""</f>
        <v/>
      </c>
    </row>
    <row r="36" spans="1:125">
      <c r="A36" t="str">
        <f>"    Equity Residential"</f>
        <v xml:space="preserve">    Equity Residential</v>
      </c>
      <c r="B36" t="str">
        <f>"EQR US Equity"</f>
        <v>EQR US Equity</v>
      </c>
      <c r="C36" t="str">
        <f t="shared" si="9"/>
        <v>IS019</v>
      </c>
      <c r="D36" t="str">
        <f t="shared" si="10"/>
        <v>IS_COMM_AND_FEE_EARN_INC_REO</v>
      </c>
      <c r="E36" t="str">
        <f t="shared" si="11"/>
        <v>动态</v>
      </c>
      <c r="F36" t="str">
        <f ca="1">IF(AND(ISNUMBER($F$256),$B$226=1),$F$256,HLOOKUP(INDIRECT(ADDRESS(2,COLUMN())),OFFSET($BN$2,0,0,ROW()-1,60),ROW()-1,FALSE))</f>
        <v/>
      </c>
      <c r="G36">
        <f ca="1">IF(AND(ISNUMBER($G$256),$B$226=1),$G$256,HLOOKUP(INDIRECT(ADDRESS(2,COLUMN())),OFFSET($BN$2,0,0,ROW()-1,60),ROW()-1,FALSE))</f>
        <v>0.185</v>
      </c>
      <c r="H36">
        <f ca="1">IF(AND(ISNUMBER($H$256),$B$226=1),$H$256,HLOOKUP(INDIRECT(ADDRESS(2,COLUMN())),OFFSET($BN$2,0,0,ROW()-1,60),ROW()-1,FALSE))</f>
        <v>0.17100000000000001</v>
      </c>
      <c r="I36">
        <f ca="1">IF(AND(ISNUMBER($I$256),$B$226=1),$I$256,HLOOKUP(INDIRECT(ADDRESS(2,COLUMN())),OFFSET($BN$2,0,0,ROW()-1,60),ROW()-1,FALSE))</f>
        <v>0.18099999999999999</v>
      </c>
      <c r="J36">
        <f ca="1">IF(AND(ISNUMBER($J$256),$B$226=1),$J$256,HLOOKUP(INDIRECT(ADDRESS(2,COLUMN())),OFFSET($BN$2,0,0,ROW()-1,60),ROW()-1,FALSE))</f>
        <v>0.18</v>
      </c>
      <c r="K36">
        <f ca="1">IF(AND(ISNUMBER($K$256),$B$226=1),$K$256,HLOOKUP(INDIRECT(ADDRESS(2,COLUMN())),OFFSET($BN$2,0,0,ROW()-1,60),ROW()-1,FALSE))</f>
        <v>0.216</v>
      </c>
      <c r="L36">
        <f ca="1">IF(AND(ISNUMBER($L$256),$B$226=1),$L$256,HLOOKUP(INDIRECT(ADDRESS(2,COLUMN())),OFFSET($BN$2,0,0,ROW()-1,60),ROW()-1,FALSE))</f>
        <v>0.218</v>
      </c>
      <c r="M36">
        <f ca="1">IF(AND(ISNUMBER($M$256),$B$226=1),$M$256,HLOOKUP(INDIRECT(ADDRESS(2,COLUMN())),OFFSET($BN$2,0,0,ROW()-1,60),ROW()-1,FALSE))</f>
        <v>0.215</v>
      </c>
      <c r="N36">
        <f ca="1">IF(AND(ISNUMBER($N$256),$B$226=1),$N$256,HLOOKUP(INDIRECT(ADDRESS(2,COLUMN())),OFFSET($BN$2,0,0,ROW()-1,60),ROW()-1,FALSE))</f>
        <v>2.9180000000000001</v>
      </c>
      <c r="O36">
        <f ca="1">IF(AND(ISNUMBER($O$256),$B$226=1),$O$256,HLOOKUP(INDIRECT(ADDRESS(2,COLUMN())),OFFSET($BN$2,0,0,ROW()-1,60),ROW()-1,FALSE))</f>
        <v>1.974</v>
      </c>
      <c r="P36">
        <f ca="1">IF(AND(ISNUMBER($P$256),$B$226=1),$P$256,HLOOKUP(INDIRECT(ADDRESS(2,COLUMN())),OFFSET($BN$2,0,0,ROW()-1,60),ROW()-1,FALSE))</f>
        <v>2.044</v>
      </c>
      <c r="Q36">
        <f ca="1">IF(AND(ISNUMBER($Q$256),$B$226=1),$Q$256,HLOOKUP(INDIRECT(ADDRESS(2,COLUMN())),OFFSET($BN$2,0,0,ROW()-1,60),ROW()-1,FALSE))</f>
        <v>2.6040000000000001</v>
      </c>
      <c r="R36">
        <f ca="1">IF(AND(ISNUMBER($R$256),$B$226=1),$R$256,HLOOKUP(INDIRECT(ADDRESS(2,COLUMN())),OFFSET($BN$2,0,0,ROW()-1,60),ROW()-1,FALSE))</f>
        <v>1.7649999999999999</v>
      </c>
      <c r="S36">
        <f ca="1">IF(AND(ISNUMBER($S$256),$B$226=1),$S$256,HLOOKUP(INDIRECT(ADDRESS(2,COLUMN())),OFFSET($BN$2,0,0,ROW()-1,60),ROW()-1,FALSE))</f>
        <v>1.841</v>
      </c>
      <c r="T36">
        <f ca="1">IF(AND(ISNUMBER($T$256),$B$226=1),$T$256,HLOOKUP(INDIRECT(ADDRESS(2,COLUMN())),OFFSET($BN$2,0,0,ROW()-1,60),ROW()-1,FALSE))</f>
        <v>2.077</v>
      </c>
      <c r="U36">
        <f ca="1">IF(AND(ISNUMBER($U$256),$B$226=1),$U$256,HLOOKUP(INDIRECT(ADDRESS(2,COLUMN())),OFFSET($BN$2,0,0,ROW()-1,60),ROW()-1,FALSE))</f>
        <v>2.802</v>
      </c>
      <c r="V36">
        <f ca="1">IF(AND(ISNUMBER($V$256),$B$226=1),$V$256,HLOOKUP(INDIRECT(ADDRESS(2,COLUMN())),OFFSET($BN$2,0,0,ROW()-1,60),ROW()-1,FALSE))</f>
        <v>2.7170000000000001</v>
      </c>
      <c r="W36">
        <f ca="1">IF(AND(ISNUMBER($W$256),$B$226=1),$W$256,HLOOKUP(INDIRECT(ADDRESS(2,COLUMN())),OFFSET($BN$2,0,0,ROW()-1,60),ROW()-1,FALSE))</f>
        <v>2.2989999999999999</v>
      </c>
      <c r="X36">
        <f ca="1">IF(AND(ISNUMBER($X$256),$B$226=1),$X$256,HLOOKUP(INDIRECT(ADDRESS(2,COLUMN())),OFFSET($BN$2,0,0,ROW()-1,60),ROW()-1,FALSE))</f>
        <v>2.5659999999999998</v>
      </c>
      <c r="Y36">
        <f ca="1">IF(AND(ISNUMBER($Y$256),$B$226=1),$Y$256,HLOOKUP(INDIRECT(ADDRESS(2,COLUMN())),OFFSET($BN$2,0,0,ROW()-1,60),ROW()-1,FALSE))</f>
        <v>2.673</v>
      </c>
      <c r="Z36">
        <f ca="1">IF(AND(ISNUMBER($Z$256),$B$226=1),$Z$256,HLOOKUP(INDIRECT(ADDRESS(2,COLUMN())),OFFSET($BN$2,0,0,ROW()-1,60),ROW()-1,FALSE))</f>
        <v>2.16</v>
      </c>
      <c r="AA36">
        <f ca="1">IF(AND(ISNUMBER($AA$256),$B$226=1),$AA$256,HLOOKUP(INDIRECT(ADDRESS(2,COLUMN())),OFFSET($BN$2,0,0,ROW()-1,60),ROW()-1,FALSE))</f>
        <v>2.2450000000000001</v>
      </c>
      <c r="AB36">
        <f ca="1">IF(AND(ISNUMBER($AB$256),$B$226=1),$AB$256,HLOOKUP(INDIRECT(ADDRESS(2,COLUMN())),OFFSET($BN$2,0,0,ROW()-1,60),ROW()-1,FALSE))</f>
        <v>3.052</v>
      </c>
      <c r="AC36">
        <f ca="1">IF(AND(ISNUMBER($AC$256),$B$226=1),$AC$256,HLOOKUP(INDIRECT(ADDRESS(2,COLUMN())),OFFSET($BN$2,0,0,ROW()-1,60),ROW()-1,FALSE))</f>
        <v>2.2120000000000002</v>
      </c>
      <c r="AD36">
        <f ca="1">IF(AND(ISNUMBER($AD$256),$B$226=1),$AD$256,HLOOKUP(INDIRECT(ADDRESS(2,COLUMN())),OFFSET($BN$2,0,0,ROW()-1,60),ROW()-1,FALSE))</f>
        <v>2.0640000000000001</v>
      </c>
      <c r="AE36">
        <f ca="1">IF(AND(ISNUMBER($AE$256),$B$226=1),$AE$256,HLOOKUP(INDIRECT(ADDRESS(2,COLUMN())),OFFSET($BN$2,0,0,ROW()-1,60),ROW()-1,FALSE))</f>
        <v>2.3439999999999999</v>
      </c>
      <c r="AF36">
        <f ca="1">IF(AND(ISNUMBER($AF$256),$B$226=1),$AF$256,HLOOKUP(INDIRECT(ADDRESS(2,COLUMN())),OFFSET($BN$2,0,0,ROW()-1,60),ROW()-1,FALSE))</f>
        <v>2.9279999999999999</v>
      </c>
      <c r="AG36">
        <f ca="1">IF(AND(ISNUMBER($AG$256),$B$226=1),$AG$256,HLOOKUP(INDIRECT(ADDRESS(2,COLUMN())),OFFSET($BN$2,0,0,ROW()-1,60),ROW()-1,FALSE))</f>
        <v>1.948</v>
      </c>
      <c r="AH36">
        <f ca="1">IF(AND(ISNUMBER($AH$256),$B$226=1),$AH$256,HLOOKUP(INDIRECT(ADDRESS(2,COLUMN())),OFFSET($BN$2,0,0,ROW()-1,60),ROW()-1,FALSE))</f>
        <v>1.806</v>
      </c>
      <c r="AI36">
        <f ca="1">IF(AND(ISNUMBER($AI$256),$B$226=1),$AI$256,HLOOKUP(INDIRECT(ADDRESS(2,COLUMN())),OFFSET($BN$2,0,0,ROW()-1,60),ROW()-1,FALSE))</f>
        <v>1.88</v>
      </c>
      <c r="AJ36">
        <f ca="1">IF(AND(ISNUMBER($AJ$256),$B$226=1),$AJ$256,HLOOKUP(INDIRECT(ADDRESS(2,COLUMN())),OFFSET($BN$2,0,0,ROW()-1,60),ROW()-1,FALSE))</f>
        <v>2.1280000000000001</v>
      </c>
      <c r="AK36">
        <f ca="1">IF(AND(ISNUMBER($AK$256),$B$226=1),$AK$256,HLOOKUP(INDIRECT(ADDRESS(2,COLUMN())),OFFSET($BN$2,0,0,ROW()-1,60),ROW()-1,FALSE))</f>
        <v>3.0459999999999998</v>
      </c>
      <c r="AL36">
        <f ca="1">IF(AND(ISNUMBER($AL$256),$B$226=1),$AL$256,HLOOKUP(INDIRECT(ADDRESS(2,COLUMN())),OFFSET($BN$2,0,0,ROW()-1,60),ROW()-1,FALSE))</f>
        <v>2.4220000000000002</v>
      </c>
      <c r="AM36">
        <f ca="1">IF(AND(ISNUMBER($AM$256),$B$226=1),$AM$256,HLOOKUP(INDIRECT(ADDRESS(2,COLUMN())),OFFSET($BN$2,0,0,ROW()-1,60),ROW()-1,FALSE))</f>
        <v>2.4180000000000001</v>
      </c>
      <c r="AN36">
        <f ca="1">IF(AND(ISNUMBER($AN$256),$B$226=1),$AN$256,HLOOKUP(INDIRECT(ADDRESS(2,COLUMN())),OFFSET($BN$2,0,0,ROW()-1,60),ROW()-1,FALSE))</f>
        <v>2.653</v>
      </c>
      <c r="AO36">
        <f ca="1">IF(AND(ISNUMBER($AO$256),$B$226=1),$AO$256,HLOOKUP(INDIRECT(ADDRESS(2,COLUMN())),OFFSET($BN$2,0,0,ROW()-1,60),ROW()-1,FALSE))</f>
        <v>2.4119999999999999</v>
      </c>
      <c r="AP36">
        <f ca="1">IF(AND(ISNUMBER($AP$256),$B$226=1),$AP$256,HLOOKUP(INDIRECT(ADDRESS(2,COLUMN())),OFFSET($BN$2,0,0,ROW()-1,60),ROW()-1,FALSE))</f>
        <v>2.863</v>
      </c>
      <c r="AQ36">
        <f ca="1">IF(AND(ISNUMBER($AQ$256),$B$226=1),$AQ$256,HLOOKUP(INDIRECT(ADDRESS(2,COLUMN())),OFFSET($BN$2,0,0,ROW()-1,60),ROW()-1,FALSE))</f>
        <v>3.3180000000000001</v>
      </c>
      <c r="AR36">
        <f ca="1">IF(AND(ISNUMBER($AR$256),$B$226=1),$AR$256,HLOOKUP(INDIRECT(ADDRESS(2,COLUMN())),OFFSET($BN$2,0,0,ROW()-1,60),ROW()-1,FALSE))</f>
        <v>2.387</v>
      </c>
      <c r="AS36">
        <f ca="1">IF(AND(ISNUMBER($AS$256),$B$226=1),$AS$256,HLOOKUP(INDIRECT(ADDRESS(2,COLUMN())),OFFSET($BN$2,0,0,ROW()-1,60),ROW()-1,FALSE))</f>
        <v>2.7160000000000002</v>
      </c>
      <c r="AT36">
        <f ca="1">IF(AND(ISNUMBER($AT$256),$B$226=1),$AT$256,HLOOKUP(INDIRECT(ADDRESS(2,COLUMN())),OFFSET($BN$2,0,0,ROW()-1,60),ROW()-1,FALSE))</f>
        <v>2.294</v>
      </c>
      <c r="AU36">
        <f ca="1">IF(AND(ISNUMBER($AU$256),$B$226=1),$AU$256,HLOOKUP(INDIRECT(ADDRESS(2,COLUMN())),OFFSET($BN$2,0,0,ROW()-1,60),ROW()-1,FALSE))</f>
        <v>2.246</v>
      </c>
      <c r="AV36">
        <f ca="1">IF(AND(ISNUMBER($AV$256),$B$226=1),$AV$256,HLOOKUP(INDIRECT(ADDRESS(2,COLUMN())),OFFSET($BN$2,0,0,ROW()-1,60),ROW()-1,FALSE))</f>
        <v>2.234</v>
      </c>
      <c r="AW36">
        <f ca="1">IF(AND(ISNUMBER($AW$256),$B$226=1),$AW$256,HLOOKUP(INDIRECT(ADDRESS(2,COLUMN())),OFFSET($BN$2,0,0,ROW()-1,60),ROW()-1,FALSE))</f>
        <v>2.4359999999999999</v>
      </c>
      <c r="AX36">
        <f ca="1">IF(AND(ISNUMBER($AX$256),$B$226=1),$AX$256,HLOOKUP(INDIRECT(ADDRESS(2,COLUMN())),OFFSET($BN$2,0,0,ROW()-1,60),ROW()-1,FALSE))</f>
        <v>2.2669999999999999</v>
      </c>
      <c r="AY36">
        <f ca="1">IF(AND(ISNUMBER($AY$256),$B$226=1),$AY$256,HLOOKUP(INDIRECT(ADDRESS(2,COLUMN())),OFFSET($BN$2,0,0,ROW()-1,60),ROW()-1,FALSE))</f>
        <v>2.2229999999999999</v>
      </c>
      <c r="AZ36">
        <f ca="1">IF(AND(ISNUMBER($AZ$256),$B$226=1),$AZ$256,HLOOKUP(INDIRECT(ADDRESS(2,COLUMN())),OFFSET($BN$2,0,0,ROW()-1,60),ROW()-1,FALSE))</f>
        <v>2.0710000000000002</v>
      </c>
      <c r="BA36">
        <f ca="1">IF(AND(ISNUMBER($BA$256),$B$226=1),$BA$256,HLOOKUP(INDIRECT(ADDRESS(2,COLUMN())),OFFSET($BN$2,0,0,ROW()-1,60),ROW()-1,FALSE))</f>
        <v>2.3199999999999998</v>
      </c>
      <c r="BB36">
        <f ca="1">IF(AND(ISNUMBER($BB$256),$B$226=1),$BB$256,HLOOKUP(INDIRECT(ADDRESS(2,COLUMN())),OFFSET($BN$2,0,0,ROW()-1,60),ROW()-1,FALSE))</f>
        <v>2.4870000000000001</v>
      </c>
      <c r="BC36">
        <f ca="1">IF(AND(ISNUMBER($BC$256),$B$226=1),$BC$256,HLOOKUP(INDIRECT(ADDRESS(2,COLUMN())),OFFSET($BN$2,0,0,ROW()-1,60),ROW()-1,FALSE))</f>
        <v>2.2440000000000002</v>
      </c>
      <c r="BD36">
        <f ca="1">IF(AND(ISNUMBER($BD$256),$B$226=1),$BD$256,HLOOKUP(INDIRECT(ADDRESS(2,COLUMN())),OFFSET($BN$2,0,0,ROW()-1,60),ROW()-1,FALSE))</f>
        <v>2.4009999999999998</v>
      </c>
      <c r="BE36">
        <f ca="1">IF(AND(ISNUMBER($BE$256),$B$226=1),$BE$256,HLOOKUP(INDIRECT(ADDRESS(2,COLUMN())),OFFSET($BN$2,0,0,ROW()-1,60),ROW()-1,FALSE))</f>
        <v>3.0230000000000001</v>
      </c>
      <c r="BF36">
        <f ca="1">IF(AND(ISNUMBER($BF$256),$B$226=1),$BF$256,HLOOKUP(INDIRECT(ADDRESS(2,COLUMN())),OFFSET($BN$2,0,0,ROW()-1,60),ROW()-1,FALSE))</f>
        <v>2.5720000000000001</v>
      </c>
      <c r="BG36">
        <f ca="1">IF(AND(ISNUMBER($BG$256),$B$226=1),$BG$256,HLOOKUP(INDIRECT(ADDRESS(2,COLUMN())),OFFSET($BN$2,0,0,ROW()-1,60),ROW()-1,FALSE))</f>
        <v>2.65</v>
      </c>
      <c r="BH36">
        <f ca="1">IF(AND(ISNUMBER($BH$256),$B$226=1),$BH$256,HLOOKUP(INDIRECT(ADDRESS(2,COLUMN())),OFFSET($BN$2,0,0,ROW()-1,60),ROW()-1,FALSE))</f>
        <v>2.4359999999999999</v>
      </c>
      <c r="BI36">
        <f ca="1">IF(AND(ISNUMBER($BI$256),$B$226=1),$BI$256,HLOOKUP(INDIRECT(ADDRESS(2,COLUMN())),OFFSET($BN$2,0,0,ROW()-1,60),ROW()-1,FALSE))</f>
        <v>3.5339999999999998</v>
      </c>
      <c r="BJ36">
        <f ca="1">IF(AND(ISNUMBER($BJ$256),$B$226=1),$BJ$256,HLOOKUP(INDIRECT(ADDRESS(2,COLUMN())),OFFSET($BN$2,0,0,ROW()-1,60),ROW()-1,FALSE))</f>
        <v>3.0070000000000001</v>
      </c>
      <c r="BK36">
        <f ca="1">IF(AND(ISNUMBER($BK$256),$B$226=1),$BK$256,HLOOKUP(INDIRECT(ADDRESS(2,COLUMN())),OFFSET($BN$2,0,0,ROW()-1,60),ROW()-1,FALSE))</f>
        <v>3.4119999999999999</v>
      </c>
      <c r="BL36">
        <f ca="1">IF(AND(ISNUMBER($BL$256),$B$226=1),$BL$256,HLOOKUP(INDIRECT(ADDRESS(2,COLUMN())),OFFSET($BN$2,0,0,ROW()-1,60),ROW()-1,FALSE))</f>
        <v>3.0830000000000002</v>
      </c>
      <c r="BM36">
        <f ca="1">IF(AND(ISNUMBER($BM$256),$B$226=1),$BM$256,HLOOKUP(INDIRECT(ADDRESS(2,COLUMN())),OFFSET($BN$2,0,0,ROW()-1,60),ROW()-1,FALSE))</f>
        <v>5.39</v>
      </c>
      <c r="BN36" t="str">
        <f>""</f>
        <v/>
      </c>
      <c r="BO36">
        <f>0.185</f>
        <v>0.185</v>
      </c>
      <c r="BP36">
        <f>0.171</f>
        <v>0.17100000000000001</v>
      </c>
      <c r="BQ36">
        <f>0.181</f>
        <v>0.18099999999999999</v>
      </c>
      <c r="BR36">
        <f>0.18</f>
        <v>0.18</v>
      </c>
      <c r="BS36">
        <f>0.216</f>
        <v>0.216</v>
      </c>
      <c r="BT36">
        <f>0.218</f>
        <v>0.218</v>
      </c>
      <c r="BU36">
        <f>0.215</f>
        <v>0.215</v>
      </c>
      <c r="BV36">
        <f>2.918</f>
        <v>2.9180000000000001</v>
      </c>
      <c r="BW36">
        <f>1.974</f>
        <v>1.974</v>
      </c>
      <c r="BX36">
        <f>2.044</f>
        <v>2.044</v>
      </c>
      <c r="BY36">
        <f>2.604</f>
        <v>2.6040000000000001</v>
      </c>
      <c r="BZ36">
        <f>1.765</f>
        <v>1.7649999999999999</v>
      </c>
      <c r="CA36">
        <f>1.841</f>
        <v>1.841</v>
      </c>
      <c r="CB36">
        <f>2.077</f>
        <v>2.077</v>
      </c>
      <c r="CC36">
        <f>2.802</f>
        <v>2.802</v>
      </c>
      <c r="CD36">
        <f>2.717</f>
        <v>2.7170000000000001</v>
      </c>
      <c r="CE36">
        <f>2.299</f>
        <v>2.2989999999999999</v>
      </c>
      <c r="CF36">
        <f>2.566</f>
        <v>2.5659999999999998</v>
      </c>
      <c r="CG36">
        <f>2.673</f>
        <v>2.673</v>
      </c>
      <c r="CH36">
        <f>2.16</f>
        <v>2.16</v>
      </c>
      <c r="CI36">
        <f>2.245</f>
        <v>2.2450000000000001</v>
      </c>
      <c r="CJ36">
        <f>3.052</f>
        <v>3.052</v>
      </c>
      <c r="CK36">
        <f>2.212</f>
        <v>2.2120000000000002</v>
      </c>
      <c r="CL36">
        <f>2.064</f>
        <v>2.0640000000000001</v>
      </c>
      <c r="CM36">
        <f>2.344</f>
        <v>2.3439999999999999</v>
      </c>
      <c r="CN36">
        <f>2.928</f>
        <v>2.9279999999999999</v>
      </c>
      <c r="CO36">
        <f>1.948</f>
        <v>1.948</v>
      </c>
      <c r="CP36">
        <f>1.806</f>
        <v>1.806</v>
      </c>
      <c r="CQ36">
        <f>1.88</f>
        <v>1.88</v>
      </c>
      <c r="CR36">
        <f>2.128</f>
        <v>2.1280000000000001</v>
      </c>
      <c r="CS36">
        <f>3.046</f>
        <v>3.0459999999999998</v>
      </c>
      <c r="CT36">
        <f>2.422</f>
        <v>2.4220000000000002</v>
      </c>
      <c r="CU36">
        <f>2.418</f>
        <v>2.4180000000000001</v>
      </c>
      <c r="CV36">
        <f>2.653</f>
        <v>2.653</v>
      </c>
      <c r="CW36">
        <f>2.412</f>
        <v>2.4119999999999999</v>
      </c>
      <c r="CX36">
        <f>2.863</f>
        <v>2.863</v>
      </c>
      <c r="CY36">
        <f>3.318</f>
        <v>3.3180000000000001</v>
      </c>
      <c r="CZ36">
        <f>2.387</f>
        <v>2.387</v>
      </c>
      <c r="DA36">
        <f>2.716</f>
        <v>2.7160000000000002</v>
      </c>
      <c r="DB36">
        <f>2.294</f>
        <v>2.294</v>
      </c>
      <c r="DC36">
        <f>2.246</f>
        <v>2.246</v>
      </c>
      <c r="DD36">
        <f>2.234</f>
        <v>2.234</v>
      </c>
      <c r="DE36">
        <f>2.436</f>
        <v>2.4359999999999999</v>
      </c>
      <c r="DF36">
        <f>2.267</f>
        <v>2.2669999999999999</v>
      </c>
      <c r="DG36">
        <f>2.223</f>
        <v>2.2229999999999999</v>
      </c>
      <c r="DH36">
        <f>2.071</f>
        <v>2.0710000000000002</v>
      </c>
      <c r="DI36">
        <f>2.32</f>
        <v>2.3199999999999998</v>
      </c>
      <c r="DJ36">
        <f>2.487</f>
        <v>2.4870000000000001</v>
      </c>
      <c r="DK36">
        <f>2.244</f>
        <v>2.2440000000000002</v>
      </c>
      <c r="DL36">
        <f>2.401</f>
        <v>2.4009999999999998</v>
      </c>
      <c r="DM36">
        <f>3.023</f>
        <v>3.0230000000000001</v>
      </c>
      <c r="DN36">
        <f>2.572</f>
        <v>2.5720000000000001</v>
      </c>
      <c r="DO36">
        <f>2.65</f>
        <v>2.65</v>
      </c>
      <c r="DP36">
        <f>2.436</f>
        <v>2.4359999999999999</v>
      </c>
      <c r="DQ36">
        <f>3.534</f>
        <v>3.5339999999999998</v>
      </c>
      <c r="DR36">
        <f>3.007</f>
        <v>3.0070000000000001</v>
      </c>
      <c r="DS36">
        <f>3.412</f>
        <v>3.4119999999999999</v>
      </c>
      <c r="DT36">
        <f>3.083</f>
        <v>3.0830000000000002</v>
      </c>
      <c r="DU36">
        <f>5.39</f>
        <v>5.39</v>
      </c>
    </row>
    <row r="37" spans="1:125">
      <c r="A37" t="str">
        <f>"    Essex Property Trust Inc"</f>
        <v xml:space="preserve">    Essex Property Trust Inc</v>
      </c>
      <c r="B37" t="str">
        <f>"ESS US Equity"</f>
        <v>ESS US Equity</v>
      </c>
      <c r="C37" t="str">
        <f t="shared" si="9"/>
        <v>IS019</v>
      </c>
      <c r="D37" t="str">
        <f t="shared" si="10"/>
        <v>IS_COMM_AND_FEE_EARN_INC_REO</v>
      </c>
      <c r="E37" t="str">
        <f t="shared" si="11"/>
        <v>动态</v>
      </c>
      <c r="F37" t="str">
        <f ca="1">IF(AND(ISNUMBER($F$257),$B$226=1),$F$257,HLOOKUP(INDIRECT(ADDRESS(2,COLUMN())),OFFSET($BN$2,0,0,ROW()-1,60),ROW()-1,FALSE))</f>
        <v/>
      </c>
      <c r="G37">
        <f ca="1">IF(AND(ISNUMBER($G$257),$B$226=1),$G$257,HLOOKUP(INDIRECT(ADDRESS(2,COLUMN())),OFFSET($BN$2,0,0,ROW()-1,60),ROW()-1,FALSE))</f>
        <v>2.6469999999999998</v>
      </c>
      <c r="H37">
        <f ca="1">IF(AND(ISNUMBER($H$257),$B$226=1),$H$257,HLOOKUP(INDIRECT(ADDRESS(2,COLUMN())),OFFSET($BN$2,0,0,ROW()-1,60),ROW()-1,FALSE))</f>
        <v>2.395</v>
      </c>
      <c r="I37">
        <f ca="1">IF(AND(ISNUMBER($I$257),$B$226=1),$I$257,HLOOKUP(INDIRECT(ADDRESS(2,COLUMN())),OFFSET($BN$2,0,0,ROW()-1,60),ROW()-1,FALSE))</f>
        <v>2.2959999999999998</v>
      </c>
      <c r="J37">
        <f ca="1">IF(AND(ISNUMBER($J$257),$B$226=1),$J$257,HLOOKUP(INDIRECT(ADDRESS(2,COLUMN())),OFFSET($BN$2,0,0,ROW()-1,60),ROW()-1,FALSE))</f>
        <v>2.2360000000000002</v>
      </c>
      <c r="K37">
        <f ca="1">IF(AND(ISNUMBER($K$257),$B$226=1),$K$257,HLOOKUP(INDIRECT(ADDRESS(2,COLUMN())),OFFSET($BN$2,0,0,ROW()-1,60),ROW()-1,FALSE))</f>
        <v>2.133</v>
      </c>
      <c r="L37">
        <f ca="1">IF(AND(ISNUMBER($L$257),$B$226=1),$L$257,HLOOKUP(INDIRECT(ADDRESS(2,COLUMN())),OFFSET($BN$2,0,0,ROW()-1,60),ROW()-1,FALSE))</f>
        <v>2.093</v>
      </c>
      <c r="M37">
        <f ca="1">IF(AND(ISNUMBER($M$257),$B$226=1),$M$257,HLOOKUP(INDIRECT(ADDRESS(2,COLUMN())),OFFSET($BN$2,0,0,ROW()-1,60),ROW()-1,FALSE))</f>
        <v>2.028</v>
      </c>
      <c r="N37">
        <f ca="1">IF(AND(ISNUMBER($N$257),$B$226=1),$N$257,HLOOKUP(INDIRECT(ADDRESS(2,COLUMN())),OFFSET($BN$2,0,0,ROW()-1,60),ROW()-1,FALSE))</f>
        <v>2.024</v>
      </c>
      <c r="O37">
        <f ca="1">IF(AND(ISNUMBER($O$257),$B$226=1),$O$257,HLOOKUP(INDIRECT(ADDRESS(2,COLUMN())),OFFSET($BN$2,0,0,ROW()-1,60),ROW()-1,FALSE))</f>
        <v>2.1</v>
      </c>
      <c r="P37">
        <f ca="1">IF(AND(ISNUMBER($P$257),$B$226=1),$P$257,HLOOKUP(INDIRECT(ADDRESS(2,COLUMN())),OFFSET($BN$2,0,0,ROW()-1,60),ROW()-1,FALSE))</f>
        <v>2.1040000000000001</v>
      </c>
      <c r="Q37">
        <f ca="1">IF(AND(ISNUMBER($Q$257),$B$226=1),$Q$257,HLOOKUP(INDIRECT(ADDRESS(2,COLUMN())),OFFSET($BN$2,0,0,ROW()-1,60),ROW()-1,FALSE))</f>
        <v>2.0609999999999999</v>
      </c>
      <c r="R37">
        <f ca="1">IF(AND(ISNUMBER($R$257),$B$226=1),$R$257,HLOOKUP(INDIRECT(ADDRESS(2,COLUMN())),OFFSET($BN$2,0,0,ROW()-1,60),ROW()-1,FALSE))</f>
        <v>2.6440000000000001</v>
      </c>
      <c r="S37">
        <f ca="1">IF(AND(ISNUMBER($S$257),$B$226=1),$S$257,HLOOKUP(INDIRECT(ADDRESS(2,COLUMN())),OFFSET($BN$2,0,0,ROW()-1,60),ROW()-1,FALSE))</f>
        <v>2.4900000000000002</v>
      </c>
      <c r="T37">
        <f ca="1">IF(AND(ISNUMBER($T$257),$B$226=1),$T$257,HLOOKUP(INDIRECT(ADDRESS(2,COLUMN())),OFFSET($BN$2,0,0,ROW()-1,60),ROW()-1,FALSE))</f>
        <v>2.3610000000000002</v>
      </c>
      <c r="U37">
        <f ca="1">IF(AND(ISNUMBER($U$257),$B$226=1),$U$257,HLOOKUP(INDIRECT(ADDRESS(2,COLUMN())),OFFSET($BN$2,0,0,ROW()-1,60),ROW()-1,FALSE))</f>
        <v>2.8359999999999999</v>
      </c>
      <c r="V37">
        <f ca="1">IF(AND(ISNUMBER($V$257),$B$226=1),$V$257,HLOOKUP(INDIRECT(ADDRESS(2,COLUMN())),OFFSET($BN$2,0,0,ROW()-1,60),ROW()-1,FALSE))</f>
        <v>1.66</v>
      </c>
      <c r="W37">
        <f ca="1">IF(AND(ISNUMBER($W$257),$B$226=1),$W$257,HLOOKUP(INDIRECT(ADDRESS(2,COLUMN())),OFFSET($BN$2,0,0,ROW()-1,60),ROW()-1,FALSE))</f>
        <v>1.4510000000000001</v>
      </c>
      <c r="X37">
        <f ca="1">IF(AND(ISNUMBER($X$257),$B$226=1),$X$257,HLOOKUP(INDIRECT(ADDRESS(2,COLUMN())),OFFSET($BN$2,0,0,ROW()-1,60),ROW()-1,FALSE))</f>
        <v>1.7709999999999999</v>
      </c>
      <c r="Y37">
        <f ca="1">IF(AND(ISNUMBER($Y$257),$B$226=1),$Y$257,HLOOKUP(INDIRECT(ADDRESS(2,COLUMN())),OFFSET($BN$2,0,0,ROW()-1,60),ROW()-1,FALSE))</f>
        <v>2.0339999999999998</v>
      </c>
      <c r="Z37">
        <f ca="1">IF(AND(ISNUMBER($Z$257),$B$226=1),$Z$257,HLOOKUP(INDIRECT(ADDRESS(2,COLUMN())),OFFSET($BN$2,0,0,ROW()-1,60),ROW()-1,FALSE))</f>
        <v>2.948</v>
      </c>
      <c r="AA37">
        <f ca="1">IF(AND(ISNUMBER($AA$257),$B$226=1),$AA$257,HLOOKUP(INDIRECT(ADDRESS(2,COLUMN())),OFFSET($BN$2,0,0,ROW()-1,60),ROW()-1,FALSE))</f>
        <v>3.177</v>
      </c>
      <c r="AB37">
        <f ca="1">IF(AND(ISNUMBER($AB$257),$B$226=1),$AB$257,HLOOKUP(INDIRECT(ADDRESS(2,COLUMN())),OFFSET($BN$2,0,0,ROW()-1,60),ROW()-1,FALSE))</f>
        <v>3.0720000000000001</v>
      </c>
      <c r="AC37">
        <f ca="1">IF(AND(ISNUMBER($AC$257),$B$226=1),$AC$257,HLOOKUP(INDIRECT(ADDRESS(2,COLUMN())),OFFSET($BN$2,0,0,ROW()-1,60),ROW()-1,FALSE))</f>
        <v>2.7959999999999998</v>
      </c>
      <c r="AD37">
        <f ca="1">IF(AND(ISNUMBER($AD$257),$B$226=1),$AD$257,HLOOKUP(INDIRECT(ADDRESS(2,COLUMN())),OFFSET($BN$2,0,0,ROW()-1,60),ROW()-1,FALSE))</f>
        <v>2.444</v>
      </c>
      <c r="AE37">
        <f ca="1">IF(AND(ISNUMBER($AE$257),$B$226=1),$AE$257,HLOOKUP(INDIRECT(ADDRESS(2,COLUMN())),OFFSET($BN$2,0,0,ROW()-1,60),ROW()-1,FALSE))</f>
        <v>2.1960000000000002</v>
      </c>
      <c r="AF37">
        <f ca="1">IF(AND(ISNUMBER($AF$257),$B$226=1),$AF$257,HLOOKUP(INDIRECT(ADDRESS(2,COLUMN())),OFFSET($BN$2,0,0,ROW()-1,60),ROW()-1,FALSE))</f>
        <v>1.94</v>
      </c>
      <c r="AG37">
        <f ca="1">IF(AND(ISNUMBER($AG$257),$B$226=1),$AG$257,HLOOKUP(INDIRECT(ADDRESS(2,COLUMN())),OFFSET($BN$2,0,0,ROW()-1,60),ROW()-1,FALSE))</f>
        <v>1.42</v>
      </c>
      <c r="AH37">
        <f ca="1">IF(AND(ISNUMBER($AH$257),$B$226=1),$AH$257,HLOOKUP(INDIRECT(ADDRESS(2,COLUMN())),OFFSET($BN$2,0,0,ROW()-1,60),ROW()-1,FALSE))</f>
        <v>1.224</v>
      </c>
      <c r="AI37">
        <f ca="1">IF(AND(ISNUMBER($AI$257),$B$226=1),$AI$257,HLOOKUP(INDIRECT(ADDRESS(2,COLUMN())),OFFSET($BN$2,0,0,ROW()-1,60),ROW()-1,FALSE))</f>
        <v>1.0920000000000001</v>
      </c>
      <c r="AJ37">
        <f ca="1">IF(AND(ISNUMBER($AJ$257),$B$226=1),$AJ$257,HLOOKUP(INDIRECT(ADDRESS(2,COLUMN())),OFFSET($BN$2,0,0,ROW()-1,60),ROW()-1,FALSE))</f>
        <v>0.95899999999999996</v>
      </c>
      <c r="AK37">
        <f ca="1">IF(AND(ISNUMBER($AK$257),$B$226=1),$AK$257,HLOOKUP(INDIRECT(ADDRESS(2,COLUMN())),OFFSET($BN$2,0,0,ROW()-1,60),ROW()-1,FALSE))</f>
        <v>1.022</v>
      </c>
      <c r="AL37">
        <f ca="1">IF(AND(ISNUMBER($AL$257),$B$226=1),$AL$257,HLOOKUP(INDIRECT(ADDRESS(2,COLUMN())),OFFSET($BN$2,0,0,ROW()-1,60),ROW()-1,FALSE))</f>
        <v>1.478</v>
      </c>
      <c r="AM37">
        <f ca="1">IF(AND(ISNUMBER($AM$257),$B$226=1),$AM$257,HLOOKUP(INDIRECT(ADDRESS(2,COLUMN())),OFFSET($BN$2,0,0,ROW()-1,60),ROW()-1,FALSE))</f>
        <v>0.94799999999999995</v>
      </c>
      <c r="AN37">
        <f ca="1">IF(AND(ISNUMBER($AN$257),$B$226=1),$AN$257,HLOOKUP(INDIRECT(ADDRESS(2,COLUMN())),OFFSET($BN$2,0,0,ROW()-1,60),ROW()-1,FALSE))</f>
        <v>1.024</v>
      </c>
      <c r="AO37">
        <f ca="1">IF(AND(ISNUMBER($AO$257),$B$226=1),$AO$257,HLOOKUP(INDIRECT(ADDRESS(2,COLUMN())),OFFSET($BN$2,0,0,ROW()-1,60),ROW()-1,FALSE))</f>
        <v>1.1559999999999999</v>
      </c>
      <c r="AP37">
        <f ca="1">IF(AND(ISNUMBER($AP$257),$B$226=1),$AP$257,HLOOKUP(INDIRECT(ADDRESS(2,COLUMN())),OFFSET($BN$2,0,0,ROW()-1,60),ROW()-1,FALSE))</f>
        <v>1.1970000000000001</v>
      </c>
      <c r="AQ37">
        <f ca="1">IF(AND(ISNUMBER($AQ$257),$B$226=1),$AQ$257,HLOOKUP(INDIRECT(ADDRESS(2,COLUMN())),OFFSET($BN$2,0,0,ROW()-1,60),ROW()-1,FALSE))</f>
        <v>1.2010000000000001</v>
      </c>
      <c r="AR37">
        <f ca="1">IF(AND(ISNUMBER($AR$257),$B$226=1),$AR$257,HLOOKUP(INDIRECT(ADDRESS(2,COLUMN())),OFFSET($BN$2,0,0,ROW()-1,60),ROW()-1,FALSE))</f>
        <v>1.3109999999999999</v>
      </c>
      <c r="AS37">
        <f ca="1">IF(AND(ISNUMBER($AS$257),$B$226=1),$AS$257,HLOOKUP(INDIRECT(ADDRESS(2,COLUMN())),OFFSET($BN$2,0,0,ROW()-1,60),ROW()-1,FALSE))</f>
        <v>1.4279999999999999</v>
      </c>
      <c r="AT37">
        <f ca="1">IF(AND(ISNUMBER($AT$257),$B$226=1),$AT$257,HLOOKUP(INDIRECT(ADDRESS(2,COLUMN())),OFFSET($BN$2,0,0,ROW()-1,60),ROW()-1,FALSE))</f>
        <v>1.2270000000000001</v>
      </c>
      <c r="AU37">
        <f ca="1">IF(AND(ISNUMBER($AU$257),$B$226=1),$AU$257,HLOOKUP(INDIRECT(ADDRESS(2,COLUMN())),OFFSET($BN$2,0,0,ROW()-1,60),ROW()-1,FALSE))</f>
        <v>1.4279999999999999</v>
      </c>
      <c r="AV37">
        <f ca="1">IF(AND(ISNUMBER($AV$257),$B$226=1),$AV$257,HLOOKUP(INDIRECT(ADDRESS(2,COLUMN())),OFFSET($BN$2,0,0,ROW()-1,60),ROW()-1,FALSE))</f>
        <v>1.268</v>
      </c>
      <c r="AW37">
        <f ca="1">IF(AND(ISNUMBER($AW$257),$B$226=1),$AW$257,HLOOKUP(INDIRECT(ADDRESS(2,COLUMN())),OFFSET($BN$2,0,0,ROW()-1,60),ROW()-1,FALSE))</f>
        <v>1.3540000000000001</v>
      </c>
      <c r="AX37">
        <f ca="1">IF(AND(ISNUMBER($AX$257),$B$226=1),$AX$257,HLOOKUP(INDIRECT(ADDRESS(2,COLUMN())),OFFSET($BN$2,0,0,ROW()-1,60),ROW()-1,FALSE))</f>
        <v>1.04</v>
      </c>
      <c r="AY37">
        <f ca="1">IF(AND(ISNUMBER($AY$257),$B$226=1),$AY$257,HLOOKUP(INDIRECT(ADDRESS(2,COLUMN())),OFFSET($BN$2,0,0,ROW()-1,60),ROW()-1,FALSE))</f>
        <v>1.504</v>
      </c>
      <c r="AZ37">
        <f ca="1">IF(AND(ISNUMBER($AZ$257),$B$226=1),$AZ$257,HLOOKUP(INDIRECT(ADDRESS(2,COLUMN())),OFFSET($BN$2,0,0,ROW()-1,60),ROW()-1,FALSE))</f>
        <v>1.8720000000000001</v>
      </c>
      <c r="BA37">
        <f ca="1">IF(AND(ISNUMBER($BA$257),$B$226=1),$BA$257,HLOOKUP(INDIRECT(ADDRESS(2,COLUMN())),OFFSET($BN$2,0,0,ROW()-1,60),ROW()-1,FALSE))</f>
        <v>0.83</v>
      </c>
      <c r="BB37">
        <f ca="1">IF(AND(ISNUMBER($BB$257),$B$226=1),$BB$257,HLOOKUP(INDIRECT(ADDRESS(2,COLUMN())),OFFSET($BN$2,0,0,ROW()-1,60),ROW()-1,FALSE))</f>
        <v>0.82399999999999995</v>
      </c>
      <c r="BC37">
        <f ca="1">IF(AND(ISNUMBER($BC$257),$B$226=1),$BC$257,HLOOKUP(INDIRECT(ADDRESS(2,COLUMN())),OFFSET($BN$2,0,0,ROW()-1,60),ROW()-1,FALSE))</f>
        <v>1.843</v>
      </c>
      <c r="BD37">
        <f ca="1">IF(AND(ISNUMBER($BD$257),$B$226=1),$BD$257,HLOOKUP(INDIRECT(ADDRESS(2,COLUMN())),OFFSET($BN$2,0,0,ROW()-1,60),ROW()-1,FALSE))</f>
        <v>1.601</v>
      </c>
      <c r="BE37">
        <f ca="1">IF(AND(ISNUMBER($BE$257),$B$226=1),$BE$257,HLOOKUP(INDIRECT(ADDRESS(2,COLUMN())),OFFSET($BN$2,0,0,ROW()-1,60),ROW()-1,FALSE))</f>
        <v>0.93100000000000005</v>
      </c>
      <c r="BF37">
        <f ca="1">IF(AND(ISNUMBER($BF$257),$B$226=1),$BF$257,HLOOKUP(INDIRECT(ADDRESS(2,COLUMN())),OFFSET($BN$2,0,0,ROW()-1,60),ROW()-1,FALSE))</f>
        <v>6.5759999999999996</v>
      </c>
      <c r="BG37">
        <f ca="1">IF(AND(ISNUMBER($BG$257),$B$226=1),$BG$257,HLOOKUP(INDIRECT(ADDRESS(2,COLUMN())),OFFSET($BN$2,0,0,ROW()-1,60),ROW()-1,FALSE))</f>
        <v>0</v>
      </c>
      <c r="BH37">
        <f ca="1">IF(AND(ISNUMBER($BH$257),$B$226=1),$BH$257,HLOOKUP(INDIRECT(ADDRESS(2,COLUMN())),OFFSET($BN$2,0,0,ROW()-1,60),ROW()-1,FALSE))</f>
        <v>15.701000000000001</v>
      </c>
      <c r="BI37">
        <f ca="1">IF(AND(ISNUMBER($BI$257),$B$226=1),$BI$257,HLOOKUP(INDIRECT(ADDRESS(2,COLUMN())),OFFSET($BN$2,0,0,ROW()-1,60),ROW()-1,FALSE))</f>
        <v>0</v>
      </c>
      <c r="BJ37">
        <f ca="1">IF(AND(ISNUMBER($BJ$257),$B$226=1),$BJ$257,HLOOKUP(INDIRECT(ADDRESS(2,COLUMN())),OFFSET($BN$2,0,0,ROW()-1,60),ROW()-1,FALSE))</f>
        <v>0</v>
      </c>
      <c r="BK37">
        <f ca="1">IF(AND(ISNUMBER($BK$257),$B$226=1),$BK$257,HLOOKUP(INDIRECT(ADDRESS(2,COLUMN())),OFFSET($BN$2,0,0,ROW()-1,60),ROW()-1,FALSE))</f>
        <v>0</v>
      </c>
      <c r="BL37">
        <f ca="1">IF(AND(ISNUMBER($BL$257),$B$226=1),$BL$257,HLOOKUP(INDIRECT(ADDRESS(2,COLUMN())),OFFSET($BN$2,0,0,ROW()-1,60),ROW()-1,FALSE))</f>
        <v>0</v>
      </c>
      <c r="BM37">
        <f ca="1">IF(AND(ISNUMBER($BM$257),$B$226=1),$BM$257,HLOOKUP(INDIRECT(ADDRESS(2,COLUMN())),OFFSET($BN$2,0,0,ROW()-1,60),ROW()-1,FALSE))</f>
        <v>0</v>
      </c>
      <c r="BN37" t="str">
        <f>""</f>
        <v/>
      </c>
      <c r="BO37">
        <f>2.647</f>
        <v>2.6469999999999998</v>
      </c>
      <c r="BP37">
        <f>2.395</f>
        <v>2.395</v>
      </c>
      <c r="BQ37">
        <f>2.296</f>
        <v>2.2959999999999998</v>
      </c>
      <c r="BR37">
        <f>2.236</f>
        <v>2.2360000000000002</v>
      </c>
      <c r="BS37">
        <f>2.133</f>
        <v>2.133</v>
      </c>
      <c r="BT37">
        <f>2.093</f>
        <v>2.093</v>
      </c>
      <c r="BU37">
        <f>2.028</f>
        <v>2.028</v>
      </c>
      <c r="BV37">
        <f>2.024</f>
        <v>2.024</v>
      </c>
      <c r="BW37">
        <f>2.1</f>
        <v>2.1</v>
      </c>
      <c r="BX37">
        <f>2.104</f>
        <v>2.1040000000000001</v>
      </c>
      <c r="BY37">
        <f>2.061</f>
        <v>2.0609999999999999</v>
      </c>
      <c r="BZ37">
        <f>2.644</f>
        <v>2.6440000000000001</v>
      </c>
      <c r="CA37">
        <f>2.49</f>
        <v>2.4900000000000002</v>
      </c>
      <c r="CB37">
        <f>2.361</f>
        <v>2.3610000000000002</v>
      </c>
      <c r="CC37">
        <f>2.836</f>
        <v>2.8359999999999999</v>
      </c>
      <c r="CD37">
        <f>1.66</f>
        <v>1.66</v>
      </c>
      <c r="CE37">
        <f>1.451</f>
        <v>1.4510000000000001</v>
      </c>
      <c r="CF37">
        <f>1.771</f>
        <v>1.7709999999999999</v>
      </c>
      <c r="CG37">
        <f>2.034</f>
        <v>2.0339999999999998</v>
      </c>
      <c r="CH37">
        <f>2.948</f>
        <v>2.948</v>
      </c>
      <c r="CI37">
        <f>3.177</f>
        <v>3.177</v>
      </c>
      <c r="CJ37">
        <f>3.072</f>
        <v>3.0720000000000001</v>
      </c>
      <c r="CK37">
        <f>2.796</f>
        <v>2.7959999999999998</v>
      </c>
      <c r="CL37">
        <f>2.444</f>
        <v>2.444</v>
      </c>
      <c r="CM37">
        <f>2.196</f>
        <v>2.1960000000000002</v>
      </c>
      <c r="CN37">
        <f>1.94</f>
        <v>1.94</v>
      </c>
      <c r="CO37">
        <f>1.42</f>
        <v>1.42</v>
      </c>
      <c r="CP37">
        <f>1.224</f>
        <v>1.224</v>
      </c>
      <c r="CQ37">
        <f>1.092</f>
        <v>1.0920000000000001</v>
      </c>
      <c r="CR37">
        <f>0.959</f>
        <v>0.95899999999999996</v>
      </c>
      <c r="CS37">
        <f>1.022</f>
        <v>1.022</v>
      </c>
      <c r="CT37">
        <f>1.478</f>
        <v>1.478</v>
      </c>
      <c r="CU37">
        <f>0.948</f>
        <v>0.94799999999999995</v>
      </c>
      <c r="CV37">
        <f>1.024</f>
        <v>1.024</v>
      </c>
      <c r="CW37">
        <f>1.156</f>
        <v>1.1559999999999999</v>
      </c>
      <c r="CX37">
        <f>1.197</f>
        <v>1.1970000000000001</v>
      </c>
      <c r="CY37">
        <f>1.201</f>
        <v>1.2010000000000001</v>
      </c>
      <c r="CZ37">
        <f>1.311</f>
        <v>1.3109999999999999</v>
      </c>
      <c r="DA37">
        <f>1.428</f>
        <v>1.4279999999999999</v>
      </c>
      <c r="DB37">
        <f>1.227</f>
        <v>1.2270000000000001</v>
      </c>
      <c r="DC37">
        <f>1.428</f>
        <v>1.4279999999999999</v>
      </c>
      <c r="DD37">
        <f>1.268</f>
        <v>1.268</v>
      </c>
      <c r="DE37">
        <f>1.354</f>
        <v>1.3540000000000001</v>
      </c>
      <c r="DF37">
        <f>1.04</f>
        <v>1.04</v>
      </c>
      <c r="DG37">
        <f>1.504</f>
        <v>1.504</v>
      </c>
      <c r="DH37">
        <f>1.872</f>
        <v>1.8720000000000001</v>
      </c>
      <c r="DI37">
        <f>0.83</f>
        <v>0.83</v>
      </c>
      <c r="DJ37">
        <f>0.824</f>
        <v>0.82399999999999995</v>
      </c>
      <c r="DK37">
        <f>1.843</f>
        <v>1.843</v>
      </c>
      <c r="DL37">
        <f>1.601</f>
        <v>1.601</v>
      </c>
      <c r="DM37">
        <f>0.931</f>
        <v>0.93100000000000005</v>
      </c>
      <c r="DN37">
        <f>6.576</f>
        <v>6.5759999999999996</v>
      </c>
      <c r="DO37">
        <f>0</f>
        <v>0</v>
      </c>
      <c r="DP37">
        <f>15.701</f>
        <v>15.701000000000001</v>
      </c>
      <c r="DQ37">
        <f>0</f>
        <v>0</v>
      </c>
      <c r="DR37">
        <f>0</f>
        <v>0</v>
      </c>
      <c r="DS37">
        <f>0</f>
        <v>0</v>
      </c>
      <c r="DT37">
        <f>0</f>
        <v>0</v>
      </c>
      <c r="DU37">
        <f>0</f>
        <v>0</v>
      </c>
    </row>
    <row r="38" spans="1:125">
      <c r="A38" t="str">
        <f>"    Mid-America Apartment Communit"</f>
        <v xml:space="preserve">    Mid-America Apartment Communit</v>
      </c>
      <c r="B38" t="str">
        <f>"MAA US Equity"</f>
        <v>MAA US Equity</v>
      </c>
      <c r="C38" t="str">
        <f t="shared" si="9"/>
        <v>IS019</v>
      </c>
      <c r="D38" t="str">
        <f t="shared" si="10"/>
        <v>IS_COMM_AND_FEE_EARN_INC_REO</v>
      </c>
      <c r="E38" t="str">
        <f t="shared" si="11"/>
        <v>动态</v>
      </c>
      <c r="F38" t="str">
        <f ca="1">IF(AND(ISNUMBER($F$258),$B$226=1),$F$258,HLOOKUP(INDIRECT(ADDRESS(2,COLUMN())),OFFSET($BN$2,0,0,ROW()-1,60),ROW()-1,FALSE))</f>
        <v/>
      </c>
      <c r="G38">
        <f ca="1">IF(AND(ISNUMBER($G$258),$B$226=1),$G$258,HLOOKUP(INDIRECT(ADDRESS(2,COLUMN())),OFFSET($BN$2,0,0,ROW()-1,60),ROW()-1,FALSE))</f>
        <v>0</v>
      </c>
      <c r="H38">
        <f ca="1">IF(AND(ISNUMBER($H$258),$B$226=1),$H$258,HLOOKUP(INDIRECT(ADDRESS(2,COLUMN())),OFFSET($BN$2,0,0,ROW()-1,60),ROW()-1,FALSE))</f>
        <v>0</v>
      </c>
      <c r="I38">
        <f ca="1">IF(AND(ISNUMBER($I$258),$B$226=1),$I$258,HLOOKUP(INDIRECT(ADDRESS(2,COLUMN())),OFFSET($BN$2,0,0,ROW()-1,60),ROW()-1,FALSE))</f>
        <v>0</v>
      </c>
      <c r="J38">
        <f ca="1">IF(AND(ISNUMBER($J$258),$B$226=1),$J$258,HLOOKUP(INDIRECT(ADDRESS(2,COLUMN())),OFFSET($BN$2,0,0,ROW()-1,60),ROW()-1,FALSE))</f>
        <v>0</v>
      </c>
      <c r="K38">
        <f ca="1">IF(AND(ISNUMBER($K$258),$B$226=1),$K$258,HLOOKUP(INDIRECT(ADDRESS(2,COLUMN())),OFFSET($BN$2,0,0,ROW()-1,60),ROW()-1,FALSE))</f>
        <v>0</v>
      </c>
      <c r="L38">
        <f ca="1">IF(AND(ISNUMBER($L$258),$B$226=1),$L$258,HLOOKUP(INDIRECT(ADDRESS(2,COLUMN())),OFFSET($BN$2,0,0,ROW()-1,60),ROW()-1,FALSE))</f>
        <v>0</v>
      </c>
      <c r="M38">
        <f ca="1">IF(AND(ISNUMBER($M$258),$B$226=1),$M$258,HLOOKUP(INDIRECT(ADDRESS(2,COLUMN())),OFFSET($BN$2,0,0,ROW()-1,60),ROW()-1,FALSE))</f>
        <v>0</v>
      </c>
      <c r="N38">
        <f ca="1">IF(AND(ISNUMBER($N$258),$B$226=1),$N$258,HLOOKUP(INDIRECT(ADDRESS(2,COLUMN())),OFFSET($BN$2,0,0,ROW()-1,60),ROW()-1,FALSE))</f>
        <v>0</v>
      </c>
      <c r="O38">
        <f ca="1">IF(AND(ISNUMBER($O$258),$B$226=1),$O$258,HLOOKUP(INDIRECT(ADDRESS(2,COLUMN())),OFFSET($BN$2,0,0,ROW()-1,60),ROW()-1,FALSE))</f>
        <v>0</v>
      </c>
      <c r="P38">
        <f ca="1">IF(AND(ISNUMBER($P$258),$B$226=1),$P$258,HLOOKUP(INDIRECT(ADDRESS(2,COLUMN())),OFFSET($BN$2,0,0,ROW()-1,60),ROW()-1,FALSE))</f>
        <v>0</v>
      </c>
      <c r="Q38">
        <f ca="1">IF(AND(ISNUMBER($Q$258),$B$226=1),$Q$258,HLOOKUP(INDIRECT(ADDRESS(2,COLUMN())),OFFSET($BN$2,0,0,ROW()-1,60),ROW()-1,FALSE))</f>
        <v>0</v>
      </c>
      <c r="R38">
        <f ca="1">IF(AND(ISNUMBER($R$258),$B$226=1),$R$258,HLOOKUP(INDIRECT(ADDRESS(2,COLUMN())),OFFSET($BN$2,0,0,ROW()-1,60),ROW()-1,FALSE))</f>
        <v>0</v>
      </c>
      <c r="S38">
        <f ca="1">IF(AND(ISNUMBER($S$258),$B$226=1),$S$258,HLOOKUP(INDIRECT(ADDRESS(2,COLUMN())),OFFSET($BN$2,0,0,ROW()-1,60),ROW()-1,FALSE))</f>
        <v>0</v>
      </c>
      <c r="T38">
        <f ca="1">IF(AND(ISNUMBER($T$258),$B$226=1),$T$258,HLOOKUP(INDIRECT(ADDRESS(2,COLUMN())),OFFSET($BN$2,0,0,ROW()-1,60),ROW()-1,FALSE))</f>
        <v>1.0999999999999999E-2</v>
      </c>
      <c r="U38">
        <f ca="1">IF(AND(ISNUMBER($U$258),$B$226=1),$U$258,HLOOKUP(INDIRECT(ADDRESS(2,COLUMN())),OFFSET($BN$2,0,0,ROW()-1,60),ROW()-1,FALSE))</f>
        <v>6.0999999999999999E-2</v>
      </c>
      <c r="V38">
        <f ca="1">IF(AND(ISNUMBER($V$258),$B$226=1),$V$258,HLOOKUP(INDIRECT(ADDRESS(2,COLUMN())),OFFSET($BN$2,0,0,ROW()-1,60),ROW()-1,FALSE))</f>
        <v>9.7000000000000003E-2</v>
      </c>
      <c r="W38">
        <f ca="1">IF(AND(ISNUMBER($W$258),$B$226=1),$W$258,HLOOKUP(INDIRECT(ADDRESS(2,COLUMN())),OFFSET($BN$2,0,0,ROW()-1,60),ROW()-1,FALSE))</f>
        <v>0.182</v>
      </c>
      <c r="X38">
        <f ca="1">IF(AND(ISNUMBER($X$258),$B$226=1),$X$258,HLOOKUP(INDIRECT(ADDRESS(2,COLUMN())),OFFSET($BN$2,0,0,ROW()-1,60),ROW()-1,FALSE))</f>
        <v>0.14599999999999999</v>
      </c>
      <c r="Y38">
        <f ca="1">IF(AND(ISNUMBER($Y$258),$B$226=1),$Y$258,HLOOKUP(INDIRECT(ADDRESS(2,COLUMN())),OFFSET($BN$2,0,0,ROW()-1,60),ROW()-1,FALSE))</f>
        <v>0.14199999999999999</v>
      </c>
      <c r="Z38">
        <f ca="1">IF(AND(ISNUMBER($Z$258),$B$226=1),$Z$258,HLOOKUP(INDIRECT(ADDRESS(2,COLUMN())),OFFSET($BN$2,0,0,ROW()-1,60),ROW()-1,FALSE))</f>
        <v>0.17699999999999999</v>
      </c>
      <c r="AA38">
        <f ca="1">IF(AND(ISNUMBER($AA$258),$B$226=1),$AA$258,HLOOKUP(INDIRECT(ADDRESS(2,COLUMN())),OFFSET($BN$2,0,0,ROW()-1,60),ROW()-1,FALSE))</f>
        <v>0.21199999999999999</v>
      </c>
      <c r="AB38">
        <f ca="1">IF(AND(ISNUMBER($AB$258),$B$226=1),$AB$258,HLOOKUP(INDIRECT(ADDRESS(2,COLUMN())),OFFSET($BN$2,0,0,ROW()-1,60),ROW()-1,FALSE))</f>
        <v>0.20899999999999999</v>
      </c>
      <c r="AC38">
        <f ca="1">IF(AND(ISNUMBER($AC$258),$B$226=1),$AC$258,HLOOKUP(INDIRECT(ADDRESS(2,COLUMN())),OFFSET($BN$2,0,0,ROW()-1,60),ROW()-1,FALSE))</f>
        <v>0.20899999999999999</v>
      </c>
      <c r="AD38">
        <f ca="1">IF(AND(ISNUMBER($AD$258),$B$226=1),$AD$258,HLOOKUP(INDIRECT(ADDRESS(2,COLUMN())),OFFSET($BN$2,0,0,ROW()-1,60),ROW()-1,FALSE))</f>
        <v>0.26900000000000002</v>
      </c>
      <c r="AE38">
        <f ca="1">IF(AND(ISNUMBER($AE$258),$B$226=1),$AE$258,HLOOKUP(INDIRECT(ADDRESS(2,COLUMN())),OFFSET($BN$2,0,0,ROW()-1,60),ROW()-1,FALSE))</f>
        <v>0.26600000000000001</v>
      </c>
      <c r="AF38">
        <f ca="1">IF(AND(ISNUMBER($AF$258),$B$226=1),$AF$258,HLOOKUP(INDIRECT(ADDRESS(2,COLUMN())),OFFSET($BN$2,0,0,ROW()-1,60),ROW()-1,FALSE))</f>
        <v>0.26500000000000001</v>
      </c>
      <c r="AG38">
        <f ca="1">IF(AND(ISNUMBER($AG$258),$B$226=1),$AG$258,HLOOKUP(INDIRECT(ADDRESS(2,COLUMN())),OFFSET($BN$2,0,0,ROW()-1,60),ROW()-1,FALSE))</f>
        <v>0.26300000000000001</v>
      </c>
      <c r="AH38">
        <f ca="1">IF(AND(ISNUMBER($AH$258),$B$226=1),$AH$258,HLOOKUP(INDIRECT(ADDRESS(2,COLUMN())),OFFSET($BN$2,0,0,ROW()-1,60),ROW()-1,FALSE))</f>
        <v>0.223</v>
      </c>
      <c r="AI38">
        <f ca="1">IF(AND(ISNUMBER($AI$258),$B$226=1),$AI$258,HLOOKUP(INDIRECT(ADDRESS(2,COLUMN())),OFFSET($BN$2,0,0,ROW()-1,60),ROW()-1,FALSE))</f>
        <v>0.20300000000000001</v>
      </c>
      <c r="AJ38">
        <f ca="1">IF(AND(ISNUMBER($AJ$258),$B$226=1),$AJ$258,HLOOKUP(INDIRECT(ADDRESS(2,COLUMN())),OFFSET($BN$2,0,0,ROW()-1,60),ROW()-1,FALSE))</f>
        <v>0.186</v>
      </c>
      <c r="AK38">
        <f ca="1">IF(AND(ISNUMBER($AK$258),$B$226=1),$AK$258,HLOOKUP(INDIRECT(ADDRESS(2,COLUMN())),OFFSET($BN$2,0,0,ROW()-1,60),ROW()-1,FALSE))</f>
        <v>0.155</v>
      </c>
      <c r="AL38">
        <f ca="1">IF(AND(ISNUMBER($AL$258),$B$226=1),$AL$258,HLOOKUP(INDIRECT(ADDRESS(2,COLUMN())),OFFSET($BN$2,0,0,ROW()-1,60),ROW()-1,FALSE))</f>
        <v>0.13600000000000001</v>
      </c>
      <c r="AM38">
        <f ca="1">IF(AND(ISNUMBER($AM$258),$B$226=1),$AM$258,HLOOKUP(INDIRECT(ADDRESS(2,COLUMN())),OFFSET($BN$2,0,0,ROW()-1,60),ROW()-1,FALSE))</f>
        <v>8.7999999999999995E-2</v>
      </c>
      <c r="AN38">
        <f ca="1">IF(AND(ISNUMBER($AN$258),$B$226=1),$AN$258,HLOOKUP(INDIRECT(ADDRESS(2,COLUMN())),OFFSET($BN$2,0,0,ROW()-1,60),ROW()-1,FALSE))</f>
        <v>7.8E-2</v>
      </c>
      <c r="AO38">
        <f ca="1">IF(AND(ISNUMBER($AO$258),$B$226=1),$AO$258,HLOOKUP(INDIRECT(ADDRESS(2,COLUMN())),OFFSET($BN$2,0,0,ROW()-1,60),ROW()-1,FALSE))</f>
        <v>6.3E-2</v>
      </c>
      <c r="AP38">
        <f ca="1">IF(AND(ISNUMBER($AP$258),$B$226=1),$AP$258,HLOOKUP(INDIRECT(ADDRESS(2,COLUMN())),OFFSET($BN$2,0,0,ROW()-1,60),ROW()-1,FALSE))</f>
        <v>6.4000000000000001E-2</v>
      </c>
      <c r="AQ38">
        <f ca="1">IF(AND(ISNUMBER($AQ$258),$B$226=1),$AQ$258,HLOOKUP(INDIRECT(ADDRESS(2,COLUMN())),OFFSET($BN$2,0,0,ROW()-1,60),ROW()-1,FALSE))</f>
        <v>5.8999999999999997E-2</v>
      </c>
      <c r="AR38">
        <f ca="1">IF(AND(ISNUMBER($AR$258),$B$226=1),$AR$258,HLOOKUP(INDIRECT(ADDRESS(2,COLUMN())),OFFSET($BN$2,0,0,ROW()-1,60),ROW()-1,FALSE))</f>
        <v>5.8000000000000003E-2</v>
      </c>
      <c r="AS38">
        <f ca="1">IF(AND(ISNUMBER($AS$258),$B$226=1),$AS$258,HLOOKUP(INDIRECT(ADDRESS(2,COLUMN())),OFFSET($BN$2,0,0,ROW()-1,60),ROW()-1,FALSE))</f>
        <v>6.0999999999999999E-2</v>
      </c>
      <c r="AT38">
        <f ca="1">IF(AND(ISNUMBER($AT$258),$B$226=1),$AT$258,HLOOKUP(INDIRECT(ADDRESS(2,COLUMN())),OFFSET($BN$2,0,0,ROW()-1,60),ROW()-1,FALSE))</f>
        <v>2.8000000000000001E-2</v>
      </c>
      <c r="AU38">
        <f ca="1">IF(AND(ISNUMBER($AU$258),$B$226=1),$AU$258,HLOOKUP(INDIRECT(ADDRESS(2,COLUMN())),OFFSET($BN$2,0,0,ROW()-1,60),ROW()-1,FALSE))</f>
        <v>0</v>
      </c>
      <c r="AV38" t="str">
        <f ca="1">IF(AND(ISNUMBER($AV$258),$B$226=1),$AV$258,HLOOKUP(INDIRECT(ADDRESS(2,COLUMN())),OFFSET($BN$2,0,0,ROW()-1,60),ROW()-1,FALSE))</f>
        <v/>
      </c>
      <c r="AW38">
        <f ca="1">IF(AND(ISNUMBER($AW$258),$B$226=1),$AW$258,HLOOKUP(INDIRECT(ADDRESS(2,COLUMN())),OFFSET($BN$2,0,0,ROW()-1,60),ROW()-1,FALSE))</f>
        <v>0</v>
      </c>
      <c r="AX38">
        <f ca="1">IF(AND(ISNUMBER($AX$258),$B$226=1),$AX$258,HLOOKUP(INDIRECT(ADDRESS(2,COLUMN())),OFFSET($BN$2,0,0,ROW()-1,60),ROW()-1,FALSE))</f>
        <v>3.4000000000000002E-2</v>
      </c>
      <c r="AY38">
        <f ca="1">IF(AND(ISNUMBER($AY$258),$B$226=1),$AY$258,HLOOKUP(INDIRECT(ADDRESS(2,COLUMN())),OFFSET($BN$2,0,0,ROW()-1,60),ROW()-1,FALSE))</f>
        <v>5.2999999999999999E-2</v>
      </c>
      <c r="AZ38">
        <f ca="1">IF(AND(ISNUMBER($AZ$258),$B$226=1),$AZ$258,HLOOKUP(INDIRECT(ADDRESS(2,COLUMN())),OFFSET($BN$2,0,0,ROW()-1,60),ROW()-1,FALSE))</f>
        <v>5.2999999999999999E-2</v>
      </c>
      <c r="BA38">
        <f ca="1">IF(AND(ISNUMBER($BA$258),$B$226=1),$BA$258,HLOOKUP(INDIRECT(ADDRESS(2,COLUMN())),OFFSET($BN$2,0,0,ROW()-1,60),ROW()-1,FALSE))</f>
        <v>5.1999999999999998E-2</v>
      </c>
      <c r="BB38">
        <f ca="1">IF(AND(ISNUMBER($BB$258),$B$226=1),$BB$258,HLOOKUP(INDIRECT(ADDRESS(2,COLUMN())),OFFSET($BN$2,0,0,ROW()-1,60),ROW()-1,FALSE))</f>
        <v>5.1999999999999998E-2</v>
      </c>
      <c r="BC38">
        <f ca="1">IF(AND(ISNUMBER($BC$258),$B$226=1),$BC$258,HLOOKUP(INDIRECT(ADDRESS(2,COLUMN())),OFFSET($BN$2,0,0,ROW()-1,60),ROW()-1,FALSE))</f>
        <v>5.2999999999999999E-2</v>
      </c>
      <c r="BD38">
        <f ca="1">IF(AND(ISNUMBER($BD$258),$B$226=1),$BD$258,HLOOKUP(INDIRECT(ADDRESS(2,COLUMN())),OFFSET($BN$2,0,0,ROW()-1,60),ROW()-1,FALSE))</f>
        <v>5.0999999999999997E-2</v>
      </c>
      <c r="BE38">
        <f ca="1">IF(AND(ISNUMBER($BE$258),$B$226=1),$BE$258,HLOOKUP(INDIRECT(ADDRESS(2,COLUMN())),OFFSET($BN$2,0,0,ROW()-1,60),ROW()-1,FALSE))</f>
        <v>0.10299999999999999</v>
      </c>
      <c r="BF38">
        <f ca="1">IF(AND(ISNUMBER($BF$258),$B$226=1),$BF$258,HLOOKUP(INDIRECT(ADDRESS(2,COLUMN())),OFFSET($BN$2,0,0,ROW()-1,60),ROW()-1,FALSE))</f>
        <v>0.11799999999999999</v>
      </c>
      <c r="BG38">
        <f ca="1">IF(AND(ISNUMBER($BG$258),$B$226=1),$BG$258,HLOOKUP(INDIRECT(ADDRESS(2,COLUMN())),OFFSET($BN$2,0,0,ROW()-1,60),ROW()-1,FALSE))</f>
        <v>0.13900000000000001</v>
      </c>
      <c r="BH38">
        <f ca="1">IF(AND(ISNUMBER($BH$258),$B$226=1),$BH$258,HLOOKUP(INDIRECT(ADDRESS(2,COLUMN())),OFFSET($BN$2,0,0,ROW()-1,60),ROW()-1,FALSE))</f>
        <v>0.14899999999999999</v>
      </c>
      <c r="BI38">
        <f ca="1">IF(AND(ISNUMBER($BI$258),$B$226=1),$BI$258,HLOOKUP(INDIRECT(ADDRESS(2,COLUMN())),OFFSET($BN$2,0,0,ROW()-1,60),ROW()-1,FALSE))</f>
        <v>0.14899999999999999</v>
      </c>
      <c r="BJ38">
        <f ca="1">IF(AND(ISNUMBER($BJ$258),$B$226=1),$BJ$258,HLOOKUP(INDIRECT(ADDRESS(2,COLUMN())),OFFSET($BN$2,0,0,ROW()-1,60),ROW()-1,FALSE))</f>
        <v>0.14499999999999999</v>
      </c>
      <c r="BK38">
        <f ca="1">IF(AND(ISNUMBER($BK$258),$B$226=1),$BK$258,HLOOKUP(INDIRECT(ADDRESS(2,COLUMN())),OFFSET($BN$2,0,0,ROW()-1,60),ROW()-1,FALSE))</f>
        <v>9.3000001999999998E-2</v>
      </c>
      <c r="BL38">
        <f ca="1">IF(AND(ISNUMBER($BL$258),$B$226=1),$BL$258,HLOOKUP(INDIRECT(ADDRESS(2,COLUMN())),OFFSET($BN$2,0,0,ROW()-1,60),ROW()-1,FALSE))</f>
        <v>0.215</v>
      </c>
      <c r="BM38">
        <f ca="1">IF(AND(ISNUMBER($BM$258),$B$226=1),$BM$258,HLOOKUP(INDIRECT(ADDRESS(2,COLUMN())),OFFSET($BN$2,0,0,ROW()-1,60),ROW()-1,FALSE))</f>
        <v>0.26600000000000001</v>
      </c>
      <c r="BN38" t="str">
        <f>""</f>
        <v/>
      </c>
      <c r="BO38">
        <f>0</f>
        <v>0</v>
      </c>
      <c r="BP38">
        <f>0</f>
        <v>0</v>
      </c>
      <c r="BQ38">
        <f>0</f>
        <v>0</v>
      </c>
      <c r="BR38">
        <f>0</f>
        <v>0</v>
      </c>
      <c r="BS38">
        <f>0</f>
        <v>0</v>
      </c>
      <c r="BT38">
        <f>0</f>
        <v>0</v>
      </c>
      <c r="BU38">
        <f>0</f>
        <v>0</v>
      </c>
      <c r="BV38">
        <f>0</f>
        <v>0</v>
      </c>
      <c r="BW38">
        <f>0</f>
        <v>0</v>
      </c>
      <c r="BX38">
        <f>0</f>
        <v>0</v>
      </c>
      <c r="BY38">
        <f>0</f>
        <v>0</v>
      </c>
      <c r="BZ38">
        <f>0</f>
        <v>0</v>
      </c>
      <c r="CA38">
        <f>0</f>
        <v>0</v>
      </c>
      <c r="CB38">
        <f>0.011</f>
        <v>1.0999999999999999E-2</v>
      </c>
      <c r="CC38">
        <f>0.061</f>
        <v>6.0999999999999999E-2</v>
      </c>
      <c r="CD38">
        <f>0.097</f>
        <v>9.7000000000000003E-2</v>
      </c>
      <c r="CE38">
        <f>0.182</f>
        <v>0.182</v>
      </c>
      <c r="CF38">
        <f>0.146</f>
        <v>0.14599999999999999</v>
      </c>
      <c r="CG38">
        <f>0.142</f>
        <v>0.14199999999999999</v>
      </c>
      <c r="CH38">
        <f>0.177</f>
        <v>0.17699999999999999</v>
      </c>
      <c r="CI38">
        <f>0.212</f>
        <v>0.21199999999999999</v>
      </c>
      <c r="CJ38">
        <f>0.209</f>
        <v>0.20899999999999999</v>
      </c>
      <c r="CK38">
        <f>0.209</f>
        <v>0.20899999999999999</v>
      </c>
      <c r="CL38">
        <f>0.269</f>
        <v>0.26900000000000002</v>
      </c>
      <c r="CM38">
        <f>0.266</f>
        <v>0.26600000000000001</v>
      </c>
      <c r="CN38">
        <f>0.265</f>
        <v>0.26500000000000001</v>
      </c>
      <c r="CO38">
        <f>0.263</f>
        <v>0.26300000000000001</v>
      </c>
      <c r="CP38">
        <f>0.223</f>
        <v>0.223</v>
      </c>
      <c r="CQ38">
        <f>0.203</f>
        <v>0.20300000000000001</v>
      </c>
      <c r="CR38">
        <f>0.186</f>
        <v>0.186</v>
      </c>
      <c r="CS38">
        <f>0.155</f>
        <v>0.155</v>
      </c>
      <c r="CT38">
        <f>0.136</f>
        <v>0.13600000000000001</v>
      </c>
      <c r="CU38">
        <f>0.088</f>
        <v>8.7999999999999995E-2</v>
      </c>
      <c r="CV38">
        <f>0.078</f>
        <v>7.8E-2</v>
      </c>
      <c r="CW38">
        <f>0.063</f>
        <v>6.3E-2</v>
      </c>
      <c r="CX38">
        <f>0.064</f>
        <v>6.4000000000000001E-2</v>
      </c>
      <c r="CY38">
        <f>0.059</f>
        <v>5.8999999999999997E-2</v>
      </c>
      <c r="CZ38">
        <f>0.058</f>
        <v>5.8000000000000003E-2</v>
      </c>
      <c r="DA38">
        <f>0.061</f>
        <v>6.0999999999999999E-2</v>
      </c>
      <c r="DB38">
        <f>0.028</f>
        <v>2.8000000000000001E-2</v>
      </c>
      <c r="DC38">
        <f>0</f>
        <v>0</v>
      </c>
      <c r="DD38" t="str">
        <f>""</f>
        <v/>
      </c>
      <c r="DE38">
        <f>0</f>
        <v>0</v>
      </c>
      <c r="DF38">
        <f>0.034</f>
        <v>3.4000000000000002E-2</v>
      </c>
      <c r="DG38">
        <f>0.053</f>
        <v>5.2999999999999999E-2</v>
      </c>
      <c r="DH38">
        <f>0.053</f>
        <v>5.2999999999999999E-2</v>
      </c>
      <c r="DI38">
        <f>0.052</f>
        <v>5.1999999999999998E-2</v>
      </c>
      <c r="DJ38">
        <f>0.052</f>
        <v>5.1999999999999998E-2</v>
      </c>
      <c r="DK38">
        <f>0.053</f>
        <v>5.2999999999999999E-2</v>
      </c>
      <c r="DL38">
        <f>0.051</f>
        <v>5.0999999999999997E-2</v>
      </c>
      <c r="DM38">
        <f>0.103</f>
        <v>0.10299999999999999</v>
      </c>
      <c r="DN38">
        <f>0.118</f>
        <v>0.11799999999999999</v>
      </c>
      <c r="DO38">
        <f>0.139</f>
        <v>0.13900000000000001</v>
      </c>
      <c r="DP38">
        <f>0.149</f>
        <v>0.14899999999999999</v>
      </c>
      <c r="DQ38">
        <f>0.149</f>
        <v>0.14899999999999999</v>
      </c>
      <c r="DR38">
        <f>0.145</f>
        <v>0.14499999999999999</v>
      </c>
      <c r="DS38">
        <f>0.093000002</f>
        <v>9.3000001999999998E-2</v>
      </c>
      <c r="DT38">
        <f>0.215</f>
        <v>0.215</v>
      </c>
      <c r="DU38">
        <f>0.266</f>
        <v>0.26600000000000001</v>
      </c>
    </row>
    <row r="39" spans="1:125">
      <c r="A39" t="str">
        <f>"    UDR Inc"</f>
        <v xml:space="preserve">    UDR Inc</v>
      </c>
      <c r="B39" t="str">
        <f>"UDR US Equity"</f>
        <v>UDR US Equity</v>
      </c>
      <c r="C39" t="str">
        <f t="shared" si="9"/>
        <v>IS019</v>
      </c>
      <c r="D39" t="str">
        <f t="shared" si="10"/>
        <v>IS_COMM_AND_FEE_EARN_INC_REO</v>
      </c>
      <c r="E39" t="str">
        <f t="shared" si="11"/>
        <v>动态</v>
      </c>
      <c r="F39" t="str">
        <f ca="1">IF(AND(ISNUMBER($F$259),$B$226=1),$F$259,HLOOKUP(INDIRECT(ADDRESS(2,COLUMN())),OFFSET($BN$2,0,0,ROW()-1,60),ROW()-1,FALSE))</f>
        <v/>
      </c>
      <c r="G39">
        <f ca="1">IF(AND(ISNUMBER($G$259),$B$226=1),$G$259,HLOOKUP(INDIRECT(ADDRESS(2,COLUMN())),OFFSET($BN$2,0,0,ROW()-1,60),ROW()-1,FALSE))</f>
        <v>0</v>
      </c>
      <c r="H39">
        <f ca="1">IF(AND(ISNUMBER($H$259),$B$226=1),$H$259,HLOOKUP(INDIRECT(ADDRESS(2,COLUMN())),OFFSET($BN$2,0,0,ROW()-1,60),ROW()-1,FALSE))</f>
        <v>0</v>
      </c>
      <c r="I39">
        <f ca="1">IF(AND(ISNUMBER($I$259),$B$226=1),$I$259,HLOOKUP(INDIRECT(ADDRESS(2,COLUMN())),OFFSET($BN$2,0,0,ROW()-1,60),ROW()-1,FALSE))</f>
        <v>0</v>
      </c>
      <c r="J39">
        <f ca="1">IF(AND(ISNUMBER($J$259),$B$226=1),$J$259,HLOOKUP(INDIRECT(ADDRESS(2,COLUMN())),OFFSET($BN$2,0,0,ROW()-1,60),ROW()-1,FALSE))</f>
        <v>0</v>
      </c>
      <c r="K39">
        <f ca="1">IF(AND(ISNUMBER($K$259),$B$226=1),$K$259,HLOOKUP(INDIRECT(ADDRESS(2,COLUMN())),OFFSET($BN$2,0,0,ROW()-1,60),ROW()-1,FALSE))</f>
        <v>0</v>
      </c>
      <c r="L39">
        <f ca="1">IF(AND(ISNUMBER($L$259),$B$226=1),$L$259,HLOOKUP(INDIRECT(ADDRESS(2,COLUMN())),OFFSET($BN$2,0,0,ROW()-1,60),ROW()-1,FALSE))</f>
        <v>0</v>
      </c>
      <c r="M39">
        <f ca="1">IF(AND(ISNUMBER($M$259),$B$226=1),$M$259,HLOOKUP(INDIRECT(ADDRESS(2,COLUMN())),OFFSET($BN$2,0,0,ROW()-1,60),ROW()-1,FALSE))</f>
        <v>0</v>
      </c>
      <c r="N39">
        <f ca="1">IF(AND(ISNUMBER($N$259),$B$226=1),$N$259,HLOOKUP(INDIRECT(ADDRESS(2,COLUMN())),OFFSET($BN$2,0,0,ROW()-1,60),ROW()-1,FALSE))</f>
        <v>0</v>
      </c>
      <c r="O39">
        <f ca="1">IF(AND(ISNUMBER($O$259),$B$226=1),$O$259,HLOOKUP(INDIRECT(ADDRESS(2,COLUMN())),OFFSET($BN$2,0,0,ROW()-1,60),ROW()-1,FALSE))</f>
        <v>0</v>
      </c>
      <c r="P39">
        <f ca="1">IF(AND(ISNUMBER($P$259),$B$226=1),$P$259,HLOOKUP(INDIRECT(ADDRESS(2,COLUMN())),OFFSET($BN$2,0,0,ROW()-1,60),ROW()-1,FALSE))</f>
        <v>0</v>
      </c>
      <c r="Q39">
        <f ca="1">IF(AND(ISNUMBER($Q$259),$B$226=1),$Q$259,HLOOKUP(INDIRECT(ADDRESS(2,COLUMN())),OFFSET($BN$2,0,0,ROW()-1,60),ROW()-1,FALSE))</f>
        <v>0</v>
      </c>
      <c r="R39">
        <f ca="1">IF(AND(ISNUMBER($R$259),$B$226=1),$R$259,HLOOKUP(INDIRECT(ADDRESS(2,COLUMN())),OFFSET($BN$2,0,0,ROW()-1,60),ROW()-1,FALSE))</f>
        <v>0</v>
      </c>
      <c r="S39">
        <f ca="1">IF(AND(ISNUMBER($S$259),$B$226=1),$S$259,HLOOKUP(INDIRECT(ADDRESS(2,COLUMN())),OFFSET($BN$2,0,0,ROW()-1,60),ROW()-1,FALSE))</f>
        <v>0</v>
      </c>
      <c r="T39">
        <f ca="1">IF(AND(ISNUMBER($T$259),$B$226=1),$T$259,HLOOKUP(INDIRECT(ADDRESS(2,COLUMN())),OFFSET($BN$2,0,0,ROW()-1,60),ROW()-1,FALSE))</f>
        <v>0</v>
      </c>
      <c r="U39">
        <f ca="1">IF(AND(ISNUMBER($U$259),$B$226=1),$U$259,HLOOKUP(INDIRECT(ADDRESS(2,COLUMN())),OFFSET($BN$2,0,0,ROW()-1,60),ROW()-1,FALSE))</f>
        <v>0</v>
      </c>
      <c r="V39">
        <f ca="1">IF(AND(ISNUMBER($V$259),$B$226=1),$V$259,HLOOKUP(INDIRECT(ADDRESS(2,COLUMN())),OFFSET($BN$2,0,0,ROW()-1,60),ROW()-1,FALSE))</f>
        <v>0</v>
      </c>
      <c r="W39">
        <f ca="1">IF(AND(ISNUMBER($W$259),$B$226=1),$W$259,HLOOKUP(INDIRECT(ADDRESS(2,COLUMN())),OFFSET($BN$2,0,0,ROW()-1,60),ROW()-1,FALSE))</f>
        <v>0</v>
      </c>
      <c r="X39">
        <f ca="1">IF(AND(ISNUMBER($X$259),$B$226=1),$X$259,HLOOKUP(INDIRECT(ADDRESS(2,COLUMN())),OFFSET($BN$2,0,0,ROW()-1,60),ROW()-1,FALSE))</f>
        <v>0</v>
      </c>
      <c r="Y39">
        <f ca="1">IF(AND(ISNUMBER($Y$259),$B$226=1),$Y$259,HLOOKUP(INDIRECT(ADDRESS(2,COLUMN())),OFFSET($BN$2,0,0,ROW()-1,60),ROW()-1,FALSE))</f>
        <v>0</v>
      </c>
      <c r="Z39">
        <f ca="1">IF(AND(ISNUMBER($Z$259),$B$226=1),$Z$259,HLOOKUP(INDIRECT(ADDRESS(2,COLUMN())),OFFSET($BN$2,0,0,ROW()-1,60),ROW()-1,FALSE))</f>
        <v>0</v>
      </c>
      <c r="AA39">
        <f ca="1">IF(AND(ISNUMBER($AA$259),$B$226=1),$AA$259,HLOOKUP(INDIRECT(ADDRESS(2,COLUMN())),OFFSET($BN$2,0,0,ROW()-1,60),ROW()-1,FALSE))</f>
        <v>0</v>
      </c>
      <c r="AB39">
        <f ca="1">IF(AND(ISNUMBER($AB$259),$B$226=1),$AB$259,HLOOKUP(INDIRECT(ADDRESS(2,COLUMN())),OFFSET($BN$2,0,0,ROW()-1,60),ROW()-1,FALSE))</f>
        <v>0</v>
      </c>
      <c r="AC39">
        <f ca="1">IF(AND(ISNUMBER($AC$259),$B$226=1),$AC$259,HLOOKUP(INDIRECT(ADDRESS(2,COLUMN())),OFFSET($BN$2,0,0,ROW()-1,60),ROW()-1,FALSE))</f>
        <v>0</v>
      </c>
      <c r="AD39">
        <f ca="1">IF(AND(ISNUMBER($AD$259),$B$226=1),$AD$259,HLOOKUP(INDIRECT(ADDRESS(2,COLUMN())),OFFSET($BN$2,0,0,ROW()-1,60),ROW()-1,FALSE))</f>
        <v>0</v>
      </c>
      <c r="AE39">
        <f ca="1">IF(AND(ISNUMBER($AE$259),$B$226=1),$AE$259,HLOOKUP(INDIRECT(ADDRESS(2,COLUMN())),OFFSET($BN$2,0,0,ROW()-1,60),ROW()-1,FALSE))</f>
        <v>0</v>
      </c>
      <c r="AF39">
        <f ca="1">IF(AND(ISNUMBER($AF$259),$B$226=1),$AF$259,HLOOKUP(INDIRECT(ADDRESS(2,COLUMN())),OFFSET($BN$2,0,0,ROW()-1,60),ROW()-1,FALSE))</f>
        <v>0</v>
      </c>
      <c r="AG39">
        <f ca="1">IF(AND(ISNUMBER($AG$259),$B$226=1),$AG$259,HLOOKUP(INDIRECT(ADDRESS(2,COLUMN())),OFFSET($BN$2,0,0,ROW()-1,60),ROW()-1,FALSE))</f>
        <v>0</v>
      </c>
      <c r="AH39">
        <f ca="1">IF(AND(ISNUMBER($AH$259),$B$226=1),$AH$259,HLOOKUP(INDIRECT(ADDRESS(2,COLUMN())),OFFSET($BN$2,0,0,ROW()-1,60),ROW()-1,FALSE))</f>
        <v>0</v>
      </c>
      <c r="AI39">
        <f ca="1">IF(AND(ISNUMBER($AI$259),$B$226=1),$AI$259,HLOOKUP(INDIRECT(ADDRESS(2,COLUMN())),OFFSET($BN$2,0,0,ROW()-1,60),ROW()-1,FALSE))</f>
        <v>0</v>
      </c>
      <c r="AJ39">
        <f ca="1">IF(AND(ISNUMBER($AJ$259),$B$226=1),$AJ$259,HLOOKUP(INDIRECT(ADDRESS(2,COLUMN())),OFFSET($BN$2,0,0,ROW()-1,60),ROW()-1,FALSE))</f>
        <v>0</v>
      </c>
      <c r="AK39">
        <f ca="1">IF(AND(ISNUMBER($AK$259),$B$226=1),$AK$259,HLOOKUP(INDIRECT(ADDRESS(2,COLUMN())),OFFSET($BN$2,0,0,ROW()-1,60),ROW()-1,FALSE))</f>
        <v>0</v>
      </c>
      <c r="AL39">
        <f ca="1">IF(AND(ISNUMBER($AL$259),$B$226=1),$AL$259,HLOOKUP(INDIRECT(ADDRESS(2,COLUMN())),OFFSET($BN$2,0,0,ROW()-1,60),ROW()-1,FALSE))</f>
        <v>0</v>
      </c>
      <c r="AM39">
        <f ca="1">IF(AND(ISNUMBER($AM$259),$B$226=1),$AM$259,HLOOKUP(INDIRECT(ADDRESS(2,COLUMN())),OFFSET($BN$2,0,0,ROW()-1,60),ROW()-1,FALSE))</f>
        <v>0</v>
      </c>
      <c r="AN39">
        <f ca="1">IF(AND(ISNUMBER($AN$259),$B$226=1),$AN$259,HLOOKUP(INDIRECT(ADDRESS(2,COLUMN())),OFFSET($BN$2,0,0,ROW()-1,60),ROW()-1,FALSE))</f>
        <v>0</v>
      </c>
      <c r="AO39">
        <f ca="1">IF(AND(ISNUMBER($AO$259),$B$226=1),$AO$259,HLOOKUP(INDIRECT(ADDRESS(2,COLUMN())),OFFSET($BN$2,0,0,ROW()-1,60),ROW()-1,FALSE))</f>
        <v>0</v>
      </c>
      <c r="AP39">
        <f ca="1">IF(AND(ISNUMBER($AP$259),$B$226=1),$AP$259,HLOOKUP(INDIRECT(ADDRESS(2,COLUMN())),OFFSET($BN$2,0,0,ROW()-1,60),ROW()-1,FALSE))</f>
        <v>0</v>
      </c>
      <c r="AQ39">
        <f ca="1">IF(AND(ISNUMBER($AQ$259),$B$226=1),$AQ$259,HLOOKUP(INDIRECT(ADDRESS(2,COLUMN())),OFFSET($BN$2,0,0,ROW()-1,60),ROW()-1,FALSE))</f>
        <v>0</v>
      </c>
      <c r="AR39">
        <f ca="1">IF(AND(ISNUMBER($AR$259),$B$226=1),$AR$259,HLOOKUP(INDIRECT(ADDRESS(2,COLUMN())),OFFSET($BN$2,0,0,ROW()-1,60),ROW()-1,FALSE))</f>
        <v>0</v>
      </c>
      <c r="AS39" t="str">
        <f ca="1">IF(AND(ISNUMBER($AS$259),$B$226=1),$AS$259,HLOOKUP(INDIRECT(ADDRESS(2,COLUMN())),OFFSET($BN$2,0,0,ROW()-1,60),ROW()-1,FALSE))</f>
        <v/>
      </c>
      <c r="AT39">
        <f ca="1">IF(AND(ISNUMBER($AT$259),$B$226=1),$AT$259,HLOOKUP(INDIRECT(ADDRESS(2,COLUMN())),OFFSET($BN$2,0,0,ROW()-1,60),ROW()-1,FALSE))</f>
        <v>0</v>
      </c>
      <c r="AU39">
        <f ca="1">IF(AND(ISNUMBER($AU$259),$B$226=1),$AU$259,HLOOKUP(INDIRECT(ADDRESS(2,COLUMN())),OFFSET($BN$2,0,0,ROW()-1,60),ROW()-1,FALSE))</f>
        <v>0</v>
      </c>
      <c r="AV39">
        <f ca="1">IF(AND(ISNUMBER($AV$259),$B$226=1),$AV$259,HLOOKUP(INDIRECT(ADDRESS(2,COLUMN())),OFFSET($BN$2,0,0,ROW()-1,60),ROW()-1,FALSE))</f>
        <v>0</v>
      </c>
      <c r="AW39">
        <f ca="1">IF(AND(ISNUMBER($AW$259),$B$226=1),$AW$259,HLOOKUP(INDIRECT(ADDRESS(2,COLUMN())),OFFSET($BN$2,0,0,ROW()-1,60),ROW()-1,FALSE))</f>
        <v>0</v>
      </c>
      <c r="AX39">
        <f ca="1">IF(AND(ISNUMBER($AX$259),$B$226=1),$AX$259,HLOOKUP(INDIRECT(ADDRESS(2,COLUMN())),OFFSET($BN$2,0,0,ROW()-1,60),ROW()-1,FALSE))</f>
        <v>0</v>
      </c>
      <c r="AY39">
        <f ca="1">IF(AND(ISNUMBER($AY$259),$B$226=1),$AY$259,HLOOKUP(INDIRECT(ADDRESS(2,COLUMN())),OFFSET($BN$2,0,0,ROW()-1,60),ROW()-1,FALSE))</f>
        <v>0</v>
      </c>
      <c r="AZ39">
        <f ca="1">IF(AND(ISNUMBER($AZ$259),$B$226=1),$AZ$259,HLOOKUP(INDIRECT(ADDRESS(2,COLUMN())),OFFSET($BN$2,0,0,ROW()-1,60),ROW()-1,FALSE))</f>
        <v>0</v>
      </c>
      <c r="BA39">
        <f ca="1">IF(AND(ISNUMBER($BA$259),$B$226=1),$BA$259,HLOOKUP(INDIRECT(ADDRESS(2,COLUMN())),OFFSET($BN$2,0,0,ROW()-1,60),ROW()-1,FALSE))</f>
        <v>0</v>
      </c>
      <c r="BB39">
        <f ca="1">IF(AND(ISNUMBER($BB$259),$B$226=1),$BB$259,HLOOKUP(INDIRECT(ADDRESS(2,COLUMN())),OFFSET($BN$2,0,0,ROW()-1,60),ROW()-1,FALSE))</f>
        <v>0</v>
      </c>
      <c r="BC39">
        <f ca="1">IF(AND(ISNUMBER($BC$259),$B$226=1),$BC$259,HLOOKUP(INDIRECT(ADDRESS(2,COLUMN())),OFFSET($BN$2,0,0,ROW()-1,60),ROW()-1,FALSE))</f>
        <v>0</v>
      </c>
      <c r="BD39">
        <f ca="1">IF(AND(ISNUMBER($BD$259),$B$226=1),$BD$259,HLOOKUP(INDIRECT(ADDRESS(2,COLUMN())),OFFSET($BN$2,0,0,ROW()-1,60),ROW()-1,FALSE))</f>
        <v>0</v>
      </c>
      <c r="BE39" t="str">
        <f ca="1">IF(AND(ISNUMBER($BE$259),$B$226=1),$BE$259,HLOOKUP(INDIRECT(ADDRESS(2,COLUMN())),OFFSET($BN$2,0,0,ROW()-1,60),ROW()-1,FALSE))</f>
        <v/>
      </c>
      <c r="BF39">
        <f ca="1">IF(AND(ISNUMBER($BF$259),$B$226=1),$BF$259,HLOOKUP(INDIRECT(ADDRESS(2,COLUMN())),OFFSET($BN$2,0,0,ROW()-1,60),ROW()-1,FALSE))</f>
        <v>0</v>
      </c>
      <c r="BG39">
        <f ca="1">IF(AND(ISNUMBER($BG$259),$B$226=1),$BG$259,HLOOKUP(INDIRECT(ADDRESS(2,COLUMN())),OFFSET($BN$2,0,0,ROW()-1,60),ROW()-1,FALSE))</f>
        <v>0</v>
      </c>
      <c r="BH39" t="str">
        <f ca="1">IF(AND(ISNUMBER($BH$259),$B$226=1),$BH$259,HLOOKUP(INDIRECT(ADDRESS(2,COLUMN())),OFFSET($BN$2,0,0,ROW()-1,60),ROW()-1,FALSE))</f>
        <v/>
      </c>
      <c r="BI39" t="str">
        <f ca="1">IF(AND(ISNUMBER($BI$259),$B$226=1),$BI$259,HLOOKUP(INDIRECT(ADDRESS(2,COLUMN())),OFFSET($BN$2,0,0,ROW()-1,60),ROW()-1,FALSE))</f>
        <v/>
      </c>
      <c r="BJ39" t="str">
        <f ca="1">IF(AND(ISNUMBER($BJ$259),$B$226=1),$BJ$259,HLOOKUP(INDIRECT(ADDRESS(2,COLUMN())),OFFSET($BN$2,0,0,ROW()-1,60),ROW()-1,FALSE))</f>
        <v/>
      </c>
      <c r="BK39" t="str">
        <f ca="1">IF(AND(ISNUMBER($BK$259),$B$226=1),$BK$259,HLOOKUP(INDIRECT(ADDRESS(2,COLUMN())),OFFSET($BN$2,0,0,ROW()-1,60),ROW()-1,FALSE))</f>
        <v/>
      </c>
      <c r="BL39" t="str">
        <f ca="1">IF(AND(ISNUMBER($BL$259),$B$226=1),$BL$259,HLOOKUP(INDIRECT(ADDRESS(2,COLUMN())),OFFSET($BN$2,0,0,ROW()-1,60),ROW()-1,FALSE))</f>
        <v/>
      </c>
      <c r="BM39" t="str">
        <f ca="1">IF(AND(ISNUMBER($BM$259),$B$226=1),$BM$259,HLOOKUP(INDIRECT(ADDRESS(2,COLUMN())),OFFSET($BN$2,0,0,ROW()-1,60),ROW()-1,FALSE))</f>
        <v/>
      </c>
      <c r="BN39" t="str">
        <f>""</f>
        <v/>
      </c>
      <c r="BO39">
        <f>0</f>
        <v>0</v>
      </c>
      <c r="BP39">
        <f>0</f>
        <v>0</v>
      </c>
      <c r="BQ39">
        <f>0</f>
        <v>0</v>
      </c>
      <c r="BR39">
        <f>0</f>
        <v>0</v>
      </c>
      <c r="BS39">
        <f>0</f>
        <v>0</v>
      </c>
      <c r="BT39">
        <f>0</f>
        <v>0</v>
      </c>
      <c r="BU39">
        <f>0</f>
        <v>0</v>
      </c>
      <c r="BV39">
        <f>0</f>
        <v>0</v>
      </c>
      <c r="BW39">
        <f>0</f>
        <v>0</v>
      </c>
      <c r="BX39">
        <f>0</f>
        <v>0</v>
      </c>
      <c r="BY39">
        <f>0</f>
        <v>0</v>
      </c>
      <c r="BZ39">
        <f>0</f>
        <v>0</v>
      </c>
      <c r="CA39">
        <f>0</f>
        <v>0</v>
      </c>
      <c r="CB39">
        <f>0</f>
        <v>0</v>
      </c>
      <c r="CC39">
        <f>0</f>
        <v>0</v>
      </c>
      <c r="CD39">
        <f>0</f>
        <v>0</v>
      </c>
      <c r="CE39">
        <f>0</f>
        <v>0</v>
      </c>
      <c r="CF39">
        <f>0</f>
        <v>0</v>
      </c>
      <c r="CG39">
        <f>0</f>
        <v>0</v>
      </c>
      <c r="CH39">
        <f>0</f>
        <v>0</v>
      </c>
      <c r="CI39">
        <f>0</f>
        <v>0</v>
      </c>
      <c r="CJ39">
        <f>0</f>
        <v>0</v>
      </c>
      <c r="CK39">
        <f>0</f>
        <v>0</v>
      </c>
      <c r="CL39">
        <f>0</f>
        <v>0</v>
      </c>
      <c r="CM39">
        <f>0</f>
        <v>0</v>
      </c>
      <c r="CN39">
        <f>0</f>
        <v>0</v>
      </c>
      <c r="CO39">
        <f>0</f>
        <v>0</v>
      </c>
      <c r="CP39">
        <f>0</f>
        <v>0</v>
      </c>
      <c r="CQ39">
        <f>0</f>
        <v>0</v>
      </c>
      <c r="CR39">
        <f>0</f>
        <v>0</v>
      </c>
      <c r="CS39">
        <f>0</f>
        <v>0</v>
      </c>
      <c r="CT39">
        <f>0</f>
        <v>0</v>
      </c>
      <c r="CU39">
        <f>0</f>
        <v>0</v>
      </c>
      <c r="CV39">
        <f>0</f>
        <v>0</v>
      </c>
      <c r="CW39">
        <f>0</f>
        <v>0</v>
      </c>
      <c r="CX39">
        <f>0</f>
        <v>0</v>
      </c>
      <c r="CY39">
        <f>0</f>
        <v>0</v>
      </c>
      <c r="CZ39">
        <f>0</f>
        <v>0</v>
      </c>
      <c r="DA39" t="str">
        <f>""</f>
        <v/>
      </c>
      <c r="DB39">
        <f>0</f>
        <v>0</v>
      </c>
      <c r="DC39">
        <f>0</f>
        <v>0</v>
      </c>
      <c r="DD39">
        <f>0</f>
        <v>0</v>
      </c>
      <c r="DE39">
        <f>0</f>
        <v>0</v>
      </c>
      <c r="DF39">
        <f>0</f>
        <v>0</v>
      </c>
      <c r="DG39">
        <f>0</f>
        <v>0</v>
      </c>
      <c r="DH39">
        <f>0</f>
        <v>0</v>
      </c>
      <c r="DI39">
        <f>0</f>
        <v>0</v>
      </c>
      <c r="DJ39">
        <f>0</f>
        <v>0</v>
      </c>
      <c r="DK39">
        <f>0</f>
        <v>0</v>
      </c>
      <c r="DL39">
        <f>0</f>
        <v>0</v>
      </c>
      <c r="DM39" t="str">
        <f>""</f>
        <v/>
      </c>
      <c r="DN39">
        <f>0</f>
        <v>0</v>
      </c>
      <c r="DO39">
        <f>0</f>
        <v>0</v>
      </c>
      <c r="DP39" t="str">
        <f>""</f>
        <v/>
      </c>
      <c r="DQ39" t="str">
        <f>""</f>
        <v/>
      </c>
      <c r="DR39" t="str">
        <f>""</f>
        <v/>
      </c>
      <c r="DS39" t="str">
        <f>""</f>
        <v/>
      </c>
      <c r="DT39" t="str">
        <f>""</f>
        <v/>
      </c>
      <c r="DU39" t="str">
        <f>""</f>
        <v/>
      </c>
    </row>
    <row r="40" spans="1:125">
      <c r="A40" t="str">
        <f>"总收入"</f>
        <v>总收入</v>
      </c>
      <c r="B40" t="str">
        <f>""</f>
        <v/>
      </c>
      <c r="E40" t="str">
        <f>"Median"</f>
        <v>Median</v>
      </c>
      <c r="F40" t="str">
        <f ca="1">IF(ISERROR(IF(MEDIAN($F$41:$F$48) = 0, "", MEDIAN($F$41:$F$48))), "", (IF(MEDIAN($F$41:$F$48) = 0, "", MEDIAN($F$41:$F$48))))</f>
        <v/>
      </c>
      <c r="G40">
        <f ca="1">IF(ISERROR(IF(MEDIAN($G$41:$G$48) = 0, "", MEDIAN($G$41:$G$48))), "", (IF(MEDIAN($G$41:$G$48) = 0, "", MEDIAN($G$41:$G$48))))</f>
        <v>298.97199999999998</v>
      </c>
      <c r="H40">
        <f ca="1">IF(ISERROR(IF(MEDIAN($H$41:$H$48) = 0, "", MEDIAN($H$41:$H$48))), "", (IF(MEDIAN($H$41:$H$48) = 0, "", MEDIAN($H$41:$H$48))))</f>
        <v>297.73</v>
      </c>
      <c r="I40">
        <f ca="1">IF(ISERROR(IF(MEDIAN($I$41:$I$48) = 0, "", MEDIAN($I$41:$I$48))), "", (IF(MEDIAN($I$41:$I$48) = 0, "", MEDIAN($I$41:$I$48))))</f>
        <v>293.52050000000003</v>
      </c>
      <c r="J40">
        <f ca="1">IF(ISERROR(IF(MEDIAN($J$41:$J$48) = 0, "", MEDIAN($J$41:$J$48))), "", (IF(MEDIAN($J$41:$J$48) = 0, "", MEDIAN($J$41:$J$48))))</f>
        <v>289.6225</v>
      </c>
      <c r="K40">
        <f ca="1">IF(ISERROR(IF(MEDIAN($K$41:$K$48) = 0, "", MEDIAN($K$41:$K$48))), "", (IF(MEDIAN($K$41:$K$48) = 0, "", MEDIAN($K$41:$K$48))))</f>
        <v>275.10300000000001</v>
      </c>
      <c r="L40">
        <f ca="1">IF(ISERROR(IF(MEDIAN($L$41:$L$48) = 0, "", MEDIAN($L$41:$L$48))), "", (IF(MEDIAN($L$41:$L$48) = 0, "", MEDIAN($L$41:$L$48))))</f>
        <v>260.07500000000005</v>
      </c>
      <c r="M40">
        <f ca="1">IF(ISERROR(IF(MEDIAN($M$41:$M$48) = 0, "", MEDIAN($M$41:$M$48))), "", (IF(MEDIAN($M$41:$M$48) = 0, "", MEDIAN($M$41:$M$48))))</f>
        <v>255.511</v>
      </c>
      <c r="N40">
        <f ca="1">IF(ISERROR(IF(MEDIAN($N$41:$N$48) = 0, "", MEDIAN($N$41:$N$48))), "", (IF(MEDIAN($N$41:$N$48) = 0, "", MEDIAN($N$41:$N$48))))</f>
        <v>251.91550000000001</v>
      </c>
      <c r="O40">
        <f ca="1">IF(ISERROR(IF(MEDIAN($O$41:$O$48) = 0, "", MEDIAN($O$41:$O$48))), "", (IF(MEDIAN($O$41:$O$48) = 0, "", MEDIAN($O$41:$O$48))))</f>
        <v>250.471</v>
      </c>
      <c r="P40">
        <f ca="1">IF(ISERROR(IF(MEDIAN($P$41:$P$48) = 0, "", MEDIAN($P$41:$P$48))), "", (IF(MEDIAN($P$41:$P$48) = 0, "", MEDIAN($P$41:$P$48))))</f>
        <v>241.708</v>
      </c>
      <c r="Q40">
        <f ca="1">IF(ISERROR(IF(MEDIAN($Q$41:$Q$48) = 0, "", MEDIAN($Q$41:$Q$48))), "", (IF(MEDIAN($Q$41:$Q$48) = 0, "", MEDIAN($Q$41:$Q$48))))</f>
        <v>237.37650000000002</v>
      </c>
      <c r="R40">
        <f ca="1">IF(ISERROR(IF(MEDIAN($R$41:$R$48) = 0, "", MEDIAN($R$41:$R$48))), "", (IF(MEDIAN($R$41:$R$48) = 0, "", MEDIAN($R$41:$R$48))))</f>
        <v>239.1525</v>
      </c>
      <c r="S40">
        <f ca="1">IF(ISERROR(IF(MEDIAN($S$41:$S$48) = 0, "", MEDIAN($S$41:$S$48))), "", (IF(MEDIAN($S$41:$S$48) = 0, "", MEDIAN($S$41:$S$48))))</f>
        <v>236.1045</v>
      </c>
      <c r="T40">
        <f ca="1">IF(ISERROR(IF(MEDIAN($T$41:$T$48) = 0, "", MEDIAN($T$41:$T$48))), "", (IF(MEDIAN($T$41:$T$48) = 0, "", MEDIAN($T$41:$T$48))))</f>
        <v>232.4015</v>
      </c>
      <c r="U40">
        <f ca="1">IF(ISERROR(IF(MEDIAN($U$41:$U$48) = 0, "", MEDIAN($U$41:$U$48))), "", (IF(MEDIAN($U$41:$U$48) = 0, "", MEDIAN($U$41:$U$48))))</f>
        <v>227.97200000000001</v>
      </c>
      <c r="V40">
        <f ca="1">IF(ISERROR(IF(MEDIAN($V$41:$V$48) = 0, "", MEDIAN($V$41:$V$48))), "", (IF(MEDIAN($V$41:$V$48) = 0, "", MEDIAN($V$41:$V$48))))</f>
        <v>203.49549999999999</v>
      </c>
      <c r="W40">
        <f ca="1">IF(ISERROR(IF(MEDIAN($W$41:$W$48) = 0, "", MEDIAN($W$41:$W$48))), "", (IF(MEDIAN($W$41:$W$48) = 0, "", MEDIAN($W$41:$W$48))))</f>
        <v>200.303</v>
      </c>
      <c r="X40">
        <f ca="1">IF(ISERROR(IF(MEDIAN($X$41:$X$48) = 0, "", MEDIAN($X$41:$X$48))), "", (IF(MEDIAN($X$41:$X$48) = 0, "", MEDIAN($X$41:$X$48))))</f>
        <v>175.07749999999999</v>
      </c>
      <c r="Y40">
        <f ca="1">IF(ISERROR(IF(MEDIAN($Y$41:$Y$48) = 0, "", MEDIAN($Y$41:$Y$48))), "", (IF(MEDIAN($Y$41:$Y$48) = 0, "", MEDIAN($Y$41:$Y$48))))</f>
        <v>171.357</v>
      </c>
      <c r="Z40">
        <f ca="1">IF(ISERROR(IF(MEDIAN($Z$41:$Z$48) = 0, "", MEDIAN($Z$41:$Z$48))), "", (IF(MEDIAN($Z$41:$Z$48) = 0, "", MEDIAN($Z$41:$Z$48))))</f>
        <v>174.023</v>
      </c>
      <c r="AA40">
        <f ca="1">IF(ISERROR(IF(MEDIAN($AA$41:$AA$48) = 0, "", MEDIAN($AA$41:$AA$48))), "", (IF(MEDIAN($AA$41:$AA$48) = 0, "", MEDIAN($AA$41:$AA$48))))</f>
        <v>166.1585</v>
      </c>
      <c r="AB40">
        <f ca="1">IF(ISERROR(IF(MEDIAN($AB$41:$AB$48) = 0, "", MEDIAN($AB$41:$AB$48))), "", (IF(MEDIAN($AB$41:$AB$48) = 0, "", MEDIAN($AB$41:$AB$48))))</f>
        <v>161.47300000000001</v>
      </c>
      <c r="AC40">
        <f ca="1">IF(ISERROR(IF(MEDIAN($AC$41:$AC$48) = 0, "", MEDIAN($AC$41:$AC$48))), "", (IF(MEDIAN($AC$41:$AC$48) = 0, "", MEDIAN($AC$41:$AC$48))))</f>
        <v>156.37650000000002</v>
      </c>
      <c r="AD40">
        <f ca="1">IF(ISERROR(IF(MEDIAN($AD$41:$AD$48) = 0, "", MEDIAN($AD$41:$AD$48))), "", (IF(MEDIAN($AD$41:$AD$48) = 0, "", MEDIAN($AD$41:$AD$48))))</f>
        <v>150.27000000000001</v>
      </c>
      <c r="AE40">
        <f ca="1">IF(ISERROR(IF(MEDIAN($AE$41:$AE$48) = 0, "", MEDIAN($AE$41:$AE$48))), "", (IF(MEDIAN($AE$41:$AE$48) = 0, "", MEDIAN($AE$41:$AE$48))))</f>
        <v>143.23750000000001</v>
      </c>
      <c r="AF40">
        <f ca="1">IF(ISERROR(IF(MEDIAN($AF$41:$AF$48) = 0, "", MEDIAN($AF$41:$AF$48))), "", (IF(MEDIAN($AF$41:$AF$48) = 0, "", MEDIAN($AF$41:$AF$48))))</f>
        <v>143.018</v>
      </c>
      <c r="AG40">
        <f ca="1">IF(ISERROR(IF(MEDIAN($AG$41:$AG$48) = 0, "", MEDIAN($AG$41:$AG$48))), "", (IF(MEDIAN($AG$41:$AG$48) = 0, "", MEDIAN($AG$41:$AG$48))))</f>
        <v>134.90800000000002</v>
      </c>
      <c r="AH40">
        <f ca="1">IF(ISERROR(IF(MEDIAN($AH$41:$AH$48) = 0, "", MEDIAN($AH$41:$AH$48))), "", (IF(MEDIAN($AH$41:$AH$48) = 0, "", MEDIAN($AH$41:$AH$48))))</f>
        <v>127.39000000000001</v>
      </c>
      <c r="AI40">
        <f ca="1">IF(ISERROR(IF(MEDIAN($AI$41:$AI$48) = 0, "", MEDIAN($AI$41:$AI$48))), "", (IF(MEDIAN($AI$41:$AI$48) = 0, "", MEDIAN($AI$41:$AI$48))))</f>
        <v>130.47649999999999</v>
      </c>
      <c r="AJ40">
        <f ca="1">IF(ISERROR(IF(MEDIAN($AJ$41:$AJ$48) = 0, "", MEDIAN($AJ$41:$AJ$48))), "", (IF(MEDIAN($AJ$41:$AJ$48) = 0, "", MEDIAN($AJ$41:$AJ$48))))</f>
        <v>128.32900000000001</v>
      </c>
      <c r="AK40">
        <f ca="1">IF(ISERROR(IF(MEDIAN($AK$41:$AK$48) = 0, "", MEDIAN($AK$41:$AK$48))), "", (IF(MEDIAN($AK$41:$AK$48) = 0, "", MEDIAN($AK$41:$AK$48))))</f>
        <v>124.444</v>
      </c>
      <c r="AL40">
        <f ca="1">IF(ISERROR(IF(MEDIAN($AL$41:$AL$48) = 0, "", MEDIAN($AL$41:$AL$48))), "", (IF(MEDIAN($AL$41:$AL$48) = 0, "", MEDIAN($AL$41:$AL$48))))</f>
        <v>123.904</v>
      </c>
      <c r="AM40">
        <f ca="1">IF(ISERROR(IF(MEDIAN($AM$41:$AM$48) = 0, "", MEDIAN($AM$41:$AM$48))), "", (IF(MEDIAN($AM$41:$AM$48) = 0, "", MEDIAN($AM$41:$AM$48))))</f>
        <v>125.276</v>
      </c>
      <c r="AN40">
        <f ca="1">IF(ISERROR(IF(MEDIAN($AN$41:$AN$48) = 0, "", MEDIAN($AN$41:$AN$48))), "", (IF(MEDIAN($AN$41:$AN$48) = 0, "", MEDIAN($AN$41:$AN$48))))</f>
        <v>126.5385</v>
      </c>
      <c r="AO40">
        <f ca="1">IF(ISERROR(IF(MEDIAN($AO$41:$AO$48) = 0, "", MEDIAN($AO$41:$AO$48))), "", (IF(MEDIAN($AO$41:$AO$48) = 0, "", MEDIAN($AO$41:$AO$48))))</f>
        <v>129.71699999999998</v>
      </c>
      <c r="AP40">
        <f ca="1">IF(ISERROR(IF(MEDIAN($AP$41:$AP$48) = 0, "", MEDIAN($AP$41:$AP$48))), "", (IF(MEDIAN($AP$41:$AP$48) = 0, "", MEDIAN($AP$41:$AP$48))))</f>
        <v>130.375</v>
      </c>
      <c r="AQ40">
        <f ca="1">IF(ISERROR(IF(MEDIAN($AQ$41:$AQ$48) = 0, "", MEDIAN($AQ$41:$AQ$48))), "", (IF(MEDIAN($AQ$41:$AQ$48) = 0, "", MEDIAN($AQ$41:$AQ$48))))</f>
        <v>130.1345</v>
      </c>
      <c r="AR40">
        <f ca="1">IF(ISERROR(IF(MEDIAN($AR$41:$AR$48) = 0, "", MEDIAN($AR$41:$AR$48))), "", (IF(MEDIAN($AR$41:$AR$48) = 0, "", MEDIAN($AR$41:$AR$48))))</f>
        <v>130.31800000000001</v>
      </c>
      <c r="AS40">
        <f ca="1">IF(ISERROR(IF(MEDIAN($AS$41:$AS$48) = 0, "", MEDIAN($AS$41:$AS$48))), "", (IF(MEDIAN($AS$41:$AS$48) = 0, "", MEDIAN($AS$41:$AS$48))))</f>
        <v>124.096</v>
      </c>
      <c r="AT40">
        <f ca="1">IF(ISERROR(IF(MEDIAN($AT$41:$AT$48) = 0, "", MEDIAN($AT$41:$AT$48))), "", (IF(MEDIAN($AT$41:$AT$48) = 0, "", MEDIAN($AT$41:$AT$48))))</f>
        <v>116.904</v>
      </c>
      <c r="AU40">
        <f ca="1">IF(ISERROR(IF(MEDIAN($AU$41:$AU$48) = 0, "", MEDIAN($AU$41:$AU$48))), "", (IF(MEDIAN($AU$41:$AU$48) = 0, "", MEDIAN($AU$41:$AU$48))))</f>
        <v>115.0945</v>
      </c>
      <c r="AV40">
        <f ca="1">IF(ISERROR(IF(MEDIAN($AV$41:$AV$48) = 0, "", MEDIAN($AV$41:$AV$48))), "", (IF(MEDIAN($AV$41:$AV$48) = 0, "", MEDIAN($AV$41:$AV$48))))</f>
        <v>115.3835</v>
      </c>
      <c r="AW40">
        <f ca="1">IF(ISERROR(IF(MEDIAN($AW$41:$AW$48) = 0, "", MEDIAN($AW$41:$AW$48))), "", (IF(MEDIAN($AW$41:$AW$48) = 0, "", MEDIAN($AW$41:$AW$48))))</f>
        <v>112.824</v>
      </c>
      <c r="AX40">
        <f ca="1">IF(ISERROR(IF(MEDIAN($AX$41:$AX$48) = 0, "", MEDIAN($AX$41:$AX$48))), "", (IF(MEDIAN($AX$41:$AX$48) = 0, "", MEDIAN($AX$41:$AX$48))))</f>
        <v>109.65300000000001</v>
      </c>
      <c r="AY40">
        <f ca="1">IF(ISERROR(IF(MEDIAN($AY$41:$AY$48) = 0, "", MEDIAN($AY$41:$AY$48))), "", (IF(MEDIAN($AY$41:$AY$48) = 0, "", MEDIAN($AY$41:$AY$48))))</f>
        <v>105.977</v>
      </c>
      <c r="AZ40">
        <f ca="1">IF(ISERROR(IF(MEDIAN($AZ$41:$AZ$48) = 0, "", MEDIAN($AZ$41:$AZ$48))), "", (IF(MEDIAN($AZ$41:$AZ$48) = 0, "", MEDIAN($AZ$41:$AZ$48))))</f>
        <v>122.8235</v>
      </c>
      <c r="BA40">
        <f ca="1">IF(ISERROR(IF(MEDIAN($BA$41:$BA$48) = 0, "", MEDIAN($BA$41:$BA$48))), "", (IF(MEDIAN($BA$41:$BA$48) = 0, "", MEDIAN($BA$41:$BA$48))))</f>
        <v>118.2855</v>
      </c>
      <c r="BB40">
        <f ca="1">IF(ISERROR(IF(MEDIAN($BB$41:$BB$48) = 0, "", MEDIAN($BB$41:$BB$48))), "", (IF(MEDIAN($BB$41:$BB$48) = 0, "", MEDIAN($BB$41:$BB$48))))</f>
        <v>117.2475</v>
      </c>
      <c r="BC40">
        <f ca="1">IF(ISERROR(IF(MEDIAN($BC$41:$BC$48) = 0, "", MEDIAN($BC$41:$BC$48))), "", (IF(MEDIAN($BC$41:$BC$48) = 0, "", MEDIAN($BC$41:$BC$48))))</f>
        <v>108.99450000000002</v>
      </c>
      <c r="BD40">
        <f ca="1">IF(ISERROR(IF(MEDIAN($BD$41:$BD$48) = 0, "", MEDIAN($BD$41:$BD$48))), "", (IF(MEDIAN($BD$41:$BD$48) = 0, "", MEDIAN($BD$41:$BD$48))))</f>
        <v>116.00149999999999</v>
      </c>
      <c r="BE40">
        <f ca="1">IF(ISERROR(IF(MEDIAN($BE$41:$BE$48) = 0, "", MEDIAN($BE$41:$BE$48))), "", (IF(MEDIAN($BE$41:$BE$48) = 0, "", MEDIAN($BE$41:$BE$48))))</f>
        <v>110.3105</v>
      </c>
      <c r="BF40">
        <f ca="1">IF(ISERROR(IF(MEDIAN($BF$41:$BF$48) = 0, "", MEDIAN($BF$41:$BF$48))), "", (IF(MEDIAN($BF$41:$BF$48) = 0, "", MEDIAN($BF$41:$BF$48))))</f>
        <v>102.87700000000001</v>
      </c>
      <c r="BG40">
        <f ca="1">IF(ISERROR(IF(MEDIAN($BG$41:$BG$48) = 0, "", MEDIAN($BG$41:$BG$48))), "", (IF(MEDIAN($BG$41:$BG$48) = 0, "", MEDIAN($BG$41:$BG$48))))</f>
        <v>105.322</v>
      </c>
      <c r="BH40">
        <f ca="1">IF(ISERROR(IF(MEDIAN($BH$41:$BH$48) = 0, "", MEDIAN($BH$41:$BH$48))), "", (IF(MEDIAN($BH$41:$BH$48) = 0, "", MEDIAN($BH$41:$BH$48))))</f>
        <v>104.788</v>
      </c>
      <c r="BI40">
        <f ca="1">IF(ISERROR(IF(MEDIAN($BI$41:$BI$48) = 0, "", MEDIAN($BI$41:$BI$48))), "", (IF(MEDIAN($BI$41:$BI$48) = 0, "", MEDIAN($BI$41:$BI$48))))</f>
        <v>106.03299699999999</v>
      </c>
      <c r="BJ40">
        <f ca="1">IF(ISERROR(IF(MEDIAN($BJ$41:$BJ$48) = 0, "", MEDIAN($BJ$41:$BJ$48))), "", (IF(MEDIAN($BJ$41:$BJ$48) = 0, "", MEDIAN($BJ$41:$BJ$48))))</f>
        <v>111.23200199999999</v>
      </c>
      <c r="BK40">
        <f ca="1">IF(ISERROR(IF(MEDIAN($BK$41:$BK$48) = 0, "", MEDIAN($BK$41:$BK$48))), "", (IF(MEDIAN($BK$41:$BK$48) = 0, "", MEDIAN($BK$41:$BK$48))))</f>
        <v>108.0749969</v>
      </c>
      <c r="BL40">
        <f ca="1">IF(ISERROR(IF(MEDIAN($BL$41:$BL$48) = 0, "", MEDIAN($BL$41:$BL$48))), "", (IF(MEDIAN($BL$41:$BL$48) = 0, "", MEDIAN($BL$41:$BL$48))))</f>
        <v>123.64700049999999</v>
      </c>
      <c r="BM40">
        <f ca="1">IF(ISERROR(IF(MEDIAN($BM$41:$BM$48) = 0, "", MEDIAN($BM$41:$BM$48))), "", (IF(MEDIAN($BM$41:$BM$48) = 0, "", MEDIAN($BM$41:$BM$48))))</f>
        <v>123.65550099999999</v>
      </c>
      <c r="BN40" t="str">
        <f>""</f>
        <v/>
      </c>
      <c r="BO40">
        <f>298.972</f>
        <v>298.97199999999998</v>
      </c>
      <c r="BP40">
        <f>297.73</f>
        <v>297.73</v>
      </c>
      <c r="BQ40">
        <f>293.5205</f>
        <v>293.52050000000003</v>
      </c>
      <c r="BR40">
        <f>289.6225</f>
        <v>289.6225</v>
      </c>
      <c r="BS40">
        <f>275.103</f>
        <v>275.10300000000001</v>
      </c>
      <c r="BT40">
        <f>260.075</f>
        <v>260.07499999999999</v>
      </c>
      <c r="BU40">
        <f>255.511</f>
        <v>255.511</v>
      </c>
      <c r="BV40">
        <f>251.9155</f>
        <v>251.91550000000001</v>
      </c>
      <c r="BW40">
        <f>250.471</f>
        <v>250.471</v>
      </c>
      <c r="BX40">
        <f>241.708</f>
        <v>241.708</v>
      </c>
      <c r="BY40">
        <f>237.3765</f>
        <v>237.37649999999999</v>
      </c>
      <c r="BZ40">
        <f>239.1525</f>
        <v>239.1525</v>
      </c>
      <c r="CA40">
        <f>236.1045</f>
        <v>236.1045</v>
      </c>
      <c r="CB40">
        <f>232.4015</f>
        <v>232.4015</v>
      </c>
      <c r="CC40">
        <f>227.972</f>
        <v>227.97200000000001</v>
      </c>
      <c r="CD40">
        <f>203.4955</f>
        <v>203.49549999999999</v>
      </c>
      <c r="CE40">
        <f>200.303</f>
        <v>200.303</v>
      </c>
      <c r="CF40">
        <f>175.0775</f>
        <v>175.07749999999999</v>
      </c>
      <c r="CG40">
        <f>171.357</f>
        <v>171.357</v>
      </c>
      <c r="CH40">
        <f>174.023</f>
        <v>174.023</v>
      </c>
      <c r="CI40">
        <f>166.1585</f>
        <v>166.1585</v>
      </c>
      <c r="CJ40">
        <f>161.473</f>
        <v>161.47300000000001</v>
      </c>
      <c r="CK40">
        <f>156.3765</f>
        <v>156.37649999999999</v>
      </c>
      <c r="CL40">
        <f>150.27</f>
        <v>150.27000000000001</v>
      </c>
      <c r="CM40">
        <f>143.2375</f>
        <v>143.23750000000001</v>
      </c>
      <c r="CN40">
        <f>143.018</f>
        <v>143.018</v>
      </c>
      <c r="CO40">
        <f>134.908</f>
        <v>134.90799999999999</v>
      </c>
      <c r="CP40">
        <f>127.39</f>
        <v>127.39</v>
      </c>
      <c r="CQ40">
        <f>130.4765</f>
        <v>130.47649999999999</v>
      </c>
      <c r="CR40">
        <f>128.329</f>
        <v>128.32900000000001</v>
      </c>
      <c r="CS40">
        <f>124.444</f>
        <v>124.444</v>
      </c>
      <c r="CT40">
        <f>123.904</f>
        <v>123.904</v>
      </c>
      <c r="CU40">
        <f>125.276</f>
        <v>125.276</v>
      </c>
      <c r="CV40">
        <f>126.5385</f>
        <v>126.5385</v>
      </c>
      <c r="CW40">
        <f>129.717</f>
        <v>129.71700000000001</v>
      </c>
      <c r="CX40">
        <f>130.375</f>
        <v>130.375</v>
      </c>
      <c r="CY40">
        <f>130.1345</f>
        <v>130.1345</v>
      </c>
      <c r="CZ40">
        <f>130.318</f>
        <v>130.31800000000001</v>
      </c>
      <c r="DA40">
        <f>124.096</f>
        <v>124.096</v>
      </c>
      <c r="DB40">
        <f>116.904</f>
        <v>116.904</v>
      </c>
      <c r="DC40">
        <f>115.0945</f>
        <v>115.0945</v>
      </c>
      <c r="DD40">
        <f>115.3835</f>
        <v>115.3835</v>
      </c>
      <c r="DE40">
        <f>112.824</f>
        <v>112.824</v>
      </c>
      <c r="DF40">
        <f>109.653</f>
        <v>109.65300000000001</v>
      </c>
      <c r="DG40">
        <f>105.977</f>
        <v>105.977</v>
      </c>
      <c r="DH40">
        <f>122.8235</f>
        <v>122.8235</v>
      </c>
      <c r="DI40">
        <f>118.2855</f>
        <v>118.2855</v>
      </c>
      <c r="DJ40">
        <f>117.2475</f>
        <v>117.2475</v>
      </c>
      <c r="DK40">
        <f>108.9945</f>
        <v>108.9945</v>
      </c>
      <c r="DL40">
        <f>116.0015</f>
        <v>116.00149999999999</v>
      </c>
      <c r="DM40">
        <f>110.3105</f>
        <v>110.3105</v>
      </c>
      <c r="DN40">
        <f>102.877</f>
        <v>102.877</v>
      </c>
      <c r="DO40">
        <f>105.322</f>
        <v>105.322</v>
      </c>
      <c r="DP40">
        <f>104.788</f>
        <v>104.788</v>
      </c>
      <c r="DQ40">
        <f>106.032997</f>
        <v>106.03299699999999</v>
      </c>
      <c r="DR40">
        <f>111.232002</f>
        <v>111.23200199999999</v>
      </c>
      <c r="DS40">
        <f>108.0749969</f>
        <v>108.0749969</v>
      </c>
      <c r="DT40">
        <f>123.6470005</f>
        <v>123.6470005</v>
      </c>
      <c r="DU40">
        <f>123.655501</f>
        <v>123.655501</v>
      </c>
    </row>
    <row r="41" spans="1:125">
      <c r="A41" t="str">
        <f>"    American Campus Communities In"</f>
        <v xml:space="preserve">    American Campus Communities In</v>
      </c>
      <c r="B41" t="str">
        <f>"ACC US Equity"</f>
        <v>ACC US Equity</v>
      </c>
      <c r="C41" t="str">
        <f t="shared" ref="C41:C48" si="12">"IS010"</f>
        <v>IS010</v>
      </c>
      <c r="D41" t="str">
        <f t="shared" ref="D41:D48" si="13">"SALES_REV_TURN"</f>
        <v>SALES_REV_TURN</v>
      </c>
      <c r="E41" t="str">
        <f t="shared" ref="E41:E48" si="14">"动态"</f>
        <v>动态</v>
      </c>
      <c r="F41" t="str">
        <f ca="1">IF(AND(ISNUMBER($F$260),$B$226=1),$F$260,HLOOKUP(INDIRECT(ADDRESS(2,COLUMN())),OFFSET($BN$2,0,0,ROW()-1,60),ROW()-1,FALSE))</f>
        <v/>
      </c>
      <c r="G41">
        <f ca="1">IF(AND(ISNUMBER($G$260),$B$226=1),$G$260,HLOOKUP(INDIRECT(ADDRESS(2,COLUMN())),OFFSET($BN$2,0,0,ROW()-1,60),ROW()-1,FALSE))</f>
        <v>227.56299999999999</v>
      </c>
      <c r="H41">
        <f ca="1">IF(AND(ISNUMBER($H$260),$B$226=1),$H$260,HLOOKUP(INDIRECT(ADDRESS(2,COLUMN())),OFFSET($BN$2,0,0,ROW()-1,60),ROW()-1,FALSE))</f>
        <v>196.93799999999999</v>
      </c>
      <c r="I41">
        <f ca="1">IF(AND(ISNUMBER($I$260),$B$226=1),$I$260,HLOOKUP(INDIRECT(ADDRESS(2,COLUMN())),OFFSET($BN$2,0,0,ROW()-1,60),ROW()-1,FALSE))</f>
        <v>179.00800000000001</v>
      </c>
      <c r="J41">
        <f ca="1">IF(AND(ISNUMBER($J$260),$B$226=1),$J$260,HLOOKUP(INDIRECT(ADDRESS(2,COLUMN())),OFFSET($BN$2,0,0,ROW()-1,60),ROW()-1,FALSE))</f>
        <v>192.93799999999999</v>
      </c>
      <c r="K41">
        <f ca="1">IF(AND(ISNUMBER($K$260),$B$226=1),$K$260,HLOOKUP(INDIRECT(ADDRESS(2,COLUMN())),OFFSET($BN$2,0,0,ROW()-1,60),ROW()-1,FALSE))</f>
        <v>203.97200000000001</v>
      </c>
      <c r="L41">
        <f ca="1">IF(AND(ISNUMBER($L$260),$B$226=1),$L$260,HLOOKUP(INDIRECT(ADDRESS(2,COLUMN())),OFFSET($BN$2,0,0,ROW()-1,60),ROW()-1,FALSE))</f>
        <v>196.411</v>
      </c>
      <c r="M41">
        <f ca="1">IF(AND(ISNUMBER($M$260),$B$226=1),$M$260,HLOOKUP(INDIRECT(ADDRESS(2,COLUMN())),OFFSET($BN$2,0,0,ROW()-1,60),ROW()-1,FALSE))</f>
        <v>185.983</v>
      </c>
      <c r="N41">
        <f ca="1">IF(AND(ISNUMBER($N$260),$B$226=1),$N$260,HLOOKUP(INDIRECT(ADDRESS(2,COLUMN())),OFFSET($BN$2,0,0,ROW()-1,60),ROW()-1,FALSE))</f>
        <v>199.995</v>
      </c>
      <c r="O41">
        <f ca="1">IF(AND(ISNUMBER($O$260),$B$226=1),$O$260,HLOOKUP(INDIRECT(ADDRESS(2,COLUMN())),OFFSET($BN$2,0,0,ROW()-1,60),ROW()-1,FALSE))</f>
        <v>202.19800000000001</v>
      </c>
      <c r="P41">
        <f ca="1">IF(AND(ISNUMBER($P$260),$B$226=1),$P$260,HLOOKUP(INDIRECT(ADDRESS(2,COLUMN())),OFFSET($BN$2,0,0,ROW()-1,60),ROW()-1,FALSE))</f>
        <v>180.816</v>
      </c>
      <c r="Q41">
        <f ca="1">IF(AND(ISNUMBER($Q$260),$B$226=1),$Q$260,HLOOKUP(INDIRECT(ADDRESS(2,COLUMN())),OFFSET($BN$2,0,0,ROW()-1,60),ROW()-1,FALSE))</f>
        <v>177.874</v>
      </c>
      <c r="R41">
        <f ca="1">IF(AND(ISNUMBER($R$260),$B$226=1),$R$260,HLOOKUP(INDIRECT(ADDRESS(2,COLUMN())),OFFSET($BN$2,0,0,ROW()-1,60),ROW()-1,FALSE))</f>
        <v>192.49299999999999</v>
      </c>
      <c r="S41">
        <f ca="1">IF(AND(ISNUMBER($S$260),$B$226=1),$S$260,HLOOKUP(INDIRECT(ADDRESS(2,COLUMN())),OFFSET($BN$2,0,0,ROW()-1,60),ROW()-1,FALSE))</f>
        <v>196.81899999999999</v>
      </c>
      <c r="T41">
        <f ca="1">IF(AND(ISNUMBER($T$260),$B$226=1),$T$260,HLOOKUP(INDIRECT(ADDRESS(2,COLUMN())),OFFSET($BN$2,0,0,ROW()-1,60),ROW()-1,FALSE))</f>
        <v>181.93600000000001</v>
      </c>
      <c r="U41">
        <f ca="1">IF(AND(ISNUMBER($U$260),$B$226=1),$U$260,HLOOKUP(INDIRECT(ADDRESS(2,COLUMN())),OFFSET($BN$2,0,0,ROW()-1,60),ROW()-1,FALSE))</f>
        <v>171.977</v>
      </c>
      <c r="V41">
        <f ca="1">IF(AND(ISNUMBER($V$260),$B$226=1),$V$260,HLOOKUP(INDIRECT(ADDRESS(2,COLUMN())),OFFSET($BN$2,0,0,ROW()-1,60),ROW()-1,FALSE))</f>
        <v>183.18299999999999</v>
      </c>
      <c r="W41">
        <f ca="1">IF(AND(ISNUMBER($W$260),$B$226=1),$W$260,HLOOKUP(INDIRECT(ADDRESS(2,COLUMN())),OFFSET($BN$2,0,0,ROW()-1,60),ROW()-1,FALSE))</f>
        <v>182.69399999999999</v>
      </c>
      <c r="X41">
        <f ca="1">IF(AND(ISNUMBER($X$260),$B$226=1),$X$260,HLOOKUP(INDIRECT(ADDRESS(2,COLUMN())),OFFSET($BN$2,0,0,ROW()-1,60),ROW()-1,FALSE))</f>
        <v>159.03100000000001</v>
      </c>
      <c r="Y41">
        <f ca="1">IF(AND(ISNUMBER($Y$260),$B$226=1),$Y$260,HLOOKUP(INDIRECT(ADDRESS(2,COLUMN())),OFFSET($BN$2,0,0,ROW()-1,60),ROW()-1,FALSE))</f>
        <v>153.21199999999999</v>
      </c>
      <c r="Z41">
        <f ca="1">IF(AND(ISNUMBER($Z$260),$B$226=1),$Z$260,HLOOKUP(INDIRECT(ADDRESS(2,COLUMN())),OFFSET($BN$2,0,0,ROW()-1,60),ROW()-1,FALSE))</f>
        <v>163.16200000000001</v>
      </c>
      <c r="AA41">
        <f ca="1">IF(AND(ISNUMBER($AA$260),$B$226=1),$AA$260,HLOOKUP(INDIRECT(ADDRESS(2,COLUMN())),OFFSET($BN$2,0,0,ROW()-1,60),ROW()-1,FALSE))</f>
        <v>149.28299999999999</v>
      </c>
      <c r="AB41">
        <f ca="1">IF(AND(ISNUMBER($AB$260),$B$226=1),$AB$260,HLOOKUP(INDIRECT(ADDRESS(2,COLUMN())),OFFSET($BN$2,0,0,ROW()-1,60),ROW()-1,FALSE))</f>
        <v>112.75700000000001</v>
      </c>
      <c r="AC41">
        <f ca="1">IF(AND(ISNUMBER($AC$260),$B$226=1),$AC$260,HLOOKUP(INDIRECT(ADDRESS(2,COLUMN())),OFFSET($BN$2,0,0,ROW()-1,60),ROW()-1,FALSE))</f>
        <v>100.911</v>
      </c>
      <c r="AD41">
        <f ca="1">IF(AND(ISNUMBER($AD$260),$B$226=1),$AD$260,HLOOKUP(INDIRECT(ADDRESS(2,COLUMN())),OFFSET($BN$2,0,0,ROW()-1,60),ROW()-1,FALSE))</f>
        <v>106.98099999999999</v>
      </c>
      <c r="AE41">
        <f ca="1">IF(AND(ISNUMBER($AE$260),$B$226=1),$AE$260,HLOOKUP(INDIRECT(ADDRESS(2,COLUMN())),OFFSET($BN$2,0,0,ROW()-1,60),ROW()-1,FALSE))</f>
        <v>104.934</v>
      </c>
      <c r="AF41">
        <f ca="1">IF(AND(ISNUMBER($AF$260),$B$226=1),$AF$260,HLOOKUP(INDIRECT(ADDRESS(2,COLUMN())),OFFSET($BN$2,0,0,ROW()-1,60),ROW()-1,FALSE))</f>
        <v>95.2</v>
      </c>
      <c r="AG41">
        <f ca="1">IF(AND(ISNUMBER($AG$260),$B$226=1),$AG$260,HLOOKUP(INDIRECT(ADDRESS(2,COLUMN())),OFFSET($BN$2,0,0,ROW()-1,60),ROW()-1,FALSE))</f>
        <v>89.093000000000004</v>
      </c>
      <c r="AH41">
        <f ca="1">IF(AND(ISNUMBER($AH$260),$B$226=1),$AH$260,HLOOKUP(INDIRECT(ADDRESS(2,COLUMN())),OFFSET($BN$2,0,0,ROW()-1,60),ROW()-1,FALSE))</f>
        <v>99.266999999999996</v>
      </c>
      <c r="AI41">
        <f ca="1">IF(AND(ISNUMBER($AI$260),$B$226=1),$AI$260,HLOOKUP(INDIRECT(ADDRESS(2,COLUMN())),OFFSET($BN$2,0,0,ROW()-1,60),ROW()-1,FALSE))</f>
        <v>94.123999999999995</v>
      </c>
      <c r="AJ41">
        <f ca="1">IF(AND(ISNUMBER($AJ$260),$B$226=1),$AJ$260,HLOOKUP(INDIRECT(ADDRESS(2,COLUMN())),OFFSET($BN$2,0,0,ROW()-1,60),ROW()-1,FALSE))</f>
        <v>85.734999999999999</v>
      </c>
      <c r="AK41">
        <f ca="1">IF(AND(ISNUMBER($AK$260),$B$226=1),$AK$260,HLOOKUP(INDIRECT(ADDRESS(2,COLUMN())),OFFSET($BN$2,0,0,ROW()-1,60),ROW()-1,FALSE))</f>
        <v>73.908000000000001</v>
      </c>
      <c r="AL41">
        <f ca="1">IF(AND(ISNUMBER($AL$260),$B$226=1),$AL$260,HLOOKUP(INDIRECT(ADDRESS(2,COLUMN())),OFFSET($BN$2,0,0,ROW()-1,60),ROW()-1,FALSE))</f>
        <v>79.97</v>
      </c>
      <c r="AM41">
        <f ca="1">IF(AND(ISNUMBER($AM$260),$B$226=1),$AM$260,HLOOKUP(INDIRECT(ADDRESS(2,COLUMN())),OFFSET($BN$2,0,0,ROW()-1,60),ROW()-1,FALSE))</f>
        <v>81.509</v>
      </c>
      <c r="AN41">
        <f ca="1">IF(AND(ISNUMBER($AN$260),$B$226=1),$AN$260,HLOOKUP(INDIRECT(ADDRESS(2,COLUMN())),OFFSET($BN$2,0,0,ROW()-1,60),ROW()-1,FALSE))</f>
        <v>76.423000000000002</v>
      </c>
      <c r="AO41">
        <f ca="1">IF(AND(ISNUMBER($AO$260),$B$226=1),$AO$260,HLOOKUP(INDIRECT(ADDRESS(2,COLUMN())),OFFSET($BN$2,0,0,ROW()-1,60),ROW()-1,FALSE))</f>
        <v>71.271000000000001</v>
      </c>
      <c r="AP41">
        <f ca="1">IF(AND(ISNUMBER($AP$260),$B$226=1),$AP$260,HLOOKUP(INDIRECT(ADDRESS(2,COLUMN())),OFFSET($BN$2,0,0,ROW()-1,60),ROW()-1,FALSE))</f>
        <v>75.742999999999995</v>
      </c>
      <c r="AQ41">
        <f ca="1">IF(AND(ISNUMBER($AQ$260),$B$226=1),$AQ$260,HLOOKUP(INDIRECT(ADDRESS(2,COLUMN())),OFFSET($BN$2,0,0,ROW()-1,60),ROW()-1,FALSE))</f>
        <v>78.290000000000006</v>
      </c>
      <c r="AR41">
        <f ca="1">IF(AND(ISNUMBER($AR$260),$B$226=1),$AR$260,HLOOKUP(INDIRECT(ADDRESS(2,COLUMN())),OFFSET($BN$2,0,0,ROW()-1,60),ROW()-1,FALSE))</f>
        <v>72.134</v>
      </c>
      <c r="AS41">
        <f ca="1">IF(AND(ISNUMBER($AS$260),$B$226=1),$AS$260,HLOOKUP(INDIRECT(ADDRESS(2,COLUMN())),OFFSET($BN$2,0,0,ROW()-1,60),ROW()-1,FALSE))</f>
        <v>43.548000000000002</v>
      </c>
      <c r="AT41">
        <f ca="1">IF(AND(ISNUMBER($AT$260),$B$226=1),$AT$260,HLOOKUP(INDIRECT(ADDRESS(2,COLUMN())),OFFSET($BN$2,0,0,ROW()-1,60),ROW()-1,FALSE))</f>
        <v>41.603000000000002</v>
      </c>
      <c r="AU41">
        <f ca="1">IF(AND(ISNUMBER($AU$260),$B$226=1),$AU$260,HLOOKUP(INDIRECT(ADDRESS(2,COLUMN())),OFFSET($BN$2,0,0,ROW()-1,60),ROW()-1,FALSE))</f>
        <v>42.536000000000001</v>
      </c>
      <c r="AV41">
        <f ca="1">IF(AND(ISNUMBER($AV$260),$B$226=1),$AV$260,HLOOKUP(INDIRECT(ADDRESS(2,COLUMN())),OFFSET($BN$2,0,0,ROW()-1,60),ROW()-1,FALSE))</f>
        <v>36.738999999999997</v>
      </c>
      <c r="AW41">
        <f ca="1">IF(AND(ISNUMBER($AW$260),$B$226=1),$AW$260,HLOOKUP(INDIRECT(ADDRESS(2,COLUMN())),OFFSET($BN$2,0,0,ROW()-1,60),ROW()-1,FALSE))</f>
        <v>33.68</v>
      </c>
      <c r="AX41">
        <f ca="1">IF(AND(ISNUMBER($AX$260),$B$226=1),$AX$260,HLOOKUP(INDIRECT(ADDRESS(2,COLUMN())),OFFSET($BN$2,0,0,ROW()-1,60),ROW()-1,FALSE))</f>
        <v>35.656999999999996</v>
      </c>
      <c r="AY41">
        <f ca="1">IF(AND(ISNUMBER($AY$260),$B$226=1),$AY$260,HLOOKUP(INDIRECT(ADDRESS(2,COLUMN())),OFFSET($BN$2,0,0,ROW()-1,60),ROW()-1,FALSE))</f>
        <v>34.122999999999998</v>
      </c>
      <c r="AZ41">
        <f ca="1">IF(AND(ISNUMBER($AZ$260),$B$226=1),$AZ$260,HLOOKUP(INDIRECT(ADDRESS(2,COLUMN())),OFFSET($BN$2,0,0,ROW()-1,60),ROW()-1,FALSE))</f>
        <v>31.152999999999999</v>
      </c>
      <c r="BA41">
        <f ca="1">IF(AND(ISNUMBER($BA$260),$B$226=1),$BA$260,HLOOKUP(INDIRECT(ADDRESS(2,COLUMN())),OFFSET($BN$2,0,0,ROW()-1,60),ROW()-1,FALSE))</f>
        <v>27.994</v>
      </c>
      <c r="BB41">
        <f ca="1">IF(AND(ISNUMBER($BB$260),$B$226=1),$BB$260,HLOOKUP(INDIRECT(ADDRESS(2,COLUMN())),OFFSET($BN$2,0,0,ROW()-1,60),ROW()-1,FALSE))</f>
        <v>26.911999999999999</v>
      </c>
      <c r="BC41">
        <f ca="1">IF(AND(ISNUMBER($BC$260),$B$226=1),$BC$260,HLOOKUP(INDIRECT(ADDRESS(2,COLUMN())),OFFSET($BN$2,0,0,ROW()-1,60),ROW()-1,FALSE))</f>
        <v>24.72</v>
      </c>
      <c r="BD41">
        <f ca="1">IF(AND(ISNUMBER($BD$260),$B$226=1),$BD$260,HLOOKUP(INDIRECT(ADDRESS(2,COLUMN())),OFFSET($BN$2,0,0,ROW()-1,60),ROW()-1,FALSE))</f>
        <v>21.244</v>
      </c>
      <c r="BE41">
        <f ca="1">IF(AND(ISNUMBER($BE$260),$B$226=1),$BE$260,HLOOKUP(INDIRECT(ADDRESS(2,COLUMN())),OFFSET($BN$2,0,0,ROW()-1,60),ROW()-1,FALSE))</f>
        <v>20.050999999999998</v>
      </c>
      <c r="BF41">
        <f ca="1">IF(AND(ISNUMBER($BF$260),$B$226=1),$BF$260,HLOOKUP(INDIRECT(ADDRESS(2,COLUMN())),OFFSET($BN$2,0,0,ROW()-1,60),ROW()-1,FALSE))</f>
        <v>19.599</v>
      </c>
      <c r="BG41">
        <f ca="1">IF(AND(ISNUMBER($BG$260),$B$226=1),$BG$260,HLOOKUP(INDIRECT(ADDRESS(2,COLUMN())),OFFSET($BN$2,0,0,ROW()-1,60),ROW()-1,FALSE))</f>
        <v>18.207000000000001</v>
      </c>
      <c r="BH41">
        <f ca="1">IF(AND(ISNUMBER($BH$260),$B$226=1),$BH$260,HLOOKUP(INDIRECT(ADDRESS(2,COLUMN())),OFFSET($BN$2,0,0,ROW()-1,60),ROW()-1,FALSE))</f>
        <v>8.3409999999999993</v>
      </c>
      <c r="BI41">
        <f ca="1">IF(AND(ISNUMBER($BI$260),$B$226=1),$BI$260,HLOOKUP(INDIRECT(ADDRESS(2,COLUMN())),OFFSET($BN$2,0,0,ROW()-1,60),ROW()-1,FALSE))</f>
        <v>13.84300041</v>
      </c>
      <c r="BJ41">
        <f ca="1">IF(AND(ISNUMBER($BJ$260),$B$226=1),$BJ$260,HLOOKUP(INDIRECT(ADDRESS(2,COLUMN())),OFFSET($BN$2,0,0,ROW()-1,60),ROW()-1,FALSE))</f>
        <v>16.184999470000001</v>
      </c>
      <c r="BK41">
        <f ca="1">IF(AND(ISNUMBER($BK$260),$B$226=1),$BK$260,HLOOKUP(INDIRECT(ADDRESS(2,COLUMN())),OFFSET($BN$2,0,0,ROW()-1,60),ROW()-1,FALSE))</f>
        <v>15.26299953</v>
      </c>
      <c r="BL41" t="str">
        <f ca="1">IF(AND(ISNUMBER($BL$260),$B$226=1),$BL$260,HLOOKUP(INDIRECT(ADDRESS(2,COLUMN())),OFFSET($BN$2,0,0,ROW()-1,60),ROW()-1,FALSE))</f>
        <v/>
      </c>
      <c r="BM41" t="str">
        <f ca="1">IF(AND(ISNUMBER($BM$260),$B$226=1),$BM$260,HLOOKUP(INDIRECT(ADDRESS(2,COLUMN())),OFFSET($BN$2,0,0,ROW()-1,60),ROW()-1,FALSE))</f>
        <v/>
      </c>
      <c r="BN41" t="str">
        <f>""</f>
        <v/>
      </c>
      <c r="BO41">
        <f>227.563</f>
        <v>227.56299999999999</v>
      </c>
      <c r="BP41">
        <f>196.938</f>
        <v>196.93799999999999</v>
      </c>
      <c r="BQ41">
        <f>179.008</f>
        <v>179.00800000000001</v>
      </c>
      <c r="BR41">
        <f>192.938</f>
        <v>192.93799999999999</v>
      </c>
      <c r="BS41">
        <f>203.972</f>
        <v>203.97200000000001</v>
      </c>
      <c r="BT41">
        <f>196.411</f>
        <v>196.411</v>
      </c>
      <c r="BU41">
        <f>185.983</f>
        <v>185.983</v>
      </c>
      <c r="BV41">
        <f>199.995</f>
        <v>199.995</v>
      </c>
      <c r="BW41">
        <f>202.198</f>
        <v>202.19800000000001</v>
      </c>
      <c r="BX41">
        <f>180.816</f>
        <v>180.816</v>
      </c>
      <c r="BY41">
        <f>177.874</f>
        <v>177.874</v>
      </c>
      <c r="BZ41">
        <f>192.493</f>
        <v>192.49299999999999</v>
      </c>
      <c r="CA41">
        <f>196.819</f>
        <v>196.81899999999999</v>
      </c>
      <c r="CB41">
        <f>181.936</f>
        <v>181.93600000000001</v>
      </c>
      <c r="CC41">
        <f>171.977</f>
        <v>171.977</v>
      </c>
      <c r="CD41">
        <f>183.183</f>
        <v>183.18299999999999</v>
      </c>
      <c r="CE41">
        <f>182.694</f>
        <v>182.69399999999999</v>
      </c>
      <c r="CF41">
        <f>159.031</f>
        <v>159.03100000000001</v>
      </c>
      <c r="CG41">
        <f>153.212</f>
        <v>153.21199999999999</v>
      </c>
      <c r="CH41">
        <f>163.162</f>
        <v>163.16200000000001</v>
      </c>
      <c r="CI41">
        <f>149.283</f>
        <v>149.28299999999999</v>
      </c>
      <c r="CJ41">
        <f>112.757</f>
        <v>112.75700000000001</v>
      </c>
      <c r="CK41">
        <f>100.911</f>
        <v>100.911</v>
      </c>
      <c r="CL41">
        <f>106.981</f>
        <v>106.98099999999999</v>
      </c>
      <c r="CM41">
        <f>104.934</f>
        <v>104.934</v>
      </c>
      <c r="CN41">
        <f>95.2</f>
        <v>95.2</v>
      </c>
      <c r="CO41">
        <f>89.093</f>
        <v>89.093000000000004</v>
      </c>
      <c r="CP41">
        <f>99.267</f>
        <v>99.266999999999996</v>
      </c>
      <c r="CQ41">
        <f>94.124</f>
        <v>94.123999999999995</v>
      </c>
      <c r="CR41">
        <f>85.735</f>
        <v>85.734999999999999</v>
      </c>
      <c r="CS41">
        <f>73.908</f>
        <v>73.908000000000001</v>
      </c>
      <c r="CT41">
        <f>79.97</f>
        <v>79.97</v>
      </c>
      <c r="CU41">
        <f>81.509</f>
        <v>81.509</v>
      </c>
      <c r="CV41">
        <f>76.423</f>
        <v>76.423000000000002</v>
      </c>
      <c r="CW41">
        <f>71.271</f>
        <v>71.271000000000001</v>
      </c>
      <c r="CX41">
        <f>75.743</f>
        <v>75.742999999999995</v>
      </c>
      <c r="CY41">
        <f>78.29</f>
        <v>78.290000000000006</v>
      </c>
      <c r="CZ41">
        <f>72.134</f>
        <v>72.134</v>
      </c>
      <c r="DA41">
        <f>43.548</f>
        <v>43.548000000000002</v>
      </c>
      <c r="DB41">
        <f>41.603</f>
        <v>41.603000000000002</v>
      </c>
      <c r="DC41">
        <f>42.536</f>
        <v>42.536000000000001</v>
      </c>
      <c r="DD41">
        <f>36.739</f>
        <v>36.738999999999997</v>
      </c>
      <c r="DE41">
        <f>33.68</f>
        <v>33.68</v>
      </c>
      <c r="DF41">
        <f>35.657</f>
        <v>35.656999999999996</v>
      </c>
      <c r="DG41">
        <f>34.123</f>
        <v>34.122999999999998</v>
      </c>
      <c r="DH41">
        <f>31.153</f>
        <v>31.152999999999999</v>
      </c>
      <c r="DI41">
        <f>27.994</f>
        <v>27.994</v>
      </c>
      <c r="DJ41">
        <f>26.912</f>
        <v>26.911999999999999</v>
      </c>
      <c r="DK41">
        <f>24.72</f>
        <v>24.72</v>
      </c>
      <c r="DL41">
        <f>21.244</f>
        <v>21.244</v>
      </c>
      <c r="DM41">
        <f>20.051</f>
        <v>20.050999999999998</v>
      </c>
      <c r="DN41">
        <f>19.599</f>
        <v>19.599</v>
      </c>
      <c r="DO41">
        <f>18.207</f>
        <v>18.207000000000001</v>
      </c>
      <c r="DP41">
        <f>8.341</f>
        <v>8.3409999999999993</v>
      </c>
      <c r="DQ41">
        <f>13.84300041</f>
        <v>13.84300041</v>
      </c>
      <c r="DR41">
        <f>16.18499947</f>
        <v>16.184999470000001</v>
      </c>
      <c r="DS41">
        <f>15.26299953</f>
        <v>15.26299953</v>
      </c>
      <c r="DT41" t="str">
        <f>""</f>
        <v/>
      </c>
      <c r="DU41" t="str">
        <f>""</f>
        <v/>
      </c>
    </row>
    <row r="42" spans="1:125">
      <c r="A42" t="str">
        <f>"    AvalonBay Communities Inc"</f>
        <v xml:space="preserve">    AvalonBay Communities Inc</v>
      </c>
      <c r="B42" t="str">
        <f>"AVB US Equity"</f>
        <v>AVB US Equity</v>
      </c>
      <c r="C42" t="str">
        <f t="shared" si="12"/>
        <v>IS010</v>
      </c>
      <c r="D42" t="str">
        <f t="shared" si="13"/>
        <v>SALES_REV_TURN</v>
      </c>
      <c r="E42" t="str">
        <f t="shared" si="14"/>
        <v>动态</v>
      </c>
      <c r="F42" t="str">
        <f ca="1">IF(AND(ISNUMBER($F$261),$B$226=1),$F$261,HLOOKUP(INDIRECT(ADDRESS(2,COLUMN())),OFFSET($BN$2,0,0,ROW()-1,60),ROW()-1,FALSE))</f>
        <v/>
      </c>
      <c r="G42">
        <f ca="1">IF(AND(ISNUMBER($G$261),$B$226=1),$G$261,HLOOKUP(INDIRECT(ADDRESS(2,COLUMN())),OFFSET($BN$2,0,0,ROW()-1,60),ROW()-1,FALSE))</f>
        <v>555.29200000000003</v>
      </c>
      <c r="H42">
        <f ca="1">IF(AND(ISNUMBER($H$261),$B$226=1),$H$261,HLOOKUP(INDIRECT(ADDRESS(2,COLUMN())),OFFSET($BN$2,0,0,ROW()-1,60),ROW()-1,FALSE))</f>
        <v>550.5</v>
      </c>
      <c r="I42">
        <f ca="1">IF(AND(ISNUMBER($I$261),$B$226=1),$I$261,HLOOKUP(INDIRECT(ADDRESS(2,COLUMN())),OFFSET($BN$2,0,0,ROW()-1,60),ROW()-1,FALSE))</f>
        <v>530.51199999999994</v>
      </c>
      <c r="J42">
        <f ca="1">IF(AND(ISNUMBER($J$261),$B$226=1),$J$261,HLOOKUP(INDIRECT(ADDRESS(2,COLUMN())),OFFSET($BN$2,0,0,ROW()-1,60),ROW()-1,FALSE))</f>
        <v>522.32600000000002</v>
      </c>
      <c r="K42">
        <f ca="1">IF(AND(ISNUMBER($K$261),$B$226=1),$K$261,HLOOKUP(INDIRECT(ADDRESS(2,COLUMN())),OFFSET($BN$2,0,0,ROW()-1,60),ROW()-1,FALSE))</f>
        <v>518.24</v>
      </c>
      <c r="L42">
        <f ca="1">IF(AND(ISNUMBER($L$261),$B$226=1),$L$261,HLOOKUP(INDIRECT(ADDRESS(2,COLUMN())),OFFSET($BN$2,0,0,ROW()-1,60),ROW()-1,FALSE))</f>
        <v>516.21100000000001</v>
      </c>
      <c r="M42">
        <f ca="1">IF(AND(ISNUMBER($M$261),$B$226=1),$M$261,HLOOKUP(INDIRECT(ADDRESS(2,COLUMN())),OFFSET($BN$2,0,0,ROW()-1,60),ROW()-1,FALSE))</f>
        <v>502.30700000000002</v>
      </c>
      <c r="N42">
        <f ca="1">IF(AND(ISNUMBER($N$261),$B$226=1),$N$261,HLOOKUP(INDIRECT(ADDRESS(2,COLUMN())),OFFSET($BN$2,0,0,ROW()-1,60),ROW()-1,FALSE))</f>
        <v>508.49799999999999</v>
      </c>
      <c r="O42">
        <f ca="1">IF(AND(ISNUMBER($O$261),$B$226=1),$O$261,HLOOKUP(INDIRECT(ADDRESS(2,COLUMN())),OFFSET($BN$2,0,0,ROW()-1,60),ROW()-1,FALSE))</f>
        <v>480.84</v>
      </c>
      <c r="P42">
        <f ca="1">IF(AND(ISNUMBER($P$261),$B$226=1),$P$261,HLOOKUP(INDIRECT(ADDRESS(2,COLUMN())),OFFSET($BN$2,0,0,ROW()-1,60),ROW()-1,FALSE))</f>
        <v>475.36</v>
      </c>
      <c r="Q42">
        <f ca="1">IF(AND(ISNUMBER($Q$261),$B$226=1),$Q$261,HLOOKUP(INDIRECT(ADDRESS(2,COLUMN())),OFFSET($BN$2,0,0,ROW()-1,60),ROW()-1,FALSE))</f>
        <v>457.459</v>
      </c>
      <c r="R42">
        <f ca="1">IF(AND(ISNUMBER($R$261),$B$226=1),$R$261,HLOOKUP(INDIRECT(ADDRESS(2,COLUMN())),OFFSET($BN$2,0,0,ROW()-1,60),ROW()-1,FALSE))</f>
        <v>442.36700000000002</v>
      </c>
      <c r="S42">
        <f ca="1">IF(AND(ISNUMBER($S$261),$B$226=1),$S$261,HLOOKUP(INDIRECT(ADDRESS(2,COLUMN())),OFFSET($BN$2,0,0,ROW()-1,60),ROW()-1,FALSE))</f>
        <v>440.65600000000001</v>
      </c>
      <c r="T42">
        <f ca="1">IF(AND(ISNUMBER($T$261),$B$226=1),$T$261,HLOOKUP(INDIRECT(ADDRESS(2,COLUMN())),OFFSET($BN$2,0,0,ROW()-1,60),ROW()-1,FALSE))</f>
        <v>430.52499999999998</v>
      </c>
      <c r="U42">
        <f ca="1">IF(AND(ISNUMBER($U$261),$B$226=1),$U$261,HLOOKUP(INDIRECT(ADDRESS(2,COLUMN())),OFFSET($BN$2,0,0,ROW()-1,60),ROW()-1,FALSE))</f>
        <v>413.80599999999998</v>
      </c>
      <c r="V42">
        <f ca="1">IF(AND(ISNUMBER($V$261),$B$226=1),$V$261,HLOOKUP(INDIRECT(ADDRESS(2,COLUMN())),OFFSET($BN$2,0,0,ROW()-1,60),ROW()-1,FALSE))</f>
        <v>400.07499999999999</v>
      </c>
      <c r="W42">
        <f ca="1">IF(AND(ISNUMBER($W$261),$B$226=1),$W$261,HLOOKUP(INDIRECT(ADDRESS(2,COLUMN())),OFFSET($BN$2,0,0,ROW()-1,60),ROW()-1,FALSE))</f>
        <v>394.16899999999998</v>
      </c>
      <c r="X42">
        <f ca="1">IF(AND(ISNUMBER($X$261),$B$226=1),$X$261,HLOOKUP(INDIRECT(ADDRESS(2,COLUMN())),OFFSET($BN$2,0,0,ROW()-1,60),ROW()-1,FALSE))</f>
        <v>389.18900000000002</v>
      </c>
      <c r="Y42">
        <f ca="1">IF(AND(ISNUMBER($Y$261),$B$226=1),$Y$261,HLOOKUP(INDIRECT(ADDRESS(2,COLUMN())),OFFSET($BN$2,0,0,ROW()-1,60),ROW()-1,FALSE))</f>
        <v>378.20699999999999</v>
      </c>
      <c r="Z42">
        <f ca="1">IF(AND(ISNUMBER($Z$261),$B$226=1),$Z$261,HLOOKUP(INDIRECT(ADDRESS(2,COLUMN())),OFFSET($BN$2,0,0,ROW()-1,60),ROW()-1,FALSE))</f>
        <v>301.35700000000003</v>
      </c>
      <c r="AA42">
        <f ca="1">IF(AND(ISNUMBER($AA$261),$B$226=1),$AA$261,HLOOKUP(INDIRECT(ADDRESS(2,COLUMN())),OFFSET($BN$2,0,0,ROW()-1,60),ROW()-1,FALSE))</f>
        <v>261.57400000000001</v>
      </c>
      <c r="AB42">
        <f ca="1">IF(AND(ISNUMBER($AB$261),$B$226=1),$AB$261,HLOOKUP(INDIRECT(ADDRESS(2,COLUMN())),OFFSET($BN$2,0,0,ROW()-1,60),ROW()-1,FALSE))</f>
        <v>261.32100000000003</v>
      </c>
      <c r="AC42">
        <f ca="1">IF(AND(ISNUMBER($AC$261),$B$226=1),$AC$261,HLOOKUP(INDIRECT(ADDRESS(2,COLUMN())),OFFSET($BN$2,0,0,ROW()-1,60),ROW()-1,FALSE))</f>
        <v>252.44499999999999</v>
      </c>
      <c r="AD42">
        <f ca="1">IF(AND(ISNUMBER($AD$261),$B$226=1),$AD$261,HLOOKUP(INDIRECT(ADDRESS(2,COLUMN())),OFFSET($BN$2,0,0,ROW()-1,60),ROW()-1,FALSE))</f>
        <v>246.03200000000001</v>
      </c>
      <c r="AE42">
        <f ca="1">IF(AND(ISNUMBER($AE$261),$B$226=1),$AE$261,HLOOKUP(INDIRECT(ADDRESS(2,COLUMN())),OFFSET($BN$2,0,0,ROW()-1,60),ROW()-1,FALSE))</f>
        <v>243.089</v>
      </c>
      <c r="AF42">
        <f ca="1">IF(AND(ISNUMBER($AF$261),$B$226=1),$AF$261,HLOOKUP(INDIRECT(ADDRESS(2,COLUMN())),OFFSET($BN$2,0,0,ROW()-1,60),ROW()-1,FALSE))</f>
        <v>243.71899999999999</v>
      </c>
      <c r="AG42">
        <f ca="1">IF(AND(ISNUMBER($AG$261),$B$226=1),$AG$261,HLOOKUP(INDIRECT(ADDRESS(2,COLUMN())),OFFSET($BN$2,0,0,ROW()-1,60),ROW()-1,FALSE))</f>
        <v>235.58099999999999</v>
      </c>
      <c r="AH42">
        <f ca="1">IF(AND(ISNUMBER($AH$261),$B$226=1),$AH$261,HLOOKUP(INDIRECT(ADDRESS(2,COLUMN())),OFFSET($BN$2,0,0,ROW()-1,60),ROW()-1,FALSE))</f>
        <v>228.53</v>
      </c>
      <c r="AI42">
        <f ca="1">IF(AND(ISNUMBER($AI$261),$B$226=1),$AI$261,HLOOKUP(INDIRECT(ADDRESS(2,COLUMN())),OFFSET($BN$2,0,0,ROW()-1,60),ROW()-1,FALSE))</f>
        <v>226.55199999999999</v>
      </c>
      <c r="AJ42">
        <f ca="1">IF(AND(ISNUMBER($AJ$261),$B$226=1),$AJ$261,HLOOKUP(INDIRECT(ADDRESS(2,COLUMN())),OFFSET($BN$2,0,0,ROW()-1,60),ROW()-1,FALSE))</f>
        <v>225.55799999999999</v>
      </c>
      <c r="AK42">
        <f ca="1">IF(AND(ISNUMBER($AK$261),$B$226=1),$AK$261,HLOOKUP(INDIRECT(ADDRESS(2,COLUMN())),OFFSET($BN$2,0,0,ROW()-1,60),ROW()-1,FALSE))</f>
        <v>220.34200000000001</v>
      </c>
      <c r="AL42">
        <f ca="1">IF(AND(ISNUMBER($AL$261),$B$226=1),$AL$261,HLOOKUP(INDIRECT(ADDRESS(2,COLUMN())),OFFSET($BN$2,0,0,ROW()-1,60),ROW()-1,FALSE))</f>
        <v>215.44900000000001</v>
      </c>
      <c r="AM42">
        <f ca="1">IF(AND(ISNUMBER($AM$261),$B$226=1),$AM$261,HLOOKUP(INDIRECT(ADDRESS(2,COLUMN())),OFFSET($BN$2,0,0,ROW()-1,60),ROW()-1,FALSE))</f>
        <v>214.292</v>
      </c>
      <c r="AN42">
        <f ca="1">IF(AND(ISNUMBER($AN$261),$B$226=1),$AN$261,HLOOKUP(INDIRECT(ADDRESS(2,COLUMN())),OFFSET($BN$2,0,0,ROW()-1,60),ROW()-1,FALSE))</f>
        <v>215.04300000000001</v>
      </c>
      <c r="AO42">
        <f ca="1">IF(AND(ISNUMBER($AO$261),$B$226=1),$AO$261,HLOOKUP(INDIRECT(ADDRESS(2,COLUMN())),OFFSET($BN$2,0,0,ROW()-1,60),ROW()-1,FALSE))</f>
        <v>212.25899999999999</v>
      </c>
      <c r="AP42">
        <f ca="1">IF(AND(ISNUMBER($AP$261),$B$226=1),$AP$261,HLOOKUP(INDIRECT(ADDRESS(2,COLUMN())),OFFSET($BN$2,0,0,ROW()-1,60),ROW()-1,FALSE))</f>
        <v>209.733</v>
      </c>
      <c r="AQ42">
        <f ca="1">IF(AND(ISNUMBER($AQ$261),$B$226=1),$AQ$261,HLOOKUP(INDIRECT(ADDRESS(2,COLUMN())),OFFSET($BN$2,0,0,ROW()-1,60),ROW()-1,FALSE))</f>
        <v>220.35300000000001</v>
      </c>
      <c r="AR42">
        <f ca="1">IF(AND(ISNUMBER($AR$261),$B$226=1),$AR$261,HLOOKUP(INDIRECT(ADDRESS(2,COLUMN())),OFFSET($BN$2,0,0,ROW()-1,60),ROW()-1,FALSE))</f>
        <v>215.39</v>
      </c>
      <c r="AS42">
        <f ca="1">IF(AND(ISNUMBER($AS$261),$B$226=1),$AS$261,HLOOKUP(INDIRECT(ADDRESS(2,COLUMN())),OFFSET($BN$2,0,0,ROW()-1,60),ROW()-1,FALSE))</f>
        <v>211.191</v>
      </c>
      <c r="AT42">
        <f ca="1">IF(AND(ISNUMBER($AT$261),$B$226=1),$AT$261,HLOOKUP(INDIRECT(ADDRESS(2,COLUMN())),OFFSET($BN$2,0,0,ROW()-1,60),ROW()-1,FALSE))</f>
        <v>204.173</v>
      </c>
      <c r="AU42">
        <f ca="1">IF(AND(ISNUMBER($AU$261),$B$226=1),$AU$261,HLOOKUP(INDIRECT(ADDRESS(2,COLUMN())),OFFSET($BN$2,0,0,ROW()-1,60),ROW()-1,FALSE))</f>
        <v>200.55199999999999</v>
      </c>
      <c r="AV42">
        <f ca="1">IF(AND(ISNUMBER($AV$261),$B$226=1),$AV$261,HLOOKUP(INDIRECT(ADDRESS(2,COLUMN())),OFFSET($BN$2,0,0,ROW()-1,60),ROW()-1,FALSE))</f>
        <v>196.53200000000001</v>
      </c>
      <c r="AW42">
        <f ca="1">IF(AND(ISNUMBER($AW$261),$B$226=1),$AW$261,HLOOKUP(INDIRECT(ADDRESS(2,COLUMN())),OFFSET($BN$2,0,0,ROW()-1,60),ROW()-1,FALSE))</f>
        <v>190.92400000000001</v>
      </c>
      <c r="AX42">
        <f ca="1">IF(AND(ISNUMBER($AX$261),$B$226=1),$AX$261,HLOOKUP(INDIRECT(ADDRESS(2,COLUMN())),OFFSET($BN$2,0,0,ROW()-1,60),ROW()-1,FALSE))</f>
        <v>188.61500000000001</v>
      </c>
      <c r="AY42">
        <f ca="1">IF(AND(ISNUMBER($AY$261),$B$226=1),$AY$261,HLOOKUP(INDIRECT(ADDRESS(2,COLUMN())),OFFSET($BN$2,0,0,ROW()-1,60),ROW()-1,FALSE))</f>
        <v>189.78800000000001</v>
      </c>
      <c r="AZ42">
        <f ca="1">IF(AND(ISNUMBER($AZ$261),$B$226=1),$AZ$261,HLOOKUP(INDIRECT(ADDRESS(2,COLUMN())),OFFSET($BN$2,0,0,ROW()-1,60),ROW()-1,FALSE))</f>
        <v>183.64599999999999</v>
      </c>
      <c r="BA42">
        <f ca="1">IF(AND(ISNUMBER($BA$261),$B$226=1),$BA$261,HLOOKUP(INDIRECT(ADDRESS(2,COLUMN())),OFFSET($BN$2,0,0,ROW()-1,60),ROW()-1,FALSE))</f>
        <v>179.083</v>
      </c>
      <c r="BB42">
        <f ca="1">IF(AND(ISNUMBER($BB$261),$B$226=1),$BB$261,HLOOKUP(INDIRECT(ADDRESS(2,COLUMN())),OFFSET($BN$2,0,0,ROW()-1,60),ROW()-1,FALSE))</f>
        <v>175.15899999999999</v>
      </c>
      <c r="BC42">
        <f ca="1">IF(AND(ISNUMBER($BC$261),$B$226=1),$BC$261,HLOOKUP(INDIRECT(ADDRESS(2,COLUMN())),OFFSET($BN$2,0,0,ROW()-1,60),ROW()-1,FALSE))</f>
        <v>173.09800000000001</v>
      </c>
      <c r="BD42">
        <f ca="1">IF(AND(ISNUMBER($BD$261),$B$226=1),$BD$261,HLOOKUP(INDIRECT(ADDRESS(2,COLUMN())),OFFSET($BN$2,0,0,ROW()-1,60),ROW()-1,FALSE))</f>
        <v>170.81700000000001</v>
      </c>
      <c r="BE42">
        <f ca="1">IF(AND(ISNUMBER($BE$261),$B$226=1),$BE$261,HLOOKUP(INDIRECT(ADDRESS(2,COLUMN())),OFFSET($BN$2,0,0,ROW()-1,60),ROW()-1,FALSE))</f>
        <v>165.65199999999999</v>
      </c>
      <c r="BF42">
        <f ca="1">IF(AND(ISNUMBER($BF$261),$B$226=1),$BF$261,HLOOKUP(INDIRECT(ADDRESS(2,COLUMN())),OFFSET($BN$2,0,0,ROW()-1,60),ROW()-1,FALSE))</f>
        <v>159.97900000000001</v>
      </c>
      <c r="BG42">
        <f ca="1">IF(AND(ISNUMBER($BG$261),$B$226=1),$BG$261,HLOOKUP(INDIRECT(ADDRESS(2,COLUMN())),OFFSET($BN$2,0,0,ROW()-1,60),ROW()-1,FALSE))</f>
        <v>138.738</v>
      </c>
      <c r="BH42">
        <f ca="1">IF(AND(ISNUMBER($BH$261),$B$226=1),$BH$261,HLOOKUP(INDIRECT(ADDRESS(2,COLUMN())),OFFSET($BN$2,0,0,ROW()-1,60),ROW()-1,FALSE))</f>
        <v>155.91300000000001</v>
      </c>
      <c r="BI42">
        <f ca="1">IF(AND(ISNUMBER($BI$261),$B$226=1),$BI$261,HLOOKUP(INDIRECT(ADDRESS(2,COLUMN())),OFFSET($BN$2,0,0,ROW()-1,60),ROW()-1,FALSE))</f>
        <v>162.29400000000001</v>
      </c>
      <c r="BJ42">
        <f ca="1">IF(AND(ISNUMBER($BJ$261),$B$226=1),$BJ$261,HLOOKUP(INDIRECT(ADDRESS(2,COLUMN())),OFFSET($BN$2,0,0,ROW()-1,60),ROW()-1,FALSE))</f>
        <v>156.899</v>
      </c>
      <c r="BK42">
        <f ca="1">IF(AND(ISNUMBER($BK$261),$B$226=1),$BK$261,HLOOKUP(INDIRECT(ADDRESS(2,COLUMN())),OFFSET($BN$2,0,0,ROW()-1,60),ROW()-1,FALSE))</f>
        <v>152.7369995</v>
      </c>
      <c r="BL42">
        <f ca="1">IF(AND(ISNUMBER($BL$261),$B$226=1),$BL$261,HLOOKUP(INDIRECT(ADDRESS(2,COLUMN())),OFFSET($BN$2,0,0,ROW()-1,60),ROW()-1,FALSE))</f>
        <v>152.03399999999999</v>
      </c>
      <c r="BM42">
        <f ca="1">IF(AND(ISNUMBER($BM$261),$B$226=1),$BM$261,HLOOKUP(INDIRECT(ADDRESS(2,COLUMN())),OFFSET($BN$2,0,0,ROW()-1,60),ROW()-1,FALSE))</f>
        <v>150.22800000000001</v>
      </c>
      <c r="BN42" t="str">
        <f>""</f>
        <v/>
      </c>
      <c r="BO42">
        <f>555.292</f>
        <v>555.29200000000003</v>
      </c>
      <c r="BP42">
        <f>550.5</f>
        <v>550.5</v>
      </c>
      <c r="BQ42">
        <f>530.512</f>
        <v>530.51199999999994</v>
      </c>
      <c r="BR42">
        <f>522.326</f>
        <v>522.32600000000002</v>
      </c>
      <c r="BS42">
        <f>518.24</f>
        <v>518.24</v>
      </c>
      <c r="BT42">
        <f>516.211</f>
        <v>516.21100000000001</v>
      </c>
      <c r="BU42">
        <f>502.307</f>
        <v>502.30700000000002</v>
      </c>
      <c r="BV42">
        <f>508.498</f>
        <v>508.49799999999999</v>
      </c>
      <c r="BW42">
        <f>480.84</f>
        <v>480.84</v>
      </c>
      <c r="BX42">
        <f>475.36</f>
        <v>475.36</v>
      </c>
      <c r="BY42">
        <f>457.459</f>
        <v>457.459</v>
      </c>
      <c r="BZ42">
        <f>442.367</f>
        <v>442.36700000000002</v>
      </c>
      <c r="CA42">
        <f>440.656</f>
        <v>440.65600000000001</v>
      </c>
      <c r="CB42">
        <f>430.525</f>
        <v>430.52499999999998</v>
      </c>
      <c r="CC42">
        <f>413.806</f>
        <v>413.80599999999998</v>
      </c>
      <c r="CD42">
        <f>400.075</f>
        <v>400.07499999999999</v>
      </c>
      <c r="CE42">
        <f>394.169</f>
        <v>394.16899999999998</v>
      </c>
      <c r="CF42">
        <f>389.189</f>
        <v>389.18900000000002</v>
      </c>
      <c r="CG42">
        <f>378.207</f>
        <v>378.20699999999999</v>
      </c>
      <c r="CH42">
        <f>301.357</f>
        <v>301.35700000000003</v>
      </c>
      <c r="CI42">
        <f>261.574</f>
        <v>261.57400000000001</v>
      </c>
      <c r="CJ42">
        <f>261.321</f>
        <v>261.32100000000003</v>
      </c>
      <c r="CK42">
        <f>252.445</f>
        <v>252.44499999999999</v>
      </c>
      <c r="CL42">
        <f>246.032</f>
        <v>246.03200000000001</v>
      </c>
      <c r="CM42">
        <f>243.089</f>
        <v>243.089</v>
      </c>
      <c r="CN42">
        <f>243.719</f>
        <v>243.71899999999999</v>
      </c>
      <c r="CO42">
        <f>235.581</f>
        <v>235.58099999999999</v>
      </c>
      <c r="CP42">
        <f>228.53</f>
        <v>228.53</v>
      </c>
      <c r="CQ42">
        <f>226.552</f>
        <v>226.55199999999999</v>
      </c>
      <c r="CR42">
        <f>225.558</f>
        <v>225.55799999999999</v>
      </c>
      <c r="CS42">
        <f>220.342</f>
        <v>220.34200000000001</v>
      </c>
      <c r="CT42">
        <f>215.449</f>
        <v>215.44900000000001</v>
      </c>
      <c r="CU42">
        <f>214.292</f>
        <v>214.292</v>
      </c>
      <c r="CV42">
        <f>215.043</f>
        <v>215.04300000000001</v>
      </c>
      <c r="CW42">
        <f>212.259</f>
        <v>212.25899999999999</v>
      </c>
      <c r="CX42">
        <f>209.733</f>
        <v>209.733</v>
      </c>
      <c r="CY42">
        <f>220.353</f>
        <v>220.35300000000001</v>
      </c>
      <c r="CZ42">
        <f>215.39</f>
        <v>215.39</v>
      </c>
      <c r="DA42">
        <f>211.191</f>
        <v>211.191</v>
      </c>
      <c r="DB42">
        <f>204.173</f>
        <v>204.173</v>
      </c>
      <c r="DC42">
        <f>200.552</f>
        <v>200.55199999999999</v>
      </c>
      <c r="DD42">
        <f>196.532</f>
        <v>196.53200000000001</v>
      </c>
      <c r="DE42">
        <f>190.924</f>
        <v>190.92400000000001</v>
      </c>
      <c r="DF42">
        <f>188.615</f>
        <v>188.61500000000001</v>
      </c>
      <c r="DG42">
        <f>189.788</f>
        <v>189.78800000000001</v>
      </c>
      <c r="DH42">
        <f>183.646</f>
        <v>183.64599999999999</v>
      </c>
      <c r="DI42">
        <f>179.083</f>
        <v>179.083</v>
      </c>
      <c r="DJ42">
        <f>175.159</f>
        <v>175.15899999999999</v>
      </c>
      <c r="DK42">
        <f>173.098</f>
        <v>173.09800000000001</v>
      </c>
      <c r="DL42">
        <f>170.817</f>
        <v>170.81700000000001</v>
      </c>
      <c r="DM42">
        <f>165.652</f>
        <v>165.65199999999999</v>
      </c>
      <c r="DN42">
        <f>159.979</f>
        <v>159.97900000000001</v>
      </c>
      <c r="DO42">
        <f>138.738</f>
        <v>138.738</v>
      </c>
      <c r="DP42">
        <f>155.913</f>
        <v>155.91300000000001</v>
      </c>
      <c r="DQ42">
        <f>162.294</f>
        <v>162.29400000000001</v>
      </c>
      <c r="DR42">
        <f>156.899</f>
        <v>156.899</v>
      </c>
      <c r="DS42">
        <f>152.7369995</f>
        <v>152.7369995</v>
      </c>
      <c r="DT42">
        <f>152.034</f>
        <v>152.03399999999999</v>
      </c>
      <c r="DU42">
        <f>150.228</f>
        <v>150.22800000000001</v>
      </c>
    </row>
    <row r="43" spans="1:125">
      <c r="A43" t="str">
        <f>"    Camden Property Trust"</f>
        <v xml:space="preserve">    Camden Property Trust</v>
      </c>
      <c r="B43" t="str">
        <f>"CPT US Equity"</f>
        <v>CPT US Equity</v>
      </c>
      <c r="C43" t="str">
        <f t="shared" si="12"/>
        <v>IS010</v>
      </c>
      <c r="D43" t="str">
        <f t="shared" si="13"/>
        <v>SALES_REV_TURN</v>
      </c>
      <c r="E43" t="str">
        <f t="shared" si="14"/>
        <v>动态</v>
      </c>
      <c r="F43" t="str">
        <f ca="1">IF(AND(ISNUMBER($F$262),$B$226=1),$F$262,HLOOKUP(INDIRECT(ADDRESS(2,COLUMN())),OFFSET($BN$2,0,0,ROW()-1,60),ROW()-1,FALSE))</f>
        <v/>
      </c>
      <c r="G43">
        <f ca="1">IF(AND(ISNUMBER($G$262),$B$226=1),$G$262,HLOOKUP(INDIRECT(ADDRESS(2,COLUMN())),OFFSET($BN$2,0,0,ROW()-1,60),ROW()-1,FALSE))</f>
        <v>232.197</v>
      </c>
      <c r="H43">
        <f ca="1">IF(AND(ISNUMBER($H$262),$B$226=1),$H$262,HLOOKUP(INDIRECT(ADDRESS(2,COLUMN())),OFFSET($BN$2,0,0,ROW()-1,60),ROW()-1,FALSE))</f>
        <v>230.29400000000001</v>
      </c>
      <c r="I43">
        <f ca="1">IF(AND(ISNUMBER($I$262),$B$226=1),$I$262,HLOOKUP(INDIRECT(ADDRESS(2,COLUMN())),OFFSET($BN$2,0,0,ROW()-1,60),ROW()-1,FALSE))</f>
        <v>225.31200000000001</v>
      </c>
      <c r="J43">
        <f ca="1">IF(AND(ISNUMBER($J$262),$B$226=1),$J$262,HLOOKUP(INDIRECT(ADDRESS(2,COLUMN())),OFFSET($BN$2,0,0,ROW()-1,60),ROW()-1,FALSE))</f>
        <v>221.26900000000001</v>
      </c>
      <c r="K43">
        <f ca="1">IF(AND(ISNUMBER($K$262),$B$226=1),$K$262,HLOOKUP(INDIRECT(ADDRESS(2,COLUMN())),OFFSET($BN$2,0,0,ROW()-1,60),ROW()-1,FALSE))</f>
        <v>218.78</v>
      </c>
      <c r="L43">
        <f ca="1">IF(AND(ISNUMBER($L$262),$B$226=1),$L$262,HLOOKUP(INDIRECT(ADDRESS(2,COLUMN())),OFFSET($BN$2,0,0,ROW()-1,60),ROW()-1,FALSE))</f>
        <v>221.90199999999999</v>
      </c>
      <c r="M43">
        <f ca="1">IF(AND(ISNUMBER($M$262),$B$226=1),$M$262,HLOOKUP(INDIRECT(ADDRESS(2,COLUMN())),OFFSET($BN$2,0,0,ROW()-1,60),ROW()-1,FALSE))</f>
        <v>223.26900000000001</v>
      </c>
      <c r="N43">
        <f ca="1">IF(AND(ISNUMBER($N$262),$B$226=1),$N$262,HLOOKUP(INDIRECT(ADDRESS(2,COLUMN())),OFFSET($BN$2,0,0,ROW()-1,60),ROW()-1,FALSE))</f>
        <v>219.36</v>
      </c>
      <c r="O43">
        <f ca="1">IF(AND(ISNUMBER($O$262),$B$226=1),$O$262,HLOOKUP(INDIRECT(ADDRESS(2,COLUMN())),OFFSET($BN$2,0,0,ROW()-1,60),ROW()-1,FALSE))</f>
        <v>216.90100000000001</v>
      </c>
      <c r="P43">
        <f ca="1">IF(AND(ISNUMBER($P$262),$B$226=1),$P$262,HLOOKUP(INDIRECT(ADDRESS(2,COLUMN())),OFFSET($BN$2,0,0,ROW()-1,60),ROW()-1,FALSE))</f>
        <v>214.495</v>
      </c>
      <c r="Q43">
        <f ca="1">IF(AND(ISNUMBER($Q$262),$B$226=1),$Q$262,HLOOKUP(INDIRECT(ADDRESS(2,COLUMN())),OFFSET($BN$2,0,0,ROW()-1,60),ROW()-1,FALSE))</f>
        <v>208.05</v>
      </c>
      <c r="R43">
        <f ca="1">IF(AND(ISNUMBER($R$262),$B$226=1),$R$262,HLOOKUP(INDIRECT(ADDRESS(2,COLUMN())),OFFSET($BN$2,0,0,ROW()-1,60),ROW()-1,FALSE))</f>
        <v>216.99700000000001</v>
      </c>
      <c r="S43">
        <f ca="1">IF(AND(ISNUMBER($S$262),$B$226=1),$S$262,HLOOKUP(INDIRECT(ADDRESS(2,COLUMN())),OFFSET($BN$2,0,0,ROW()-1,60),ROW()-1,FALSE))</f>
        <v>218.99</v>
      </c>
      <c r="T43">
        <f ca="1">IF(AND(ISNUMBER($T$262),$B$226=1),$T$262,HLOOKUP(INDIRECT(ADDRESS(2,COLUMN())),OFFSET($BN$2,0,0,ROW()-1,60),ROW()-1,FALSE))</f>
        <v>215.22900000000001</v>
      </c>
      <c r="U43">
        <f ca="1">IF(AND(ISNUMBER($U$262),$B$226=1),$U$262,HLOOKUP(INDIRECT(ADDRESS(2,COLUMN())),OFFSET($BN$2,0,0,ROW()-1,60),ROW()-1,FALSE))</f>
        <v>210.63900000000001</v>
      </c>
      <c r="V43">
        <f ca="1">IF(AND(ISNUMBER($V$262),$B$226=1),$V$262,HLOOKUP(INDIRECT(ADDRESS(2,COLUMN())),OFFSET($BN$2,0,0,ROW()-1,60),ROW()-1,FALSE))</f>
        <v>208.952</v>
      </c>
      <c r="W43">
        <f ca="1">IF(AND(ISNUMBER($W$262),$B$226=1),$W$262,HLOOKUP(INDIRECT(ADDRESS(2,COLUMN())),OFFSET($BN$2,0,0,ROW()-1,60),ROW()-1,FALSE))</f>
        <v>207.19</v>
      </c>
      <c r="X43">
        <f ca="1">IF(AND(ISNUMBER($X$262),$B$226=1),$X$262,HLOOKUP(INDIRECT(ADDRESS(2,COLUMN())),OFFSET($BN$2,0,0,ROW()-1,60),ROW()-1,FALSE))</f>
        <v>202.83600000000001</v>
      </c>
      <c r="Y43">
        <f ca="1">IF(AND(ISNUMBER($Y$262),$B$226=1),$Y$262,HLOOKUP(INDIRECT(ADDRESS(2,COLUMN())),OFFSET($BN$2,0,0,ROW()-1,60),ROW()-1,FALSE))</f>
        <v>197.81</v>
      </c>
      <c r="Z43">
        <f ca="1">IF(AND(ISNUMBER($Z$262),$B$226=1),$Z$262,HLOOKUP(INDIRECT(ADDRESS(2,COLUMN())),OFFSET($BN$2,0,0,ROW()-1,60),ROW()-1,FALSE))</f>
        <v>192.70500000000001</v>
      </c>
      <c r="AA43">
        <f ca="1">IF(AND(ISNUMBER($AA$262),$B$226=1),$AA$262,HLOOKUP(INDIRECT(ADDRESS(2,COLUMN())),OFFSET($BN$2,0,0,ROW()-1,60),ROW()-1,FALSE))</f>
        <v>186.571</v>
      </c>
      <c r="AB43">
        <f ca="1">IF(AND(ISNUMBER($AB$262),$B$226=1),$AB$262,HLOOKUP(INDIRECT(ADDRESS(2,COLUMN())),OFFSET($BN$2,0,0,ROW()-1,60),ROW()-1,FALSE))</f>
        <v>184.804</v>
      </c>
      <c r="AC43">
        <f ca="1">IF(AND(ISNUMBER($AC$262),$B$226=1),$AC$262,HLOOKUP(INDIRECT(ADDRESS(2,COLUMN())),OFFSET($BN$2,0,0,ROW()-1,60),ROW()-1,FALSE))</f>
        <v>180.52600000000001</v>
      </c>
      <c r="AD43">
        <f ca="1">IF(AND(ISNUMBER($AD$262),$B$226=1),$AD$262,HLOOKUP(INDIRECT(ADDRESS(2,COLUMN())),OFFSET($BN$2,0,0,ROW()-1,60),ROW()-1,FALSE))</f>
        <v>172.62200000000001</v>
      </c>
      <c r="AE43">
        <f ca="1">IF(AND(ISNUMBER($AE$262),$B$226=1),$AE$262,HLOOKUP(INDIRECT(ADDRESS(2,COLUMN())),OFFSET($BN$2,0,0,ROW()-1,60),ROW()-1,FALSE))</f>
        <v>161.90600000000001</v>
      </c>
      <c r="AF43">
        <f ca="1">IF(AND(ISNUMBER($AF$262),$B$226=1),$AF$262,HLOOKUP(INDIRECT(ADDRESS(2,COLUMN())),OFFSET($BN$2,0,0,ROW()-1,60),ROW()-1,FALSE))</f>
        <v>166.87</v>
      </c>
      <c r="AG43">
        <f ca="1">IF(AND(ISNUMBER($AG$262),$B$226=1),$AG$262,HLOOKUP(INDIRECT(ADDRESS(2,COLUMN())),OFFSET($BN$2,0,0,ROW()-1,60),ROW()-1,FALSE))</f>
        <v>163.87299999999999</v>
      </c>
      <c r="AH43">
        <f ca="1">IF(AND(ISNUMBER($AH$262),$B$226=1),$AH$262,HLOOKUP(INDIRECT(ADDRESS(2,COLUMN())),OFFSET($BN$2,0,0,ROW()-1,60),ROW()-1,FALSE))</f>
        <v>159.44</v>
      </c>
      <c r="AI43">
        <f ca="1">IF(AND(ISNUMBER($AI$262),$B$226=1),$AI$262,HLOOKUP(INDIRECT(ADDRESS(2,COLUMN())),OFFSET($BN$2,0,0,ROW()-1,60),ROW()-1,FALSE))</f>
        <v>155.29</v>
      </c>
      <c r="AJ43">
        <f ca="1">IF(AND(ISNUMBER($AJ$262),$B$226=1),$AJ$262,HLOOKUP(INDIRECT(ADDRESS(2,COLUMN())),OFFSET($BN$2,0,0,ROW()-1,60),ROW()-1,FALSE))</f>
        <v>156.41900000000001</v>
      </c>
      <c r="AK43">
        <f ca="1">IF(AND(ISNUMBER($AK$262),$B$226=1),$AK$262,HLOOKUP(INDIRECT(ADDRESS(2,COLUMN())),OFFSET($BN$2,0,0,ROW()-1,60),ROW()-1,FALSE))</f>
        <v>153.33600000000001</v>
      </c>
      <c r="AL43">
        <f ca="1">IF(AND(ISNUMBER($AL$262),$B$226=1),$AL$262,HLOOKUP(INDIRECT(ADDRESS(2,COLUMN())),OFFSET($BN$2,0,0,ROW()-1,60),ROW()-1,FALSE))</f>
        <v>151.29</v>
      </c>
      <c r="AM43">
        <f ca="1">IF(AND(ISNUMBER($AM$262),$B$226=1),$AM$262,HLOOKUP(INDIRECT(ADDRESS(2,COLUMN())),OFFSET($BN$2,0,0,ROW()-1,60),ROW()-1,FALSE))</f>
        <v>152.07599999999999</v>
      </c>
      <c r="AN43">
        <f ca="1">IF(AND(ISNUMBER($AN$262),$B$226=1),$AN$262,HLOOKUP(INDIRECT(ADDRESS(2,COLUMN())),OFFSET($BN$2,0,0,ROW()-1,60),ROW()-1,FALSE))</f>
        <v>157.04300000000001</v>
      </c>
      <c r="AO43">
        <f ca="1">IF(AND(ISNUMBER($AO$262),$B$226=1),$AO$262,HLOOKUP(INDIRECT(ADDRESS(2,COLUMN())),OFFSET($BN$2,0,0,ROW()-1,60),ROW()-1,FALSE))</f>
        <v>158.55199999999999</v>
      </c>
      <c r="AP43">
        <f ca="1">IF(AND(ISNUMBER($AP$262),$B$226=1),$AP$262,HLOOKUP(INDIRECT(ADDRESS(2,COLUMN())),OFFSET($BN$2,0,0,ROW()-1,60),ROW()-1,FALSE))</f>
        <v>159.06299999999999</v>
      </c>
      <c r="AQ43">
        <f ca="1">IF(AND(ISNUMBER($AQ$262),$B$226=1),$AQ$262,HLOOKUP(INDIRECT(ADDRESS(2,COLUMN())),OFFSET($BN$2,0,0,ROW()-1,60),ROW()-1,FALSE))</f>
        <v>160.99299999999999</v>
      </c>
      <c r="AR43">
        <f ca="1">IF(AND(ISNUMBER($AR$262),$B$226=1),$AR$262,HLOOKUP(INDIRECT(ADDRESS(2,COLUMN())),OFFSET($BN$2,0,0,ROW()-1,60),ROW()-1,FALSE))</f>
        <v>161.733</v>
      </c>
      <c r="AS43">
        <f ca="1">IF(AND(ISNUMBER($AS$262),$B$226=1),$AS$262,HLOOKUP(INDIRECT(ADDRESS(2,COLUMN())),OFFSET($BN$2,0,0,ROW()-1,60),ROW()-1,FALSE))</f>
        <v>157.65799999999999</v>
      </c>
      <c r="AT43">
        <f ca="1">IF(AND(ISNUMBER($AT$262),$B$226=1),$AT$262,HLOOKUP(INDIRECT(ADDRESS(2,COLUMN())),OFFSET($BN$2,0,0,ROW()-1,60),ROW()-1,FALSE))</f>
        <v>153.876</v>
      </c>
      <c r="AU43">
        <f ca="1">IF(AND(ISNUMBER($AU$262),$B$226=1),$AU$262,HLOOKUP(INDIRECT(ADDRESS(2,COLUMN())),OFFSET($BN$2,0,0,ROW()-1,60),ROW()-1,FALSE))</f>
        <v>138.90799999999999</v>
      </c>
      <c r="AV43">
        <f ca="1">IF(AND(ISNUMBER($AV$262),$B$226=1),$AV$262,HLOOKUP(INDIRECT(ADDRESS(2,COLUMN())),OFFSET($BN$2,0,0,ROW()-1,60),ROW()-1,FALSE))</f>
        <v>152.68600000000001</v>
      </c>
      <c r="AW43">
        <f ca="1">IF(AND(ISNUMBER($AW$262),$B$226=1),$AW$262,HLOOKUP(INDIRECT(ADDRESS(2,COLUMN())),OFFSET($BN$2,0,0,ROW()-1,60),ROW()-1,FALSE))</f>
        <v>154.017</v>
      </c>
      <c r="AX43">
        <f ca="1">IF(AND(ISNUMBER($AX$262),$B$226=1),$AX$262,HLOOKUP(INDIRECT(ADDRESS(2,COLUMN())),OFFSET($BN$2,0,0,ROW()-1,60),ROW()-1,FALSE))</f>
        <v>151.624</v>
      </c>
      <c r="AY43">
        <f ca="1">IF(AND(ISNUMBER($AY$262),$B$226=1),$AY$262,HLOOKUP(INDIRECT(ADDRESS(2,COLUMN())),OFFSET($BN$2,0,0,ROW()-1,60),ROW()-1,FALSE))</f>
        <v>151.65899999999999</v>
      </c>
      <c r="AZ43">
        <f ca="1">IF(AND(ISNUMBER($AZ$262),$B$226=1),$AZ$262,HLOOKUP(INDIRECT(ADDRESS(2,COLUMN())),OFFSET($BN$2,0,0,ROW()-1,60),ROW()-1,FALSE))</f>
        <v>155.239</v>
      </c>
      <c r="BA43">
        <f ca="1">IF(AND(ISNUMBER($BA$262),$B$226=1),$BA$262,HLOOKUP(INDIRECT(ADDRESS(2,COLUMN())),OFFSET($BN$2,0,0,ROW()-1,60),ROW()-1,FALSE))</f>
        <v>151.376</v>
      </c>
      <c r="BB43">
        <f ca="1">IF(AND(ISNUMBER($BB$262),$B$226=1),$BB$262,HLOOKUP(INDIRECT(ADDRESS(2,COLUMN())),OFFSET($BN$2,0,0,ROW()-1,60),ROW()-1,FALSE))</f>
        <v>149.04400000000001</v>
      </c>
      <c r="BC43">
        <f ca="1">IF(AND(ISNUMBER($BC$262),$B$226=1),$BC$262,HLOOKUP(INDIRECT(ADDRESS(2,COLUMN())),OFFSET($BN$2,0,0,ROW()-1,60),ROW()-1,FALSE))</f>
        <v>140.84800000000001</v>
      </c>
      <c r="BD43">
        <f ca="1">IF(AND(ISNUMBER($BD$262),$B$226=1),$BD$262,HLOOKUP(INDIRECT(ADDRESS(2,COLUMN())),OFFSET($BN$2,0,0,ROW()-1,60),ROW()-1,FALSE))</f>
        <v>143.54300000000001</v>
      </c>
      <c r="BE43">
        <f ca="1">IF(AND(ISNUMBER($BE$262),$B$226=1),$BE$262,HLOOKUP(INDIRECT(ADDRESS(2,COLUMN())),OFFSET($BN$2,0,0,ROW()-1,60),ROW()-1,FALSE))</f>
        <v>137.59700000000001</v>
      </c>
      <c r="BF43">
        <f ca="1">IF(AND(ISNUMBER($BF$262),$B$226=1),$BF$262,HLOOKUP(INDIRECT(ADDRESS(2,COLUMN())),OFFSET($BN$2,0,0,ROW()-1,60),ROW()-1,FALSE))</f>
        <v>120.378</v>
      </c>
      <c r="BG43">
        <f ca="1">IF(AND(ISNUMBER($BG$262),$B$226=1),$BG$262,HLOOKUP(INDIRECT(ADDRESS(2,COLUMN())),OFFSET($BN$2,0,0,ROW()-1,60),ROW()-1,FALSE))</f>
        <v>105.322</v>
      </c>
      <c r="BH43">
        <f ca="1">IF(AND(ISNUMBER($BH$262),$B$226=1),$BH$262,HLOOKUP(INDIRECT(ADDRESS(2,COLUMN())),OFFSET($BN$2,0,0,ROW()-1,60),ROW()-1,FALSE))</f>
        <v>104.788</v>
      </c>
      <c r="BI43">
        <f ca="1">IF(AND(ISNUMBER($BI$262),$B$226=1),$BI$262,HLOOKUP(INDIRECT(ADDRESS(2,COLUMN())),OFFSET($BN$2,0,0,ROW()-1,60),ROW()-1,FALSE))</f>
        <v>106.03299699999999</v>
      </c>
      <c r="BJ43">
        <f ca="1">IF(AND(ISNUMBER($BJ$262),$B$226=1),$BJ$262,HLOOKUP(INDIRECT(ADDRESS(2,COLUMN())),OFFSET($BN$2,0,0,ROW()-1,60),ROW()-1,FALSE))</f>
        <v>111.23200199999999</v>
      </c>
      <c r="BK43">
        <f ca="1">IF(AND(ISNUMBER($BK$262),$B$226=1),$BK$262,HLOOKUP(INDIRECT(ADDRESS(2,COLUMN())),OFFSET($BN$2,0,0,ROW()-1,60),ROW()-1,FALSE))</f>
        <v>108.0749969</v>
      </c>
      <c r="BL43">
        <f ca="1">IF(AND(ISNUMBER($BL$262),$B$226=1),$BL$262,HLOOKUP(INDIRECT(ADDRESS(2,COLUMN())),OFFSET($BN$2,0,0,ROW()-1,60),ROW()-1,FALSE))</f>
        <v>105.12400100000001</v>
      </c>
      <c r="BM43">
        <f ca="1">IF(AND(ISNUMBER($BM$262),$B$226=1),$BM$262,HLOOKUP(INDIRECT(ADDRESS(2,COLUMN())),OFFSET($BN$2,0,0,ROW()-1,60),ROW()-1,FALSE))</f>
        <v>103.177002</v>
      </c>
      <c r="BN43" t="str">
        <f>""</f>
        <v/>
      </c>
      <c r="BO43">
        <f>232.197</f>
        <v>232.197</v>
      </c>
      <c r="BP43">
        <f>230.294</f>
        <v>230.29400000000001</v>
      </c>
      <c r="BQ43">
        <f>225.312</f>
        <v>225.31200000000001</v>
      </c>
      <c r="BR43">
        <f>221.269</f>
        <v>221.26900000000001</v>
      </c>
      <c r="BS43">
        <f>218.78</f>
        <v>218.78</v>
      </c>
      <c r="BT43">
        <f>221.902</f>
        <v>221.90199999999999</v>
      </c>
      <c r="BU43">
        <f>223.269</f>
        <v>223.26900000000001</v>
      </c>
      <c r="BV43">
        <f>219.36</f>
        <v>219.36</v>
      </c>
      <c r="BW43">
        <f>216.901</f>
        <v>216.90100000000001</v>
      </c>
      <c r="BX43">
        <f>214.495</f>
        <v>214.495</v>
      </c>
      <c r="BY43">
        <f>208.05</f>
        <v>208.05</v>
      </c>
      <c r="BZ43">
        <f>216.997</f>
        <v>216.99700000000001</v>
      </c>
      <c r="CA43">
        <f>218.99</f>
        <v>218.99</v>
      </c>
      <c r="CB43">
        <f>215.229</f>
        <v>215.22900000000001</v>
      </c>
      <c r="CC43">
        <f>210.639</f>
        <v>210.63900000000001</v>
      </c>
      <c r="CD43">
        <f>208.952</f>
        <v>208.952</v>
      </c>
      <c r="CE43">
        <f>207.19</f>
        <v>207.19</v>
      </c>
      <c r="CF43">
        <f>202.836</f>
        <v>202.83600000000001</v>
      </c>
      <c r="CG43">
        <f>197.81</f>
        <v>197.81</v>
      </c>
      <c r="CH43">
        <f>192.705</f>
        <v>192.70500000000001</v>
      </c>
      <c r="CI43">
        <f>186.571</f>
        <v>186.571</v>
      </c>
      <c r="CJ43">
        <f>184.804</f>
        <v>184.804</v>
      </c>
      <c r="CK43">
        <f>180.526</f>
        <v>180.52600000000001</v>
      </c>
      <c r="CL43">
        <f>172.622</f>
        <v>172.62200000000001</v>
      </c>
      <c r="CM43">
        <f>161.906</f>
        <v>161.90600000000001</v>
      </c>
      <c r="CN43">
        <f>166.87</f>
        <v>166.87</v>
      </c>
      <c r="CO43">
        <f>163.873</f>
        <v>163.87299999999999</v>
      </c>
      <c r="CP43">
        <f>159.44</f>
        <v>159.44</v>
      </c>
      <c r="CQ43">
        <f>155.29</f>
        <v>155.29</v>
      </c>
      <c r="CR43">
        <f>156.419</f>
        <v>156.41900000000001</v>
      </c>
      <c r="CS43">
        <f>153.336</f>
        <v>153.33600000000001</v>
      </c>
      <c r="CT43">
        <f>151.29</f>
        <v>151.29</v>
      </c>
      <c r="CU43">
        <f>152.076</f>
        <v>152.07599999999999</v>
      </c>
      <c r="CV43">
        <f>157.043</f>
        <v>157.04300000000001</v>
      </c>
      <c r="CW43">
        <f>158.552</f>
        <v>158.55199999999999</v>
      </c>
      <c r="CX43">
        <f>159.063</f>
        <v>159.06299999999999</v>
      </c>
      <c r="CY43">
        <f>160.993</f>
        <v>160.99299999999999</v>
      </c>
      <c r="CZ43">
        <f>161.733</f>
        <v>161.733</v>
      </c>
      <c r="DA43">
        <f>157.658</f>
        <v>157.65799999999999</v>
      </c>
      <c r="DB43">
        <f>153.876</f>
        <v>153.876</v>
      </c>
      <c r="DC43">
        <f>138.908</f>
        <v>138.90799999999999</v>
      </c>
      <c r="DD43">
        <f>152.686</f>
        <v>152.68600000000001</v>
      </c>
      <c r="DE43">
        <f>154.017</f>
        <v>154.017</v>
      </c>
      <c r="DF43">
        <f>151.624</f>
        <v>151.624</v>
      </c>
      <c r="DG43">
        <f>151.659</f>
        <v>151.65899999999999</v>
      </c>
      <c r="DH43">
        <f>155.239</f>
        <v>155.239</v>
      </c>
      <c r="DI43">
        <f>151.376</f>
        <v>151.376</v>
      </c>
      <c r="DJ43">
        <f>149.044</f>
        <v>149.04400000000001</v>
      </c>
      <c r="DK43">
        <f>140.848</f>
        <v>140.84800000000001</v>
      </c>
      <c r="DL43">
        <f>143.543</f>
        <v>143.54300000000001</v>
      </c>
      <c r="DM43">
        <f>137.597</f>
        <v>137.59700000000001</v>
      </c>
      <c r="DN43">
        <f>120.378</f>
        <v>120.378</v>
      </c>
      <c r="DO43">
        <f>105.322</f>
        <v>105.322</v>
      </c>
      <c r="DP43">
        <f>104.788</f>
        <v>104.788</v>
      </c>
      <c r="DQ43">
        <f>106.032997</f>
        <v>106.03299699999999</v>
      </c>
      <c r="DR43">
        <f>111.232002</f>
        <v>111.23200199999999</v>
      </c>
      <c r="DS43">
        <f>108.0749969</f>
        <v>108.0749969</v>
      </c>
      <c r="DT43">
        <f>105.124001</f>
        <v>105.12400100000001</v>
      </c>
      <c r="DU43">
        <f>103.177002</f>
        <v>103.177002</v>
      </c>
    </row>
    <row r="44" spans="1:125">
      <c r="A44" t="str">
        <f>"    Education Realty Trust Inc"</f>
        <v xml:space="preserve">    Education Realty Trust Inc</v>
      </c>
      <c r="B44" t="str">
        <f>"EDR US Equity"</f>
        <v>EDR US Equity</v>
      </c>
      <c r="C44" t="str">
        <f t="shared" si="12"/>
        <v>IS010</v>
      </c>
      <c r="D44" t="str">
        <f t="shared" si="13"/>
        <v>SALES_REV_TURN</v>
      </c>
      <c r="E44" t="str">
        <f t="shared" si="14"/>
        <v>动态</v>
      </c>
      <c r="F44" t="str">
        <f ca="1">IF(AND(ISNUMBER($F$263),$B$226=1),$F$263,HLOOKUP(INDIRECT(ADDRESS(2,COLUMN())),OFFSET($BN$2,0,0,ROW()-1,60),ROW()-1,FALSE))</f>
        <v/>
      </c>
      <c r="G44">
        <f ca="1">IF(AND(ISNUMBER($G$263),$B$226=1),$G$263,HLOOKUP(INDIRECT(ADDRESS(2,COLUMN())),OFFSET($BN$2,0,0,ROW()-1,60),ROW()-1,FALSE))</f>
        <v>95.866</v>
      </c>
      <c r="H44">
        <f ca="1">IF(AND(ISNUMBER($H$263),$B$226=1),$H$263,HLOOKUP(INDIRECT(ADDRESS(2,COLUMN())),OFFSET($BN$2,0,0,ROW()-1,60),ROW()-1,FALSE))</f>
        <v>75.36</v>
      </c>
      <c r="I44">
        <f ca="1">IF(AND(ISNUMBER($I$263),$B$226=1),$I$263,HLOOKUP(INDIRECT(ADDRESS(2,COLUMN())),OFFSET($BN$2,0,0,ROW()-1,60),ROW()-1,FALSE))</f>
        <v>74.042000000000002</v>
      </c>
      <c r="J44">
        <f ca="1">IF(AND(ISNUMBER($J$263),$B$226=1),$J$263,HLOOKUP(INDIRECT(ADDRESS(2,COLUMN())),OFFSET($BN$2,0,0,ROW()-1,60),ROW()-1,FALSE))</f>
        <v>85.798000000000002</v>
      </c>
      <c r="K44">
        <f ca="1">IF(AND(ISNUMBER($K$263),$B$226=1),$K$263,HLOOKUP(INDIRECT(ADDRESS(2,COLUMN())),OFFSET($BN$2,0,0,ROW()-1,60),ROW()-1,FALSE))</f>
        <v>84.224000000000004</v>
      </c>
      <c r="L44">
        <f ca="1">IF(AND(ISNUMBER($L$263),$B$226=1),$L$263,HLOOKUP(INDIRECT(ADDRESS(2,COLUMN())),OFFSET($BN$2,0,0,ROW()-1,60),ROW()-1,FALSE))</f>
        <v>66.224999999999994</v>
      </c>
      <c r="M44">
        <f ca="1">IF(AND(ISNUMBER($M$263),$B$226=1),$M$263,HLOOKUP(INDIRECT(ADDRESS(2,COLUMN())),OFFSET($BN$2,0,0,ROW()-1,60),ROW()-1,FALSE))</f>
        <v>65.14</v>
      </c>
      <c r="N44">
        <f ca="1">IF(AND(ISNUMBER($N$263),$B$226=1),$N$263,HLOOKUP(INDIRECT(ADDRESS(2,COLUMN())),OFFSET($BN$2,0,0,ROW()-1,60),ROW()-1,FALSE))</f>
        <v>73.379000000000005</v>
      </c>
      <c r="O44">
        <f ca="1">IF(AND(ISNUMBER($O$263),$B$226=1),$O$263,HLOOKUP(INDIRECT(ADDRESS(2,COLUMN())),OFFSET($BN$2,0,0,ROW()-1,60),ROW()-1,FALSE))</f>
        <v>75.52</v>
      </c>
      <c r="P44">
        <f ca="1">IF(AND(ISNUMBER($P$263),$B$226=1),$P$263,HLOOKUP(INDIRECT(ADDRESS(2,COLUMN())),OFFSET($BN$2,0,0,ROW()-1,60),ROW()-1,FALSE))</f>
        <v>58.189</v>
      </c>
      <c r="Q44">
        <f ca="1">IF(AND(ISNUMBER($Q$263),$B$226=1),$Q$263,HLOOKUP(INDIRECT(ADDRESS(2,COLUMN())),OFFSET($BN$2,0,0,ROW()-1,60),ROW()-1,FALSE))</f>
        <v>57.323999999999998</v>
      </c>
      <c r="R44">
        <f ca="1">IF(AND(ISNUMBER($R$263),$B$226=1),$R$263,HLOOKUP(INDIRECT(ADDRESS(2,COLUMN())),OFFSET($BN$2,0,0,ROW()-1,60),ROW()-1,FALSE))</f>
        <v>64.129000000000005</v>
      </c>
      <c r="S44">
        <f ca="1">IF(AND(ISNUMBER($S$263),$B$226=1),$S$263,HLOOKUP(INDIRECT(ADDRESS(2,COLUMN())),OFFSET($BN$2,0,0,ROW()-1,60),ROW()-1,FALSE))</f>
        <v>66.504000000000005</v>
      </c>
      <c r="T44">
        <f ca="1">IF(AND(ISNUMBER($T$263),$B$226=1),$T$263,HLOOKUP(INDIRECT(ADDRESS(2,COLUMN())),OFFSET($BN$2,0,0,ROW()-1,60),ROW()-1,FALSE))</f>
        <v>54.704000000000001</v>
      </c>
      <c r="U44">
        <f ca="1">IF(AND(ISNUMBER($U$263),$B$226=1),$U$263,HLOOKUP(INDIRECT(ADDRESS(2,COLUMN())),OFFSET($BN$2,0,0,ROW()-1,60),ROW()-1,FALSE))</f>
        <v>50.04</v>
      </c>
      <c r="V44">
        <f ca="1">IF(AND(ISNUMBER($V$263),$B$226=1),$V$263,HLOOKUP(INDIRECT(ADDRESS(2,COLUMN())),OFFSET($BN$2,0,0,ROW()-1,60),ROW()-1,FALSE))</f>
        <v>54.545000000000002</v>
      </c>
      <c r="W44">
        <f ca="1">IF(AND(ISNUMBER($W$263),$B$226=1),$W$263,HLOOKUP(INDIRECT(ADDRESS(2,COLUMN())),OFFSET($BN$2,0,0,ROW()-1,60),ROW()-1,FALSE))</f>
        <v>55.198</v>
      </c>
      <c r="X44">
        <f ca="1">IF(AND(ISNUMBER($X$263),$B$226=1),$X$263,HLOOKUP(INDIRECT(ADDRESS(2,COLUMN())),OFFSET($BN$2,0,0,ROW()-1,60),ROW()-1,FALSE))</f>
        <v>43.469000000000001</v>
      </c>
      <c r="Y44">
        <f ca="1">IF(AND(ISNUMBER($Y$263),$B$226=1),$Y$263,HLOOKUP(INDIRECT(ADDRESS(2,COLUMN())),OFFSET($BN$2,0,0,ROW()-1,60),ROW()-1,FALSE))</f>
        <v>41.037999999999997</v>
      </c>
      <c r="Z44">
        <f ca="1">IF(AND(ISNUMBER($Z$263),$B$226=1),$Z$263,HLOOKUP(INDIRECT(ADDRESS(2,COLUMN())),OFFSET($BN$2,0,0,ROW()-1,60),ROW()-1,FALSE))</f>
        <v>44.670999999999999</v>
      </c>
      <c r="AA44">
        <f ca="1">IF(AND(ISNUMBER($AA$263),$B$226=1),$AA$263,HLOOKUP(INDIRECT(ADDRESS(2,COLUMN())),OFFSET($BN$2,0,0,ROW()-1,60),ROW()-1,FALSE))</f>
        <v>41.198999999999998</v>
      </c>
      <c r="AB44">
        <f ca="1">IF(AND(ISNUMBER($AB$263),$B$226=1),$AB$263,HLOOKUP(INDIRECT(ADDRESS(2,COLUMN())),OFFSET($BN$2,0,0,ROW()-1,60),ROW()-1,FALSE))</f>
        <v>32.868000000000002</v>
      </c>
      <c r="AC44">
        <f ca="1">IF(AND(ISNUMBER($AC$263),$B$226=1),$AC$263,HLOOKUP(INDIRECT(ADDRESS(2,COLUMN())),OFFSET($BN$2,0,0,ROW()-1,60),ROW()-1,FALSE))</f>
        <v>32.311999999999998</v>
      </c>
      <c r="AD44">
        <f ca="1">IF(AND(ISNUMBER($AD$263),$B$226=1),$AD$263,HLOOKUP(INDIRECT(ADDRESS(2,COLUMN())),OFFSET($BN$2,0,0,ROW()-1,60),ROW()-1,FALSE))</f>
        <v>34.93</v>
      </c>
      <c r="AE44">
        <f ca="1">IF(AND(ISNUMBER($AE$263),$B$226=1),$AE$263,HLOOKUP(INDIRECT(ADDRESS(2,COLUMN())),OFFSET($BN$2,0,0,ROW()-1,60),ROW()-1,FALSE))</f>
        <v>32.694000000000003</v>
      </c>
      <c r="AF44">
        <f ca="1">IF(AND(ISNUMBER($AF$263),$B$226=1),$AF$263,HLOOKUP(INDIRECT(ADDRESS(2,COLUMN())),OFFSET($BN$2,0,0,ROW()-1,60),ROW()-1,FALSE))</f>
        <v>27.911999999999999</v>
      </c>
      <c r="AG44">
        <f ca="1">IF(AND(ISNUMBER($AG$263),$B$226=1),$AG$263,HLOOKUP(INDIRECT(ADDRESS(2,COLUMN())),OFFSET($BN$2,0,0,ROW()-1,60),ROW()-1,FALSE))</f>
        <v>29.449000000000002</v>
      </c>
      <c r="AH44">
        <f ca="1">IF(AND(ISNUMBER($AH$263),$B$226=1),$AH$263,HLOOKUP(INDIRECT(ADDRESS(2,COLUMN())),OFFSET($BN$2,0,0,ROW()-1,60),ROW()-1,FALSE))</f>
        <v>30.664999999999999</v>
      </c>
      <c r="AI44">
        <f ca="1">IF(AND(ISNUMBER($AI$263),$B$226=1),$AI$263,HLOOKUP(INDIRECT(ADDRESS(2,COLUMN())),OFFSET($BN$2,0,0,ROW()-1,60),ROW()-1,FALSE))</f>
        <v>31.948</v>
      </c>
      <c r="AJ44">
        <f ca="1">IF(AND(ISNUMBER($AJ$263),$B$226=1),$AJ$263,HLOOKUP(INDIRECT(ADDRESS(2,COLUMN())),OFFSET($BN$2,0,0,ROW()-1,60),ROW()-1,FALSE))</f>
        <v>30.137</v>
      </c>
      <c r="AK44">
        <f ca="1">IF(AND(ISNUMBER($AK$263),$B$226=1),$AK$263,HLOOKUP(INDIRECT(ADDRESS(2,COLUMN())),OFFSET($BN$2,0,0,ROW()-1,60),ROW()-1,FALSE))</f>
        <v>26.646999999999998</v>
      </c>
      <c r="AL44">
        <f ca="1">IF(AND(ISNUMBER($AL$263),$B$226=1),$AL$263,HLOOKUP(INDIRECT(ADDRESS(2,COLUMN())),OFFSET($BN$2,0,0,ROW()-1,60),ROW()-1,FALSE))</f>
        <v>28.777999999999999</v>
      </c>
      <c r="AM44">
        <f ca="1">IF(AND(ISNUMBER($AM$263),$B$226=1),$AM$263,HLOOKUP(INDIRECT(ADDRESS(2,COLUMN())),OFFSET($BN$2,0,0,ROW()-1,60),ROW()-1,FALSE))</f>
        <v>31.484000000000002</v>
      </c>
      <c r="AN44">
        <f ca="1">IF(AND(ISNUMBER($AN$263),$B$226=1),$AN$263,HLOOKUP(INDIRECT(ADDRESS(2,COLUMN())),OFFSET($BN$2,0,0,ROW()-1,60),ROW()-1,FALSE))</f>
        <v>32.502000000000002</v>
      </c>
      <c r="AO44">
        <f ca="1">IF(AND(ISNUMBER($AO$263),$B$226=1),$AO$263,HLOOKUP(INDIRECT(ADDRESS(2,COLUMN())),OFFSET($BN$2,0,0,ROW()-1,60),ROW()-1,FALSE))</f>
        <v>31.984999999999999</v>
      </c>
      <c r="AP44">
        <f ca="1">IF(AND(ISNUMBER($AP$263),$B$226=1),$AP$263,HLOOKUP(INDIRECT(ADDRESS(2,COLUMN())),OFFSET($BN$2,0,0,ROW()-1,60),ROW()-1,FALSE))</f>
        <v>33.869</v>
      </c>
      <c r="AQ44">
        <f ca="1">IF(AND(ISNUMBER($AQ$263),$B$226=1),$AQ$263,HLOOKUP(INDIRECT(ADDRESS(2,COLUMN())),OFFSET($BN$2,0,0,ROW()-1,60),ROW()-1,FALSE))</f>
        <v>36.07</v>
      </c>
      <c r="AR44">
        <f ca="1">IF(AND(ISNUMBER($AR$263),$B$226=1),$AR$263,HLOOKUP(INDIRECT(ADDRESS(2,COLUMN())),OFFSET($BN$2,0,0,ROW()-1,60),ROW()-1,FALSE))</f>
        <v>32.332999999999998</v>
      </c>
      <c r="AS44">
        <f ca="1">IF(AND(ISNUMBER($AS$263),$B$226=1),$AS$263,HLOOKUP(INDIRECT(ADDRESS(2,COLUMN())),OFFSET($BN$2,0,0,ROW()-1,60),ROW()-1,FALSE))</f>
        <v>36.828000000000003</v>
      </c>
      <c r="AT44">
        <f ca="1">IF(AND(ISNUMBER($AT$263),$B$226=1),$AT$263,HLOOKUP(INDIRECT(ADDRESS(2,COLUMN())),OFFSET($BN$2,0,0,ROW()-1,60),ROW()-1,FALSE))</f>
        <v>34.212000000000003</v>
      </c>
      <c r="AU44">
        <f ca="1">IF(AND(ISNUMBER($AU$263),$B$226=1),$AU$263,HLOOKUP(INDIRECT(ADDRESS(2,COLUMN())),OFFSET($BN$2,0,0,ROW()-1,60),ROW()-1,FALSE))</f>
        <v>30.719000000000001</v>
      </c>
      <c r="AV44">
        <f ca="1">IF(AND(ISNUMBER($AV$263),$B$226=1),$AV$263,HLOOKUP(INDIRECT(ADDRESS(2,COLUMN())),OFFSET($BN$2,0,0,ROW()-1,60),ROW()-1,FALSE))</f>
        <v>28.434000000000001</v>
      </c>
      <c r="AW44">
        <f ca="1">IF(AND(ISNUMBER($AW$263),$B$226=1),$AW$263,HLOOKUP(INDIRECT(ADDRESS(2,COLUMN())),OFFSET($BN$2,0,0,ROW()-1,60),ROW()-1,FALSE))</f>
        <v>29.126000000000001</v>
      </c>
      <c r="AX44">
        <f ca="1">IF(AND(ISNUMBER($AX$263),$B$226=1),$AX$263,HLOOKUP(INDIRECT(ADDRESS(2,COLUMN())),OFFSET($BN$2,0,0,ROW()-1,60),ROW()-1,FALSE))</f>
        <v>30.065999999999999</v>
      </c>
      <c r="AY44">
        <f ca="1">IF(AND(ISNUMBER($AY$263),$B$226=1),$AY$263,HLOOKUP(INDIRECT(ADDRESS(2,COLUMN())),OFFSET($BN$2,0,0,ROW()-1,60),ROW()-1,FALSE))</f>
        <v>28.742000000000001</v>
      </c>
      <c r="AZ44">
        <f ca="1">IF(AND(ISNUMBER($AZ$263),$B$226=1),$AZ$263,HLOOKUP(INDIRECT(ADDRESS(2,COLUMN())),OFFSET($BN$2,0,0,ROW()-1,60),ROW()-1,FALSE))</f>
        <v>26.526</v>
      </c>
      <c r="BA44">
        <f ca="1">IF(AND(ISNUMBER($BA$263),$B$226=1),$BA$263,HLOOKUP(INDIRECT(ADDRESS(2,COLUMN())),OFFSET($BN$2,0,0,ROW()-1,60),ROW()-1,FALSE))</f>
        <v>27.593</v>
      </c>
      <c r="BB44">
        <f ca="1">IF(AND(ISNUMBER($BB$263),$B$226=1),$BB$263,HLOOKUP(INDIRECT(ADDRESS(2,COLUMN())),OFFSET($BN$2,0,0,ROW()-1,60),ROW()-1,FALSE))</f>
        <v>30.193999999999999</v>
      </c>
      <c r="BC44">
        <f ca="1">IF(AND(ISNUMBER($BC$263),$B$226=1),$BC$263,HLOOKUP(INDIRECT(ADDRESS(2,COLUMN())),OFFSET($BN$2,0,0,ROW()-1,60),ROW()-1,FALSE))</f>
        <v>26.041</v>
      </c>
      <c r="BD44">
        <f ca="1">IF(AND(ISNUMBER($BD$263),$B$226=1),$BD$263,HLOOKUP(INDIRECT(ADDRESS(2,COLUMN())),OFFSET($BN$2,0,0,ROW()-1,60),ROW()-1,FALSE))</f>
        <v>23.96</v>
      </c>
      <c r="BE44">
        <f ca="1">IF(AND(ISNUMBER($BE$263),$B$226=1),$BE$263,HLOOKUP(INDIRECT(ADDRESS(2,COLUMN())),OFFSET($BN$2,0,0,ROW()-1,60),ROW()-1,FALSE))</f>
        <v>22.06</v>
      </c>
      <c r="BF44">
        <f ca="1">IF(AND(ISNUMBER($BF$263),$B$226=1),$BF$263,HLOOKUP(INDIRECT(ADDRESS(2,COLUMN())),OFFSET($BN$2,0,0,ROW()-1,60),ROW()-1,FALSE))</f>
        <v>16.484999999999999</v>
      </c>
      <c r="BG44" t="str">
        <f ca="1">IF(AND(ISNUMBER($BG$263),$B$226=1),$BG$263,HLOOKUP(INDIRECT(ADDRESS(2,COLUMN())),OFFSET($BN$2,0,0,ROW()-1,60),ROW()-1,FALSE))</f>
        <v/>
      </c>
      <c r="BH44" t="str">
        <f ca="1">IF(AND(ISNUMBER($BH$263),$B$226=1),$BH$263,HLOOKUP(INDIRECT(ADDRESS(2,COLUMN())),OFFSET($BN$2,0,0,ROW()-1,60),ROW()-1,FALSE))</f>
        <v/>
      </c>
      <c r="BI44" t="str">
        <f ca="1">IF(AND(ISNUMBER($BI$263),$B$226=1),$BI$263,HLOOKUP(INDIRECT(ADDRESS(2,COLUMN())),OFFSET($BN$2,0,0,ROW()-1,60),ROW()-1,FALSE))</f>
        <v/>
      </c>
      <c r="BJ44" t="str">
        <f ca="1">IF(AND(ISNUMBER($BJ$263),$B$226=1),$BJ$263,HLOOKUP(INDIRECT(ADDRESS(2,COLUMN())),OFFSET($BN$2,0,0,ROW()-1,60),ROW()-1,FALSE))</f>
        <v/>
      </c>
      <c r="BK44" t="str">
        <f ca="1">IF(AND(ISNUMBER($BK$263),$B$226=1),$BK$263,HLOOKUP(INDIRECT(ADDRESS(2,COLUMN())),OFFSET($BN$2,0,0,ROW()-1,60),ROW()-1,FALSE))</f>
        <v/>
      </c>
      <c r="BL44" t="str">
        <f ca="1">IF(AND(ISNUMBER($BL$263),$B$226=1),$BL$263,HLOOKUP(INDIRECT(ADDRESS(2,COLUMN())),OFFSET($BN$2,0,0,ROW()-1,60),ROW()-1,FALSE))</f>
        <v/>
      </c>
      <c r="BM44" t="str">
        <f ca="1">IF(AND(ISNUMBER($BM$263),$B$226=1),$BM$263,HLOOKUP(INDIRECT(ADDRESS(2,COLUMN())),OFFSET($BN$2,0,0,ROW()-1,60),ROW()-1,FALSE))</f>
        <v/>
      </c>
      <c r="BN44" t="str">
        <f>""</f>
        <v/>
      </c>
      <c r="BO44">
        <f>95.866</f>
        <v>95.866</v>
      </c>
      <c r="BP44">
        <f>75.36</f>
        <v>75.36</v>
      </c>
      <c r="BQ44">
        <f>74.042</f>
        <v>74.042000000000002</v>
      </c>
      <c r="BR44">
        <f>85.798</f>
        <v>85.798000000000002</v>
      </c>
      <c r="BS44">
        <f>84.224</f>
        <v>84.224000000000004</v>
      </c>
      <c r="BT44">
        <f>66.225</f>
        <v>66.224999999999994</v>
      </c>
      <c r="BU44">
        <f>65.14</f>
        <v>65.14</v>
      </c>
      <c r="BV44">
        <f>73.379</f>
        <v>73.379000000000005</v>
      </c>
      <c r="BW44">
        <f>75.52</f>
        <v>75.52</v>
      </c>
      <c r="BX44">
        <f>58.189</f>
        <v>58.189</v>
      </c>
      <c r="BY44">
        <f>57.324</f>
        <v>57.323999999999998</v>
      </c>
      <c r="BZ44">
        <f>64.129</f>
        <v>64.129000000000005</v>
      </c>
      <c r="CA44">
        <f>66.504</f>
        <v>66.504000000000005</v>
      </c>
      <c r="CB44">
        <f>54.704</f>
        <v>54.704000000000001</v>
      </c>
      <c r="CC44">
        <f>50.04</f>
        <v>50.04</v>
      </c>
      <c r="CD44">
        <f>54.545</f>
        <v>54.545000000000002</v>
      </c>
      <c r="CE44">
        <f>55.198</f>
        <v>55.198</v>
      </c>
      <c r="CF44">
        <f>43.469</f>
        <v>43.469000000000001</v>
      </c>
      <c r="CG44">
        <f>41.038</f>
        <v>41.037999999999997</v>
      </c>
      <c r="CH44">
        <f>44.671</f>
        <v>44.670999999999999</v>
      </c>
      <c r="CI44">
        <f>41.199</f>
        <v>41.198999999999998</v>
      </c>
      <c r="CJ44">
        <f>32.868</f>
        <v>32.868000000000002</v>
      </c>
      <c r="CK44">
        <f>32.312</f>
        <v>32.311999999999998</v>
      </c>
      <c r="CL44">
        <f>34.93</f>
        <v>34.93</v>
      </c>
      <c r="CM44">
        <f>32.694</f>
        <v>32.694000000000003</v>
      </c>
      <c r="CN44">
        <f>27.912</f>
        <v>27.911999999999999</v>
      </c>
      <c r="CO44">
        <f>29.449</f>
        <v>29.449000000000002</v>
      </c>
      <c r="CP44">
        <f>30.665</f>
        <v>30.664999999999999</v>
      </c>
      <c r="CQ44">
        <f>31.948</f>
        <v>31.948</v>
      </c>
      <c r="CR44">
        <f>30.137</f>
        <v>30.137</v>
      </c>
      <c r="CS44">
        <f>26.647</f>
        <v>26.646999999999998</v>
      </c>
      <c r="CT44">
        <f>28.778</f>
        <v>28.777999999999999</v>
      </c>
      <c r="CU44">
        <f>31.484</f>
        <v>31.484000000000002</v>
      </c>
      <c r="CV44">
        <f>32.502</f>
        <v>32.502000000000002</v>
      </c>
      <c r="CW44">
        <f>31.985</f>
        <v>31.984999999999999</v>
      </c>
      <c r="CX44">
        <f>33.869</f>
        <v>33.869</v>
      </c>
      <c r="CY44">
        <f>36.07</f>
        <v>36.07</v>
      </c>
      <c r="CZ44">
        <f>32.333</f>
        <v>32.332999999999998</v>
      </c>
      <c r="DA44">
        <f>36.828</f>
        <v>36.828000000000003</v>
      </c>
      <c r="DB44">
        <f>34.212</f>
        <v>34.212000000000003</v>
      </c>
      <c r="DC44">
        <f>30.719</f>
        <v>30.719000000000001</v>
      </c>
      <c r="DD44">
        <f>28.434</f>
        <v>28.434000000000001</v>
      </c>
      <c r="DE44">
        <f>29.126</f>
        <v>29.126000000000001</v>
      </c>
      <c r="DF44">
        <f>30.066</f>
        <v>30.065999999999999</v>
      </c>
      <c r="DG44">
        <f>28.742</f>
        <v>28.742000000000001</v>
      </c>
      <c r="DH44">
        <f>26.526</f>
        <v>26.526</v>
      </c>
      <c r="DI44">
        <f>27.593</f>
        <v>27.593</v>
      </c>
      <c r="DJ44">
        <f>30.194</f>
        <v>30.193999999999999</v>
      </c>
      <c r="DK44">
        <f>26.041</f>
        <v>26.041</v>
      </c>
      <c r="DL44">
        <f>23.96</f>
        <v>23.96</v>
      </c>
      <c r="DM44">
        <f>22.06</f>
        <v>22.06</v>
      </c>
      <c r="DN44">
        <f>16.485</f>
        <v>16.484999999999999</v>
      </c>
      <c r="DO44" t="str">
        <f>""</f>
        <v/>
      </c>
      <c r="DP44" t="str">
        <f>""</f>
        <v/>
      </c>
      <c r="DQ44" t="str">
        <f>""</f>
        <v/>
      </c>
      <c r="DR44" t="str">
        <f>""</f>
        <v/>
      </c>
      <c r="DS44" t="str">
        <f>""</f>
        <v/>
      </c>
      <c r="DT44" t="str">
        <f>""</f>
        <v/>
      </c>
      <c r="DU44" t="str">
        <f>""</f>
        <v/>
      </c>
    </row>
    <row r="45" spans="1:125">
      <c r="A45" t="str">
        <f>"    Equity Residential"</f>
        <v xml:space="preserve">    Equity Residential</v>
      </c>
      <c r="B45" t="str">
        <f>"EQR US Equity"</f>
        <v>EQR US Equity</v>
      </c>
      <c r="C45" t="str">
        <f t="shared" si="12"/>
        <v>IS010</v>
      </c>
      <c r="D45" t="str">
        <f t="shared" si="13"/>
        <v>SALES_REV_TURN</v>
      </c>
      <c r="E45" t="str">
        <f t="shared" si="14"/>
        <v>动态</v>
      </c>
      <c r="F45" t="str">
        <f ca="1">IF(AND(ISNUMBER($F$264),$B$226=1),$F$264,HLOOKUP(INDIRECT(ADDRESS(2,COLUMN())),OFFSET($BN$2,0,0,ROW()-1,60),ROW()-1,FALSE))</f>
        <v/>
      </c>
      <c r="G45">
        <f ca="1">IF(AND(ISNUMBER($G$264),$B$226=1),$G$264,HLOOKUP(INDIRECT(ADDRESS(2,COLUMN())),OFFSET($BN$2,0,0,ROW()-1,60),ROW()-1,FALSE))</f>
        <v>630.70399999999995</v>
      </c>
      <c r="H45">
        <f ca="1">IF(AND(ISNUMBER($H$264),$B$226=1),$H$264,HLOOKUP(INDIRECT(ADDRESS(2,COLUMN())),OFFSET($BN$2,0,0,ROW()-1,60),ROW()-1,FALSE))</f>
        <v>624.12199999999996</v>
      </c>
      <c r="I45">
        <f ca="1">IF(AND(ISNUMBER($I$264),$B$226=1),$I$264,HLOOKUP(INDIRECT(ADDRESS(2,COLUMN())),OFFSET($BN$2,0,0,ROW()-1,60),ROW()-1,FALSE))</f>
        <v>612.48</v>
      </c>
      <c r="J45">
        <f ca="1">IF(AND(ISNUMBER($J$264),$B$226=1),$J$264,HLOOKUP(INDIRECT(ADDRESS(2,COLUMN())),OFFSET($BN$2,0,0,ROW()-1,60),ROW()-1,FALSE))</f>
        <v>604.1</v>
      </c>
      <c r="K45">
        <f ca="1">IF(AND(ISNUMBER($K$264),$B$226=1),$K$264,HLOOKUP(INDIRECT(ADDRESS(2,COLUMN())),OFFSET($BN$2,0,0,ROW()-1,60),ROW()-1,FALSE))</f>
        <v>605.48900000000003</v>
      </c>
      <c r="L45">
        <f ca="1">IF(AND(ISNUMBER($L$264),$B$226=1),$L$264,HLOOKUP(INDIRECT(ADDRESS(2,COLUMN())),OFFSET($BN$2,0,0,ROW()-1,60),ROW()-1,FALSE))</f>
        <v>606.07399999999996</v>
      </c>
      <c r="M45">
        <f ca="1">IF(AND(ISNUMBER($M$264),$B$226=1),$M$264,HLOOKUP(INDIRECT(ADDRESS(2,COLUMN())),OFFSET($BN$2,0,0,ROW()-1,60),ROW()-1,FALSE))</f>
        <v>595.154</v>
      </c>
      <c r="N45">
        <f ca="1">IF(AND(ISNUMBER($N$264),$B$226=1),$N$264,HLOOKUP(INDIRECT(ADDRESS(2,COLUMN())),OFFSET($BN$2,0,0,ROW()-1,60),ROW()-1,FALSE))</f>
        <v>619.08299999999997</v>
      </c>
      <c r="O45">
        <f ca="1">IF(AND(ISNUMBER($O$264),$B$226=1),$O$264,HLOOKUP(INDIRECT(ADDRESS(2,COLUMN())),OFFSET($BN$2,0,0,ROW()-1,60),ROW()-1,FALSE))</f>
        <v>703.19299999999998</v>
      </c>
      <c r="P45">
        <f ca="1">IF(AND(ISNUMBER($P$264),$B$226=1),$P$264,HLOOKUP(INDIRECT(ADDRESS(2,COLUMN())),OFFSET($BN$2,0,0,ROW()-1,60),ROW()-1,FALSE))</f>
        <v>696.28899999999999</v>
      </c>
      <c r="Q45">
        <f ca="1">IF(AND(ISNUMBER($Q$264),$B$226=1),$Q$264,HLOOKUP(INDIRECT(ADDRESS(2,COLUMN())),OFFSET($BN$2,0,0,ROW()-1,60),ROW()-1,FALSE))</f>
        <v>679.11199999999997</v>
      </c>
      <c r="R45">
        <f ca="1">IF(AND(ISNUMBER($R$264),$B$226=1),$R$264,HLOOKUP(INDIRECT(ADDRESS(2,COLUMN())),OFFSET($BN$2,0,0,ROW()-1,60),ROW()-1,FALSE))</f>
        <v>666.37099999999998</v>
      </c>
      <c r="S45">
        <f ca="1">IF(AND(ISNUMBER($S$264),$B$226=1),$S$264,HLOOKUP(INDIRECT(ADDRESS(2,COLUMN())),OFFSET($BN$2,0,0,ROW()-1,60),ROW()-1,FALSE))</f>
        <v>664.66</v>
      </c>
      <c r="T45">
        <f ca="1">IF(AND(ISNUMBER($T$264),$B$226=1),$T$264,HLOOKUP(INDIRECT(ADDRESS(2,COLUMN())),OFFSET($BN$2,0,0,ROW()-1,60),ROW()-1,FALSE))</f>
        <v>664.07799999999997</v>
      </c>
      <c r="U45">
        <f ca="1">IF(AND(ISNUMBER($U$264),$B$226=1),$U$264,HLOOKUP(INDIRECT(ADDRESS(2,COLUMN())),OFFSET($BN$2,0,0,ROW()-1,60),ROW()-1,FALSE))</f>
        <v>652.56799999999998</v>
      </c>
      <c r="V45">
        <f ca="1">IF(AND(ISNUMBER($V$264),$B$226=1),$V$264,HLOOKUP(INDIRECT(ADDRESS(2,COLUMN())),OFFSET($BN$2,0,0,ROW()-1,60),ROW()-1,FALSE))</f>
        <v>633.44200000000001</v>
      </c>
      <c r="W45">
        <f ca="1">IF(AND(ISNUMBER($W$264),$B$226=1),$W$264,HLOOKUP(INDIRECT(ADDRESS(2,COLUMN())),OFFSET($BN$2,0,0,ROW()-1,60),ROW()-1,FALSE))</f>
        <v>639.13400000000001</v>
      </c>
      <c r="X45">
        <f ca="1">IF(AND(ISNUMBER($X$264),$B$226=1),$X$264,HLOOKUP(INDIRECT(ADDRESS(2,COLUMN())),OFFSET($BN$2,0,0,ROW()-1,60),ROW()-1,FALSE))</f>
        <v>626.62900000000002</v>
      </c>
      <c r="Y45">
        <f ca="1">IF(AND(ISNUMBER($Y$264),$B$226=1),$Y$264,HLOOKUP(INDIRECT(ADDRESS(2,COLUMN())),OFFSET($BN$2,0,0,ROW()-1,60),ROW()-1,FALSE))</f>
        <v>617.21699999999998</v>
      </c>
      <c r="Z45">
        <f ca="1">IF(AND(ISNUMBER($Z$264),$B$226=1),$Z$264,HLOOKUP(INDIRECT(ADDRESS(2,COLUMN())),OFFSET($BN$2,0,0,ROW()-1,60),ROW()-1,FALSE))</f>
        <v>504.72199999999998</v>
      </c>
      <c r="AA45">
        <f ca="1">IF(AND(ISNUMBER($AA$264),$B$226=1),$AA$264,HLOOKUP(INDIRECT(ADDRESS(2,COLUMN())),OFFSET($BN$2,0,0,ROW()-1,60),ROW()-1,FALSE))</f>
        <v>452.483</v>
      </c>
      <c r="AB45">
        <f ca="1">IF(AND(ISNUMBER($AB$264),$B$226=1),$AB$264,HLOOKUP(INDIRECT(ADDRESS(2,COLUMN())),OFFSET($BN$2,0,0,ROW()-1,60),ROW()-1,FALSE))</f>
        <v>451.69900000000001</v>
      </c>
      <c r="AC45">
        <f ca="1">IF(AND(ISNUMBER($AC$264),$B$226=1),$AC$264,HLOOKUP(INDIRECT(ADDRESS(2,COLUMN())),OFFSET($BN$2,0,0,ROW()-1,60),ROW()-1,FALSE))</f>
        <v>448.351</v>
      </c>
      <c r="AD45">
        <f ca="1">IF(AND(ISNUMBER($AD$264),$B$226=1),$AD$264,HLOOKUP(INDIRECT(ADDRESS(2,COLUMN())),OFFSET($BN$2,0,0,ROW()-1,60),ROW()-1,FALSE))</f>
        <v>446.44799999999998</v>
      </c>
      <c r="AE45">
        <f ca="1">IF(AND(ISNUMBER($AE$264),$B$226=1),$AE$264,HLOOKUP(INDIRECT(ADDRESS(2,COLUMN())),OFFSET($BN$2,0,0,ROW()-1,60),ROW()-1,FALSE))</f>
        <v>492.35</v>
      </c>
      <c r="AF45">
        <f ca="1">IF(AND(ISNUMBER($AF$264),$B$226=1),$AF$264,HLOOKUP(INDIRECT(ADDRESS(2,COLUMN())),OFFSET($BN$2,0,0,ROW()-1,60),ROW()-1,FALSE))</f>
        <v>493.87200000000001</v>
      </c>
      <c r="AG45">
        <f ca="1">IF(AND(ISNUMBER($AG$264),$B$226=1),$AG$264,HLOOKUP(INDIRECT(ADDRESS(2,COLUMN())),OFFSET($BN$2,0,0,ROW()-1,60),ROW()-1,FALSE))</f>
        <v>480.36700000000002</v>
      </c>
      <c r="AH45">
        <f ca="1">IF(AND(ISNUMBER($AH$264),$B$226=1),$AH$264,HLOOKUP(INDIRECT(ADDRESS(2,COLUMN())),OFFSET($BN$2,0,0,ROW()-1,60),ROW()-1,FALSE))</f>
        <v>466.35599999999999</v>
      </c>
      <c r="AI45">
        <f ca="1">IF(AND(ISNUMBER($AI$264),$B$226=1),$AI$264,HLOOKUP(INDIRECT(ADDRESS(2,COLUMN())),OFFSET($BN$2,0,0,ROW()-1,60),ROW()-1,FALSE))</f>
        <v>460.74799999999999</v>
      </c>
      <c r="AJ45">
        <f ca="1">IF(AND(ISNUMBER($AJ$264),$B$226=1),$AJ$264,HLOOKUP(INDIRECT(ADDRESS(2,COLUMN())),OFFSET($BN$2,0,0,ROW()-1,60),ROW()-1,FALSE))</f>
        <v>453.96</v>
      </c>
      <c r="AK45">
        <f ca="1">IF(AND(ISNUMBER($AK$264),$B$226=1),$AK$264,HLOOKUP(INDIRECT(ADDRESS(2,COLUMN())),OFFSET($BN$2,0,0,ROW()-1,60),ROW()-1,FALSE))</f>
        <v>447.37900000000002</v>
      </c>
      <c r="AL45">
        <f ca="1">IF(AND(ISNUMBER($AL$264),$B$226=1),$AL$264,HLOOKUP(INDIRECT(ADDRESS(2,COLUMN())),OFFSET($BN$2,0,0,ROW()-1,60),ROW()-1,FALSE))</f>
        <v>464.99900000000002</v>
      </c>
      <c r="AM45">
        <f ca="1">IF(AND(ISNUMBER($AM$264),$B$226=1),$AM$264,HLOOKUP(INDIRECT(ADDRESS(2,COLUMN())),OFFSET($BN$2,0,0,ROW()-1,60),ROW()-1,FALSE))</f>
        <v>461.274</v>
      </c>
      <c r="AN45">
        <f ca="1">IF(AND(ISNUMBER($AN$264),$B$226=1),$AN$264,HLOOKUP(INDIRECT(ADDRESS(2,COLUMN())),OFFSET($BN$2,0,0,ROW()-1,60),ROW()-1,FALSE))</f>
        <v>480.24099999999999</v>
      </c>
      <c r="AO45">
        <f ca="1">IF(AND(ISNUMBER($AO$264),$B$226=1),$AO$264,HLOOKUP(INDIRECT(ADDRESS(2,COLUMN())),OFFSET($BN$2,0,0,ROW()-1,60),ROW()-1,FALSE))</f>
        <v>480.33300000000003</v>
      </c>
      <c r="AP45">
        <f ca="1">IF(AND(ISNUMBER($AP$264),$B$226=1),$AP$264,HLOOKUP(INDIRECT(ADDRESS(2,COLUMN())),OFFSET($BN$2,0,0,ROW()-1,60),ROW()-1,FALSE))</f>
        <v>483.07799999999997</v>
      </c>
      <c r="AQ45">
        <f ca="1">IF(AND(ISNUMBER($AQ$264),$B$226=1),$AQ$264,HLOOKUP(INDIRECT(ADDRESS(2,COLUMN())),OFFSET($BN$2,0,0,ROW()-1,60),ROW()-1,FALSE))</f>
        <v>501.11900000000003</v>
      </c>
      <c r="AR45">
        <f ca="1">IF(AND(ISNUMBER($AR$264),$B$226=1),$AR$264,HLOOKUP(INDIRECT(ADDRESS(2,COLUMN())),OFFSET($BN$2,0,0,ROW()-1,60),ROW()-1,FALSE))</f>
        <v>511.00599999999997</v>
      </c>
      <c r="AS45">
        <f ca="1">IF(AND(ISNUMBER($AS$264),$B$226=1),$AS$264,HLOOKUP(INDIRECT(ADDRESS(2,COLUMN())),OFFSET($BN$2,0,0,ROW()-1,60),ROW()-1,FALSE))</f>
        <v>513.28300000000002</v>
      </c>
      <c r="AT45">
        <f ca="1">IF(AND(ISNUMBER($AT$264),$B$226=1),$AT$264,HLOOKUP(INDIRECT(ADDRESS(2,COLUMN())),OFFSET($BN$2,0,0,ROW()-1,60),ROW()-1,FALSE))</f>
        <v>502.64100000000002</v>
      </c>
      <c r="AU45">
        <f ca="1">IF(AND(ISNUMBER($AU$264),$B$226=1),$AU$264,HLOOKUP(INDIRECT(ADDRESS(2,COLUMN())),OFFSET($BN$2,0,0,ROW()-1,60),ROW()-1,FALSE))</f>
        <v>505.017</v>
      </c>
      <c r="AV45">
        <f ca="1">IF(AND(ISNUMBER($AV$264),$B$226=1),$AV$264,HLOOKUP(INDIRECT(ADDRESS(2,COLUMN())),OFFSET($BN$2,0,0,ROW()-1,60),ROW()-1,FALSE))</f>
        <v>501.10199999999998</v>
      </c>
      <c r="AW45">
        <f ca="1">IF(AND(ISNUMBER($AW$264),$B$226=1),$AW$264,HLOOKUP(INDIRECT(ADDRESS(2,COLUMN())),OFFSET($BN$2,0,0,ROW()-1,60),ROW()-1,FALSE))</f>
        <v>491.56</v>
      </c>
      <c r="AX45">
        <f ca="1">IF(AND(ISNUMBER($AX$264),$B$226=1),$AX$264,HLOOKUP(INDIRECT(ADDRESS(2,COLUMN())),OFFSET($BN$2,0,0,ROW()-1,60),ROW()-1,FALSE))</f>
        <v>475.84899999999999</v>
      </c>
      <c r="AY45">
        <f ca="1">IF(AND(ISNUMBER($AY$264),$B$226=1),$AY$264,HLOOKUP(INDIRECT(ADDRESS(2,COLUMN())),OFFSET($BN$2,0,0,ROW()-1,60),ROW()-1,FALSE))</f>
        <v>321.67</v>
      </c>
      <c r="AZ45">
        <f ca="1">IF(AND(ISNUMBER($AZ$264),$B$226=1),$AZ$264,HLOOKUP(INDIRECT(ADDRESS(2,COLUMN())),OFFSET($BN$2,0,0,ROW()-1,60),ROW()-1,FALSE))</f>
        <v>513.86500000000001</v>
      </c>
      <c r="BA45">
        <f ca="1">IF(AND(ISNUMBER($BA$264),$B$226=1),$BA$264,HLOOKUP(INDIRECT(ADDRESS(2,COLUMN())),OFFSET($BN$2,0,0,ROW()-1,60),ROW()-1,FALSE))</f>
        <v>491.93900000000002</v>
      </c>
      <c r="BB45">
        <f ca="1">IF(AND(ISNUMBER($BB$264),$B$226=1),$BB$264,HLOOKUP(INDIRECT(ADDRESS(2,COLUMN())),OFFSET($BN$2,0,0,ROW()-1,60),ROW()-1,FALSE))</f>
        <v>462.45800000000003</v>
      </c>
      <c r="BC45">
        <f ca="1">IF(AND(ISNUMBER($BC$264),$B$226=1),$BC$264,HLOOKUP(INDIRECT(ADDRESS(2,COLUMN())),OFFSET($BN$2,0,0,ROW()-1,60),ROW()-1,FALSE))</f>
        <v>396.30700000000002</v>
      </c>
      <c r="BD45">
        <f ca="1">IF(AND(ISNUMBER($BD$264),$B$226=1),$BD$264,HLOOKUP(INDIRECT(ADDRESS(2,COLUMN())),OFFSET($BN$2,0,0,ROW()-1,60),ROW()-1,FALSE))</f>
        <v>430.75799999999998</v>
      </c>
      <c r="BE45">
        <f ca="1">IF(AND(ISNUMBER($BE$264),$B$226=1),$BE$264,HLOOKUP(INDIRECT(ADDRESS(2,COLUMN())),OFFSET($BN$2,0,0,ROW()-1,60),ROW()-1,FALSE))</f>
        <v>415.23</v>
      </c>
      <c r="BF45">
        <f ca="1">IF(AND(ISNUMBER($BF$264),$B$226=1),$BF$264,HLOOKUP(INDIRECT(ADDRESS(2,COLUMN())),OFFSET($BN$2,0,0,ROW()-1,60),ROW()-1,FALSE))</f>
        <v>443.964</v>
      </c>
      <c r="BG45">
        <f ca="1">IF(AND(ISNUMBER($BG$264),$B$226=1),$BG$264,HLOOKUP(INDIRECT(ADDRESS(2,COLUMN())),OFFSET($BN$2,0,0,ROW()-1,60),ROW()-1,FALSE))</f>
        <v>399.93700000000001</v>
      </c>
      <c r="BH45">
        <f ca="1">IF(AND(ISNUMBER($BH$264),$B$226=1),$BH$264,HLOOKUP(INDIRECT(ADDRESS(2,COLUMN())),OFFSET($BN$2,0,0,ROW()-1,60),ROW()-1,FALSE))</f>
        <v>456.56400000000002</v>
      </c>
      <c r="BI45">
        <f ca="1">IF(AND(ISNUMBER($BI$264),$B$226=1),$BI$264,HLOOKUP(INDIRECT(ADDRESS(2,COLUMN())),OFFSET($BN$2,0,0,ROW()-1,60),ROW()-1,FALSE))</f>
        <v>491.50200000000001</v>
      </c>
      <c r="BJ45">
        <f ca="1">IF(AND(ISNUMBER($BJ$264),$B$226=1),$BJ$264,HLOOKUP(INDIRECT(ADDRESS(2,COLUMN())),OFFSET($BN$2,0,0,ROW()-1,60),ROW()-1,FALSE))</f>
        <v>464.76900000000001</v>
      </c>
      <c r="BK45">
        <f ca="1">IF(AND(ISNUMBER($BK$264),$B$226=1),$BK$264,HLOOKUP(INDIRECT(ADDRESS(2,COLUMN())),OFFSET($BN$2,0,0,ROW()-1,60),ROW()-1,FALSE))</f>
        <v>424.95899500000002</v>
      </c>
      <c r="BL45">
        <f ca="1">IF(AND(ISNUMBER($BL$264),$B$226=1),$BL$264,HLOOKUP(INDIRECT(ADDRESS(2,COLUMN())),OFFSET($BN$2,0,0,ROW()-1,60),ROW()-1,FALSE))</f>
        <v>445.38000499999998</v>
      </c>
      <c r="BM45">
        <f ca="1">IF(AND(ISNUMBER($BM$264),$B$226=1),$BM$264,HLOOKUP(INDIRECT(ADDRESS(2,COLUMN())),OFFSET($BN$2,0,0,ROW()-1,60),ROW()-1,FALSE))</f>
        <v>443.90701300000001</v>
      </c>
      <c r="BN45" t="str">
        <f>""</f>
        <v/>
      </c>
      <c r="BO45">
        <f>630.704</f>
        <v>630.70399999999995</v>
      </c>
      <c r="BP45">
        <f>624.122</f>
        <v>624.12199999999996</v>
      </c>
      <c r="BQ45">
        <f>612.48</f>
        <v>612.48</v>
      </c>
      <c r="BR45">
        <f>604.1</f>
        <v>604.1</v>
      </c>
      <c r="BS45">
        <f>605.489</f>
        <v>605.48900000000003</v>
      </c>
      <c r="BT45">
        <f>606.074</f>
        <v>606.07399999999996</v>
      </c>
      <c r="BU45">
        <f>595.154</f>
        <v>595.154</v>
      </c>
      <c r="BV45">
        <f>619.083</f>
        <v>619.08299999999997</v>
      </c>
      <c r="BW45">
        <f>703.193</f>
        <v>703.19299999999998</v>
      </c>
      <c r="BX45">
        <f>696.289</f>
        <v>696.28899999999999</v>
      </c>
      <c r="BY45">
        <f>679.112</f>
        <v>679.11199999999997</v>
      </c>
      <c r="BZ45">
        <f>666.371</f>
        <v>666.37099999999998</v>
      </c>
      <c r="CA45">
        <f>664.66</f>
        <v>664.66</v>
      </c>
      <c r="CB45">
        <f>664.078</f>
        <v>664.07799999999997</v>
      </c>
      <c r="CC45">
        <f>652.568</f>
        <v>652.56799999999998</v>
      </c>
      <c r="CD45">
        <f>633.442</f>
        <v>633.44200000000001</v>
      </c>
      <c r="CE45">
        <f>639.134</f>
        <v>639.13400000000001</v>
      </c>
      <c r="CF45">
        <f>626.629</f>
        <v>626.62900000000002</v>
      </c>
      <c r="CG45">
        <f>617.217</f>
        <v>617.21699999999998</v>
      </c>
      <c r="CH45">
        <f>504.722</f>
        <v>504.72199999999998</v>
      </c>
      <c r="CI45">
        <f>452.483</f>
        <v>452.483</v>
      </c>
      <c r="CJ45">
        <f>451.699</f>
        <v>451.69900000000001</v>
      </c>
      <c r="CK45">
        <f>448.351</f>
        <v>448.351</v>
      </c>
      <c r="CL45">
        <f>446.448</f>
        <v>446.44799999999998</v>
      </c>
      <c r="CM45">
        <f>492.35</f>
        <v>492.35</v>
      </c>
      <c r="CN45">
        <f>493.872</f>
        <v>493.87200000000001</v>
      </c>
      <c r="CO45">
        <f>480.367</f>
        <v>480.36700000000002</v>
      </c>
      <c r="CP45">
        <f>466.356</f>
        <v>466.35599999999999</v>
      </c>
      <c r="CQ45">
        <f>460.748</f>
        <v>460.74799999999999</v>
      </c>
      <c r="CR45">
        <f>453.96</f>
        <v>453.96</v>
      </c>
      <c r="CS45">
        <f>447.379</f>
        <v>447.37900000000002</v>
      </c>
      <c r="CT45">
        <f>464.999</f>
        <v>464.99900000000002</v>
      </c>
      <c r="CU45">
        <f>461.274</f>
        <v>461.274</v>
      </c>
      <c r="CV45">
        <f>480.241</f>
        <v>480.24099999999999</v>
      </c>
      <c r="CW45">
        <f>480.333</f>
        <v>480.33300000000003</v>
      </c>
      <c r="CX45">
        <f>483.078</f>
        <v>483.07799999999997</v>
      </c>
      <c r="CY45">
        <f>501.119</f>
        <v>501.11900000000003</v>
      </c>
      <c r="CZ45">
        <f>511.006</f>
        <v>511.00599999999997</v>
      </c>
      <c r="DA45">
        <f>513.283</f>
        <v>513.28300000000002</v>
      </c>
      <c r="DB45">
        <f>502.641</f>
        <v>502.64100000000002</v>
      </c>
      <c r="DC45">
        <f>505.017</f>
        <v>505.017</v>
      </c>
      <c r="DD45">
        <f>501.102</f>
        <v>501.10199999999998</v>
      </c>
      <c r="DE45">
        <f>491.56</f>
        <v>491.56</v>
      </c>
      <c r="DF45">
        <f>475.849</f>
        <v>475.84899999999999</v>
      </c>
      <c r="DG45">
        <f>321.67</f>
        <v>321.67</v>
      </c>
      <c r="DH45">
        <f>513.865</f>
        <v>513.86500000000001</v>
      </c>
      <c r="DI45">
        <f>491.939</f>
        <v>491.93900000000002</v>
      </c>
      <c r="DJ45">
        <f>462.458</f>
        <v>462.45800000000003</v>
      </c>
      <c r="DK45">
        <f>396.307</f>
        <v>396.30700000000002</v>
      </c>
      <c r="DL45">
        <f>430.758</f>
        <v>430.75799999999998</v>
      </c>
      <c r="DM45">
        <f>415.23</f>
        <v>415.23</v>
      </c>
      <c r="DN45">
        <f>443.964</f>
        <v>443.964</v>
      </c>
      <c r="DO45">
        <f>399.937</f>
        <v>399.93700000000001</v>
      </c>
      <c r="DP45">
        <f>456.564</f>
        <v>456.56400000000002</v>
      </c>
      <c r="DQ45">
        <f>491.502</f>
        <v>491.50200000000001</v>
      </c>
      <c r="DR45">
        <f>464.769</f>
        <v>464.76900000000001</v>
      </c>
      <c r="DS45">
        <f>424.958995</f>
        <v>424.95899500000002</v>
      </c>
      <c r="DT45">
        <f>445.380005</f>
        <v>445.38000499999998</v>
      </c>
      <c r="DU45">
        <f>443.907013</f>
        <v>443.90701300000001</v>
      </c>
    </row>
    <row r="46" spans="1:125">
      <c r="A46" t="str">
        <f>"    Essex Property Trust Inc"</f>
        <v xml:space="preserve">    Essex Property Trust Inc</v>
      </c>
      <c r="B46" t="str">
        <f>"ESS US Equity"</f>
        <v>ESS US Equity</v>
      </c>
      <c r="C46" t="str">
        <f t="shared" si="12"/>
        <v>IS010</v>
      </c>
      <c r="D46" t="str">
        <f t="shared" si="13"/>
        <v>SALES_REV_TURN</v>
      </c>
      <c r="E46" t="str">
        <f t="shared" si="14"/>
        <v>动态</v>
      </c>
      <c r="F46" t="str">
        <f ca="1">IF(AND(ISNUMBER($F$265),$B$226=1),$F$265,HLOOKUP(INDIRECT(ADDRESS(2,COLUMN())),OFFSET($BN$2,0,0,ROW()-1,60),ROW()-1,FALSE))</f>
        <v/>
      </c>
      <c r="G46">
        <f ca="1">IF(AND(ISNUMBER($G$265),$B$226=1),$G$265,HLOOKUP(INDIRECT(ADDRESS(2,COLUMN())),OFFSET($BN$2,0,0,ROW()-1,60),ROW()-1,FALSE))</f>
        <v>345.06400000000002</v>
      </c>
      <c r="H46">
        <f ca="1">IF(AND(ISNUMBER($H$265),$B$226=1),$H$265,HLOOKUP(INDIRECT(ADDRESS(2,COLUMN())),OFFSET($BN$2,0,0,ROW()-1,60),ROW()-1,FALSE))</f>
        <v>344.36900000000003</v>
      </c>
      <c r="I46">
        <f ca="1">IF(AND(ISNUMBER($I$265),$B$226=1),$I$265,HLOOKUP(INDIRECT(ADDRESS(2,COLUMN())),OFFSET($BN$2,0,0,ROW()-1,60),ROW()-1,FALSE))</f>
        <v>339.06200000000001</v>
      </c>
      <c r="J46">
        <f ca="1">IF(AND(ISNUMBER($J$265),$B$226=1),$J$265,HLOOKUP(INDIRECT(ADDRESS(2,COLUMN())),OFFSET($BN$2,0,0,ROW()-1,60),ROW()-1,FALSE))</f>
        <v>335.404</v>
      </c>
      <c r="K46">
        <f ca="1">IF(AND(ISNUMBER($K$265),$B$226=1),$K$265,HLOOKUP(INDIRECT(ADDRESS(2,COLUMN())),OFFSET($BN$2,0,0,ROW()-1,60),ROW()-1,FALSE))</f>
        <v>329.03800000000001</v>
      </c>
      <c r="L46">
        <f ca="1">IF(AND(ISNUMBER($L$265),$B$226=1),$L$265,HLOOKUP(INDIRECT(ADDRESS(2,COLUMN())),OFFSET($BN$2,0,0,ROW()-1,60),ROW()-1,FALSE))</f>
        <v>329.17099999999999</v>
      </c>
      <c r="M46">
        <f ca="1">IF(AND(ISNUMBER($M$265),$B$226=1),$M$265,HLOOKUP(INDIRECT(ADDRESS(2,COLUMN())),OFFSET($BN$2,0,0,ROW()-1,60),ROW()-1,FALSE))</f>
        <v>321.58999999999997</v>
      </c>
      <c r="N46">
        <f ca="1">IF(AND(ISNUMBER($N$265),$B$226=1),$N$265,HLOOKUP(INDIRECT(ADDRESS(2,COLUMN())),OFFSET($BN$2,0,0,ROW()-1,60),ROW()-1,FALSE))</f>
        <v>314.202</v>
      </c>
      <c r="O46">
        <f ca="1">IF(AND(ISNUMBER($O$265),$B$226=1),$O$265,HLOOKUP(INDIRECT(ADDRESS(2,COLUMN())),OFFSET($BN$2,0,0,ROW()-1,60),ROW()-1,FALSE))</f>
        <v>310.74599999999998</v>
      </c>
      <c r="P46">
        <f ca="1">IF(AND(ISNUMBER($P$265),$B$226=1),$P$265,HLOOKUP(INDIRECT(ADDRESS(2,COLUMN())),OFFSET($BN$2,0,0,ROW()-1,60),ROW()-1,FALSE))</f>
        <v>304.62599999999998</v>
      </c>
      <c r="Q46">
        <f ca="1">IF(AND(ISNUMBER($Q$265),$B$226=1),$Q$265,HLOOKUP(INDIRECT(ADDRESS(2,COLUMN())),OFFSET($BN$2,0,0,ROW()-1,60),ROW()-1,FALSE))</f>
        <v>296.16199999999998</v>
      </c>
      <c r="R46">
        <f ca="1">IF(AND(ISNUMBER($R$265),$B$226=1),$R$265,HLOOKUP(INDIRECT(ADDRESS(2,COLUMN())),OFFSET($BN$2,0,0,ROW()-1,60),ROW()-1,FALSE))</f>
        <v>282.87299999999999</v>
      </c>
      <c r="S46">
        <f ca="1">IF(AND(ISNUMBER($S$265),$B$226=1),$S$265,HLOOKUP(INDIRECT(ADDRESS(2,COLUMN())),OFFSET($BN$2,0,0,ROW()-1,60),ROW()-1,FALSE))</f>
        <v>279.26799999999997</v>
      </c>
      <c r="T46">
        <f ca="1">IF(AND(ISNUMBER($T$265),$B$226=1),$T$265,HLOOKUP(INDIRECT(ADDRESS(2,COLUMN())),OFFSET($BN$2,0,0,ROW()-1,60),ROW()-1,FALSE))</f>
        <v>270.47899999999998</v>
      </c>
      <c r="U46">
        <f ca="1">IF(AND(ISNUMBER($U$265),$B$226=1),$U$265,HLOOKUP(INDIRECT(ADDRESS(2,COLUMN())),OFFSET($BN$2,0,0,ROW()-1,60),ROW()-1,FALSE))</f>
        <v>259.45</v>
      </c>
      <c r="V46">
        <f ca="1">IF(AND(ISNUMBER($V$265),$B$226=1),$V$265,HLOOKUP(INDIRECT(ADDRESS(2,COLUMN())),OFFSET($BN$2,0,0,ROW()-1,60),ROW()-1,FALSE))</f>
        <v>161.00899999999999</v>
      </c>
      <c r="W46">
        <f ca="1">IF(AND(ISNUMBER($W$265),$B$226=1),$W$265,HLOOKUP(INDIRECT(ADDRESS(2,COLUMN())),OFFSET($BN$2,0,0,ROW()-1,60),ROW()-1,FALSE))</f>
        <v>157.43700000000001</v>
      </c>
      <c r="X46">
        <f ca="1">IF(AND(ISNUMBER($X$265),$B$226=1),$X$265,HLOOKUP(INDIRECT(ADDRESS(2,COLUMN())),OFFSET($BN$2,0,0,ROW()-1,60),ROW()-1,FALSE))</f>
        <v>153.94800000000001</v>
      </c>
      <c r="Y46">
        <f ca="1">IF(AND(ISNUMBER($Y$265),$B$226=1),$Y$265,HLOOKUP(INDIRECT(ADDRESS(2,COLUMN())),OFFSET($BN$2,0,0,ROW()-1,60),ROW()-1,FALSE))</f>
        <v>150.815</v>
      </c>
      <c r="Z46">
        <f ca="1">IF(AND(ISNUMBER($Z$265),$B$226=1),$Z$265,HLOOKUP(INDIRECT(ADDRESS(2,COLUMN())),OFFSET($BN$2,0,0,ROW()-1,60),ROW()-1,FALSE))</f>
        <v>148.005</v>
      </c>
      <c r="AA46">
        <f ca="1">IF(AND(ISNUMBER($AA$265),$B$226=1),$AA$265,HLOOKUP(INDIRECT(ADDRESS(2,COLUMN())),OFFSET($BN$2,0,0,ROW()-1,60),ROW()-1,FALSE))</f>
        <v>143.471</v>
      </c>
      <c r="AB46">
        <f ca="1">IF(AND(ISNUMBER($AB$265),$B$226=1),$AB$265,HLOOKUP(INDIRECT(ADDRESS(2,COLUMN())),OFFSET($BN$2,0,0,ROW()-1,60),ROW()-1,FALSE))</f>
        <v>138.142</v>
      </c>
      <c r="AC46">
        <f ca="1">IF(AND(ISNUMBER($AC$265),$B$226=1),$AC$265,HLOOKUP(INDIRECT(ADDRESS(2,COLUMN())),OFFSET($BN$2,0,0,ROW()-1,60),ROW()-1,FALSE))</f>
        <v>132.56100000000001</v>
      </c>
      <c r="AD46">
        <f ca="1">IF(AND(ISNUMBER($AD$265),$B$226=1),$AD$265,HLOOKUP(INDIRECT(ADDRESS(2,COLUMN())),OFFSET($BN$2,0,0,ROW()-1,60),ROW()-1,FALSE))</f>
        <v>127.91800000000001</v>
      </c>
      <c r="AE46">
        <f ca="1">IF(AND(ISNUMBER($AE$265),$B$226=1),$AE$265,HLOOKUP(INDIRECT(ADDRESS(2,COLUMN())),OFFSET($BN$2,0,0,ROW()-1,60),ROW()-1,FALSE))</f>
        <v>124.569</v>
      </c>
      <c r="AF46">
        <f ca="1">IF(AND(ISNUMBER($AF$265),$B$226=1),$AF$265,HLOOKUP(INDIRECT(ADDRESS(2,COLUMN())),OFFSET($BN$2,0,0,ROW()-1,60),ROW()-1,FALSE))</f>
        <v>119.166</v>
      </c>
      <c r="AG46">
        <f ca="1">IF(AND(ISNUMBER($AG$265),$B$226=1),$AG$265,HLOOKUP(INDIRECT(ADDRESS(2,COLUMN())),OFFSET($BN$2,0,0,ROW()-1,60),ROW()-1,FALSE))</f>
        <v>116.32599999999999</v>
      </c>
      <c r="AH46">
        <f ca="1">IF(AND(ISNUMBER($AH$265),$B$226=1),$AH$265,HLOOKUP(INDIRECT(ADDRESS(2,COLUMN())),OFFSET($BN$2,0,0,ROW()-1,60),ROW()-1,FALSE))</f>
        <v>112.432</v>
      </c>
      <c r="AI46">
        <f ca="1">IF(AND(ISNUMBER($AI$265),$B$226=1),$AI$265,HLOOKUP(INDIRECT(ADDRESS(2,COLUMN())),OFFSET($BN$2,0,0,ROW()-1,60),ROW()-1,FALSE))</f>
        <v>108.557</v>
      </c>
      <c r="AJ46">
        <f ca="1">IF(AND(ISNUMBER($AJ$265),$B$226=1),$AJ$265,HLOOKUP(INDIRECT(ADDRESS(2,COLUMN())),OFFSET($BN$2,0,0,ROW()-1,60),ROW()-1,FALSE))</f>
        <v>104.327</v>
      </c>
      <c r="AK46">
        <f ca="1">IF(AND(ISNUMBER($AK$265),$B$226=1),$AK$265,HLOOKUP(INDIRECT(ADDRESS(2,COLUMN())),OFFSET($BN$2,0,0,ROW()-1,60),ROW()-1,FALSE))</f>
        <v>100.185</v>
      </c>
      <c r="AL46">
        <f ca="1">IF(AND(ISNUMBER($AL$265),$B$226=1),$AL$265,HLOOKUP(INDIRECT(ADDRESS(2,COLUMN())),OFFSET($BN$2,0,0,ROW()-1,60),ROW()-1,FALSE))</f>
        <v>101.184</v>
      </c>
      <c r="AM46">
        <f ca="1">IF(AND(ISNUMBER($AM$265),$B$226=1),$AM$265,HLOOKUP(INDIRECT(ADDRESS(2,COLUMN())),OFFSET($BN$2,0,0,ROW()-1,60),ROW()-1,FALSE))</f>
        <v>100.952</v>
      </c>
      <c r="AN46">
        <f ca="1">IF(AND(ISNUMBER($AN$265),$B$226=1),$AN$265,HLOOKUP(INDIRECT(ADDRESS(2,COLUMN())),OFFSET($BN$2,0,0,ROW()-1,60),ROW()-1,FALSE))</f>
        <v>101.694</v>
      </c>
      <c r="AO46">
        <f ca="1">IF(AND(ISNUMBER($AO$265),$B$226=1),$AO$265,HLOOKUP(INDIRECT(ADDRESS(2,COLUMN())),OFFSET($BN$2,0,0,ROW()-1,60),ROW()-1,FALSE))</f>
        <v>103.63200000000001</v>
      </c>
      <c r="AP46">
        <f ca="1">IF(AND(ISNUMBER($AP$265),$B$226=1),$AP$265,HLOOKUP(INDIRECT(ADDRESS(2,COLUMN())),OFFSET($BN$2,0,0,ROW()-1,60),ROW()-1,FALSE))</f>
        <v>105.111</v>
      </c>
      <c r="AQ46">
        <f ca="1">IF(AND(ISNUMBER($AQ$265),$B$226=1),$AQ$265,HLOOKUP(INDIRECT(ADDRESS(2,COLUMN())),OFFSET($BN$2,0,0,ROW()-1,60),ROW()-1,FALSE))</f>
        <v>104.91200000000001</v>
      </c>
      <c r="AR46">
        <f ca="1">IF(AND(ISNUMBER($AR$265),$B$226=1),$AR$265,HLOOKUP(INDIRECT(ADDRESS(2,COLUMN())),OFFSET($BN$2,0,0,ROW()-1,60),ROW()-1,FALSE))</f>
        <v>103.253</v>
      </c>
      <c r="AS46">
        <f ca="1">IF(AND(ISNUMBER($AS$265),$B$226=1),$AS$265,HLOOKUP(INDIRECT(ADDRESS(2,COLUMN())),OFFSET($BN$2,0,0,ROW()-1,60),ROW()-1,FALSE))</f>
        <v>101.547</v>
      </c>
      <c r="AT46">
        <f ca="1">IF(AND(ISNUMBER($AT$265),$B$226=1),$AT$265,HLOOKUP(INDIRECT(ADDRESS(2,COLUMN())),OFFSET($BN$2,0,0,ROW()-1,60),ROW()-1,FALSE))</f>
        <v>102.72499999999999</v>
      </c>
      <c r="AU46">
        <f ca="1">IF(AND(ISNUMBER($AU$265),$B$226=1),$AU$265,HLOOKUP(INDIRECT(ADDRESS(2,COLUMN())),OFFSET($BN$2,0,0,ROW()-1,60),ROW()-1,FALSE))</f>
        <v>102.496</v>
      </c>
      <c r="AV46">
        <f ca="1">IF(AND(ISNUMBER($AV$265),$B$226=1),$AV$265,HLOOKUP(INDIRECT(ADDRESS(2,COLUMN())),OFFSET($BN$2,0,0,ROW()-1,60),ROW()-1,FALSE))</f>
        <v>96.28</v>
      </c>
      <c r="AW46">
        <f ca="1">IF(AND(ISNUMBER($AW$265),$B$226=1),$AW$265,HLOOKUP(INDIRECT(ADDRESS(2,COLUMN())),OFFSET($BN$2,0,0,ROW()-1,60),ROW()-1,FALSE))</f>
        <v>98.412999999999997</v>
      </c>
      <c r="AX46">
        <f ca="1">IF(AND(ISNUMBER($AX$265),$B$226=1),$AX$265,HLOOKUP(INDIRECT(ADDRESS(2,COLUMN())),OFFSET($BN$2,0,0,ROW()-1,60),ROW()-1,FALSE))</f>
        <v>92.888000000000005</v>
      </c>
      <c r="AY46">
        <f ca="1">IF(AND(ISNUMBER($AY$265),$B$226=1),$AY$265,HLOOKUP(INDIRECT(ADDRESS(2,COLUMN())),OFFSET($BN$2,0,0,ROW()-1,60),ROW()-1,FALSE))</f>
        <v>91.07</v>
      </c>
      <c r="AZ46">
        <f ca="1">IF(AND(ISNUMBER($AZ$265),$B$226=1),$AZ$265,HLOOKUP(INDIRECT(ADDRESS(2,COLUMN())),OFFSET($BN$2,0,0,ROW()-1,60),ROW()-1,FALSE))</f>
        <v>90.408000000000001</v>
      </c>
      <c r="BA46">
        <f ca="1">IF(AND(ISNUMBER($BA$265),$B$226=1),$BA$265,HLOOKUP(INDIRECT(ADDRESS(2,COLUMN())),OFFSET($BN$2,0,0,ROW()-1,60),ROW()-1,FALSE))</f>
        <v>85.194999999999993</v>
      </c>
      <c r="BB46">
        <f ca="1">IF(AND(ISNUMBER($BB$265),$B$226=1),$BB$265,HLOOKUP(INDIRECT(ADDRESS(2,COLUMN())),OFFSET($BN$2,0,0,ROW()-1,60),ROW()-1,FALSE))</f>
        <v>85.450999999999993</v>
      </c>
      <c r="BC46">
        <f ca="1">IF(AND(ISNUMBER($BC$265),$B$226=1),$BC$265,HLOOKUP(INDIRECT(ADDRESS(2,COLUMN())),OFFSET($BN$2,0,0,ROW()-1,60),ROW()-1,FALSE))</f>
        <v>73.584999999999994</v>
      </c>
      <c r="BD46">
        <f ca="1">IF(AND(ISNUMBER($BD$265),$B$226=1),$BD$265,HLOOKUP(INDIRECT(ADDRESS(2,COLUMN())),OFFSET($BN$2,0,0,ROW()-1,60),ROW()-1,FALSE))</f>
        <v>88.46</v>
      </c>
      <c r="BE46">
        <f ca="1">IF(AND(ISNUMBER($BE$265),$B$226=1),$BE$265,HLOOKUP(INDIRECT(ADDRESS(2,COLUMN())),OFFSET($BN$2,0,0,ROW()-1,60),ROW()-1,FALSE))</f>
        <v>83.024000000000001</v>
      </c>
      <c r="BF46">
        <f ca="1">IF(AND(ISNUMBER($BF$265),$B$226=1),$BF$265,HLOOKUP(INDIRECT(ADDRESS(2,COLUMN())),OFFSET($BN$2,0,0,ROW()-1,60),ROW()-1,FALSE))</f>
        <v>85.376000000000005</v>
      </c>
      <c r="BG46">
        <f ca="1">IF(AND(ISNUMBER($BG$265),$B$226=1),$BG$265,HLOOKUP(INDIRECT(ADDRESS(2,COLUMN())),OFFSET($BN$2,0,0,ROW()-1,60),ROW()-1,FALSE))</f>
        <v>76.521004000000005</v>
      </c>
      <c r="BH46">
        <f ca="1">IF(AND(ISNUMBER($BH$265),$B$226=1),$BH$265,HLOOKUP(INDIRECT(ADDRESS(2,COLUMN())),OFFSET($BN$2,0,0,ROW()-1,60),ROW()-1,FALSE))</f>
        <v>88.27</v>
      </c>
      <c r="BI46">
        <f ca="1">IF(AND(ISNUMBER($BI$265),$B$226=1),$BI$265,HLOOKUP(INDIRECT(ADDRESS(2,COLUMN())),OFFSET($BN$2,0,0,ROW()-1,60),ROW()-1,FALSE))</f>
        <v>72.696999000000005</v>
      </c>
      <c r="BJ46">
        <f ca="1">IF(AND(ISNUMBER($BJ$265),$B$226=1),$BJ$265,HLOOKUP(INDIRECT(ADDRESS(2,COLUMN())),OFFSET($BN$2,0,0,ROW()-1,60),ROW()-1,FALSE))</f>
        <v>68.162002999999999</v>
      </c>
      <c r="BK46">
        <f ca="1">IF(AND(ISNUMBER($BK$265),$B$226=1),$BK$265,HLOOKUP(INDIRECT(ADDRESS(2,COLUMN())),OFFSET($BN$2,0,0,ROW()-1,60),ROW()-1,FALSE))</f>
        <v>66.300003000000004</v>
      </c>
      <c r="BL46">
        <f ca="1">IF(AND(ISNUMBER($BL$265),$B$226=1),$BL$265,HLOOKUP(INDIRECT(ADDRESS(2,COLUMN())),OFFSET($BN$2,0,0,ROW()-1,60),ROW()-1,FALSE))</f>
        <v>64.515998999999994</v>
      </c>
      <c r="BM46">
        <f ca="1">IF(AND(ISNUMBER($BM$265),$B$226=1),$BM$265,HLOOKUP(INDIRECT(ADDRESS(2,COLUMN())),OFFSET($BN$2,0,0,ROW()-1,60),ROW()-1,FALSE))</f>
        <v>65.315002000000007</v>
      </c>
      <c r="BN46" t="str">
        <f>""</f>
        <v/>
      </c>
      <c r="BO46">
        <f>345.064</f>
        <v>345.06400000000002</v>
      </c>
      <c r="BP46">
        <f>344.369</f>
        <v>344.36900000000003</v>
      </c>
      <c r="BQ46">
        <f>339.062</f>
        <v>339.06200000000001</v>
      </c>
      <c r="BR46">
        <f>335.404</f>
        <v>335.404</v>
      </c>
      <c r="BS46">
        <f>329.038</f>
        <v>329.03800000000001</v>
      </c>
      <c r="BT46">
        <f>329.171</f>
        <v>329.17099999999999</v>
      </c>
      <c r="BU46">
        <f>321.59</f>
        <v>321.58999999999997</v>
      </c>
      <c r="BV46">
        <f>314.202</f>
        <v>314.202</v>
      </c>
      <c r="BW46">
        <f>310.746</f>
        <v>310.74599999999998</v>
      </c>
      <c r="BX46">
        <f>304.626</f>
        <v>304.62599999999998</v>
      </c>
      <c r="BY46">
        <f>296.162</f>
        <v>296.16199999999998</v>
      </c>
      <c r="BZ46">
        <f>282.873</f>
        <v>282.87299999999999</v>
      </c>
      <c r="CA46">
        <f>279.268</f>
        <v>279.26799999999997</v>
      </c>
      <c r="CB46">
        <f>270.479</f>
        <v>270.47899999999998</v>
      </c>
      <c r="CC46">
        <f>259.45</f>
        <v>259.45</v>
      </c>
      <c r="CD46">
        <f>161.009</f>
        <v>161.00899999999999</v>
      </c>
      <c r="CE46">
        <f>157.437</f>
        <v>157.43700000000001</v>
      </c>
      <c r="CF46">
        <f>153.948</f>
        <v>153.94800000000001</v>
      </c>
      <c r="CG46">
        <f>150.815</f>
        <v>150.815</v>
      </c>
      <c r="CH46">
        <f>148.005</f>
        <v>148.005</v>
      </c>
      <c r="CI46">
        <f>143.471</f>
        <v>143.471</v>
      </c>
      <c r="CJ46">
        <f>138.142</f>
        <v>138.142</v>
      </c>
      <c r="CK46">
        <f>132.561</f>
        <v>132.56100000000001</v>
      </c>
      <c r="CL46">
        <f>127.918</f>
        <v>127.91800000000001</v>
      </c>
      <c r="CM46">
        <f>124.569</f>
        <v>124.569</v>
      </c>
      <c r="CN46">
        <f>119.166</f>
        <v>119.166</v>
      </c>
      <c r="CO46">
        <f>116.326</f>
        <v>116.32599999999999</v>
      </c>
      <c r="CP46">
        <f>112.432</f>
        <v>112.432</v>
      </c>
      <c r="CQ46">
        <f>108.557</f>
        <v>108.557</v>
      </c>
      <c r="CR46">
        <f>104.327</f>
        <v>104.327</v>
      </c>
      <c r="CS46">
        <f>100.185</f>
        <v>100.185</v>
      </c>
      <c r="CT46">
        <f>101.184</f>
        <v>101.184</v>
      </c>
      <c r="CU46">
        <f>100.952</f>
        <v>100.952</v>
      </c>
      <c r="CV46">
        <f>101.694</f>
        <v>101.694</v>
      </c>
      <c r="CW46">
        <f>103.632</f>
        <v>103.63200000000001</v>
      </c>
      <c r="CX46">
        <f>105.111</f>
        <v>105.111</v>
      </c>
      <c r="CY46">
        <f>104.912</f>
        <v>104.91200000000001</v>
      </c>
      <c r="CZ46">
        <f>103.253</f>
        <v>103.253</v>
      </c>
      <c r="DA46">
        <f>101.547</f>
        <v>101.547</v>
      </c>
      <c r="DB46">
        <f>102.725</f>
        <v>102.72499999999999</v>
      </c>
      <c r="DC46">
        <f>102.496</f>
        <v>102.496</v>
      </c>
      <c r="DD46">
        <f>96.28</f>
        <v>96.28</v>
      </c>
      <c r="DE46">
        <f>98.413</f>
        <v>98.412999999999997</v>
      </c>
      <c r="DF46">
        <f>92.888</f>
        <v>92.888000000000005</v>
      </c>
      <c r="DG46">
        <f>91.07</f>
        <v>91.07</v>
      </c>
      <c r="DH46">
        <f>90.408</f>
        <v>90.408000000000001</v>
      </c>
      <c r="DI46">
        <f>85.195</f>
        <v>85.194999999999993</v>
      </c>
      <c r="DJ46">
        <f>85.451</f>
        <v>85.450999999999993</v>
      </c>
      <c r="DK46">
        <f>73.585</f>
        <v>73.584999999999994</v>
      </c>
      <c r="DL46">
        <f>88.46</f>
        <v>88.46</v>
      </c>
      <c r="DM46">
        <f>83.024</f>
        <v>83.024000000000001</v>
      </c>
      <c r="DN46">
        <f>85.376</f>
        <v>85.376000000000005</v>
      </c>
      <c r="DO46">
        <f>76.521004</f>
        <v>76.521004000000005</v>
      </c>
      <c r="DP46">
        <f>88.27</f>
        <v>88.27</v>
      </c>
      <c r="DQ46">
        <f>72.696999</f>
        <v>72.696999000000005</v>
      </c>
      <c r="DR46">
        <f>68.162003</f>
        <v>68.162002999999999</v>
      </c>
      <c r="DS46">
        <f>66.300003</f>
        <v>66.300003000000004</v>
      </c>
      <c r="DT46">
        <f>64.515999</f>
        <v>64.515998999999994</v>
      </c>
      <c r="DU46">
        <f>65.315002</f>
        <v>65.315002000000007</v>
      </c>
    </row>
    <row r="47" spans="1:125">
      <c r="A47" t="str">
        <f>"    Mid-America Apartment Communit"</f>
        <v xml:space="preserve">    Mid-America Apartment Communit</v>
      </c>
      <c r="B47" t="str">
        <f>"MAA US Equity"</f>
        <v>MAA US Equity</v>
      </c>
      <c r="C47" t="str">
        <f t="shared" si="12"/>
        <v>IS010</v>
      </c>
      <c r="D47" t="str">
        <f t="shared" si="13"/>
        <v>SALES_REV_TURN</v>
      </c>
      <c r="E47" t="str">
        <f t="shared" si="14"/>
        <v>动态</v>
      </c>
      <c r="F47" t="str">
        <f ca="1">IF(AND(ISNUMBER($F$266),$B$226=1),$F$266,HLOOKUP(INDIRECT(ADDRESS(2,COLUMN())),OFFSET($BN$2,0,0,ROW()-1,60),ROW()-1,FALSE))</f>
        <v/>
      </c>
      <c r="G47">
        <f ca="1">IF(AND(ISNUMBER($G$266),$B$226=1),$G$266,HLOOKUP(INDIRECT(ADDRESS(2,COLUMN())),OFFSET($BN$2,0,0,ROW()-1,60),ROW()-1,FALSE))</f>
        <v>382.738</v>
      </c>
      <c r="H47">
        <f ca="1">IF(AND(ISNUMBER($H$266),$B$226=1),$H$266,HLOOKUP(INDIRECT(ADDRESS(2,COLUMN())),OFFSET($BN$2,0,0,ROW()-1,60),ROW()-1,FALSE))</f>
        <v>384.55</v>
      </c>
      <c r="I47">
        <f ca="1">IF(AND(ISNUMBER($I$266),$B$226=1),$I$266,HLOOKUP(INDIRECT(ADDRESS(2,COLUMN())),OFFSET($BN$2,0,0,ROW()-1,60),ROW()-1,FALSE))</f>
        <v>382.791</v>
      </c>
      <c r="J47">
        <f ca="1">IF(AND(ISNUMBER($J$266),$B$226=1),$J$266,HLOOKUP(INDIRECT(ADDRESS(2,COLUMN())),OFFSET($BN$2,0,0,ROW()-1,60),ROW()-1,FALSE))</f>
        <v>378.90800000000002</v>
      </c>
      <c r="K47">
        <f ca="1">IF(AND(ISNUMBER($K$266),$B$226=1),$K$266,HLOOKUP(INDIRECT(ADDRESS(2,COLUMN())),OFFSET($BN$2,0,0,ROW()-1,60),ROW()-1,FALSE))</f>
        <v>307.19799999999998</v>
      </c>
      <c r="L47">
        <f ca="1">IF(AND(ISNUMBER($L$266),$B$226=1),$L$266,HLOOKUP(INDIRECT(ADDRESS(2,COLUMN())),OFFSET($BN$2,0,0,ROW()-1,60),ROW()-1,FALSE))</f>
        <v>276.89800000000002</v>
      </c>
      <c r="M47">
        <f ca="1">IF(AND(ISNUMBER($M$266),$B$226=1),$M$266,HLOOKUP(INDIRECT(ADDRESS(2,COLUMN())),OFFSET($BN$2,0,0,ROW()-1,60),ROW()-1,FALSE))</f>
        <v>272.23599999999999</v>
      </c>
      <c r="N47">
        <f ca="1">IF(AND(ISNUMBER($N$266),$B$226=1),$N$266,HLOOKUP(INDIRECT(ADDRESS(2,COLUMN())),OFFSET($BN$2,0,0,ROW()-1,60),ROW()-1,FALSE))</f>
        <v>269.01600000000002</v>
      </c>
      <c r="O47">
        <f ca="1">IF(AND(ISNUMBER($O$266),$B$226=1),$O$266,HLOOKUP(INDIRECT(ADDRESS(2,COLUMN())),OFFSET($BN$2,0,0,ROW()-1,60),ROW()-1,FALSE))</f>
        <v>263.33699999999999</v>
      </c>
      <c r="P47">
        <f ca="1">IF(AND(ISNUMBER($P$266),$B$226=1),$P$266,HLOOKUP(INDIRECT(ADDRESS(2,COLUMN())),OFFSET($BN$2,0,0,ROW()-1,60),ROW()-1,FALSE))</f>
        <v>261.99799999999999</v>
      </c>
      <c r="Q47">
        <f ca="1">IF(AND(ISNUMBER($Q$266),$B$226=1),$Q$266,HLOOKUP(INDIRECT(ADDRESS(2,COLUMN())),OFFSET($BN$2,0,0,ROW()-1,60),ROW()-1,FALSE))</f>
        <v>258.89100000000002</v>
      </c>
      <c r="R47">
        <f ca="1">IF(AND(ISNUMBER($R$266),$B$226=1),$R$266,HLOOKUP(INDIRECT(ADDRESS(2,COLUMN())),OFFSET($BN$2,0,0,ROW()-1,60),ROW()-1,FALSE))</f>
        <v>258.55200000000002</v>
      </c>
      <c r="S47">
        <f ca="1">IF(AND(ISNUMBER($S$266),$B$226=1),$S$266,HLOOKUP(INDIRECT(ADDRESS(2,COLUMN())),OFFSET($BN$2,0,0,ROW()-1,60),ROW()-1,FALSE))</f>
        <v>253.21899999999999</v>
      </c>
      <c r="T47">
        <f ca="1">IF(AND(ISNUMBER($T$266),$B$226=1),$T$266,HLOOKUP(INDIRECT(ADDRESS(2,COLUMN())),OFFSET($BN$2,0,0,ROW()-1,60),ROW()-1,FALSE))</f>
        <v>249.57400000000001</v>
      </c>
      <c r="U47">
        <f ca="1">IF(AND(ISNUMBER($U$266),$B$226=1),$U$266,HLOOKUP(INDIRECT(ADDRESS(2,COLUMN())),OFFSET($BN$2,0,0,ROW()-1,60),ROW()-1,FALSE))</f>
        <v>245.30500000000001</v>
      </c>
      <c r="V47">
        <f ca="1">IF(AND(ISNUMBER($V$266),$B$226=1),$V$266,HLOOKUP(INDIRECT(ADDRESS(2,COLUMN())),OFFSET($BN$2,0,0,ROW()-1,60),ROW()-1,FALSE))</f>
        <v>243.48699999999999</v>
      </c>
      <c r="W47">
        <f ca="1">IF(AND(ISNUMBER($W$266),$B$226=1),$W$266,HLOOKUP(INDIRECT(ADDRESS(2,COLUMN())),OFFSET($BN$2,0,0,ROW()-1,60),ROW()-1,FALSE))</f>
        <v>239.607</v>
      </c>
      <c r="X47">
        <f ca="1">IF(AND(ISNUMBER($X$266),$B$226=1),$X$266,HLOOKUP(INDIRECT(ADDRESS(2,COLUMN())),OFFSET($BN$2,0,0,ROW()-1,60),ROW()-1,FALSE))</f>
        <v>135.40600000000001</v>
      </c>
      <c r="Y47">
        <f ca="1">IF(AND(ISNUMBER($Y$266),$B$226=1),$Y$266,HLOOKUP(INDIRECT(ADDRESS(2,COLUMN())),OFFSET($BN$2,0,0,ROW()-1,60),ROW()-1,FALSE))</f>
        <v>131.80099999999999</v>
      </c>
      <c r="Z47">
        <f ca="1">IF(AND(ISNUMBER($Z$266),$B$226=1),$Z$266,HLOOKUP(INDIRECT(ADDRESS(2,COLUMN())),OFFSET($BN$2,0,0,ROW()-1,60),ROW()-1,FALSE))</f>
        <v>127.92</v>
      </c>
      <c r="AA47">
        <f ca="1">IF(AND(ISNUMBER($AA$266),$B$226=1),$AA$266,HLOOKUP(INDIRECT(ADDRESS(2,COLUMN())),OFFSET($BN$2,0,0,ROW()-1,60),ROW()-1,FALSE))</f>
        <v>126.02</v>
      </c>
      <c r="AB47">
        <f ca="1">IF(AND(ISNUMBER($AB$266),$B$226=1),$AB$266,HLOOKUP(INDIRECT(ADDRESS(2,COLUMN())),OFFSET($BN$2,0,0,ROW()-1,60),ROW()-1,FALSE))</f>
        <v>123.19</v>
      </c>
      <c r="AC47">
        <f ca="1">IF(AND(ISNUMBER($AC$266),$B$226=1),$AC$266,HLOOKUP(INDIRECT(ADDRESS(2,COLUMN())),OFFSET($BN$2,0,0,ROW()-1,60),ROW()-1,FALSE))</f>
        <v>119.008</v>
      </c>
      <c r="AD47">
        <f ca="1">IF(AND(ISNUMBER($AD$266),$B$226=1),$AD$266,HLOOKUP(INDIRECT(ADDRESS(2,COLUMN())),OFFSET($BN$2,0,0,ROW()-1,60),ROW()-1,FALSE))</f>
        <v>116.286</v>
      </c>
      <c r="AE47">
        <f ca="1">IF(AND(ISNUMBER($AE$266),$B$226=1),$AE$266,HLOOKUP(INDIRECT(ADDRESS(2,COLUMN())),OFFSET($BN$2,0,0,ROW()-1,60),ROW()-1,FALSE))</f>
        <v>113.04</v>
      </c>
      <c r="AF47">
        <f ca="1">IF(AND(ISNUMBER($AF$266),$B$226=1),$AF$266,HLOOKUP(INDIRECT(ADDRESS(2,COLUMN())),OFFSET($BN$2,0,0,ROW()-1,60),ROW()-1,FALSE))</f>
        <v>110.321</v>
      </c>
      <c r="AG47">
        <f ca="1">IF(AND(ISNUMBER($AG$266),$B$226=1),$AG$266,HLOOKUP(INDIRECT(ADDRESS(2,COLUMN())),OFFSET($BN$2,0,0,ROW()-1,60),ROW()-1,FALSE))</f>
        <v>107.20099999999999</v>
      </c>
      <c r="AH47">
        <f ca="1">IF(AND(ISNUMBER($AH$266),$B$226=1),$AH$266,HLOOKUP(INDIRECT(ADDRESS(2,COLUMN())),OFFSET($BN$2,0,0,ROW()-1,60),ROW()-1,FALSE))</f>
        <v>104.94499999999999</v>
      </c>
      <c r="AI47">
        <f ca="1">IF(AND(ISNUMBER($AI$266),$B$226=1),$AI$266,HLOOKUP(INDIRECT(ADDRESS(2,COLUMN())),OFFSET($BN$2,0,0,ROW()-1,60),ROW()-1,FALSE))</f>
        <v>104.48</v>
      </c>
      <c r="AJ47">
        <f ca="1">IF(AND(ISNUMBER($AJ$266),$B$226=1),$AJ$266,HLOOKUP(INDIRECT(ADDRESS(2,COLUMN())),OFFSET($BN$2,0,0,ROW()-1,60),ROW()-1,FALSE))</f>
        <v>100.881</v>
      </c>
      <c r="AK47">
        <f ca="1">IF(AND(ISNUMBER($AK$266),$B$226=1),$AK$266,HLOOKUP(INDIRECT(ADDRESS(2,COLUMN())),OFFSET($BN$2,0,0,ROW()-1,60),ROW()-1,FALSE))</f>
        <v>98.394999999999996</v>
      </c>
      <c r="AL47">
        <f ca="1">IF(AND(ISNUMBER($AL$266),$B$226=1),$AL$266,HLOOKUP(INDIRECT(ADDRESS(2,COLUMN())),OFFSET($BN$2,0,0,ROW()-1,60),ROW()-1,FALSE))</f>
        <v>97.463999999999999</v>
      </c>
      <c r="AM47">
        <f ca="1">IF(AND(ISNUMBER($AM$266),$B$226=1),$AM$266,HLOOKUP(INDIRECT(ADDRESS(2,COLUMN())),OFFSET($BN$2,0,0,ROW()-1,60),ROW()-1,FALSE))</f>
        <v>95.319000000000003</v>
      </c>
      <c r="AN47">
        <f ca="1">IF(AND(ISNUMBER($AN$266),$B$226=1),$AN$266,HLOOKUP(INDIRECT(ADDRESS(2,COLUMN())),OFFSET($BN$2,0,0,ROW()-1,60),ROW()-1,FALSE))</f>
        <v>94.998999999999995</v>
      </c>
      <c r="AO47">
        <f ca="1">IF(AND(ISNUMBER($AO$266),$B$226=1),$AO$266,HLOOKUP(INDIRECT(ADDRESS(2,COLUMN())),OFFSET($BN$2,0,0,ROW()-1,60),ROW()-1,FALSE))</f>
        <v>94.561999999999998</v>
      </c>
      <c r="AP47">
        <f ca="1">IF(AND(ISNUMBER($AP$266),$B$226=1),$AP$266,HLOOKUP(INDIRECT(ADDRESS(2,COLUMN())),OFFSET($BN$2,0,0,ROW()-1,60),ROW()-1,FALSE))</f>
        <v>93.664000000000001</v>
      </c>
      <c r="AQ47">
        <f ca="1">IF(AND(ISNUMBER($AQ$266),$B$226=1),$AQ$266,HLOOKUP(INDIRECT(ADDRESS(2,COLUMN())),OFFSET($BN$2,0,0,ROW()-1,60),ROW()-1,FALSE))</f>
        <v>93.951999999999998</v>
      </c>
      <c r="AR47">
        <f ca="1">IF(AND(ISNUMBER($AR$266),$B$226=1),$AR$266,HLOOKUP(INDIRECT(ADDRESS(2,COLUMN())),OFFSET($BN$2,0,0,ROW()-1,60),ROW()-1,FALSE))</f>
        <v>93.792000000000002</v>
      </c>
      <c r="AS47">
        <f ca="1">IF(AND(ISNUMBER($AS$266),$B$226=1),$AS$266,HLOOKUP(INDIRECT(ADDRESS(2,COLUMN())),OFFSET($BN$2,0,0,ROW()-1,60),ROW()-1,FALSE))</f>
        <v>91.436000000000007</v>
      </c>
      <c r="AT47">
        <f ca="1">IF(AND(ISNUMBER($AT$266),$B$226=1),$AT$266,HLOOKUP(INDIRECT(ADDRESS(2,COLUMN())),OFFSET($BN$2,0,0,ROW()-1,60),ROW()-1,FALSE))</f>
        <v>90.748999999999995</v>
      </c>
      <c r="AU47">
        <f ca="1">IF(AND(ISNUMBER($AU$266),$B$226=1),$AU$266,HLOOKUP(INDIRECT(ADDRESS(2,COLUMN())),OFFSET($BN$2,0,0,ROW()-1,60),ROW()-1,FALSE))</f>
        <v>89.634</v>
      </c>
      <c r="AV47">
        <f ca="1">IF(AND(ISNUMBER($AV$266),$B$226=1),$AV$266,HLOOKUP(INDIRECT(ADDRESS(2,COLUMN())),OFFSET($BN$2,0,0,ROW()-1,60),ROW()-1,FALSE))</f>
        <v>88.423000000000002</v>
      </c>
      <c r="AW47">
        <f ca="1">IF(AND(ISNUMBER($AW$266),$B$226=1),$AW$266,HLOOKUP(INDIRECT(ADDRESS(2,COLUMN())),OFFSET($BN$2,0,0,ROW()-1,60),ROW()-1,FALSE))</f>
        <v>86.778999999999996</v>
      </c>
      <c r="AX47">
        <f ca="1">IF(AND(ISNUMBER($AX$266),$B$226=1),$AX$266,HLOOKUP(INDIRECT(ADDRESS(2,COLUMN())),OFFSET($BN$2,0,0,ROW()-1,60),ROW()-1,FALSE))</f>
        <v>84.991</v>
      </c>
      <c r="AY47">
        <f ca="1">IF(AND(ISNUMBER($AY$266),$B$226=1),$AY$266,HLOOKUP(INDIRECT(ADDRESS(2,COLUMN())),OFFSET($BN$2,0,0,ROW()-1,60),ROW()-1,FALSE))</f>
        <v>84.471999999999994</v>
      </c>
      <c r="AZ47">
        <f ca="1">IF(AND(ISNUMBER($AZ$266),$B$226=1),$AZ$266,HLOOKUP(INDIRECT(ADDRESS(2,COLUMN())),OFFSET($BN$2,0,0,ROW()-1,60),ROW()-1,FALSE))</f>
        <v>82.183000000000007</v>
      </c>
      <c r="BA47">
        <f ca="1">IF(AND(ISNUMBER($BA$266),$B$226=1),$BA$266,HLOOKUP(INDIRECT(ADDRESS(2,COLUMN())),OFFSET($BN$2,0,0,ROW()-1,60),ROW()-1,FALSE))</f>
        <v>79.795000000000002</v>
      </c>
      <c r="BB47">
        <f ca="1">IF(AND(ISNUMBER($BB$266),$B$226=1),$BB$266,HLOOKUP(INDIRECT(ADDRESS(2,COLUMN())),OFFSET($BN$2,0,0,ROW()-1,60),ROW()-1,FALSE))</f>
        <v>77.391000000000005</v>
      </c>
      <c r="BC47">
        <f ca="1">IF(AND(ISNUMBER($BC$266),$B$226=1),$BC$266,HLOOKUP(INDIRECT(ADDRESS(2,COLUMN())),OFFSET($BN$2,0,0,ROW()-1,60),ROW()-1,FALSE))</f>
        <v>77.141000000000005</v>
      </c>
      <c r="BD47">
        <f ca="1">IF(AND(ISNUMBER($BD$266),$B$226=1),$BD$266,HLOOKUP(INDIRECT(ADDRESS(2,COLUMN())),OFFSET($BN$2,0,0,ROW()-1,60),ROW()-1,FALSE))</f>
        <v>74.921999999999997</v>
      </c>
      <c r="BE47">
        <f ca="1">IF(AND(ISNUMBER($BE$266),$B$226=1),$BE$266,HLOOKUP(INDIRECT(ADDRESS(2,COLUMN())),OFFSET($BN$2,0,0,ROW()-1,60),ROW()-1,FALSE))</f>
        <v>72.516999999999996</v>
      </c>
      <c r="BF47">
        <f ca="1">IF(AND(ISNUMBER($BF$266),$B$226=1),$BF$266,HLOOKUP(INDIRECT(ADDRESS(2,COLUMN())),OFFSET($BN$2,0,0,ROW()-1,60),ROW()-1,FALSE))</f>
        <v>71.692999999999998</v>
      </c>
      <c r="BG47">
        <f ca="1">IF(AND(ISNUMBER($BG$266),$B$226=1),$BG$266,HLOOKUP(INDIRECT(ADDRESS(2,COLUMN())),OFFSET($BN$2,0,0,ROW()-1,60),ROW()-1,FALSE))</f>
        <v>68.848999000000006</v>
      </c>
      <c r="BH47">
        <f ca="1">IF(AND(ISNUMBER($BH$266),$B$226=1),$BH$266,HLOOKUP(INDIRECT(ADDRESS(2,COLUMN())),OFFSET($BN$2,0,0,ROW()-1,60),ROW()-1,FALSE))</f>
        <v>67.681999000000005</v>
      </c>
      <c r="BI47">
        <f ca="1">IF(AND(ISNUMBER($BI$266),$B$226=1),$BI$266,HLOOKUP(INDIRECT(ADDRESS(2,COLUMN())),OFFSET($BN$2,0,0,ROW()-1,60),ROW()-1,FALSE))</f>
        <v>66.202003000000005</v>
      </c>
      <c r="BJ47">
        <f ca="1">IF(AND(ISNUMBER($BJ$266),$B$226=1),$BJ$266,HLOOKUP(INDIRECT(ADDRESS(2,COLUMN())),OFFSET($BN$2,0,0,ROW()-1,60),ROW()-1,FALSE))</f>
        <v>65.643996999999999</v>
      </c>
      <c r="BK47">
        <f ca="1">IF(AND(ISNUMBER($BK$266),$B$226=1),$BK$266,HLOOKUP(INDIRECT(ADDRESS(2,COLUMN())),OFFSET($BN$2,0,0,ROW()-1,60),ROW()-1,FALSE))</f>
        <v>63.640998840000002</v>
      </c>
      <c r="BL47">
        <f ca="1">IF(AND(ISNUMBER($BL$266),$B$226=1),$BL$266,HLOOKUP(INDIRECT(ADDRESS(2,COLUMN())),OFFSET($BN$2,0,0,ROW()-1,60),ROW()-1,FALSE))</f>
        <v>59.533999999999999</v>
      </c>
      <c r="BM47">
        <f ca="1">IF(AND(ISNUMBER($BM$266),$B$226=1),$BM$266,HLOOKUP(INDIRECT(ADDRESS(2,COLUMN())),OFFSET($BN$2,0,0,ROW()-1,60),ROW()-1,FALSE))</f>
        <v>58.317000999999998</v>
      </c>
      <c r="BN47" t="str">
        <f>""</f>
        <v/>
      </c>
      <c r="BO47">
        <f>382.738</f>
        <v>382.738</v>
      </c>
      <c r="BP47">
        <f>384.55</f>
        <v>384.55</v>
      </c>
      <c r="BQ47">
        <f>382.791</f>
        <v>382.791</v>
      </c>
      <c r="BR47">
        <f>378.908</f>
        <v>378.90800000000002</v>
      </c>
      <c r="BS47">
        <f>307.198</f>
        <v>307.19799999999998</v>
      </c>
      <c r="BT47">
        <f>276.898</f>
        <v>276.89800000000002</v>
      </c>
      <c r="BU47">
        <f>272.236</f>
        <v>272.23599999999999</v>
      </c>
      <c r="BV47">
        <f>269.016</f>
        <v>269.01600000000002</v>
      </c>
      <c r="BW47">
        <f>263.337</f>
        <v>263.33699999999999</v>
      </c>
      <c r="BX47">
        <f>261.998</f>
        <v>261.99799999999999</v>
      </c>
      <c r="BY47">
        <f>258.891</f>
        <v>258.89100000000002</v>
      </c>
      <c r="BZ47">
        <f>258.552</f>
        <v>258.55200000000002</v>
      </c>
      <c r="CA47">
        <f>253.219</f>
        <v>253.21899999999999</v>
      </c>
      <c r="CB47">
        <f>249.574</f>
        <v>249.57400000000001</v>
      </c>
      <c r="CC47">
        <f>245.305</f>
        <v>245.30500000000001</v>
      </c>
      <c r="CD47">
        <f>243.487</f>
        <v>243.48699999999999</v>
      </c>
      <c r="CE47">
        <f>239.607</f>
        <v>239.607</v>
      </c>
      <c r="CF47">
        <f>135.406</f>
        <v>135.40600000000001</v>
      </c>
      <c r="CG47">
        <f>131.801</f>
        <v>131.80099999999999</v>
      </c>
      <c r="CH47">
        <f>127.92</f>
        <v>127.92</v>
      </c>
      <c r="CI47">
        <f>126.02</f>
        <v>126.02</v>
      </c>
      <c r="CJ47">
        <f>123.19</f>
        <v>123.19</v>
      </c>
      <c r="CK47">
        <f>119.008</f>
        <v>119.008</v>
      </c>
      <c r="CL47">
        <f>116.286</f>
        <v>116.286</v>
      </c>
      <c r="CM47">
        <f>113.04</f>
        <v>113.04</v>
      </c>
      <c r="CN47">
        <f>110.321</f>
        <v>110.321</v>
      </c>
      <c r="CO47">
        <f>107.201</f>
        <v>107.20099999999999</v>
      </c>
      <c r="CP47">
        <f>104.945</f>
        <v>104.94499999999999</v>
      </c>
      <c r="CQ47">
        <f>104.48</f>
        <v>104.48</v>
      </c>
      <c r="CR47">
        <f>100.881</f>
        <v>100.881</v>
      </c>
      <c r="CS47">
        <f>98.395</f>
        <v>98.394999999999996</v>
      </c>
      <c r="CT47">
        <f>97.464</f>
        <v>97.463999999999999</v>
      </c>
      <c r="CU47">
        <f>95.319</f>
        <v>95.319000000000003</v>
      </c>
      <c r="CV47">
        <f>94.999</f>
        <v>94.998999999999995</v>
      </c>
      <c r="CW47">
        <f>94.562</f>
        <v>94.561999999999998</v>
      </c>
      <c r="CX47">
        <f>93.664</f>
        <v>93.664000000000001</v>
      </c>
      <c r="CY47">
        <f>93.952</f>
        <v>93.951999999999998</v>
      </c>
      <c r="CZ47">
        <f>93.792</f>
        <v>93.792000000000002</v>
      </c>
      <c r="DA47">
        <f>91.436</f>
        <v>91.436000000000007</v>
      </c>
      <c r="DB47">
        <f>90.749</f>
        <v>90.748999999999995</v>
      </c>
      <c r="DC47">
        <f>89.634</f>
        <v>89.634</v>
      </c>
      <c r="DD47">
        <f>88.423</f>
        <v>88.423000000000002</v>
      </c>
      <c r="DE47">
        <f>86.779</f>
        <v>86.778999999999996</v>
      </c>
      <c r="DF47">
        <f>84.991</f>
        <v>84.991</v>
      </c>
      <c r="DG47">
        <f>84.472</f>
        <v>84.471999999999994</v>
      </c>
      <c r="DH47">
        <f>82.183</f>
        <v>82.183000000000007</v>
      </c>
      <c r="DI47">
        <f>79.795</f>
        <v>79.795000000000002</v>
      </c>
      <c r="DJ47">
        <f>77.391</f>
        <v>77.391000000000005</v>
      </c>
      <c r="DK47">
        <f>77.141</f>
        <v>77.141000000000005</v>
      </c>
      <c r="DL47">
        <f>74.922</f>
        <v>74.921999999999997</v>
      </c>
      <c r="DM47">
        <f>72.517</f>
        <v>72.516999999999996</v>
      </c>
      <c r="DN47">
        <f>71.693</f>
        <v>71.692999999999998</v>
      </c>
      <c r="DO47">
        <f>68.848999</f>
        <v>68.848999000000006</v>
      </c>
      <c r="DP47">
        <f>67.681999</f>
        <v>67.681999000000005</v>
      </c>
      <c r="DQ47">
        <f>66.202003</f>
        <v>66.202003000000005</v>
      </c>
      <c r="DR47">
        <f>65.643997</f>
        <v>65.643996999999999</v>
      </c>
      <c r="DS47">
        <f>63.64099884</f>
        <v>63.640998840000002</v>
      </c>
      <c r="DT47">
        <f>59.534</f>
        <v>59.533999999999999</v>
      </c>
      <c r="DU47">
        <f>58.317001</f>
        <v>58.317000999999998</v>
      </c>
    </row>
    <row r="48" spans="1:125">
      <c r="A48" t="str">
        <f>"    UDR Inc"</f>
        <v xml:space="preserve">    UDR Inc</v>
      </c>
      <c r="B48" t="str">
        <f>"UDR US Equity"</f>
        <v>UDR US Equity</v>
      </c>
      <c r="C48" t="str">
        <f t="shared" si="12"/>
        <v>IS010</v>
      </c>
      <c r="D48" t="str">
        <f t="shared" si="13"/>
        <v>SALES_REV_TURN</v>
      </c>
      <c r="E48" t="str">
        <f t="shared" si="14"/>
        <v>动态</v>
      </c>
      <c r="F48" t="str">
        <f ca="1">IF(AND(ISNUMBER($F$267),$B$226=1),$F$267,HLOOKUP(INDIRECT(ADDRESS(2,COLUMN())),OFFSET($BN$2,0,0,ROW()-1,60),ROW()-1,FALSE))</f>
        <v/>
      </c>
      <c r="G48">
        <f ca="1">IF(AND(ISNUMBER($G$267),$B$226=1),$G$267,HLOOKUP(INDIRECT(ADDRESS(2,COLUMN())),OFFSET($BN$2,0,0,ROW()-1,60),ROW()-1,FALSE))</f>
        <v>252.88</v>
      </c>
      <c r="H48">
        <f ca="1">IF(AND(ISNUMBER($H$267),$B$226=1),$H$267,HLOOKUP(INDIRECT(ADDRESS(2,COLUMN())),OFFSET($BN$2,0,0,ROW()-1,60),ROW()-1,FALSE))</f>
        <v>251.09100000000001</v>
      </c>
      <c r="I48">
        <f ca="1">IF(AND(ISNUMBER($I$267),$B$226=1),$I$267,HLOOKUP(INDIRECT(ADDRESS(2,COLUMN())),OFFSET($BN$2,0,0,ROW()-1,60),ROW()-1,FALSE))</f>
        <v>247.97900000000001</v>
      </c>
      <c r="J48">
        <f ca="1">IF(AND(ISNUMBER($J$267),$B$226=1),$J$267,HLOOKUP(INDIRECT(ADDRESS(2,COLUMN())),OFFSET($BN$2,0,0,ROW()-1,60),ROW()-1,FALSE))</f>
        <v>243.84100000000001</v>
      </c>
      <c r="K48">
        <f ca="1">IF(AND(ISNUMBER($K$267),$B$226=1),$K$267,HLOOKUP(INDIRECT(ADDRESS(2,COLUMN())),OFFSET($BN$2,0,0,ROW()-1,60),ROW()-1,FALSE))</f>
        <v>243.00800000000001</v>
      </c>
      <c r="L48">
        <f ca="1">IF(AND(ISNUMBER($L$267),$B$226=1),$L$267,HLOOKUP(INDIRECT(ADDRESS(2,COLUMN())),OFFSET($BN$2,0,0,ROW()-1,60),ROW()-1,FALSE))</f>
        <v>243.25200000000001</v>
      </c>
      <c r="M48">
        <f ca="1">IF(AND(ISNUMBER($M$267),$B$226=1),$M$267,HLOOKUP(INDIRECT(ADDRESS(2,COLUMN())),OFFSET($BN$2,0,0,ROW()-1,60),ROW()-1,FALSE))</f>
        <v>238.786</v>
      </c>
      <c r="N48">
        <f ca="1">IF(AND(ISNUMBER($N$267),$B$226=1),$N$267,HLOOKUP(INDIRECT(ADDRESS(2,COLUMN())),OFFSET($BN$2,0,0,ROW()-1,60),ROW()-1,FALSE))</f>
        <v>234.815</v>
      </c>
      <c r="O48">
        <f ca="1">IF(AND(ISNUMBER($O$267),$B$226=1),$O$267,HLOOKUP(INDIRECT(ADDRESS(2,COLUMN())),OFFSET($BN$2,0,0,ROW()-1,60),ROW()-1,FALSE))</f>
        <v>237.60499999999999</v>
      </c>
      <c r="P48">
        <f ca="1">IF(AND(ISNUMBER($P$267),$B$226=1),$P$267,HLOOKUP(INDIRECT(ADDRESS(2,COLUMN())),OFFSET($BN$2,0,0,ROW()-1,60),ROW()-1,FALSE))</f>
        <v>221.41800000000001</v>
      </c>
      <c r="Q48">
        <f ca="1">IF(AND(ISNUMBER($Q$267),$B$226=1),$Q$267,HLOOKUP(INDIRECT(ADDRESS(2,COLUMN())),OFFSET($BN$2,0,0,ROW()-1,60),ROW()-1,FALSE))</f>
        <v>215.86199999999999</v>
      </c>
      <c r="R48">
        <f ca="1">IF(AND(ISNUMBER($R$267),$B$226=1),$R$267,HLOOKUP(INDIRECT(ADDRESS(2,COLUMN())),OFFSET($BN$2,0,0,ROW()-1,60),ROW()-1,FALSE))</f>
        <v>219.75299999999999</v>
      </c>
      <c r="S48">
        <f ca="1">IF(AND(ISNUMBER($S$267),$B$226=1),$S$267,HLOOKUP(INDIRECT(ADDRESS(2,COLUMN())),OFFSET($BN$2,0,0,ROW()-1,60),ROW()-1,FALSE))</f>
        <v>209.54900000000001</v>
      </c>
      <c r="T48">
        <f ca="1">IF(AND(ISNUMBER($T$267),$B$226=1),$T$267,HLOOKUP(INDIRECT(ADDRESS(2,COLUMN())),OFFSET($BN$2,0,0,ROW()-1,60),ROW()-1,FALSE))</f>
        <v>206.75200000000001</v>
      </c>
      <c r="U48">
        <f ca="1">IF(AND(ISNUMBER($U$267),$B$226=1),$U$267,HLOOKUP(INDIRECT(ADDRESS(2,COLUMN())),OFFSET($BN$2,0,0,ROW()-1,60),ROW()-1,FALSE))</f>
        <v>203.70599999999999</v>
      </c>
      <c r="V48">
        <f ca="1">IF(AND(ISNUMBER($V$267),$B$226=1),$V$267,HLOOKUP(INDIRECT(ADDRESS(2,COLUMN())),OFFSET($BN$2,0,0,ROW()-1,60),ROW()-1,FALSE))</f>
        <v>198.03899999999999</v>
      </c>
      <c r="W48">
        <f ca="1">IF(AND(ISNUMBER($W$267),$B$226=1),$W$267,HLOOKUP(INDIRECT(ADDRESS(2,COLUMN())),OFFSET($BN$2,0,0,ROW()-1,60),ROW()-1,FALSE))</f>
        <v>193.416</v>
      </c>
      <c r="X48">
        <f ca="1">IF(AND(ISNUMBER($X$267),$B$226=1),$X$267,HLOOKUP(INDIRECT(ADDRESS(2,COLUMN())),OFFSET($BN$2,0,0,ROW()-1,60),ROW()-1,FALSE))</f>
        <v>191.124</v>
      </c>
      <c r="Y48">
        <f ca="1">IF(AND(ISNUMBER($Y$267),$B$226=1),$Y$267,HLOOKUP(INDIRECT(ADDRESS(2,COLUMN())),OFFSET($BN$2,0,0,ROW()-1,60),ROW()-1,FALSE))</f>
        <v>189.50200000000001</v>
      </c>
      <c r="Z48">
        <f ca="1">IF(AND(ISNUMBER($Z$267),$B$226=1),$Z$267,HLOOKUP(INDIRECT(ADDRESS(2,COLUMN())),OFFSET($BN$2,0,0,ROW()-1,60),ROW()-1,FALSE))</f>
        <v>184.88399999999999</v>
      </c>
      <c r="AA48">
        <f ca="1">IF(AND(ISNUMBER($AA$267),$B$226=1),$AA$267,HLOOKUP(INDIRECT(ADDRESS(2,COLUMN())),OFFSET($BN$2,0,0,ROW()-1,60),ROW()-1,FALSE))</f>
        <v>183.03399999999999</v>
      </c>
      <c r="AB48">
        <f ca="1">IF(AND(ISNUMBER($AB$267),$B$226=1),$AB$267,HLOOKUP(INDIRECT(ADDRESS(2,COLUMN())),OFFSET($BN$2,0,0,ROW()-1,60),ROW()-1,FALSE))</f>
        <v>185.08600000000001</v>
      </c>
      <c r="AC48">
        <f ca="1">IF(AND(ISNUMBER($AC$267),$B$226=1),$AC$267,HLOOKUP(INDIRECT(ADDRESS(2,COLUMN())),OFFSET($BN$2,0,0,ROW()-1,60),ROW()-1,FALSE))</f>
        <v>180.19200000000001</v>
      </c>
      <c r="AD48">
        <f ca="1">IF(AND(ISNUMBER($AD$267),$B$226=1),$AD$267,HLOOKUP(INDIRECT(ADDRESS(2,COLUMN())),OFFSET($BN$2,0,0,ROW()-1,60),ROW()-1,FALSE))</f>
        <v>175.23099999999999</v>
      </c>
      <c r="AE48">
        <f ca="1">IF(AND(ISNUMBER($AE$267),$B$226=1),$AE$267,HLOOKUP(INDIRECT(ADDRESS(2,COLUMN())),OFFSET($BN$2,0,0,ROW()-1,60),ROW()-1,FALSE))</f>
        <v>170.68700000000001</v>
      </c>
      <c r="AF48">
        <f ca="1">IF(AND(ISNUMBER($AF$267),$B$226=1),$AF$267,HLOOKUP(INDIRECT(ADDRESS(2,COLUMN())),OFFSET($BN$2,0,0,ROW()-1,60),ROW()-1,FALSE))</f>
        <v>169.08799999999999</v>
      </c>
      <c r="AG48">
        <f ca="1">IF(AND(ISNUMBER($AG$267),$B$226=1),$AG$267,HLOOKUP(INDIRECT(ADDRESS(2,COLUMN())),OFFSET($BN$2,0,0,ROW()-1,60),ROW()-1,FALSE))</f>
        <v>153.49</v>
      </c>
      <c r="AH48">
        <f ca="1">IF(AND(ISNUMBER($AH$267),$B$226=1),$AH$267,HLOOKUP(INDIRECT(ADDRESS(2,COLUMN())),OFFSET($BN$2,0,0,ROW()-1,60),ROW()-1,FALSE))</f>
        <v>142.34800000000001</v>
      </c>
      <c r="AI48">
        <f ca="1">IF(AND(ISNUMBER($AI$267),$B$226=1),$AI$267,HLOOKUP(INDIRECT(ADDRESS(2,COLUMN())),OFFSET($BN$2,0,0,ROW()-1,60),ROW()-1,FALSE))</f>
        <v>152.39599999999999</v>
      </c>
      <c r="AJ48">
        <f ca="1">IF(AND(ISNUMBER($AJ$267),$B$226=1),$AJ$267,HLOOKUP(INDIRECT(ADDRESS(2,COLUMN())),OFFSET($BN$2,0,0,ROW()-1,60),ROW()-1,FALSE))</f>
        <v>152.33099999999999</v>
      </c>
      <c r="AK48">
        <f ca="1">IF(AND(ISNUMBER($AK$267),$B$226=1),$AK$267,HLOOKUP(INDIRECT(ADDRESS(2,COLUMN())),OFFSET($BN$2,0,0,ROW()-1,60),ROW()-1,FALSE))</f>
        <v>148.703</v>
      </c>
      <c r="AL48">
        <f ca="1">IF(AND(ISNUMBER($AL$267),$B$226=1),$AL$267,HLOOKUP(INDIRECT(ADDRESS(2,COLUMN())),OFFSET($BN$2,0,0,ROW()-1,60),ROW()-1,FALSE))</f>
        <v>146.624</v>
      </c>
      <c r="AM48">
        <f ca="1">IF(AND(ISNUMBER($AM$267),$B$226=1),$AM$267,HLOOKUP(INDIRECT(ADDRESS(2,COLUMN())),OFFSET($BN$2,0,0,ROW()-1,60),ROW()-1,FALSE))</f>
        <v>149.6</v>
      </c>
      <c r="AN48">
        <f ca="1">IF(AND(ISNUMBER($AN$267),$B$226=1),$AN$267,HLOOKUP(INDIRECT(ADDRESS(2,COLUMN())),OFFSET($BN$2,0,0,ROW()-1,60),ROW()-1,FALSE))</f>
        <v>151.38300000000001</v>
      </c>
      <c r="AO48">
        <f ca="1">IF(AND(ISNUMBER($AO$267),$B$226=1),$AO$267,HLOOKUP(INDIRECT(ADDRESS(2,COLUMN())),OFFSET($BN$2,0,0,ROW()-1,60),ROW()-1,FALSE))</f>
        <v>155.80199999999999</v>
      </c>
      <c r="AP48">
        <f ca="1">IF(AND(ISNUMBER($AP$267),$B$226=1),$AP$267,HLOOKUP(INDIRECT(ADDRESS(2,COLUMN())),OFFSET($BN$2,0,0,ROW()-1,60),ROW()-1,FALSE))</f>
        <v>155.63900000000001</v>
      </c>
      <c r="AQ48">
        <f ca="1">IF(AND(ISNUMBER($AQ$267),$B$226=1),$AQ$267,HLOOKUP(INDIRECT(ADDRESS(2,COLUMN())),OFFSET($BN$2,0,0,ROW()-1,60),ROW()-1,FALSE))</f>
        <v>155.357</v>
      </c>
      <c r="AR48">
        <f ca="1">IF(AND(ISNUMBER($AR$267),$B$226=1),$AR$267,HLOOKUP(INDIRECT(ADDRESS(2,COLUMN())),OFFSET($BN$2,0,0,ROW()-1,60),ROW()-1,FALSE))</f>
        <v>157.38300000000001</v>
      </c>
      <c r="AS48">
        <f ca="1">IF(AND(ISNUMBER($AS$267),$B$226=1),$AS$267,HLOOKUP(INDIRECT(ADDRESS(2,COLUMN())),OFFSET($BN$2,0,0,ROW()-1,60),ROW()-1,FALSE))</f>
        <v>146.64500000000001</v>
      </c>
      <c r="AT48">
        <f ca="1">IF(AND(ISNUMBER($AT$267),$B$226=1),$AT$267,HLOOKUP(INDIRECT(ADDRESS(2,COLUMN())),OFFSET($BN$2,0,0,ROW()-1,60),ROW()-1,FALSE))</f>
        <v>131.083</v>
      </c>
      <c r="AU48">
        <f ca="1">IF(AND(ISNUMBER($AU$267),$B$226=1),$AU$267,HLOOKUP(INDIRECT(ADDRESS(2,COLUMN())),OFFSET($BN$2,0,0,ROW()-1,60),ROW()-1,FALSE))</f>
        <v>127.693</v>
      </c>
      <c r="AV48">
        <f ca="1">IF(AND(ISNUMBER($AV$267),$B$226=1),$AV$267,HLOOKUP(INDIRECT(ADDRESS(2,COLUMN())),OFFSET($BN$2,0,0,ROW()-1,60),ROW()-1,FALSE))</f>
        <v>134.48699999999999</v>
      </c>
      <c r="AW48">
        <f ca="1">IF(AND(ISNUMBER($AW$267),$B$226=1),$AW$267,HLOOKUP(INDIRECT(ADDRESS(2,COLUMN())),OFFSET($BN$2,0,0,ROW()-1,60),ROW()-1,FALSE))</f>
        <v>127.235</v>
      </c>
      <c r="AX48">
        <f ca="1">IF(AND(ISNUMBER($AX$267),$B$226=1),$AX$267,HLOOKUP(INDIRECT(ADDRESS(2,COLUMN())),OFFSET($BN$2,0,0,ROW()-1,60),ROW()-1,FALSE))</f>
        <v>126.41800000000001</v>
      </c>
      <c r="AY48">
        <f ca="1">IF(AND(ISNUMBER($AY$267),$B$226=1),$AY$267,HLOOKUP(INDIRECT(ADDRESS(2,COLUMN())),OFFSET($BN$2,0,0,ROW()-1,60),ROW()-1,FALSE))</f>
        <v>120.884</v>
      </c>
      <c r="AZ48">
        <f ca="1">IF(AND(ISNUMBER($AZ$267),$B$226=1),$AZ$267,HLOOKUP(INDIRECT(ADDRESS(2,COLUMN())),OFFSET($BN$2,0,0,ROW()-1,60),ROW()-1,FALSE))</f>
        <v>171.64</v>
      </c>
      <c r="BA48">
        <f ca="1">IF(AND(ISNUMBER($BA$267),$B$226=1),$BA$267,HLOOKUP(INDIRECT(ADDRESS(2,COLUMN())),OFFSET($BN$2,0,0,ROW()-1,60),ROW()-1,FALSE))</f>
        <v>165.92099999999999</v>
      </c>
      <c r="BB48">
        <f ca="1">IF(AND(ISNUMBER($BB$267),$B$226=1),$BB$267,HLOOKUP(INDIRECT(ADDRESS(2,COLUMN())),OFFSET($BN$2,0,0,ROW()-1,60),ROW()-1,FALSE))</f>
        <v>167.61</v>
      </c>
      <c r="BC48">
        <f ca="1">IF(AND(ISNUMBER($BC$267),$B$226=1),$BC$267,HLOOKUP(INDIRECT(ADDRESS(2,COLUMN())),OFFSET($BN$2,0,0,ROW()-1,60),ROW()-1,FALSE))</f>
        <v>162.02699999999999</v>
      </c>
      <c r="BD48">
        <f ca="1">IF(AND(ISNUMBER($BD$267),$B$226=1),$BD$267,HLOOKUP(INDIRECT(ADDRESS(2,COLUMN())),OFFSET($BN$2,0,0,ROW()-1,60),ROW()-1,FALSE))</f>
        <v>160.03399999999999</v>
      </c>
      <c r="BE48">
        <f ca="1">IF(AND(ISNUMBER($BE$267),$B$226=1),$BE$267,HLOOKUP(INDIRECT(ADDRESS(2,COLUMN())),OFFSET($BN$2,0,0,ROW()-1,60),ROW()-1,FALSE))</f>
        <v>157.43</v>
      </c>
      <c r="BF48">
        <f ca="1">IF(AND(ISNUMBER($BF$267),$B$226=1),$BF$267,HLOOKUP(INDIRECT(ADDRESS(2,COLUMN())),OFFSET($BN$2,0,0,ROW()-1,60),ROW()-1,FALSE))</f>
        <v>159.25399999999999</v>
      </c>
      <c r="BG48">
        <f ca="1">IF(AND(ISNUMBER($BG$267),$B$226=1),$BG$267,HLOOKUP(INDIRECT(ADDRESS(2,COLUMN())),OFFSET($BN$2,0,0,ROW()-1,60),ROW()-1,FALSE))</f>
        <v>118.53400000000001</v>
      </c>
      <c r="BH48">
        <f ca="1">IF(AND(ISNUMBER($BH$267),$B$226=1),$BH$267,HLOOKUP(INDIRECT(ADDRESS(2,COLUMN())),OFFSET($BN$2,0,0,ROW()-1,60),ROW()-1,FALSE))</f>
        <v>143.39699999999999</v>
      </c>
      <c r="BI48">
        <f ca="1">IF(AND(ISNUMBER($BI$267),$B$226=1),$BI$267,HLOOKUP(INDIRECT(ADDRESS(2,COLUMN())),OFFSET($BN$2,0,0,ROW()-1,60),ROW()-1,FALSE))</f>
        <v>157.816</v>
      </c>
      <c r="BJ48">
        <f ca="1">IF(AND(ISNUMBER($BJ$267),$B$226=1),$BJ$267,HLOOKUP(INDIRECT(ADDRESS(2,COLUMN())),OFFSET($BN$2,0,0,ROW()-1,60),ROW()-1,FALSE))</f>
        <v>155.26900000000001</v>
      </c>
      <c r="BK48">
        <f ca="1">IF(AND(ISNUMBER($BK$267),$B$226=1),$BK$267,HLOOKUP(INDIRECT(ADDRESS(2,COLUMN())),OFFSET($BN$2,0,0,ROW()-1,60),ROW()-1,FALSE))</f>
        <v>151.03899999999999</v>
      </c>
      <c r="BL48">
        <f ca="1">IF(AND(ISNUMBER($BL$267),$B$226=1),$BL$267,HLOOKUP(INDIRECT(ADDRESS(2,COLUMN())),OFFSET($BN$2,0,0,ROW()-1,60),ROW()-1,FALSE))</f>
        <v>142.16999999999999</v>
      </c>
      <c r="BM48">
        <f ca="1">IF(AND(ISNUMBER($BM$267),$B$226=1),$BM$267,HLOOKUP(INDIRECT(ADDRESS(2,COLUMN())),OFFSET($BN$2,0,0,ROW()-1,60),ROW()-1,FALSE))</f>
        <v>144.13399999999999</v>
      </c>
      <c r="BN48" t="str">
        <f>""</f>
        <v/>
      </c>
      <c r="BO48">
        <f>252.88</f>
        <v>252.88</v>
      </c>
      <c r="BP48">
        <f>251.091</f>
        <v>251.09100000000001</v>
      </c>
      <c r="BQ48">
        <f>247.979</f>
        <v>247.97900000000001</v>
      </c>
      <c r="BR48">
        <f>243.841</f>
        <v>243.84100000000001</v>
      </c>
      <c r="BS48">
        <f>243.008</f>
        <v>243.00800000000001</v>
      </c>
      <c r="BT48">
        <f>243.252</f>
        <v>243.25200000000001</v>
      </c>
      <c r="BU48">
        <f>238.786</f>
        <v>238.786</v>
      </c>
      <c r="BV48">
        <f>234.815</f>
        <v>234.815</v>
      </c>
      <c r="BW48">
        <f>237.605</f>
        <v>237.60499999999999</v>
      </c>
      <c r="BX48">
        <f>221.418</f>
        <v>221.41800000000001</v>
      </c>
      <c r="BY48">
        <f>215.862</f>
        <v>215.86199999999999</v>
      </c>
      <c r="BZ48">
        <f>219.753</f>
        <v>219.75299999999999</v>
      </c>
      <c r="CA48">
        <f>209.549</f>
        <v>209.54900000000001</v>
      </c>
      <c r="CB48">
        <f>206.752</f>
        <v>206.75200000000001</v>
      </c>
      <c r="CC48">
        <f>203.706</f>
        <v>203.70599999999999</v>
      </c>
      <c r="CD48">
        <f>198.039</f>
        <v>198.03899999999999</v>
      </c>
      <c r="CE48">
        <f>193.416</f>
        <v>193.416</v>
      </c>
      <c r="CF48">
        <f>191.124</f>
        <v>191.124</v>
      </c>
      <c r="CG48">
        <f>189.502</f>
        <v>189.50200000000001</v>
      </c>
      <c r="CH48">
        <f>184.884</f>
        <v>184.88399999999999</v>
      </c>
      <c r="CI48">
        <f>183.034</f>
        <v>183.03399999999999</v>
      </c>
      <c r="CJ48">
        <f>185.086</f>
        <v>185.08600000000001</v>
      </c>
      <c r="CK48">
        <f>180.192</f>
        <v>180.19200000000001</v>
      </c>
      <c r="CL48">
        <f>175.231</f>
        <v>175.23099999999999</v>
      </c>
      <c r="CM48">
        <f>170.687</f>
        <v>170.68700000000001</v>
      </c>
      <c r="CN48">
        <f>169.088</f>
        <v>169.08799999999999</v>
      </c>
      <c r="CO48">
        <f>153.49</f>
        <v>153.49</v>
      </c>
      <c r="CP48">
        <f>142.348</f>
        <v>142.34800000000001</v>
      </c>
      <c r="CQ48">
        <f>152.396</f>
        <v>152.39599999999999</v>
      </c>
      <c r="CR48">
        <f>152.331</f>
        <v>152.33099999999999</v>
      </c>
      <c r="CS48">
        <f>148.703</f>
        <v>148.703</v>
      </c>
      <c r="CT48">
        <f>146.624</f>
        <v>146.624</v>
      </c>
      <c r="CU48">
        <f>149.6</f>
        <v>149.6</v>
      </c>
      <c r="CV48">
        <f>151.383</f>
        <v>151.38300000000001</v>
      </c>
      <c r="CW48">
        <f>155.802</f>
        <v>155.80199999999999</v>
      </c>
      <c r="CX48">
        <f>155.639</f>
        <v>155.63900000000001</v>
      </c>
      <c r="CY48">
        <f>155.357</f>
        <v>155.357</v>
      </c>
      <c r="CZ48">
        <f>157.383</f>
        <v>157.38300000000001</v>
      </c>
      <c r="DA48">
        <f>146.645</f>
        <v>146.64500000000001</v>
      </c>
      <c r="DB48">
        <f>131.083</f>
        <v>131.083</v>
      </c>
      <c r="DC48">
        <f>127.693</f>
        <v>127.693</v>
      </c>
      <c r="DD48">
        <f>134.487</f>
        <v>134.48699999999999</v>
      </c>
      <c r="DE48">
        <f>127.235</f>
        <v>127.235</v>
      </c>
      <c r="DF48">
        <f>126.418</f>
        <v>126.41800000000001</v>
      </c>
      <c r="DG48">
        <f>120.884</f>
        <v>120.884</v>
      </c>
      <c r="DH48">
        <f>171.64</f>
        <v>171.64</v>
      </c>
      <c r="DI48">
        <f>165.921</f>
        <v>165.92099999999999</v>
      </c>
      <c r="DJ48">
        <f>167.61</f>
        <v>167.61</v>
      </c>
      <c r="DK48">
        <f>162.027</f>
        <v>162.02699999999999</v>
      </c>
      <c r="DL48">
        <f>160.034</f>
        <v>160.03399999999999</v>
      </c>
      <c r="DM48">
        <f>157.43</f>
        <v>157.43</v>
      </c>
      <c r="DN48">
        <f>159.254</f>
        <v>159.25399999999999</v>
      </c>
      <c r="DO48">
        <f>118.534</f>
        <v>118.53400000000001</v>
      </c>
      <c r="DP48">
        <f>143.397</f>
        <v>143.39699999999999</v>
      </c>
      <c r="DQ48">
        <f>157.816</f>
        <v>157.816</v>
      </c>
      <c r="DR48">
        <f>155.269</f>
        <v>155.26900000000001</v>
      </c>
      <c r="DS48">
        <f>151.039</f>
        <v>151.03899999999999</v>
      </c>
      <c r="DT48">
        <f>142.17</f>
        <v>142.16999999999999</v>
      </c>
      <c r="DU48">
        <f>144.134</f>
        <v>144.13399999999999</v>
      </c>
    </row>
    <row r="49" spans="1:125">
      <c r="A49" t="str">
        <f>"营业净利润"</f>
        <v>营业净利润</v>
      </c>
      <c r="B49" t="str">
        <f>""</f>
        <v/>
      </c>
      <c r="E49" t="str">
        <f>"Median"</f>
        <v>Median</v>
      </c>
      <c r="F49" t="str">
        <f ca="1">IF(ISERROR(IF(MEDIAN($F$50:$F$57) = 0, "", MEDIAN($F$50:$F$57))), "", (IF(MEDIAN($F$50:$F$57) = 0, "", MEDIAN($F$50:$F$57))))</f>
        <v/>
      </c>
      <c r="G49">
        <f ca="1">IF(ISERROR(IF(MEDIAN($G$50:$G$57) = 0, "", MEDIAN($G$50:$G$57))), "", (IF(MEDIAN($G$50:$G$57) = 0, "", MEDIAN($G$50:$G$57))))</f>
        <v>200.82249999999999</v>
      </c>
      <c r="H49">
        <f ca="1">IF(ISERROR(IF(MEDIAN($H$50:$H$57) = 0, "", MEDIAN($H$50:$H$57))), "", (IF(MEDIAN($H$50:$H$57) = 0, "", MEDIAN($H$50:$H$57))))</f>
        <v>183.0265</v>
      </c>
      <c r="I49">
        <f ca="1">IF(ISERROR(IF(MEDIAN($I$50:$I$57) = 0, "", MEDIAN($I$50:$I$57))), "", (IF(MEDIAN($I$50:$I$57) = 0, "", MEDIAN($I$50:$I$57))))</f>
        <v>183.50650000000002</v>
      </c>
      <c r="J49">
        <f ca="1">IF(ISERROR(IF(MEDIAN($J$50:$J$57) = 0, "", MEDIAN($J$50:$J$57))), "", (IF(MEDIAN($J$50:$J$57) = 0, "", MEDIAN($J$50:$J$57))))</f>
        <v>181.88550000000001</v>
      </c>
      <c r="K49">
        <f ca="1">IF(ISERROR(IF(MEDIAN($K$50:$K$57) = 0, "", MEDIAN($K$50:$K$57))), "", (IF(MEDIAN($K$50:$K$57) = 0, "", MEDIAN($K$50:$K$57))))</f>
        <v>163.69400000000002</v>
      </c>
      <c r="L49">
        <f ca="1">IF(ISERROR(IF(MEDIAN($L$50:$L$57) = 0, "", MEDIAN($L$50:$L$57))), "", (IF(MEDIAN($L$50:$L$57) = 0, "", MEDIAN($L$50:$L$57))))</f>
        <v>151.678</v>
      </c>
      <c r="M49">
        <f ca="1">IF(ISERROR(IF(MEDIAN($M$50:$M$57) = 0, "", MEDIAN($M$50:$M$57))), "", (IF(MEDIAN($M$50:$M$57) = 0, "", MEDIAN($M$50:$M$57))))</f>
        <v>149.441</v>
      </c>
      <c r="N49">
        <f ca="1">IF(ISERROR(IF(MEDIAN($N$50:$N$57) = 0, "", MEDIAN($N$50:$N$57))), "", (IF(MEDIAN($N$50:$N$57) = 0, "", MEDIAN($N$50:$N$57))))</f>
        <v>146.76749999999998</v>
      </c>
      <c r="O49">
        <f ca="1">IF(ISERROR(IF(MEDIAN($O$50:$O$57) = 0, "", MEDIAN($O$50:$O$57))), "", (IF(MEDIAN($O$50:$O$57) = 0, "", MEDIAN($O$50:$O$57))))</f>
        <v>147.92400000000001</v>
      </c>
      <c r="P49">
        <f ca="1">IF(ISERROR(IF(MEDIAN($P$50:$P$57) = 0, "", MEDIAN($P$50:$P$57))), "", (IF(MEDIAN($P$50:$P$57) = 0, "", MEDIAN($P$50:$P$57))))</f>
        <v>139.01</v>
      </c>
      <c r="Q49">
        <f ca="1">IF(ISERROR(IF(MEDIAN($Q$50:$Q$57) = 0, "", MEDIAN($Q$50:$Q$57))), "", (IF(MEDIAN($Q$50:$Q$57) = 0, "", MEDIAN($Q$50:$Q$57))))</f>
        <v>136.452</v>
      </c>
      <c r="R49">
        <f ca="1">IF(ISERROR(IF(MEDIAN($R$50:$R$57) = 0, "", MEDIAN($R$50:$R$57))), "", (IF(MEDIAN($R$50:$R$57) = 0, "", MEDIAN($R$50:$R$57))))</f>
        <v>131.84049999999999</v>
      </c>
      <c r="S49">
        <f ca="1">IF(ISERROR(IF(MEDIAN($S$50:$S$57) = 0, "", MEDIAN($S$50:$S$57))), "", (IF(MEDIAN($S$50:$S$57) = 0, "", MEDIAN($S$50:$S$57))))</f>
        <v>131.89449999999999</v>
      </c>
      <c r="T49">
        <f ca="1">IF(ISERROR(IF(MEDIAN($T$50:$T$57) = 0, "", MEDIAN($T$50:$T$57))), "", (IF(MEDIAN($T$50:$T$57) = 0, "", MEDIAN($T$50:$T$57))))</f>
        <v>126.245</v>
      </c>
      <c r="U49">
        <f ca="1">IF(ISERROR(IF(MEDIAN($U$50:$U$57) = 0, "", MEDIAN($U$50:$U$57))), "", (IF(MEDIAN($U$50:$U$57) = 0, "", MEDIAN($U$50:$U$57))))</f>
        <v>125.4105</v>
      </c>
      <c r="V49">
        <f ca="1">IF(ISERROR(IF(MEDIAN($V$50:$V$57) = 0, "", MEDIAN($V$50:$V$57))), "", (IF(MEDIAN($V$50:$V$57) = 0, "", MEDIAN($V$50:$V$57))))</f>
        <v>112.70699999999999</v>
      </c>
      <c r="W49">
        <f ca="1">IF(ISERROR(IF(MEDIAN($W$50:$W$57) = 0, "", MEDIAN($W$50:$W$57))), "", (IF(MEDIAN($W$50:$W$57) = 0, "", MEDIAN($W$50:$W$57))))</f>
        <v>110.625</v>
      </c>
      <c r="X49">
        <f ca="1">IF(ISERROR(IF(MEDIAN($X$50:$X$57) = 0, "", MEDIAN($X$50:$X$57))), "", (IF(MEDIAN($X$50:$X$57) = 0, "", MEDIAN($X$50:$X$57))))</f>
        <v>99.817499999999995</v>
      </c>
      <c r="Y49">
        <f ca="1">IF(ISERROR(IF(MEDIAN($Y$50:$Y$57) = 0, "", MEDIAN($Y$50:$Y$57))), "", (IF(MEDIAN($Y$50:$Y$57) = 0, "", MEDIAN($Y$50:$Y$57))))</f>
        <v>97.827500000000001</v>
      </c>
      <c r="Z49">
        <f ca="1">IF(ISERROR(IF(MEDIAN($Z$50:$Z$57) = 0, "", MEDIAN($Z$50:$Z$57))), "", (IF(MEDIAN($Z$50:$Z$57) = 0, "", MEDIAN($Z$50:$Z$57))))</f>
        <v>95.17949999999999</v>
      </c>
      <c r="AA49">
        <f ca="1">IF(ISERROR(IF(MEDIAN($AA$50:$AA$57) = 0, "", MEDIAN($AA$50:$AA$57))), "", (IF(MEDIAN($AA$50:$AA$57) = 0, "", MEDIAN($AA$50:$AA$57))))</f>
        <v>92.43</v>
      </c>
      <c r="AB49">
        <f ca="1">IF(ISERROR(IF(MEDIAN($AB$50:$AB$57) = 0, "", MEDIAN($AB$50:$AB$57))), "", (IF(MEDIAN($AB$50:$AB$57) = 0, "", MEDIAN($AB$50:$AB$57))))</f>
        <v>87.69</v>
      </c>
      <c r="AC49">
        <f ca="1">IF(ISERROR(IF(MEDIAN($AC$50:$AC$57) = 0, "", MEDIAN($AC$50:$AC$57))), "", (IF(MEDIAN($AC$50:$AC$57) = 0, "", MEDIAN($AC$50:$AC$57))))</f>
        <v>85.661500000000004</v>
      </c>
      <c r="AD49">
        <f ca="1">IF(ISERROR(IF(MEDIAN($AD$50:$AD$57) = 0, "", MEDIAN($AD$50:$AD$57))), "", (IF(MEDIAN($AD$50:$AD$57) = 0, "", MEDIAN($AD$50:$AD$57))))</f>
        <v>82.388499999999993</v>
      </c>
      <c r="AE49">
        <f ca="1">IF(ISERROR(IF(MEDIAN($AE$50:$AE$57) = 0, "", MEDIAN($AE$50:$AE$57))), "", (IF(MEDIAN($AE$50:$AE$57) = 0, "", MEDIAN($AE$50:$AE$57))))</f>
        <v>78.923000000000002</v>
      </c>
      <c r="AF49">
        <f ca="1">IF(ISERROR(IF(MEDIAN($AF$50:$AF$57) = 0, "", MEDIAN($AF$50:$AF$57))), "", (IF(MEDIAN($AF$50:$AF$57) = 0, "", MEDIAN($AF$50:$AF$57))))</f>
        <v>74.063500000000005</v>
      </c>
      <c r="AG49">
        <f ca="1">IF(ISERROR(IF(MEDIAN($AG$50:$AG$57) = 0, "", MEDIAN($AG$50:$AG$57))), "", (IF(MEDIAN($AG$50:$AG$57) = 0, "", MEDIAN($AG$50:$AG$57))))</f>
        <v>72.775499999999994</v>
      </c>
      <c r="AH49">
        <f ca="1">IF(ISERROR(IF(MEDIAN($AH$50:$AH$57) = 0, "", MEDIAN($AH$50:$AH$57))), "", (IF(MEDIAN($AH$50:$AH$57) = 0, "", MEDIAN($AH$50:$AH$57))))</f>
        <v>71.033500000000004</v>
      </c>
      <c r="AI49">
        <f ca="1">IF(ISERROR(IF(MEDIAN($AI$50:$AI$57) = 0, "", MEDIAN($AI$50:$AI$57))), "", (IF(MEDIAN($AI$50:$AI$57) = 0, "", MEDIAN($AI$50:$AI$57))))</f>
        <v>69.772999999999996</v>
      </c>
      <c r="AJ49">
        <f ca="1">IF(ISERROR(IF(MEDIAN($AJ$50:$AJ$57) = 0, "", MEDIAN($AJ$50:$AJ$57))), "", (IF(MEDIAN($AJ$50:$AJ$57) = 0, "", MEDIAN($AJ$50:$AJ$57))))</f>
        <v>65.540999999999997</v>
      </c>
      <c r="AK49">
        <f ca="1">IF(ISERROR(IF(MEDIAN($AK$50:$AK$57) = 0, "", MEDIAN($AK$50:$AK$57))), "", (IF(MEDIAN($AK$50:$AK$57) = 0, "", MEDIAN($AK$50:$AK$57))))</f>
        <v>64.409499999999994</v>
      </c>
      <c r="AL49">
        <f ca="1">IF(ISERROR(IF(MEDIAN($AL$50:$AL$57) = 0, "", MEDIAN($AL$50:$AL$57))), "", (IF(MEDIAN($AL$50:$AL$57) = 0, "", MEDIAN($AL$50:$AL$57))))</f>
        <v>64.724999999999994</v>
      </c>
      <c r="AM49">
        <f ca="1">IF(ISERROR(IF(MEDIAN($AM$50:$AM$57) = 0, "", MEDIAN($AM$50:$AM$57))), "", (IF(MEDIAN($AM$50:$AM$57) = 0, "", MEDIAN($AM$50:$AM$57))))</f>
        <v>65.995499999999993</v>
      </c>
      <c r="AN49">
        <f ca="1">IF(ISERROR(IF(MEDIAN($AN$50:$AN$57) = 0, "", MEDIAN($AN$50:$AN$57))), "", (IF(MEDIAN($AN$50:$AN$57) = 0, "", MEDIAN($AN$50:$AN$57))))</f>
        <v>65.320499999999996</v>
      </c>
      <c r="AO49">
        <f ca="1">IF(ISERROR(IF(MEDIAN($AO$50:$AO$57) = 0, "", MEDIAN($AO$50:$AO$57))), "", (IF(MEDIAN($AO$50:$AO$57) = 0, "", MEDIAN($AO$50:$AO$57))))</f>
        <v>69.233500000000006</v>
      </c>
      <c r="AP49">
        <f ca="1">IF(ISERROR(IF(MEDIAN($AP$50:$AP$57) = 0, "", MEDIAN($AP$50:$AP$57))), "", (IF(MEDIAN($AP$50:$AP$57) = 0, "", MEDIAN($AP$50:$AP$57))))</f>
        <v>71.819999999999993</v>
      </c>
      <c r="AQ49">
        <f ca="1">IF(ISERROR(IF(MEDIAN($AQ$50:$AQ$57) = 0, "", MEDIAN($AQ$50:$AQ$57))), "", (IF(MEDIAN($AQ$50:$AQ$57) = 0, "", MEDIAN($AQ$50:$AQ$57))))</f>
        <v>70.548000000000002</v>
      </c>
      <c r="AR49">
        <f ca="1">IF(ISERROR(IF(MEDIAN($AR$50:$AR$57) = 0, "", MEDIAN($AR$50:$AR$57))), "", (IF(MEDIAN($AR$50:$AR$57) = 0, "", MEDIAN($AR$50:$AR$57))))</f>
        <v>69.464500000000001</v>
      </c>
      <c r="AS49">
        <f ca="1">IF(ISERROR(IF(MEDIAN($AS$50:$AS$57) = 0, "", MEDIAN($AS$50:$AS$57))), "", (IF(MEDIAN($AS$50:$AS$57) = 0, "", MEDIAN($AS$50:$AS$57))))</f>
        <v>71.12299999999999</v>
      </c>
      <c r="AT49">
        <f ca="1">IF(ISERROR(IF(MEDIAN($AT$50:$AT$57) = 0, "", MEDIAN($AT$50:$AT$57))), "", (IF(MEDIAN($AT$50:$AT$57) = 0, "", MEDIAN($AT$50:$AT$57))))</f>
        <v>70.898499999999999</v>
      </c>
      <c r="AU49">
        <f ca="1">IF(ISERROR(IF(MEDIAN($AU$50:$AU$57) = 0, "", MEDIAN($AU$50:$AU$57))), "", (IF(MEDIAN($AU$50:$AU$57) = 0, "", MEDIAN($AU$50:$AU$57))))</f>
        <v>69.396000000000001</v>
      </c>
      <c r="AV49">
        <f ca="1">IF(ISERROR(IF(MEDIAN($AV$50:$AV$57) = 0, "", MEDIAN($AV$50:$AV$57))), "", (IF(MEDIAN($AV$50:$AV$57) = 0, "", MEDIAN($AV$50:$AV$57))))</f>
        <v>68.29849999999999</v>
      </c>
      <c r="AW49">
        <f ca="1">IF(ISERROR(IF(MEDIAN($AW$50:$AW$57) = 0, "", MEDIAN($AW$50:$AW$57))), "", (IF(MEDIAN($AW$50:$AW$57) = 0, "", MEDIAN($AW$50:$AW$57))))</f>
        <v>70.049499999999995</v>
      </c>
      <c r="AX49">
        <f ca="1">IF(ISERROR(IF(MEDIAN($AX$50:$AX$57) = 0, "", MEDIAN($AX$50:$AX$57))), "", (IF(MEDIAN($AX$50:$AX$57) = 0, "", MEDIAN($AX$50:$AX$57))))</f>
        <v>67.774000000000001</v>
      </c>
      <c r="AY49">
        <f ca="1">IF(ISERROR(IF(MEDIAN($AY$50:$AY$57) = 0, "", MEDIAN($AY$50:$AY$57))), "", (IF(MEDIAN($AY$50:$AY$57) = 0, "", MEDIAN($AY$50:$AY$57))))</f>
        <v>67.138999999999996</v>
      </c>
      <c r="AZ49">
        <f ca="1">IF(ISERROR(IF(MEDIAN($AZ$50:$AZ$57) = 0, "", MEDIAN($AZ$50:$AZ$57))), "", (IF(MEDIAN($AZ$50:$AZ$57) = 0, "", MEDIAN($AZ$50:$AZ$57))))</f>
        <v>69.897999999999996</v>
      </c>
      <c r="BA49">
        <f ca="1">IF(ISERROR(IF(MEDIAN($BA$50:$BA$57) = 0, "", MEDIAN($BA$50:$BA$57))), "", (IF(MEDIAN($BA$50:$BA$57) = 0, "", MEDIAN($BA$50:$BA$57))))</f>
        <v>64.4495</v>
      </c>
      <c r="BB49">
        <f ca="1">IF(ISERROR(IF(MEDIAN($BB$50:$BB$57) = 0, "", MEDIAN($BB$50:$BB$57))), "", (IF(MEDIAN($BB$50:$BB$57) = 0, "", MEDIAN($BB$50:$BB$57))))</f>
        <v>64.839500000000001</v>
      </c>
      <c r="BC49">
        <f ca="1">IF(ISERROR(IF(MEDIAN($BC$50:$BC$57) = 0, "", MEDIAN($BC$50:$BC$57))), "", (IF(MEDIAN($BC$50:$BC$57) = 0, "", MEDIAN($BC$50:$BC$57))))</f>
        <v>55.540499999999994</v>
      </c>
      <c r="BD49">
        <f ca="1">IF(ISERROR(IF(MEDIAN($BD$50:$BD$57) = 0, "", MEDIAN($BD$50:$BD$57))), "", (IF(MEDIAN($BD$50:$BD$57) = 0, "", MEDIAN($BD$50:$BD$57))))</f>
        <v>66.900000000000006</v>
      </c>
      <c r="BE49">
        <f ca="1">IF(ISERROR(IF(MEDIAN($BE$50:$BE$57) = 0, "", MEDIAN($BE$50:$BE$57))), "", (IF(MEDIAN($BE$50:$BE$57) = 0, "", MEDIAN($BE$50:$BE$57))))</f>
        <v>61.0625</v>
      </c>
      <c r="BF49">
        <f ca="1">IF(ISERROR(IF(MEDIAN($BF$50:$BF$57) = 0, "", MEDIAN($BF$50:$BF$57))), "", (IF(MEDIAN($BF$50:$BF$57) = 0, "", MEDIAN($BF$50:$BF$57))))</f>
        <v>58.4345</v>
      </c>
      <c r="BG49">
        <f ca="1">IF(ISERROR(IF(MEDIAN($BG$50:$BG$57) = 0, "", MEDIAN($BG$50:$BG$57))), "", (IF(MEDIAN($BG$50:$BG$57) = 0, "", MEDIAN($BG$50:$BG$57))))</f>
        <v>48.993000000000002</v>
      </c>
      <c r="BH49">
        <f ca="1">IF(ISERROR(IF(MEDIAN($BH$50:$BH$57) = 0, "", MEDIAN($BH$50:$BH$57))), "", (IF(MEDIAN($BH$50:$BH$57) = 0, "", MEDIAN($BH$50:$BH$57))))</f>
        <v>62.508000000000003</v>
      </c>
      <c r="BI49">
        <f ca="1">IF(ISERROR(IF(MEDIAN($BI$50:$BI$57) = 0, "", MEDIAN($BI$50:$BI$57))), "", (IF(MEDIAN($BI$50:$BI$57) = 0, "", MEDIAN($BI$50:$BI$57))))</f>
        <v>49.914997999999997</v>
      </c>
      <c r="BJ49">
        <f ca="1">IF(ISERROR(IF(MEDIAN($BJ$50:$BJ$57) = 0, "", MEDIAN($BJ$50:$BJ$57))), "", (IF(MEDIAN($BJ$50:$BJ$57) = 0, "", MEDIAN($BJ$50:$BJ$57))))</f>
        <v>52.723998999999999</v>
      </c>
      <c r="BK49">
        <f ca="1">IF(ISERROR(IF(MEDIAN($BK$50:$BK$57) = 0, "", MEDIAN($BK$50:$BK$57))), "", (IF(MEDIAN($BK$50:$BK$57) = 0, "", MEDIAN($BK$50:$BK$57))))</f>
        <v>54.179004069999998</v>
      </c>
      <c r="BL49">
        <f ca="1">IF(ISERROR(IF(MEDIAN($BL$50:$BL$57) = 0, "", MEDIAN($BL$50:$BL$57))), "", (IF(MEDIAN($BL$50:$BL$57) = 0, "", MEDIAN($BL$50:$BL$57))))</f>
        <v>70.226999000000006</v>
      </c>
      <c r="BM49">
        <f ca="1">IF(ISERROR(IF(MEDIAN($BM$50:$BM$57) = 0, "", MEDIAN($BM$50:$BM$57))), "", (IF(MEDIAN($BM$50:$BM$57) = 0, "", MEDIAN($BM$50:$BM$57))))</f>
        <v>70.876499999999993</v>
      </c>
      <c r="BN49" t="str">
        <f>""</f>
        <v/>
      </c>
      <c r="BO49">
        <f>200.8225</f>
        <v>200.82249999999999</v>
      </c>
      <c r="BP49">
        <f>183.0265</f>
        <v>183.0265</v>
      </c>
      <c r="BQ49">
        <f>183.5065</f>
        <v>183.50649999999999</v>
      </c>
      <c r="BR49">
        <f>181.8855</f>
        <v>181.88550000000001</v>
      </c>
      <c r="BS49">
        <f>163.694</f>
        <v>163.69399999999999</v>
      </c>
      <c r="BT49">
        <f>151.678</f>
        <v>151.678</v>
      </c>
      <c r="BU49">
        <f>149.441</f>
        <v>149.441</v>
      </c>
      <c r="BV49">
        <f>146.7675</f>
        <v>146.76750000000001</v>
      </c>
      <c r="BW49">
        <f>147.924</f>
        <v>147.92400000000001</v>
      </c>
      <c r="BX49">
        <f>139.01</f>
        <v>139.01</v>
      </c>
      <c r="BY49">
        <f>136.452</f>
        <v>136.452</v>
      </c>
      <c r="BZ49">
        <f>131.8405</f>
        <v>131.84049999999999</v>
      </c>
      <c r="CA49">
        <f>131.8945</f>
        <v>131.89449999999999</v>
      </c>
      <c r="CB49">
        <f>126.245</f>
        <v>126.245</v>
      </c>
      <c r="CC49">
        <f>125.4105</f>
        <v>125.4105</v>
      </c>
      <c r="CD49">
        <f>112.707</f>
        <v>112.70699999999999</v>
      </c>
      <c r="CE49">
        <f>110.625</f>
        <v>110.625</v>
      </c>
      <c r="CF49">
        <f>99.8175</f>
        <v>99.817499999999995</v>
      </c>
      <c r="CG49">
        <f>97.8275</f>
        <v>97.827500000000001</v>
      </c>
      <c r="CH49">
        <f>95.1795</f>
        <v>95.179500000000004</v>
      </c>
      <c r="CI49">
        <f>92.43</f>
        <v>92.43</v>
      </c>
      <c r="CJ49">
        <f>87.69</f>
        <v>87.69</v>
      </c>
      <c r="CK49">
        <f>85.6615</f>
        <v>85.661500000000004</v>
      </c>
      <c r="CL49">
        <f>82.3885</f>
        <v>82.388499999999993</v>
      </c>
      <c r="CM49">
        <f>78.923</f>
        <v>78.923000000000002</v>
      </c>
      <c r="CN49">
        <f>74.0635</f>
        <v>74.063500000000005</v>
      </c>
      <c r="CO49">
        <f>72.7755</f>
        <v>72.775499999999994</v>
      </c>
      <c r="CP49">
        <f>71.0335</f>
        <v>71.033500000000004</v>
      </c>
      <c r="CQ49">
        <f>69.773</f>
        <v>69.772999999999996</v>
      </c>
      <c r="CR49">
        <f>65.541</f>
        <v>65.540999999999997</v>
      </c>
      <c r="CS49">
        <f>64.4095</f>
        <v>64.409499999999994</v>
      </c>
      <c r="CT49">
        <f>64.725</f>
        <v>64.724999999999994</v>
      </c>
      <c r="CU49">
        <f>65.9955</f>
        <v>65.995500000000007</v>
      </c>
      <c r="CV49">
        <f>65.3205</f>
        <v>65.320499999999996</v>
      </c>
      <c r="CW49">
        <f>69.2335</f>
        <v>69.233500000000006</v>
      </c>
      <c r="CX49">
        <f>71.82</f>
        <v>71.819999999999993</v>
      </c>
      <c r="CY49">
        <f>70.548</f>
        <v>70.548000000000002</v>
      </c>
      <c r="CZ49">
        <f>69.4645</f>
        <v>69.464500000000001</v>
      </c>
      <c r="DA49">
        <f>71.123</f>
        <v>71.123000000000005</v>
      </c>
      <c r="DB49">
        <f>70.8985</f>
        <v>70.898499999999999</v>
      </c>
      <c r="DC49">
        <f>69.396</f>
        <v>69.396000000000001</v>
      </c>
      <c r="DD49">
        <f>68.2985</f>
        <v>68.298500000000004</v>
      </c>
      <c r="DE49">
        <f>70.0495</f>
        <v>70.049499999999995</v>
      </c>
      <c r="DF49">
        <f>67.774</f>
        <v>67.774000000000001</v>
      </c>
      <c r="DG49">
        <f>67.139</f>
        <v>67.138999999999996</v>
      </c>
      <c r="DH49">
        <f>69.898</f>
        <v>69.897999999999996</v>
      </c>
      <c r="DI49">
        <f>64.4495</f>
        <v>64.4495</v>
      </c>
      <c r="DJ49">
        <f>64.8395</f>
        <v>64.839500000000001</v>
      </c>
      <c r="DK49">
        <f>55.5405</f>
        <v>55.540500000000002</v>
      </c>
      <c r="DL49">
        <f>66.9</f>
        <v>66.900000000000006</v>
      </c>
      <c r="DM49">
        <f>61.0625</f>
        <v>61.0625</v>
      </c>
      <c r="DN49">
        <f>58.4345</f>
        <v>58.4345</v>
      </c>
      <c r="DO49">
        <f>48.993</f>
        <v>48.993000000000002</v>
      </c>
      <c r="DP49">
        <f>62.508</f>
        <v>62.508000000000003</v>
      </c>
      <c r="DQ49">
        <f>49.914998</f>
        <v>49.914997999999997</v>
      </c>
      <c r="DR49">
        <f>52.723999</f>
        <v>52.723998999999999</v>
      </c>
      <c r="DS49">
        <f>54.17900407</f>
        <v>54.179004069999998</v>
      </c>
      <c r="DT49">
        <f>70.226999</f>
        <v>70.226999000000006</v>
      </c>
      <c r="DU49">
        <f>70.8765</f>
        <v>70.876499999999993</v>
      </c>
    </row>
    <row r="50" spans="1:125">
      <c r="A50" t="str">
        <f>"    American Campus Communities In"</f>
        <v xml:space="preserve">    American Campus Communities In</v>
      </c>
      <c r="B50" t="str">
        <f>"ACC US Equity"</f>
        <v>ACC US Equity</v>
      </c>
      <c r="C50" t="str">
        <f t="shared" ref="C50:C57" si="15">"RR502"</f>
        <v>RR502</v>
      </c>
      <c r="D50" t="str">
        <f t="shared" ref="D50:D57" si="16">"NET_OPER_INCOME"</f>
        <v>NET_OPER_INCOME</v>
      </c>
      <c r="E50" t="str">
        <f t="shared" ref="E50:E57" si="17">"动态"</f>
        <v>动态</v>
      </c>
      <c r="F50" t="str">
        <f ca="1">IF(AND(ISNUMBER($F$268),$B$226=1),$F$268,HLOOKUP(INDIRECT(ADDRESS(2,COLUMN())),OFFSET($BN$2,0,0,ROW()-1,60),ROW()-1,FALSE))</f>
        <v/>
      </c>
      <c r="G50">
        <f ca="1">IF(AND(ISNUMBER($G$268),$B$226=1),$G$268,HLOOKUP(INDIRECT(ADDRESS(2,COLUMN())),OFFSET($BN$2,0,0,ROW()-1,60),ROW()-1,FALSE))</f>
        <v>131.35599999999999</v>
      </c>
      <c r="H50">
        <f ca="1">IF(AND(ISNUMBER($H$268),$B$226=1),$H$268,HLOOKUP(INDIRECT(ADDRESS(2,COLUMN())),OFFSET($BN$2,0,0,ROW()-1,60),ROW()-1,FALSE))</f>
        <v>83.105000000000004</v>
      </c>
      <c r="I50">
        <f ca="1">IF(AND(ISNUMBER($I$268),$B$226=1),$I$268,HLOOKUP(INDIRECT(ADDRESS(2,COLUMN())),OFFSET($BN$2,0,0,ROW()-1,60),ROW()-1,FALSE))</f>
        <v>92.259</v>
      </c>
      <c r="J50">
        <f ca="1">IF(AND(ISNUMBER($J$268),$B$226=1),$J$268,HLOOKUP(INDIRECT(ADDRESS(2,COLUMN())),OFFSET($BN$2,0,0,ROW()-1,60),ROW()-1,FALSE))</f>
        <v>106.941</v>
      </c>
      <c r="K50">
        <f ca="1">IF(AND(ISNUMBER($K$268),$B$226=1),$K$268,HLOOKUP(INDIRECT(ADDRESS(2,COLUMN())),OFFSET($BN$2,0,0,ROW()-1,60),ROW()-1,FALSE))</f>
        <v>112.645</v>
      </c>
      <c r="L50">
        <f ca="1">IF(AND(ISNUMBER($L$268),$B$226=1),$L$268,HLOOKUP(INDIRECT(ADDRESS(2,COLUMN())),OFFSET($BN$2,0,0,ROW()-1,60),ROW()-1,FALSE))</f>
        <v>85.137</v>
      </c>
      <c r="M50">
        <f ca="1">IF(AND(ISNUMBER($M$268),$B$226=1),$M$268,HLOOKUP(INDIRECT(ADDRESS(2,COLUMN())),OFFSET($BN$2,0,0,ROW()-1,60),ROW()-1,FALSE))</f>
        <v>96.100999999999999</v>
      </c>
      <c r="N50">
        <f ca="1">IF(AND(ISNUMBER($N$268),$B$226=1),$N$268,HLOOKUP(INDIRECT(ADDRESS(2,COLUMN())),OFFSET($BN$2,0,0,ROW()-1,60),ROW()-1,FALSE))</f>
        <v>110.223</v>
      </c>
      <c r="O50">
        <f ca="1">IF(AND(ISNUMBER($O$268),$B$226=1),$O$268,HLOOKUP(INDIRECT(ADDRESS(2,COLUMN())),OFFSET($BN$2,0,0,ROW()-1,60),ROW()-1,FALSE))</f>
        <v>110.995</v>
      </c>
      <c r="P50">
        <f ca="1">IF(AND(ISNUMBER($P$268),$B$226=1),$P$268,HLOOKUP(INDIRECT(ADDRESS(2,COLUMN())),OFFSET($BN$2,0,0,ROW()-1,60),ROW()-1,FALSE))</f>
        <v>73.796000000000006</v>
      </c>
      <c r="Q50">
        <f ca="1">IF(AND(ISNUMBER($Q$268),$B$226=1),$Q$268,HLOOKUP(INDIRECT(ADDRESS(2,COLUMN())),OFFSET($BN$2,0,0,ROW()-1,60),ROW()-1,FALSE))</f>
        <v>89.39</v>
      </c>
      <c r="R50">
        <f ca="1">IF(AND(ISNUMBER($R$268),$B$226=1),$R$268,HLOOKUP(INDIRECT(ADDRESS(2,COLUMN())),OFFSET($BN$2,0,0,ROW()-1,60),ROW()-1,FALSE))</f>
        <v>104.276</v>
      </c>
      <c r="S50">
        <f ca="1">IF(AND(ISNUMBER($S$268),$B$226=1),$S$268,HLOOKUP(INDIRECT(ADDRESS(2,COLUMN())),OFFSET($BN$2,0,0,ROW()-1,60),ROW()-1,FALSE))</f>
        <v>107.524</v>
      </c>
      <c r="T50">
        <f ca="1">IF(AND(ISNUMBER($T$268),$B$226=1),$T$268,HLOOKUP(INDIRECT(ADDRESS(2,COLUMN())),OFFSET($BN$2,0,0,ROW()-1,60),ROW()-1,FALSE))</f>
        <v>73.049000000000007</v>
      </c>
      <c r="U50">
        <f ca="1">IF(AND(ISNUMBER($U$268),$B$226=1),$U$268,HLOOKUP(INDIRECT(ADDRESS(2,COLUMN())),OFFSET($BN$2,0,0,ROW()-1,60),ROW()-1,FALSE))</f>
        <v>86.671999999999997</v>
      </c>
      <c r="V50">
        <f ca="1">IF(AND(ISNUMBER($V$268),$B$226=1),$V$268,HLOOKUP(INDIRECT(ADDRESS(2,COLUMN())),OFFSET($BN$2,0,0,ROW()-1,60),ROW()-1,FALSE))</f>
        <v>99.483999999999995</v>
      </c>
      <c r="W50">
        <f ca="1">IF(AND(ISNUMBER($W$268),$B$226=1),$W$268,HLOOKUP(INDIRECT(ADDRESS(2,COLUMN())),OFFSET($BN$2,0,0,ROW()-1,60),ROW()-1,FALSE))</f>
        <v>98.915999999999997</v>
      </c>
      <c r="X50">
        <f ca="1">IF(AND(ISNUMBER($X$268),$B$226=1),$X$268,HLOOKUP(INDIRECT(ADDRESS(2,COLUMN())),OFFSET($BN$2,0,0,ROW()-1,60),ROW()-1,FALSE))</f>
        <v>62.872</v>
      </c>
      <c r="Y50">
        <f ca="1">IF(AND(ISNUMBER($Y$268),$B$226=1),$Y$268,HLOOKUP(INDIRECT(ADDRESS(2,COLUMN())),OFFSET($BN$2,0,0,ROW()-1,60),ROW()-1,FALSE))</f>
        <v>76.792000000000002</v>
      </c>
      <c r="Z50">
        <f ca="1">IF(AND(ISNUMBER($Z$268),$B$226=1),$Z$268,HLOOKUP(INDIRECT(ADDRESS(2,COLUMN())),OFFSET($BN$2,0,0,ROW()-1,60),ROW()-1,FALSE))</f>
        <v>90.016000000000005</v>
      </c>
      <c r="AA50">
        <f ca="1">IF(AND(ISNUMBER($AA$268),$B$226=1),$AA$268,HLOOKUP(INDIRECT(ADDRESS(2,COLUMN())),OFFSET($BN$2,0,0,ROW()-1,60),ROW()-1,FALSE))</f>
        <v>81.244</v>
      </c>
      <c r="AB50">
        <f ca="1">IF(AND(ISNUMBER($AB$268),$B$226=1),$AB$268,HLOOKUP(INDIRECT(ADDRESS(2,COLUMN())),OFFSET($BN$2,0,0,ROW()-1,60),ROW()-1,FALSE))</f>
        <v>46.19</v>
      </c>
      <c r="AC50">
        <f ca="1">IF(AND(ISNUMBER($AC$268),$B$226=1),$AC$268,HLOOKUP(INDIRECT(ADDRESS(2,COLUMN())),OFFSET($BN$2,0,0,ROW()-1,60),ROW()-1,FALSE))</f>
        <v>47.725999999999999</v>
      </c>
      <c r="AD50">
        <f ca="1">IF(AND(ISNUMBER($AD$268),$B$226=1),$AD$268,HLOOKUP(INDIRECT(ADDRESS(2,COLUMN())),OFFSET($BN$2,0,0,ROW()-1,60),ROW()-1,FALSE))</f>
        <v>56.241999999999997</v>
      </c>
      <c r="AE50">
        <f ca="1">IF(AND(ISNUMBER($AE$268),$B$226=1),$AE$268,HLOOKUP(INDIRECT(ADDRESS(2,COLUMN())),OFFSET($BN$2,0,0,ROW()-1,60),ROW()-1,FALSE))</f>
        <v>54.970999999999997</v>
      </c>
      <c r="AF50">
        <f ca="1">IF(AND(ISNUMBER($AF$268),$B$226=1),$AF$268,HLOOKUP(INDIRECT(ADDRESS(2,COLUMN())),OFFSET($BN$2,0,0,ROW()-1,60),ROW()-1,FALSE))</f>
        <v>38.445</v>
      </c>
      <c r="AG50">
        <f ca="1">IF(AND(ISNUMBER($AG$268),$B$226=1),$AG$268,HLOOKUP(INDIRECT(ADDRESS(2,COLUMN())),OFFSET($BN$2,0,0,ROW()-1,60),ROW()-1,FALSE))</f>
        <v>44.542999999999999</v>
      </c>
      <c r="AH50">
        <f ca="1">IF(AND(ISNUMBER($AH$268),$B$226=1),$AH$268,HLOOKUP(INDIRECT(ADDRESS(2,COLUMN())),OFFSET($BN$2,0,0,ROW()-1,60),ROW()-1,FALSE))</f>
        <v>51.926000000000002</v>
      </c>
      <c r="AI50">
        <f ca="1">IF(AND(ISNUMBER($AI$268),$B$226=1),$AI$268,HLOOKUP(INDIRECT(ADDRESS(2,COLUMN())),OFFSET($BN$2,0,0,ROW()-1,60),ROW()-1,FALSE))</f>
        <v>49.460999999999999</v>
      </c>
      <c r="AJ50">
        <f ca="1">IF(AND(ISNUMBER($AJ$268),$B$226=1),$AJ$268,HLOOKUP(INDIRECT(ADDRESS(2,COLUMN())),OFFSET($BN$2,0,0,ROW()-1,60),ROW()-1,FALSE))</f>
        <v>32.85</v>
      </c>
      <c r="AK50">
        <f ca="1">IF(AND(ISNUMBER($AK$268),$B$226=1),$AK$268,HLOOKUP(INDIRECT(ADDRESS(2,COLUMN())),OFFSET($BN$2,0,0,ROW()-1,60),ROW()-1,FALSE))</f>
        <v>34.968000000000004</v>
      </c>
      <c r="AL50">
        <f ca="1">IF(AND(ISNUMBER($AL$268),$B$226=1),$AL$268,HLOOKUP(INDIRECT(ADDRESS(2,COLUMN())),OFFSET($BN$2,0,0,ROW()-1,60),ROW()-1,FALSE))</f>
        <v>42.372</v>
      </c>
      <c r="AM50">
        <f ca="1">IF(AND(ISNUMBER($AM$268),$B$226=1),$AM$268,HLOOKUP(INDIRECT(ADDRESS(2,COLUMN())),OFFSET($BN$2,0,0,ROW()-1,60),ROW()-1,FALSE))</f>
        <v>42.731000000000002</v>
      </c>
      <c r="AN50">
        <f ca="1">IF(AND(ISNUMBER($AN$268),$B$226=1),$AN$268,HLOOKUP(INDIRECT(ADDRESS(2,COLUMN())),OFFSET($BN$2,0,0,ROW()-1,60),ROW()-1,FALSE))</f>
        <v>30.266999999999999</v>
      </c>
      <c r="AO50">
        <f ca="1">IF(AND(ISNUMBER($AO$268),$B$226=1),$AO$268,HLOOKUP(INDIRECT(ADDRESS(2,COLUMN())),OFFSET($BN$2,0,0,ROW()-1,60),ROW()-1,FALSE))</f>
        <v>31.122</v>
      </c>
      <c r="AP50">
        <f ca="1">IF(AND(ISNUMBER($AP$268),$B$226=1),$AP$268,HLOOKUP(INDIRECT(ADDRESS(2,COLUMN())),OFFSET($BN$2,0,0,ROW()-1,60),ROW()-1,FALSE))</f>
        <v>38.402000000000001</v>
      </c>
      <c r="AQ50">
        <f ca="1">IF(AND(ISNUMBER($AQ$268),$B$226=1),$AQ$268,HLOOKUP(INDIRECT(ADDRESS(2,COLUMN())),OFFSET($BN$2,0,0,ROW()-1,60),ROW()-1,FALSE))</f>
        <v>35.947000000000003</v>
      </c>
      <c r="AR50">
        <f ca="1">IF(AND(ISNUMBER($AR$268),$B$226=1),$AR$268,HLOOKUP(INDIRECT(ADDRESS(2,COLUMN())),OFFSET($BN$2,0,0,ROW()-1,60),ROW()-1,FALSE))</f>
        <v>21.134</v>
      </c>
      <c r="AS50">
        <f ca="1">IF(AND(ISNUMBER($AS$268),$B$226=1),$AS$268,HLOOKUP(INDIRECT(ADDRESS(2,COLUMN())),OFFSET($BN$2,0,0,ROW()-1,60),ROW()-1,FALSE))</f>
        <v>20.530999999999999</v>
      </c>
      <c r="AT50">
        <f ca="1">IF(AND(ISNUMBER($AT$268),$B$226=1),$AT$268,HLOOKUP(INDIRECT(ADDRESS(2,COLUMN())),OFFSET($BN$2,0,0,ROW()-1,60),ROW()-1,FALSE))</f>
        <v>20.7</v>
      </c>
      <c r="AU50">
        <f ca="1">IF(AND(ISNUMBER($AU$268),$B$226=1),$AU$268,HLOOKUP(INDIRECT(ADDRESS(2,COLUMN())),OFFSET($BN$2,0,0,ROW()-1,60),ROW()-1,FALSE))</f>
        <v>20.158999999999999</v>
      </c>
      <c r="AV50">
        <f ca="1">IF(AND(ISNUMBER($AV$268),$B$226=1),$AV$268,HLOOKUP(INDIRECT(ADDRESS(2,COLUMN())),OFFSET($BN$2,0,0,ROW()-1,60),ROW()-1,FALSE))</f>
        <v>14.113</v>
      </c>
      <c r="AW50">
        <f ca="1">IF(AND(ISNUMBER($AW$268),$B$226=1),$AW$268,HLOOKUP(INDIRECT(ADDRESS(2,COLUMN())),OFFSET($BN$2,0,0,ROW()-1,60),ROW()-1,FALSE))</f>
        <v>15.21</v>
      </c>
      <c r="AX50">
        <f ca="1">IF(AND(ISNUMBER($AX$268),$B$226=1),$AX$268,HLOOKUP(INDIRECT(ADDRESS(2,COLUMN())),OFFSET($BN$2,0,0,ROW()-1,60),ROW()-1,FALSE))</f>
        <v>18.727</v>
      </c>
      <c r="AY50">
        <f ca="1">IF(AND(ISNUMBER($AY$268),$B$226=1),$AY$268,HLOOKUP(INDIRECT(ADDRESS(2,COLUMN())),OFFSET($BN$2,0,0,ROW()-1,60),ROW()-1,FALSE))</f>
        <v>17.212</v>
      </c>
      <c r="AZ50">
        <f ca="1">IF(AND(ISNUMBER($AZ$268),$B$226=1),$AZ$268,HLOOKUP(INDIRECT(ADDRESS(2,COLUMN())),OFFSET($BN$2,0,0,ROW()-1,60),ROW()-1,FALSE))</f>
        <v>12.44</v>
      </c>
      <c r="BA50">
        <f ca="1">IF(AND(ISNUMBER($BA$268),$B$226=1),$BA$268,HLOOKUP(INDIRECT(ADDRESS(2,COLUMN())),OFFSET($BN$2,0,0,ROW()-1,60),ROW()-1,FALSE))</f>
        <v>11.717000000000001</v>
      </c>
      <c r="BB50">
        <f ca="1">IF(AND(ISNUMBER($BB$268),$B$226=1),$BB$268,HLOOKUP(INDIRECT(ADDRESS(2,COLUMN())),OFFSET($BN$2,0,0,ROW()-1,60),ROW()-1,FALSE))</f>
        <v>13.223000000000001</v>
      </c>
      <c r="BC50">
        <f ca="1">IF(AND(ISNUMBER($BC$268),$B$226=1),$BC$268,HLOOKUP(INDIRECT(ADDRESS(2,COLUMN())),OFFSET($BN$2,0,0,ROW()-1,60),ROW()-1,FALSE))</f>
        <v>8.4429999999999996</v>
      </c>
      <c r="BD50">
        <f ca="1">IF(AND(ISNUMBER($BD$268),$B$226=1),$BD$268,HLOOKUP(INDIRECT(ADDRESS(2,COLUMN())),OFFSET($BN$2,0,0,ROW()-1,60),ROW()-1,FALSE))</f>
        <v>7.6779999999999999</v>
      </c>
      <c r="BE50">
        <f ca="1">IF(AND(ISNUMBER($BE$268),$B$226=1),$BE$268,HLOOKUP(INDIRECT(ADDRESS(2,COLUMN())),OFFSET($BN$2,0,0,ROW()-1,60),ROW()-1,FALSE))</f>
        <v>7.7869999999999999</v>
      </c>
      <c r="BF50">
        <f ca="1">IF(AND(ISNUMBER($BF$268),$B$226=1),$BF$268,HLOOKUP(INDIRECT(ADDRESS(2,COLUMN())),OFFSET($BN$2,0,0,ROW()-1,60),ROW()-1,FALSE))</f>
        <v>9.2949999999999999</v>
      </c>
      <c r="BG50">
        <f ca="1">IF(AND(ISNUMBER($BG$268),$B$226=1),$BG$268,HLOOKUP(INDIRECT(ADDRESS(2,COLUMN())),OFFSET($BN$2,0,0,ROW()-1,60),ROW()-1,FALSE))</f>
        <v>8.7530000000000001</v>
      </c>
      <c r="BH50">
        <f ca="1">IF(AND(ISNUMBER($BH$268),$B$226=1),$BH$268,HLOOKUP(INDIRECT(ADDRESS(2,COLUMN())),OFFSET($BN$2,0,0,ROW()-1,60),ROW()-1,FALSE))</f>
        <v>4.2279999999999998</v>
      </c>
      <c r="BI50">
        <f ca="1">IF(AND(ISNUMBER($BI$268),$B$226=1),$BI$268,HLOOKUP(INDIRECT(ADDRESS(2,COLUMN())),OFFSET($BN$2,0,0,ROW()-1,60),ROW()-1,FALSE))</f>
        <v>3.7950004640000001</v>
      </c>
      <c r="BJ50">
        <f ca="1">IF(AND(ISNUMBER($BJ$268),$B$226=1),$BJ$268,HLOOKUP(INDIRECT(ADDRESS(2,COLUMN())),OFFSET($BN$2,0,0,ROW()-1,60),ROW()-1,FALSE))</f>
        <v>9.2269999980000001</v>
      </c>
      <c r="BK50">
        <f ca="1">IF(AND(ISNUMBER($BK$268),$B$226=1),$BK$268,HLOOKUP(INDIRECT(ADDRESS(2,COLUMN())),OFFSET($BN$2,0,0,ROW()-1,60),ROW()-1,FALSE))</f>
        <v>6.3730003240000004</v>
      </c>
      <c r="BL50" t="str">
        <f ca="1">IF(AND(ISNUMBER($BL$268),$B$226=1),$BL$268,HLOOKUP(INDIRECT(ADDRESS(2,COLUMN())),OFFSET($BN$2,0,0,ROW()-1,60),ROW()-1,FALSE))</f>
        <v/>
      </c>
      <c r="BM50" t="str">
        <f ca="1">IF(AND(ISNUMBER($BM$268),$B$226=1),$BM$268,HLOOKUP(INDIRECT(ADDRESS(2,COLUMN())),OFFSET($BN$2,0,0,ROW()-1,60),ROW()-1,FALSE))</f>
        <v/>
      </c>
      <c r="BN50" t="str">
        <f>""</f>
        <v/>
      </c>
      <c r="BO50">
        <f>131.356</f>
        <v>131.35599999999999</v>
      </c>
      <c r="BP50">
        <f>83.105</f>
        <v>83.105000000000004</v>
      </c>
      <c r="BQ50">
        <f>92.259</f>
        <v>92.259</v>
      </c>
      <c r="BR50">
        <f>106.941</f>
        <v>106.941</v>
      </c>
      <c r="BS50">
        <f>112.645</f>
        <v>112.645</v>
      </c>
      <c r="BT50">
        <f>85.137</f>
        <v>85.137</v>
      </c>
      <c r="BU50">
        <f>96.101</f>
        <v>96.100999999999999</v>
      </c>
      <c r="BV50">
        <f>110.223</f>
        <v>110.223</v>
      </c>
      <c r="BW50">
        <f>110.995</f>
        <v>110.995</v>
      </c>
      <c r="BX50">
        <f>73.796</f>
        <v>73.796000000000006</v>
      </c>
      <c r="BY50">
        <f>89.39</f>
        <v>89.39</v>
      </c>
      <c r="BZ50">
        <f>104.276</f>
        <v>104.276</v>
      </c>
      <c r="CA50">
        <f>107.524</f>
        <v>107.524</v>
      </c>
      <c r="CB50">
        <f>73.049</f>
        <v>73.049000000000007</v>
      </c>
      <c r="CC50">
        <f>86.672</f>
        <v>86.671999999999997</v>
      </c>
      <c r="CD50">
        <f>99.484</f>
        <v>99.483999999999995</v>
      </c>
      <c r="CE50">
        <f>98.916</f>
        <v>98.915999999999997</v>
      </c>
      <c r="CF50">
        <f>62.872</f>
        <v>62.872</v>
      </c>
      <c r="CG50">
        <f>76.792</f>
        <v>76.792000000000002</v>
      </c>
      <c r="CH50">
        <f>90.016</f>
        <v>90.016000000000005</v>
      </c>
      <c r="CI50">
        <f>81.244</f>
        <v>81.244</v>
      </c>
      <c r="CJ50">
        <f>46.19</f>
        <v>46.19</v>
      </c>
      <c r="CK50">
        <f>47.726</f>
        <v>47.725999999999999</v>
      </c>
      <c r="CL50">
        <f>56.242</f>
        <v>56.241999999999997</v>
      </c>
      <c r="CM50">
        <f>54.971</f>
        <v>54.970999999999997</v>
      </c>
      <c r="CN50">
        <f>38.445</f>
        <v>38.445</v>
      </c>
      <c r="CO50">
        <f>44.543</f>
        <v>44.542999999999999</v>
      </c>
      <c r="CP50">
        <f>51.926</f>
        <v>51.926000000000002</v>
      </c>
      <c r="CQ50">
        <f>49.461</f>
        <v>49.460999999999999</v>
      </c>
      <c r="CR50">
        <f>32.85</f>
        <v>32.85</v>
      </c>
      <c r="CS50">
        <f>34.968</f>
        <v>34.968000000000004</v>
      </c>
      <c r="CT50">
        <f>42.372</f>
        <v>42.372</v>
      </c>
      <c r="CU50">
        <f>42.731</f>
        <v>42.731000000000002</v>
      </c>
      <c r="CV50">
        <f>30.267</f>
        <v>30.266999999999999</v>
      </c>
      <c r="CW50">
        <f>31.122</f>
        <v>31.122</v>
      </c>
      <c r="CX50">
        <f>38.402</f>
        <v>38.402000000000001</v>
      </c>
      <c r="CY50">
        <f>35.947</f>
        <v>35.947000000000003</v>
      </c>
      <c r="CZ50">
        <f>21.134</f>
        <v>21.134</v>
      </c>
      <c r="DA50">
        <f>20.531</f>
        <v>20.530999999999999</v>
      </c>
      <c r="DB50">
        <f>20.7</f>
        <v>20.7</v>
      </c>
      <c r="DC50">
        <f>20.159</f>
        <v>20.158999999999999</v>
      </c>
      <c r="DD50">
        <f>14.113</f>
        <v>14.113</v>
      </c>
      <c r="DE50">
        <f>15.21</f>
        <v>15.21</v>
      </c>
      <c r="DF50">
        <f>18.727</f>
        <v>18.727</v>
      </c>
      <c r="DG50">
        <f>17.212</f>
        <v>17.212</v>
      </c>
      <c r="DH50">
        <f>12.44</f>
        <v>12.44</v>
      </c>
      <c r="DI50">
        <f>11.717</f>
        <v>11.717000000000001</v>
      </c>
      <c r="DJ50">
        <f>13.223</f>
        <v>13.223000000000001</v>
      </c>
      <c r="DK50">
        <f>8.443</f>
        <v>8.4429999999999996</v>
      </c>
      <c r="DL50">
        <f>7.678</f>
        <v>7.6779999999999999</v>
      </c>
      <c r="DM50">
        <f>7.787</f>
        <v>7.7869999999999999</v>
      </c>
      <c r="DN50">
        <f>9.295</f>
        <v>9.2949999999999999</v>
      </c>
      <c r="DO50">
        <f>8.753</f>
        <v>8.7530000000000001</v>
      </c>
      <c r="DP50">
        <f>4.228</f>
        <v>4.2279999999999998</v>
      </c>
      <c r="DQ50">
        <f>3.795000464</f>
        <v>3.7950004640000001</v>
      </c>
      <c r="DR50">
        <f>9.226999998</f>
        <v>9.2269999980000001</v>
      </c>
      <c r="DS50">
        <f>6.373000324</f>
        <v>6.3730003240000004</v>
      </c>
      <c r="DT50" t="str">
        <f>""</f>
        <v/>
      </c>
      <c r="DU50" t="str">
        <f>""</f>
        <v/>
      </c>
    </row>
    <row r="51" spans="1:125">
      <c r="A51" t="str">
        <f>"    AvalonBay Communities Inc"</f>
        <v xml:space="preserve">    AvalonBay Communities Inc</v>
      </c>
      <c r="B51" t="str">
        <f>"AVB US Equity"</f>
        <v>AVB US Equity</v>
      </c>
      <c r="C51" t="str">
        <f t="shared" si="15"/>
        <v>RR502</v>
      </c>
      <c r="D51" t="str">
        <f t="shared" si="16"/>
        <v>NET_OPER_INCOME</v>
      </c>
      <c r="E51" t="str">
        <f t="shared" si="17"/>
        <v>动态</v>
      </c>
      <c r="F51" t="str">
        <f ca="1">IF(AND(ISNUMBER($F$269),$B$226=1),$F$269,HLOOKUP(INDIRECT(ADDRESS(2,COLUMN())),OFFSET($BN$2,0,0,ROW()-1,60),ROW()-1,FALSE))</f>
        <v/>
      </c>
      <c r="G51">
        <f ca="1">IF(AND(ISNUMBER($G$269),$B$226=1),$G$269,HLOOKUP(INDIRECT(ADDRESS(2,COLUMN())),OFFSET($BN$2,0,0,ROW()-1,60),ROW()-1,FALSE))</f>
        <v>372.83499999999998</v>
      </c>
      <c r="H51">
        <f ca="1">IF(AND(ISNUMBER($H$269),$B$226=1),$H$269,HLOOKUP(INDIRECT(ADDRESS(2,COLUMN())),OFFSET($BN$2,0,0,ROW()-1,60),ROW()-1,FALSE))</f>
        <v>362.423</v>
      </c>
      <c r="I51">
        <f ca="1">IF(AND(ISNUMBER($I$269),$B$226=1),$I$269,HLOOKUP(INDIRECT(ADDRESS(2,COLUMN())),OFFSET($BN$2,0,0,ROW()-1,60),ROW()-1,FALSE))</f>
        <v>349.68900000000002</v>
      </c>
      <c r="J51">
        <f ca="1">IF(AND(ISNUMBER($J$269),$B$226=1),$J$269,HLOOKUP(INDIRECT(ADDRESS(2,COLUMN())),OFFSET($BN$2,0,0,ROW()-1,60),ROW()-1,FALSE))</f>
        <v>345.62400000000002</v>
      </c>
      <c r="K51">
        <f ca="1">IF(AND(ISNUMBER($K$269),$B$226=1),$K$269,HLOOKUP(INDIRECT(ADDRESS(2,COLUMN())),OFFSET($BN$2,0,0,ROW()-1,60),ROW()-1,FALSE))</f>
        <v>347.57499999999999</v>
      </c>
      <c r="L51">
        <f ca="1">IF(AND(ISNUMBER($L$269),$B$226=1),$L$269,HLOOKUP(INDIRECT(ADDRESS(2,COLUMN())),OFFSET($BN$2,0,0,ROW()-1,60),ROW()-1,FALSE))</f>
        <v>335.28</v>
      </c>
      <c r="M51">
        <f ca="1">IF(AND(ISNUMBER($M$269),$B$226=1),$M$269,HLOOKUP(INDIRECT(ADDRESS(2,COLUMN())),OFFSET($BN$2,0,0,ROW()-1,60),ROW()-1,FALSE))</f>
        <v>330.86099999999999</v>
      </c>
      <c r="N51">
        <f ca="1">IF(AND(ISNUMBER($N$269),$B$226=1),$N$269,HLOOKUP(INDIRECT(ADDRESS(2,COLUMN())),OFFSET($BN$2,0,0,ROW()-1,60),ROW()-1,FALSE))</f>
        <v>338.34300000000002</v>
      </c>
      <c r="O51">
        <f ca="1">IF(AND(ISNUMBER($O$269),$B$226=1),$O$269,HLOOKUP(INDIRECT(ADDRESS(2,COLUMN())),OFFSET($BN$2,0,0,ROW()-1,60),ROW()-1,FALSE))</f>
        <v>321.029</v>
      </c>
      <c r="P51">
        <f ca="1">IF(AND(ISNUMBER($P$269),$B$226=1),$P$269,HLOOKUP(INDIRECT(ADDRESS(2,COLUMN())),OFFSET($BN$2,0,0,ROW()-1,60),ROW()-1,FALSE))</f>
        <v>305.89800000000002</v>
      </c>
      <c r="Q51">
        <f ca="1">IF(AND(ISNUMBER($Q$269),$B$226=1),$Q$269,HLOOKUP(INDIRECT(ADDRESS(2,COLUMN())),OFFSET($BN$2,0,0,ROW()-1,60),ROW()-1,FALSE))</f>
        <v>298.80399999999997</v>
      </c>
      <c r="R51">
        <f ca="1">IF(AND(ISNUMBER($R$269),$B$226=1),$R$269,HLOOKUP(INDIRECT(ADDRESS(2,COLUMN())),OFFSET($BN$2,0,0,ROW()-1,60),ROW()-1,FALSE))</f>
        <v>281.226</v>
      </c>
      <c r="S51">
        <f ca="1">IF(AND(ISNUMBER($S$269),$B$226=1),$S$269,HLOOKUP(INDIRECT(ADDRESS(2,COLUMN())),OFFSET($BN$2,0,0,ROW()-1,60),ROW()-1,FALSE))</f>
        <v>285.60500000000002</v>
      </c>
      <c r="T51">
        <f ca="1">IF(AND(ISNUMBER($T$269),$B$226=1),$T$269,HLOOKUP(INDIRECT(ADDRESS(2,COLUMN())),OFFSET($BN$2,0,0,ROW()-1,60),ROW()-1,FALSE))</f>
        <v>279.911</v>
      </c>
      <c r="U51">
        <f ca="1">IF(AND(ISNUMBER($U$269),$B$226=1),$U$269,HLOOKUP(INDIRECT(ADDRESS(2,COLUMN())),OFFSET($BN$2,0,0,ROW()-1,60),ROW()-1,FALSE))</f>
        <v>268.291</v>
      </c>
      <c r="V51">
        <f ca="1">IF(AND(ISNUMBER($V$269),$B$226=1),$V$269,HLOOKUP(INDIRECT(ADDRESS(2,COLUMN())),OFFSET($BN$2,0,0,ROW()-1,60),ROW()-1,FALSE))</f>
        <v>256.33300000000003</v>
      </c>
      <c r="W51">
        <f ca="1">IF(AND(ISNUMBER($W$269),$B$226=1),$W$269,HLOOKUP(INDIRECT(ADDRESS(2,COLUMN())),OFFSET($BN$2,0,0,ROW()-1,60),ROW()-1,FALSE))</f>
        <v>255.78700000000001</v>
      </c>
      <c r="X51">
        <f ca="1">IF(AND(ISNUMBER($X$269),$B$226=1),$X$269,HLOOKUP(INDIRECT(ADDRESS(2,COLUMN())),OFFSET($BN$2,0,0,ROW()-1,60),ROW()-1,FALSE))</f>
        <v>247.97200000000001</v>
      </c>
      <c r="Y51">
        <f ca="1">IF(AND(ISNUMBER($Y$269),$B$226=1),$Y$269,HLOOKUP(INDIRECT(ADDRESS(2,COLUMN())),OFFSET($BN$2,0,0,ROW()-1,60),ROW()-1,FALSE))</f>
        <v>245.52500000000001</v>
      </c>
      <c r="Z51">
        <f ca="1">IF(AND(ISNUMBER($Z$269),$B$226=1),$Z$269,HLOOKUP(INDIRECT(ADDRESS(2,COLUMN())),OFFSET($BN$2,0,0,ROW()-1,60),ROW()-1,FALSE))</f>
        <v>157.56800000000001</v>
      </c>
      <c r="AA51">
        <f ca="1">IF(AND(ISNUMBER($AA$269),$B$226=1),$AA$269,HLOOKUP(INDIRECT(ADDRESS(2,COLUMN())),OFFSET($BN$2,0,0,ROW()-1,60),ROW()-1,FALSE))</f>
        <v>160.999</v>
      </c>
      <c r="AB51">
        <f ca="1">IF(AND(ISNUMBER($AB$269),$B$226=1),$AB$269,HLOOKUP(INDIRECT(ADDRESS(2,COLUMN())),OFFSET($BN$2,0,0,ROW()-1,60),ROW()-1,FALSE))</f>
        <v>167.767</v>
      </c>
      <c r="AC51">
        <f ca="1">IF(AND(ISNUMBER($AC$269),$B$226=1),$AC$269,HLOOKUP(INDIRECT(ADDRESS(2,COLUMN())),OFFSET($BN$2,0,0,ROW()-1,60),ROW()-1,FALSE))</f>
        <v>160.26499999999999</v>
      </c>
      <c r="AD51">
        <f ca="1">IF(AND(ISNUMBER($AD$269),$B$226=1),$AD$269,HLOOKUP(INDIRECT(ADDRESS(2,COLUMN())),OFFSET($BN$2,0,0,ROW()-1,60),ROW()-1,FALSE))</f>
        <v>157.58500000000001</v>
      </c>
      <c r="AE51">
        <f ca="1">IF(AND(ISNUMBER($AE$269),$B$226=1),$AE$269,HLOOKUP(INDIRECT(ADDRESS(2,COLUMN())),OFFSET($BN$2,0,0,ROW()-1,60),ROW()-1,FALSE))</f>
        <v>156.36000000000001</v>
      </c>
      <c r="AF51">
        <f ca="1">IF(AND(ISNUMBER($AF$269),$B$226=1),$AF$269,HLOOKUP(INDIRECT(ADDRESS(2,COLUMN())),OFFSET($BN$2,0,0,ROW()-1,60),ROW()-1,FALSE))</f>
        <v>151.71</v>
      </c>
      <c r="AG51">
        <f ca="1">IF(AND(ISNUMBER($AG$269),$B$226=1),$AG$269,HLOOKUP(INDIRECT(ADDRESS(2,COLUMN())),OFFSET($BN$2,0,0,ROW()-1,60),ROW()-1,FALSE))</f>
        <v>148.364</v>
      </c>
      <c r="AH51">
        <f ca="1">IF(AND(ISNUMBER($AH$269),$B$226=1),$AH$269,HLOOKUP(INDIRECT(ADDRESS(2,COLUMN())),OFFSET($BN$2,0,0,ROW()-1,60),ROW()-1,FALSE))</f>
        <v>140.62299999999999</v>
      </c>
      <c r="AI51">
        <f ca="1">IF(AND(ISNUMBER($AI$269),$B$226=1),$AI$269,HLOOKUP(INDIRECT(ADDRESS(2,COLUMN())),OFFSET($BN$2,0,0,ROW()-1,60),ROW()-1,FALSE))</f>
        <v>137.83799999999999</v>
      </c>
      <c r="AJ51">
        <f ca="1">IF(AND(ISNUMBER($AJ$269),$B$226=1),$AJ$269,HLOOKUP(INDIRECT(ADDRESS(2,COLUMN())),OFFSET($BN$2,0,0,ROW()-1,60),ROW()-1,FALSE))</f>
        <v>135.76400000000001</v>
      </c>
      <c r="AK51">
        <f ca="1">IF(AND(ISNUMBER($AK$269),$B$226=1),$AK$269,HLOOKUP(INDIRECT(ADDRESS(2,COLUMN())),OFFSET($BN$2,0,0,ROW()-1,60),ROW()-1,FALSE))</f>
        <v>131.45500000000001</v>
      </c>
      <c r="AL51">
        <f ca="1">IF(AND(ISNUMBER($AL$269),$B$226=1),$AL$269,HLOOKUP(INDIRECT(ADDRESS(2,COLUMN())),OFFSET($BN$2,0,0,ROW()-1,60),ROW()-1,FALSE))</f>
        <v>127.381</v>
      </c>
      <c r="AM51">
        <f ca="1">IF(AND(ISNUMBER($AM$269),$B$226=1),$AM$269,HLOOKUP(INDIRECT(ADDRESS(2,COLUMN())),OFFSET($BN$2,0,0,ROW()-1,60),ROW()-1,FALSE))</f>
        <v>126.352</v>
      </c>
      <c r="AN51">
        <f ca="1">IF(AND(ISNUMBER($AN$269),$B$226=1),$AN$269,HLOOKUP(INDIRECT(ADDRESS(2,COLUMN())),OFFSET($BN$2,0,0,ROW()-1,60),ROW()-1,FALSE))</f>
        <v>127.25700000000001</v>
      </c>
      <c r="AO51">
        <f ca="1">IF(AND(ISNUMBER($AO$269),$B$226=1),$AO$269,HLOOKUP(INDIRECT(ADDRESS(2,COLUMN())),OFFSET($BN$2,0,0,ROW()-1,60),ROW()-1,FALSE))</f>
        <v>126.313</v>
      </c>
      <c r="AP51">
        <f ca="1">IF(AND(ISNUMBER($AP$269),$B$226=1),$AP$269,HLOOKUP(INDIRECT(ADDRESS(2,COLUMN())),OFFSET($BN$2,0,0,ROW()-1,60),ROW()-1,FALSE))</f>
        <v>126.06699999999999</v>
      </c>
      <c r="AQ51">
        <f ca="1">IF(AND(ISNUMBER($AQ$269),$B$226=1),$AQ$269,HLOOKUP(INDIRECT(ADDRESS(2,COLUMN())),OFFSET($BN$2,0,0,ROW()-1,60),ROW()-1,FALSE))</f>
        <v>128.262</v>
      </c>
      <c r="AR51">
        <f ca="1">IF(AND(ISNUMBER($AR$269),$B$226=1),$AR$269,HLOOKUP(INDIRECT(ADDRESS(2,COLUMN())),OFFSET($BN$2,0,0,ROW()-1,60),ROW()-1,FALSE))</f>
        <v>131.88300000000001</v>
      </c>
      <c r="AS51">
        <f ca="1">IF(AND(ISNUMBER($AS$269),$B$226=1),$AS$269,HLOOKUP(INDIRECT(ADDRESS(2,COLUMN())),OFFSET($BN$2,0,0,ROW()-1,60),ROW()-1,FALSE))</f>
        <v>131.02799999999999</v>
      </c>
      <c r="AT51">
        <f ca="1">IF(AND(ISNUMBER($AT$269),$B$226=1),$AT$269,HLOOKUP(INDIRECT(ADDRESS(2,COLUMN())),OFFSET($BN$2,0,0,ROW()-1,60),ROW()-1,FALSE))</f>
        <v>125.423</v>
      </c>
      <c r="AU51">
        <f ca="1">IF(AND(ISNUMBER($AU$269),$B$226=1),$AU$269,HLOOKUP(INDIRECT(ADDRESS(2,COLUMN())),OFFSET($BN$2,0,0,ROW()-1,60),ROW()-1,FALSE))</f>
        <v>118.117</v>
      </c>
      <c r="AV51">
        <f ca="1">IF(AND(ISNUMBER($AV$269),$B$226=1),$AV$269,HLOOKUP(INDIRECT(ADDRESS(2,COLUMN())),OFFSET($BN$2,0,0,ROW()-1,60),ROW()-1,FALSE))</f>
        <v>119.94</v>
      </c>
      <c r="AW51">
        <f ca="1">IF(AND(ISNUMBER($AW$269),$B$226=1),$AW$269,HLOOKUP(INDIRECT(ADDRESS(2,COLUMN())),OFFSET($BN$2,0,0,ROW()-1,60),ROW()-1,FALSE))</f>
        <v>117.08499999999999</v>
      </c>
      <c r="AX51">
        <f ca="1">IF(AND(ISNUMBER($AX$269),$B$226=1),$AX$269,HLOOKUP(INDIRECT(ADDRESS(2,COLUMN())),OFFSET($BN$2,0,0,ROW()-1,60),ROW()-1,FALSE))</f>
        <v>116.175</v>
      </c>
      <c r="AY51">
        <f ca="1">IF(AND(ISNUMBER($AY$269),$B$226=1),$AY$269,HLOOKUP(INDIRECT(ADDRESS(2,COLUMN())),OFFSET($BN$2,0,0,ROW()-1,60),ROW()-1,FALSE))</f>
        <v>114.557</v>
      </c>
      <c r="AZ51">
        <f ca="1">IF(AND(ISNUMBER($AZ$269),$B$226=1),$AZ$269,HLOOKUP(INDIRECT(ADDRESS(2,COLUMN())),OFFSET($BN$2,0,0,ROW()-1,60),ROW()-1,FALSE))</f>
        <v>111.86799999999999</v>
      </c>
      <c r="BA51">
        <f ca="1">IF(AND(ISNUMBER($BA$269),$B$226=1),$BA$269,HLOOKUP(INDIRECT(ADDRESS(2,COLUMN())),OFFSET($BN$2,0,0,ROW()-1,60),ROW()-1,FALSE))</f>
        <v>108.643</v>
      </c>
      <c r="BB51">
        <f ca="1">IF(AND(ISNUMBER($BB$269),$B$226=1),$BB$269,HLOOKUP(INDIRECT(ADDRESS(2,COLUMN())),OFFSET($BN$2,0,0,ROW()-1,60),ROW()-1,FALSE))</f>
        <v>106.53100000000001</v>
      </c>
      <c r="BC51">
        <f ca="1">IF(AND(ISNUMBER($BC$269),$B$226=1),$BC$269,HLOOKUP(INDIRECT(ADDRESS(2,COLUMN())),OFFSET($BN$2,0,0,ROW()-1,60),ROW()-1,FALSE))</f>
        <v>106.55</v>
      </c>
      <c r="BD51">
        <f ca="1">IF(AND(ISNUMBER($BD$269),$B$226=1),$BD$269,HLOOKUP(INDIRECT(ADDRESS(2,COLUMN())),OFFSET($BN$2,0,0,ROW()-1,60),ROW()-1,FALSE))</f>
        <v>103.492</v>
      </c>
      <c r="BE51">
        <f ca="1">IF(AND(ISNUMBER($BE$269),$B$226=1),$BE$269,HLOOKUP(INDIRECT(ADDRESS(2,COLUMN())),OFFSET($BN$2,0,0,ROW()-1,60),ROW()-1,FALSE))</f>
        <v>103.33499999999999</v>
      </c>
      <c r="BF51">
        <f ca="1">IF(AND(ISNUMBER($BF$269),$B$226=1),$BF$269,HLOOKUP(INDIRECT(ADDRESS(2,COLUMN())),OFFSET($BN$2,0,0,ROW()-1,60),ROW()-1,FALSE))</f>
        <v>99.472999999999999</v>
      </c>
      <c r="BG51">
        <f ca="1">IF(AND(ISNUMBER($BG$269),$B$226=1),$BG$269,HLOOKUP(INDIRECT(ADDRESS(2,COLUMN())),OFFSET($BN$2,0,0,ROW()-1,60),ROW()-1,FALSE))</f>
        <v>84.26</v>
      </c>
      <c r="BH51">
        <f ca="1">IF(AND(ISNUMBER($BH$269),$B$226=1),$BH$269,HLOOKUP(INDIRECT(ADDRESS(2,COLUMN())),OFFSET($BN$2,0,0,ROW()-1,60),ROW()-1,FALSE))</f>
        <v>94.191000000000003</v>
      </c>
      <c r="BI51">
        <f ca="1">IF(AND(ISNUMBER($BI$269),$B$226=1),$BI$269,HLOOKUP(INDIRECT(ADDRESS(2,COLUMN())),OFFSET($BN$2,0,0,ROW()-1,60),ROW()-1,FALSE))</f>
        <v>99.236999999999995</v>
      </c>
      <c r="BJ51">
        <f ca="1">IF(AND(ISNUMBER($BJ$269),$B$226=1),$BJ$269,HLOOKUP(INDIRECT(ADDRESS(2,COLUMN())),OFFSET($BN$2,0,0,ROW()-1,60),ROW()-1,FALSE))</f>
        <v>95.346999999999994</v>
      </c>
      <c r="BK51">
        <f ca="1">IF(AND(ISNUMBER($BK$269),$B$226=1),$BK$269,HLOOKUP(INDIRECT(ADDRESS(2,COLUMN())),OFFSET($BN$2,0,0,ROW()-1,60),ROW()-1,FALSE))</f>
        <v>93.375004079999997</v>
      </c>
      <c r="BL51">
        <f ca="1">IF(AND(ISNUMBER($BL$269),$B$226=1),$BL$269,HLOOKUP(INDIRECT(ADDRESS(2,COLUMN())),OFFSET($BN$2,0,0,ROW()-1,60),ROW()-1,FALSE))</f>
        <v>90.917000000000002</v>
      </c>
      <c r="BM51">
        <f ca="1">IF(AND(ISNUMBER($BM$269),$B$226=1),$BM$269,HLOOKUP(INDIRECT(ADDRESS(2,COLUMN())),OFFSET($BN$2,0,0,ROW()-1,60),ROW()-1,FALSE))</f>
        <v>92.835999999999999</v>
      </c>
      <c r="BN51" t="str">
        <f>""</f>
        <v/>
      </c>
      <c r="BO51">
        <f>372.835</f>
        <v>372.83499999999998</v>
      </c>
      <c r="BP51">
        <f>362.423</f>
        <v>362.423</v>
      </c>
      <c r="BQ51">
        <f>349.689</f>
        <v>349.68900000000002</v>
      </c>
      <c r="BR51">
        <f>345.624</f>
        <v>345.62400000000002</v>
      </c>
      <c r="BS51">
        <f>347.575</f>
        <v>347.57499999999999</v>
      </c>
      <c r="BT51">
        <f>335.28</f>
        <v>335.28</v>
      </c>
      <c r="BU51">
        <f>330.861</f>
        <v>330.86099999999999</v>
      </c>
      <c r="BV51">
        <f>338.343</f>
        <v>338.34300000000002</v>
      </c>
      <c r="BW51">
        <f>321.029</f>
        <v>321.029</v>
      </c>
      <c r="BX51">
        <f>305.898</f>
        <v>305.89800000000002</v>
      </c>
      <c r="BY51">
        <f>298.804</f>
        <v>298.80399999999997</v>
      </c>
      <c r="BZ51">
        <f>281.226</f>
        <v>281.226</v>
      </c>
      <c r="CA51">
        <f>285.605</f>
        <v>285.60500000000002</v>
      </c>
      <c r="CB51">
        <f>279.911</f>
        <v>279.911</v>
      </c>
      <c r="CC51">
        <f>268.291</f>
        <v>268.291</v>
      </c>
      <c r="CD51">
        <f>256.333</f>
        <v>256.33300000000003</v>
      </c>
      <c r="CE51">
        <f>255.787</f>
        <v>255.78700000000001</v>
      </c>
      <c r="CF51">
        <f>247.972</f>
        <v>247.97200000000001</v>
      </c>
      <c r="CG51">
        <f>245.525</f>
        <v>245.52500000000001</v>
      </c>
      <c r="CH51">
        <f>157.568</f>
        <v>157.56800000000001</v>
      </c>
      <c r="CI51">
        <f>160.999</f>
        <v>160.999</v>
      </c>
      <c r="CJ51">
        <f>167.767</f>
        <v>167.767</v>
      </c>
      <c r="CK51">
        <f>160.265</f>
        <v>160.26499999999999</v>
      </c>
      <c r="CL51">
        <f>157.585</f>
        <v>157.58500000000001</v>
      </c>
      <c r="CM51">
        <f>156.36</f>
        <v>156.36000000000001</v>
      </c>
      <c r="CN51">
        <f>151.71</f>
        <v>151.71</v>
      </c>
      <c r="CO51">
        <f>148.364</f>
        <v>148.364</v>
      </c>
      <c r="CP51">
        <f>140.623</f>
        <v>140.62299999999999</v>
      </c>
      <c r="CQ51">
        <f>137.838</f>
        <v>137.83799999999999</v>
      </c>
      <c r="CR51">
        <f>135.764</f>
        <v>135.76400000000001</v>
      </c>
      <c r="CS51">
        <f>131.455</f>
        <v>131.45500000000001</v>
      </c>
      <c r="CT51">
        <f>127.381</f>
        <v>127.381</v>
      </c>
      <c r="CU51">
        <f>126.352</f>
        <v>126.352</v>
      </c>
      <c r="CV51">
        <f>127.257</f>
        <v>127.25700000000001</v>
      </c>
      <c r="CW51">
        <f>126.313</f>
        <v>126.313</v>
      </c>
      <c r="CX51">
        <f>126.067</f>
        <v>126.06699999999999</v>
      </c>
      <c r="CY51">
        <f>128.262</f>
        <v>128.262</v>
      </c>
      <c r="CZ51">
        <f>131.883</f>
        <v>131.88300000000001</v>
      </c>
      <c r="DA51">
        <f>131.028</f>
        <v>131.02799999999999</v>
      </c>
      <c r="DB51">
        <f>125.423</f>
        <v>125.423</v>
      </c>
      <c r="DC51">
        <f>118.117</f>
        <v>118.117</v>
      </c>
      <c r="DD51">
        <f>119.94</f>
        <v>119.94</v>
      </c>
      <c r="DE51">
        <f>117.085</f>
        <v>117.08499999999999</v>
      </c>
      <c r="DF51">
        <f>116.175</f>
        <v>116.175</v>
      </c>
      <c r="DG51">
        <f>114.557</f>
        <v>114.557</v>
      </c>
      <c r="DH51">
        <f>111.868</f>
        <v>111.86799999999999</v>
      </c>
      <c r="DI51">
        <f>108.643</f>
        <v>108.643</v>
      </c>
      <c r="DJ51">
        <f>106.531</f>
        <v>106.53100000000001</v>
      </c>
      <c r="DK51">
        <f>106.55</f>
        <v>106.55</v>
      </c>
      <c r="DL51">
        <f>103.492</f>
        <v>103.492</v>
      </c>
      <c r="DM51">
        <f>103.335</f>
        <v>103.33499999999999</v>
      </c>
      <c r="DN51">
        <f>99.473</f>
        <v>99.472999999999999</v>
      </c>
      <c r="DO51">
        <f>84.26</f>
        <v>84.26</v>
      </c>
      <c r="DP51">
        <f>94.191</f>
        <v>94.191000000000003</v>
      </c>
      <c r="DQ51">
        <f>99.237</f>
        <v>99.236999999999995</v>
      </c>
      <c r="DR51">
        <f>95.347</f>
        <v>95.346999999999994</v>
      </c>
      <c r="DS51">
        <f>93.37500408</f>
        <v>93.375004079999997</v>
      </c>
      <c r="DT51">
        <f>90.917</f>
        <v>90.917000000000002</v>
      </c>
      <c r="DU51">
        <f>92.836</f>
        <v>92.835999999999999</v>
      </c>
    </row>
    <row r="52" spans="1:125">
      <c r="A52" t="str">
        <f>"    Camden Property Trust"</f>
        <v xml:space="preserve">    Camden Property Trust</v>
      </c>
      <c r="B52" t="str">
        <f>"CPT US Equity"</f>
        <v>CPT US Equity</v>
      </c>
      <c r="C52" t="str">
        <f t="shared" si="15"/>
        <v>RR502</v>
      </c>
      <c r="D52" t="str">
        <f t="shared" si="16"/>
        <v>NET_OPER_INCOME</v>
      </c>
      <c r="E52" t="str">
        <f t="shared" si="17"/>
        <v>动态</v>
      </c>
      <c r="F52" t="str">
        <f ca="1">IF(AND(ISNUMBER($F$270),$B$226=1),$F$270,HLOOKUP(INDIRECT(ADDRESS(2,COLUMN())),OFFSET($BN$2,0,0,ROW()-1,60),ROW()-1,FALSE))</f>
        <v/>
      </c>
      <c r="G52">
        <f ca="1">IF(AND(ISNUMBER($G$270),$B$226=1),$G$270,HLOOKUP(INDIRECT(ADDRESS(2,COLUMN())),OFFSET($BN$2,0,0,ROW()-1,60),ROW()-1,FALSE))</f>
        <v>111.934</v>
      </c>
      <c r="H52">
        <f ca="1">IF(AND(ISNUMBER($H$270),$B$226=1),$H$270,HLOOKUP(INDIRECT(ADDRESS(2,COLUMN())),OFFSET($BN$2,0,0,ROW()-1,60),ROW()-1,FALSE))</f>
        <v>101.349</v>
      </c>
      <c r="I52">
        <f ca="1">IF(AND(ISNUMBER($I$270),$B$226=1),$I$270,HLOOKUP(INDIRECT(ADDRESS(2,COLUMN())),OFFSET($BN$2,0,0,ROW()-1,60),ROW()-1,FALSE))</f>
        <v>104.544</v>
      </c>
      <c r="J52">
        <f ca="1">IF(AND(ISNUMBER($J$270),$B$226=1),$J$270,HLOOKUP(INDIRECT(ADDRESS(2,COLUMN())),OFFSET($BN$2,0,0,ROW()-1,60),ROW()-1,FALSE))</f>
        <v>102.471</v>
      </c>
      <c r="K52">
        <f ca="1">IF(AND(ISNUMBER($K$270),$B$226=1),$K$270,HLOOKUP(INDIRECT(ADDRESS(2,COLUMN())),OFFSET($BN$2,0,0,ROW()-1,60),ROW()-1,FALSE))</f>
        <v>107.461</v>
      </c>
      <c r="L52">
        <f ca="1">IF(AND(ISNUMBER($L$270),$B$226=1),$L$270,HLOOKUP(INDIRECT(ADDRESS(2,COLUMN())),OFFSET($BN$2,0,0,ROW()-1,60),ROW()-1,FALSE))</f>
        <v>102.563</v>
      </c>
      <c r="M52">
        <f ca="1">IF(AND(ISNUMBER($M$270),$B$226=1),$M$270,HLOOKUP(INDIRECT(ADDRESS(2,COLUMN())),OFFSET($BN$2,0,0,ROW()-1,60),ROW()-1,FALSE))</f>
        <v>103.46599999999999</v>
      </c>
      <c r="N52">
        <f ca="1">IF(AND(ISNUMBER($N$270),$B$226=1),$N$270,HLOOKUP(INDIRECT(ADDRESS(2,COLUMN())),OFFSET($BN$2,0,0,ROW()-1,60),ROW()-1,FALSE))</f>
        <v>103.643</v>
      </c>
      <c r="O52">
        <f ca="1">IF(AND(ISNUMBER($O$270),$B$226=1),$O$270,HLOOKUP(INDIRECT(ADDRESS(2,COLUMN())),OFFSET($BN$2,0,0,ROW()-1,60),ROW()-1,FALSE))</f>
        <v>105.541</v>
      </c>
      <c r="P52">
        <f ca="1">IF(AND(ISNUMBER($P$270),$B$226=1),$P$270,HLOOKUP(INDIRECT(ADDRESS(2,COLUMN())),OFFSET($BN$2,0,0,ROW()-1,60),ROW()-1,FALSE))</f>
        <v>98.960999999999999</v>
      </c>
      <c r="Q52">
        <f ca="1">IF(AND(ISNUMBER($Q$270),$B$226=1),$Q$270,HLOOKUP(INDIRECT(ADDRESS(2,COLUMN())),OFFSET($BN$2,0,0,ROW()-1,60),ROW()-1,FALSE))</f>
        <v>99.129000000000005</v>
      </c>
      <c r="R52">
        <f ca="1">IF(AND(ISNUMBER($R$270),$B$226=1),$R$270,HLOOKUP(INDIRECT(ADDRESS(2,COLUMN())),OFFSET($BN$2,0,0,ROW()-1,60),ROW()-1,FALSE))</f>
        <v>102.971</v>
      </c>
      <c r="S52">
        <f ca="1">IF(AND(ISNUMBER($S$270),$B$226=1),$S$270,HLOOKUP(INDIRECT(ADDRESS(2,COLUMN())),OFFSET($BN$2,0,0,ROW()-1,60),ROW()-1,FALSE))</f>
        <v>107.151</v>
      </c>
      <c r="T52">
        <f ca="1">IF(AND(ISNUMBER($T$270),$B$226=1),$T$270,HLOOKUP(INDIRECT(ADDRESS(2,COLUMN())),OFFSET($BN$2,0,0,ROW()-1,60),ROW()-1,FALSE))</f>
        <v>101.047</v>
      </c>
      <c r="U52">
        <f ca="1">IF(AND(ISNUMBER($U$270),$B$226=1),$U$270,HLOOKUP(INDIRECT(ADDRESS(2,COLUMN())),OFFSET($BN$2,0,0,ROW()-1,60),ROW()-1,FALSE))</f>
        <v>99.605000000000004</v>
      </c>
      <c r="V52">
        <f ca="1">IF(AND(ISNUMBER($V$270),$B$226=1),$V$270,HLOOKUP(INDIRECT(ADDRESS(2,COLUMN())),OFFSET($BN$2,0,0,ROW()-1,60),ROW()-1,FALSE))</f>
        <v>100.565</v>
      </c>
      <c r="W52">
        <f ca="1">IF(AND(ISNUMBER($W$270),$B$226=1),$W$270,HLOOKUP(INDIRECT(ADDRESS(2,COLUMN())),OFFSET($BN$2,0,0,ROW()-1,60),ROW()-1,FALSE))</f>
        <v>102.30500000000001</v>
      </c>
      <c r="X52">
        <f ca="1">IF(AND(ISNUMBER($X$270),$B$226=1),$X$270,HLOOKUP(INDIRECT(ADDRESS(2,COLUMN())),OFFSET($BN$2,0,0,ROW()-1,60),ROW()-1,FALSE))</f>
        <v>96.009</v>
      </c>
      <c r="Y52">
        <f ca="1">IF(AND(ISNUMBER($Y$270),$B$226=1),$Y$270,HLOOKUP(INDIRECT(ADDRESS(2,COLUMN())),OFFSET($BN$2,0,0,ROW()-1,60),ROW()-1,FALSE))</f>
        <v>93.135999999999996</v>
      </c>
      <c r="Z52">
        <f ca="1">IF(AND(ISNUMBER($Z$270),$B$226=1),$Z$270,HLOOKUP(INDIRECT(ADDRESS(2,COLUMN())),OFFSET($BN$2,0,0,ROW()-1,60),ROW()-1,FALSE))</f>
        <v>90.381</v>
      </c>
      <c r="AA52">
        <f ca="1">IF(AND(ISNUMBER($AA$270),$B$226=1),$AA$270,HLOOKUP(INDIRECT(ADDRESS(2,COLUMN())),OFFSET($BN$2,0,0,ROW()-1,60),ROW()-1,FALSE))</f>
        <v>88.707999999999998</v>
      </c>
      <c r="AB52">
        <f ca="1">IF(AND(ISNUMBER($AB$270),$B$226=1),$AB$270,HLOOKUP(INDIRECT(ADDRESS(2,COLUMN())),OFFSET($BN$2,0,0,ROW()-1,60),ROW()-1,FALSE))</f>
        <v>84.188999999999993</v>
      </c>
      <c r="AC52">
        <f ca="1">IF(AND(ISNUMBER($AC$270),$B$226=1),$AC$270,HLOOKUP(INDIRECT(ADDRESS(2,COLUMN())),OFFSET($BN$2,0,0,ROW()-1,60),ROW()-1,FALSE))</f>
        <v>82.79</v>
      </c>
      <c r="AD52">
        <f ca="1">IF(AND(ISNUMBER($AD$270),$B$226=1),$AD$270,HLOOKUP(INDIRECT(ADDRESS(2,COLUMN())),OFFSET($BN$2,0,0,ROW()-1,60),ROW()-1,FALSE))</f>
        <v>78.662999999999997</v>
      </c>
      <c r="AE52">
        <f ca="1">IF(AND(ISNUMBER($AE$270),$B$226=1),$AE$270,HLOOKUP(INDIRECT(ADDRESS(2,COLUMN())),OFFSET($BN$2,0,0,ROW()-1,60),ROW()-1,FALSE))</f>
        <v>74.677000000000007</v>
      </c>
      <c r="AF52">
        <f ca="1">IF(AND(ISNUMBER($AF$270),$B$226=1),$AF$270,HLOOKUP(INDIRECT(ADDRESS(2,COLUMN())),OFFSET($BN$2,0,0,ROW()-1,60),ROW()-1,FALSE))</f>
        <v>70.974999999999994</v>
      </c>
      <c r="AG52">
        <f ca="1">IF(AND(ISNUMBER($AG$270),$B$226=1),$AG$270,HLOOKUP(INDIRECT(ADDRESS(2,COLUMN())),OFFSET($BN$2,0,0,ROW()-1,60),ROW()-1,FALSE))</f>
        <v>70.069000000000003</v>
      </c>
      <c r="AH52">
        <f ca="1">IF(AND(ISNUMBER($AH$270),$B$226=1),$AH$270,HLOOKUP(INDIRECT(ADDRESS(2,COLUMN())),OFFSET($BN$2,0,0,ROW()-1,60),ROW()-1,FALSE))</f>
        <v>68.983999999999995</v>
      </c>
      <c r="AI52">
        <f ca="1">IF(AND(ISNUMBER($AI$270),$B$226=1),$AI$270,HLOOKUP(INDIRECT(ADDRESS(2,COLUMN())),OFFSET($BN$2,0,0,ROW()-1,60),ROW()-1,FALSE))</f>
        <v>69.122</v>
      </c>
      <c r="AJ52">
        <f ca="1">IF(AND(ISNUMBER($AJ$270),$B$226=1),$AJ$270,HLOOKUP(INDIRECT(ADDRESS(2,COLUMN())),OFFSET($BN$2,0,0,ROW()-1,60),ROW()-1,FALSE))</f>
        <v>64.460999999999999</v>
      </c>
      <c r="AK52">
        <f ca="1">IF(AND(ISNUMBER($AK$270),$B$226=1),$AK$270,HLOOKUP(INDIRECT(ADDRESS(2,COLUMN())),OFFSET($BN$2,0,0,ROW()-1,60),ROW()-1,FALSE))</f>
        <v>63.451000000000001</v>
      </c>
      <c r="AL52">
        <f ca="1">IF(AND(ISNUMBER($AL$270),$B$226=1),$AL$270,HLOOKUP(INDIRECT(ADDRESS(2,COLUMN())),OFFSET($BN$2,0,0,ROW()-1,60),ROW()-1,FALSE))</f>
        <v>62.465000000000003</v>
      </c>
      <c r="AM52">
        <f ca="1">IF(AND(ISNUMBER($AM$270),$B$226=1),$AM$270,HLOOKUP(INDIRECT(ADDRESS(2,COLUMN())),OFFSET($BN$2,0,0,ROW()-1,60),ROW()-1,FALSE))</f>
        <v>67.683999999999997</v>
      </c>
      <c r="AN52">
        <f ca="1">IF(AND(ISNUMBER($AN$270),$B$226=1),$AN$270,HLOOKUP(INDIRECT(ADDRESS(2,COLUMN())),OFFSET($BN$2,0,0,ROW()-1,60),ROW()-1,FALSE))</f>
        <v>65.055999999999997</v>
      </c>
      <c r="AO52">
        <f ca="1">IF(AND(ISNUMBER($AO$270),$B$226=1),$AO$270,HLOOKUP(INDIRECT(ADDRESS(2,COLUMN())),OFFSET($BN$2,0,0,ROW()-1,60),ROW()-1,FALSE))</f>
        <v>68.668000000000006</v>
      </c>
      <c r="AP52">
        <f ca="1">IF(AND(ISNUMBER($AP$270),$B$226=1),$AP$270,HLOOKUP(INDIRECT(ADDRESS(2,COLUMN())),OFFSET($BN$2,0,0,ROW()-1,60),ROW()-1,FALSE))</f>
        <v>71.652000000000001</v>
      </c>
      <c r="AQ52">
        <f ca="1">IF(AND(ISNUMBER($AQ$270),$B$226=1),$AQ$270,HLOOKUP(INDIRECT(ADDRESS(2,COLUMN())),OFFSET($BN$2,0,0,ROW()-1,60),ROW()-1,FALSE))</f>
        <v>70.274000000000001</v>
      </c>
      <c r="AR52">
        <f ca="1">IF(AND(ISNUMBER($AR$270),$B$226=1),$AR$270,HLOOKUP(INDIRECT(ADDRESS(2,COLUMN())),OFFSET($BN$2,0,0,ROW()-1,60),ROW()-1,FALSE))</f>
        <v>69.683999999999997</v>
      </c>
      <c r="AS52">
        <f ca="1">IF(AND(ISNUMBER($AS$270),$B$226=1),$AS$270,HLOOKUP(INDIRECT(ADDRESS(2,COLUMN())),OFFSET($BN$2,0,0,ROW()-1,60),ROW()-1,FALSE))</f>
        <v>73.66</v>
      </c>
      <c r="AT52">
        <f ca="1">IF(AND(ISNUMBER($AT$270),$B$226=1),$AT$270,HLOOKUP(INDIRECT(ADDRESS(2,COLUMN())),OFFSET($BN$2,0,0,ROW()-1,60),ROW()-1,FALSE))</f>
        <v>73.59</v>
      </c>
      <c r="AU52">
        <f ca="1">IF(AND(ISNUMBER($AU$270),$B$226=1),$AU$270,HLOOKUP(INDIRECT(ADDRESS(2,COLUMN())),OFFSET($BN$2,0,0,ROW()-1,60),ROW()-1,FALSE))</f>
        <v>72.165999999999997</v>
      </c>
      <c r="AV52">
        <f ca="1">IF(AND(ISNUMBER($AV$270),$B$226=1),$AV$270,HLOOKUP(INDIRECT(ADDRESS(2,COLUMN())),OFFSET($BN$2,0,0,ROW()-1,60),ROW()-1,FALSE))</f>
        <v>71.450999999999993</v>
      </c>
      <c r="AW52">
        <f ca="1">IF(AND(ISNUMBER($AW$270),$B$226=1),$AW$270,HLOOKUP(INDIRECT(ADDRESS(2,COLUMN())),OFFSET($BN$2,0,0,ROW()-1,60),ROW()-1,FALSE))</f>
        <v>75.421999999999997</v>
      </c>
      <c r="AX52">
        <f ca="1">IF(AND(ISNUMBER($AX$270),$B$226=1),$AX$270,HLOOKUP(INDIRECT(ADDRESS(2,COLUMN())),OFFSET($BN$2,0,0,ROW()-1,60),ROW()-1,FALSE))</f>
        <v>74.436000000000007</v>
      </c>
      <c r="AY52">
        <f ca="1">IF(AND(ISNUMBER($AY$270),$B$226=1),$AY$270,HLOOKUP(INDIRECT(ADDRESS(2,COLUMN())),OFFSET($BN$2,0,0,ROW()-1,60),ROW()-1,FALSE))</f>
        <v>75.873000000000005</v>
      </c>
      <c r="AZ52">
        <f ca="1">IF(AND(ISNUMBER($AZ$270),$B$226=1),$AZ$270,HLOOKUP(INDIRECT(ADDRESS(2,COLUMN())),OFFSET($BN$2,0,0,ROW()-1,60),ROW()-1,FALSE))</f>
        <v>80.870999999999995</v>
      </c>
      <c r="BA52">
        <f ca="1">IF(AND(ISNUMBER($BA$270),$B$226=1),$BA$270,HLOOKUP(INDIRECT(ADDRESS(2,COLUMN())),OFFSET($BN$2,0,0,ROW()-1,60),ROW()-1,FALSE))</f>
        <v>72.759</v>
      </c>
      <c r="BB52">
        <f ca="1">IF(AND(ISNUMBER($BB$270),$B$226=1),$BB$270,HLOOKUP(INDIRECT(ADDRESS(2,COLUMN())),OFFSET($BN$2,0,0,ROW()-1,60),ROW()-1,FALSE))</f>
        <v>75.451999999999998</v>
      </c>
      <c r="BC52">
        <f ca="1">IF(AND(ISNUMBER($BC$270),$B$226=1),$BC$270,HLOOKUP(INDIRECT(ADDRESS(2,COLUMN())),OFFSET($BN$2,0,0,ROW()-1,60),ROW()-1,FALSE))</f>
        <v>60.180999999999997</v>
      </c>
      <c r="BD52">
        <f ca="1">IF(AND(ISNUMBER($BD$270),$B$226=1),$BD$270,HLOOKUP(INDIRECT(ADDRESS(2,COLUMN())),OFFSET($BN$2,0,0,ROW()-1,60),ROW()-1,FALSE))</f>
        <v>78.638000000000005</v>
      </c>
      <c r="BE52">
        <f ca="1">IF(AND(ISNUMBER($BE$270),$B$226=1),$BE$270,HLOOKUP(INDIRECT(ADDRESS(2,COLUMN())),OFFSET($BN$2,0,0,ROW()-1,60),ROW()-1,FALSE))</f>
        <v>68.826999999999998</v>
      </c>
      <c r="BF52">
        <f ca="1">IF(AND(ISNUMBER($BF$270),$B$226=1),$BF$270,HLOOKUP(INDIRECT(ADDRESS(2,COLUMN())),OFFSET($BN$2,0,0,ROW()-1,60),ROW()-1,FALSE))</f>
        <v>59.085000000000001</v>
      </c>
      <c r="BG52">
        <f ca="1">IF(AND(ISNUMBER($BG$270),$B$226=1),$BG$270,HLOOKUP(INDIRECT(ADDRESS(2,COLUMN())),OFFSET($BN$2,0,0,ROW()-1,60),ROW()-1,FALSE))</f>
        <v>48.993000000000002</v>
      </c>
      <c r="BH52">
        <f ca="1">IF(AND(ISNUMBER($BH$270),$B$226=1),$BH$270,HLOOKUP(INDIRECT(ADDRESS(2,COLUMN())),OFFSET($BN$2,0,0,ROW()-1,60),ROW()-1,FALSE))</f>
        <v>47.92</v>
      </c>
      <c r="BI52">
        <f ca="1">IF(AND(ISNUMBER($BI$270),$B$226=1),$BI$270,HLOOKUP(INDIRECT(ADDRESS(2,COLUMN())),OFFSET($BN$2,0,0,ROW()-1,60),ROW()-1,FALSE))</f>
        <v>49.914997999999997</v>
      </c>
      <c r="BJ52">
        <f ca="1">IF(AND(ISNUMBER($BJ$270),$B$226=1),$BJ$270,HLOOKUP(INDIRECT(ADDRESS(2,COLUMN())),OFFSET($BN$2,0,0,ROW()-1,60),ROW()-1,FALSE))</f>
        <v>52.723998999999999</v>
      </c>
      <c r="BK52">
        <f ca="1">IF(AND(ISNUMBER($BK$270),$B$226=1),$BK$270,HLOOKUP(INDIRECT(ADDRESS(2,COLUMN())),OFFSET($BN$2,0,0,ROW()-1,60),ROW()-1,FALSE))</f>
        <v>54.179004069999998</v>
      </c>
      <c r="BL52">
        <f ca="1">IF(AND(ISNUMBER($BL$270),$B$226=1),$BL$270,HLOOKUP(INDIRECT(ADDRESS(2,COLUMN())),OFFSET($BN$2,0,0,ROW()-1,60),ROW()-1,FALSE))</f>
        <v>49.536997999999997</v>
      </c>
      <c r="BM52">
        <f ca="1">IF(AND(ISNUMBER($BM$270),$B$226=1),$BM$270,HLOOKUP(INDIRECT(ADDRESS(2,COLUMN())),OFFSET($BN$2,0,0,ROW()-1,60),ROW()-1,FALSE))</f>
        <v>48.917000000000002</v>
      </c>
      <c r="BN52" t="str">
        <f>""</f>
        <v/>
      </c>
      <c r="BO52">
        <f>111.934</f>
        <v>111.934</v>
      </c>
      <c r="BP52">
        <f>101.349</f>
        <v>101.349</v>
      </c>
      <c r="BQ52">
        <f>104.544</f>
        <v>104.544</v>
      </c>
      <c r="BR52">
        <f>102.471</f>
        <v>102.471</v>
      </c>
      <c r="BS52">
        <f>107.461</f>
        <v>107.461</v>
      </c>
      <c r="BT52">
        <f>102.563</f>
        <v>102.563</v>
      </c>
      <c r="BU52">
        <f>103.466</f>
        <v>103.46599999999999</v>
      </c>
      <c r="BV52">
        <f>103.643</f>
        <v>103.643</v>
      </c>
      <c r="BW52">
        <f>105.541</f>
        <v>105.541</v>
      </c>
      <c r="BX52">
        <f>98.961</f>
        <v>98.960999999999999</v>
      </c>
      <c r="BY52">
        <f>99.129</f>
        <v>99.129000000000005</v>
      </c>
      <c r="BZ52">
        <f>102.971</f>
        <v>102.971</v>
      </c>
      <c r="CA52">
        <f>107.151</f>
        <v>107.151</v>
      </c>
      <c r="CB52">
        <f>101.047</f>
        <v>101.047</v>
      </c>
      <c r="CC52">
        <f>99.605</f>
        <v>99.605000000000004</v>
      </c>
      <c r="CD52">
        <f>100.565</f>
        <v>100.565</v>
      </c>
      <c r="CE52">
        <f>102.305</f>
        <v>102.30500000000001</v>
      </c>
      <c r="CF52">
        <f>96.009</f>
        <v>96.009</v>
      </c>
      <c r="CG52">
        <f>93.136</f>
        <v>93.135999999999996</v>
      </c>
      <c r="CH52">
        <f>90.381</f>
        <v>90.381</v>
      </c>
      <c r="CI52">
        <f>88.708</f>
        <v>88.707999999999998</v>
      </c>
      <c r="CJ52">
        <f>84.189</f>
        <v>84.188999999999993</v>
      </c>
      <c r="CK52">
        <f>82.79</f>
        <v>82.79</v>
      </c>
      <c r="CL52">
        <f>78.663</f>
        <v>78.662999999999997</v>
      </c>
      <c r="CM52">
        <f>74.677</f>
        <v>74.677000000000007</v>
      </c>
      <c r="CN52">
        <f>70.975</f>
        <v>70.974999999999994</v>
      </c>
      <c r="CO52">
        <f>70.069</f>
        <v>70.069000000000003</v>
      </c>
      <c r="CP52">
        <f>68.984</f>
        <v>68.983999999999995</v>
      </c>
      <c r="CQ52">
        <f>69.122</f>
        <v>69.122</v>
      </c>
      <c r="CR52">
        <f>64.461</f>
        <v>64.460999999999999</v>
      </c>
      <c r="CS52">
        <f>63.451</f>
        <v>63.451000000000001</v>
      </c>
      <c r="CT52">
        <f>62.465</f>
        <v>62.465000000000003</v>
      </c>
      <c r="CU52">
        <f>67.684</f>
        <v>67.683999999999997</v>
      </c>
      <c r="CV52">
        <f>65.056</f>
        <v>65.055999999999997</v>
      </c>
      <c r="CW52">
        <f>68.668</f>
        <v>68.668000000000006</v>
      </c>
      <c r="CX52">
        <f>71.652</f>
        <v>71.652000000000001</v>
      </c>
      <c r="CY52">
        <f>70.274</f>
        <v>70.274000000000001</v>
      </c>
      <c r="CZ52">
        <f>69.684</f>
        <v>69.683999999999997</v>
      </c>
      <c r="DA52">
        <f>73.66</f>
        <v>73.66</v>
      </c>
      <c r="DB52">
        <f>73.59</f>
        <v>73.59</v>
      </c>
      <c r="DC52">
        <f>72.166</f>
        <v>72.165999999999997</v>
      </c>
      <c r="DD52">
        <f>71.451</f>
        <v>71.450999999999993</v>
      </c>
      <c r="DE52">
        <f>75.422</f>
        <v>75.421999999999997</v>
      </c>
      <c r="DF52">
        <f>74.436</f>
        <v>74.436000000000007</v>
      </c>
      <c r="DG52">
        <f>75.873</f>
        <v>75.873000000000005</v>
      </c>
      <c r="DH52">
        <f>80.871</f>
        <v>80.870999999999995</v>
      </c>
      <c r="DI52">
        <f>72.759</f>
        <v>72.759</v>
      </c>
      <c r="DJ52">
        <f>75.452</f>
        <v>75.451999999999998</v>
      </c>
      <c r="DK52">
        <f>60.181</f>
        <v>60.180999999999997</v>
      </c>
      <c r="DL52">
        <f>78.638</f>
        <v>78.638000000000005</v>
      </c>
      <c r="DM52">
        <f>68.827</f>
        <v>68.826999999999998</v>
      </c>
      <c r="DN52">
        <f>59.085</f>
        <v>59.085000000000001</v>
      </c>
      <c r="DO52">
        <f>48.993</f>
        <v>48.993000000000002</v>
      </c>
      <c r="DP52">
        <f>47.92</f>
        <v>47.92</v>
      </c>
      <c r="DQ52">
        <f>49.914998</f>
        <v>49.914997999999997</v>
      </c>
      <c r="DR52">
        <f>52.723999</f>
        <v>52.723998999999999</v>
      </c>
      <c r="DS52">
        <f>54.17900407</f>
        <v>54.179004069999998</v>
      </c>
      <c r="DT52">
        <f>49.536998</f>
        <v>49.536997999999997</v>
      </c>
      <c r="DU52">
        <f>48.917</f>
        <v>48.917000000000002</v>
      </c>
    </row>
    <row r="53" spans="1:125">
      <c r="A53" t="str">
        <f>"    Education Realty Trust Inc"</f>
        <v xml:space="preserve">    Education Realty Trust Inc</v>
      </c>
      <c r="B53" t="str">
        <f>"EDR US Equity"</f>
        <v>EDR US Equity</v>
      </c>
      <c r="C53" t="str">
        <f t="shared" si="15"/>
        <v>RR502</v>
      </c>
      <c r="D53" t="str">
        <f t="shared" si="16"/>
        <v>NET_OPER_INCOME</v>
      </c>
      <c r="E53" t="str">
        <f t="shared" si="17"/>
        <v>动态</v>
      </c>
      <c r="F53" t="str">
        <f ca="1">IF(AND(ISNUMBER($F$271),$B$226=1),$F$271,HLOOKUP(INDIRECT(ADDRESS(2,COLUMN())),OFFSET($BN$2,0,0,ROW()-1,60),ROW()-1,FALSE))</f>
        <v/>
      </c>
      <c r="G53">
        <f ca="1">IF(AND(ISNUMBER($G$271),$B$226=1),$G$271,HLOOKUP(INDIRECT(ADDRESS(2,COLUMN())),OFFSET($BN$2,0,0,ROW()-1,60),ROW()-1,FALSE))</f>
        <v>57.918999999999997</v>
      </c>
      <c r="H53">
        <f ca="1">IF(AND(ISNUMBER($H$271),$B$226=1),$H$271,HLOOKUP(INDIRECT(ADDRESS(2,COLUMN())),OFFSET($BN$2,0,0,ROW()-1,60),ROW()-1,FALSE))</f>
        <v>32.652000000000001</v>
      </c>
      <c r="I53">
        <f ca="1">IF(AND(ISNUMBER($I$271),$B$226=1),$I$271,HLOOKUP(INDIRECT(ADDRESS(2,COLUMN())),OFFSET($BN$2,0,0,ROW()-1,60),ROW()-1,FALSE))</f>
        <v>39.258000000000003</v>
      </c>
      <c r="J53">
        <f ca="1">IF(AND(ISNUMBER($J$271),$B$226=1),$J$271,HLOOKUP(INDIRECT(ADDRESS(2,COLUMN())),OFFSET($BN$2,0,0,ROW()-1,60),ROW()-1,FALSE))</f>
        <v>51.107999999999997</v>
      </c>
      <c r="K53">
        <f ca="1">IF(AND(ISNUMBER($K$271),$B$226=1),$K$271,HLOOKUP(INDIRECT(ADDRESS(2,COLUMN())),OFFSET($BN$2,0,0,ROW()-1,60),ROW()-1,FALSE))</f>
        <v>50.661000000000001</v>
      </c>
      <c r="L53">
        <f ca="1">IF(AND(ISNUMBER($L$271),$B$226=1),$L$271,HLOOKUP(INDIRECT(ADDRESS(2,COLUMN())),OFFSET($BN$2,0,0,ROW()-1,60),ROW()-1,FALSE))</f>
        <v>27.884</v>
      </c>
      <c r="M53">
        <f ca="1">IF(AND(ISNUMBER($M$271),$B$226=1),$M$271,HLOOKUP(INDIRECT(ADDRESS(2,COLUMN())),OFFSET($BN$2,0,0,ROW()-1,60),ROW()-1,FALSE))</f>
        <v>34.392000000000003</v>
      </c>
      <c r="N53">
        <f ca="1">IF(AND(ISNUMBER($N$271),$B$226=1),$N$271,HLOOKUP(INDIRECT(ADDRESS(2,COLUMN())),OFFSET($BN$2,0,0,ROW()-1,60),ROW()-1,FALSE))</f>
        <v>43.362000000000002</v>
      </c>
      <c r="O53">
        <f ca="1">IF(AND(ISNUMBER($O$271),$B$226=1),$O$271,HLOOKUP(INDIRECT(ADDRESS(2,COLUMN())),OFFSET($BN$2,0,0,ROW()-1,60),ROW()-1,FALSE))</f>
        <v>44.311999999999998</v>
      </c>
      <c r="P53">
        <f ca="1">IF(AND(ISNUMBER($P$271),$B$226=1),$P$271,HLOOKUP(INDIRECT(ADDRESS(2,COLUMN())),OFFSET($BN$2,0,0,ROW()-1,60),ROW()-1,FALSE))</f>
        <v>24.698</v>
      </c>
      <c r="Q53">
        <f ca="1">IF(AND(ISNUMBER($Q$271),$B$226=1),$Q$271,HLOOKUP(INDIRECT(ADDRESS(2,COLUMN())),OFFSET($BN$2,0,0,ROW()-1,60),ROW()-1,FALSE))</f>
        <v>29.92</v>
      </c>
      <c r="R53">
        <f ca="1">IF(AND(ISNUMBER($R$271),$B$226=1),$R$271,HLOOKUP(INDIRECT(ADDRESS(2,COLUMN())),OFFSET($BN$2,0,0,ROW()-1,60),ROW()-1,FALSE))</f>
        <v>35.045000000000002</v>
      </c>
      <c r="S53">
        <f ca="1">IF(AND(ISNUMBER($S$271),$B$226=1),$S$271,HLOOKUP(INDIRECT(ADDRESS(2,COLUMN())),OFFSET($BN$2,0,0,ROW()-1,60),ROW()-1,FALSE))</f>
        <v>38.877000000000002</v>
      </c>
      <c r="T53">
        <f ca="1">IF(AND(ISNUMBER($T$271),$B$226=1),$T$271,HLOOKUP(INDIRECT(ADDRESS(2,COLUMN())),OFFSET($BN$2,0,0,ROW()-1,60),ROW()-1,FALSE))</f>
        <v>23.164999999999999</v>
      </c>
      <c r="U53">
        <f ca="1">IF(AND(ISNUMBER($U$271),$B$226=1),$U$271,HLOOKUP(INDIRECT(ADDRESS(2,COLUMN())),OFFSET($BN$2,0,0,ROW()-1,60),ROW()-1,FALSE))</f>
        <v>24.943000000000001</v>
      </c>
      <c r="V53">
        <f ca="1">IF(AND(ISNUMBER($V$271),$B$226=1),$V$271,HLOOKUP(INDIRECT(ADDRESS(2,COLUMN())),OFFSET($BN$2,0,0,ROW()-1,60),ROW()-1,FALSE))</f>
        <v>28.463999999999999</v>
      </c>
      <c r="W53">
        <f ca="1">IF(AND(ISNUMBER($W$271),$B$226=1),$W$271,HLOOKUP(INDIRECT(ADDRESS(2,COLUMN())),OFFSET($BN$2,0,0,ROW()-1,60),ROW()-1,FALSE))</f>
        <v>30.56</v>
      </c>
      <c r="X53">
        <f ca="1">IF(AND(ISNUMBER($X$271),$B$226=1),$X$271,HLOOKUP(INDIRECT(ADDRESS(2,COLUMN())),OFFSET($BN$2,0,0,ROW()-1,60),ROW()-1,FALSE))</f>
        <v>15.627000000000001</v>
      </c>
      <c r="Y53">
        <f ca="1">IF(AND(ISNUMBER($Y$271),$B$226=1),$Y$271,HLOOKUP(INDIRECT(ADDRESS(2,COLUMN())),OFFSET($BN$2,0,0,ROW()-1,60),ROW()-1,FALSE))</f>
        <v>18.895</v>
      </c>
      <c r="Z53">
        <f ca="1">IF(AND(ISNUMBER($Z$271),$B$226=1),$Z$271,HLOOKUP(INDIRECT(ADDRESS(2,COLUMN())),OFFSET($BN$2,0,0,ROW()-1,60),ROW()-1,FALSE))</f>
        <v>21.506</v>
      </c>
      <c r="AA53">
        <f ca="1">IF(AND(ISNUMBER($AA$271),$B$226=1),$AA$271,HLOOKUP(INDIRECT(ADDRESS(2,COLUMN())),OFFSET($BN$2,0,0,ROW()-1,60),ROW()-1,FALSE))</f>
        <v>21.981000000000002</v>
      </c>
      <c r="AB53">
        <f ca="1">IF(AND(ISNUMBER($AB$271),$B$226=1),$AB$271,HLOOKUP(INDIRECT(ADDRESS(2,COLUMN())),OFFSET($BN$2,0,0,ROW()-1,60),ROW()-1,FALSE))</f>
        <v>9.5440000000000005</v>
      </c>
      <c r="AC53">
        <f ca="1">IF(AND(ISNUMBER($AC$271),$B$226=1),$AC$271,HLOOKUP(INDIRECT(ADDRESS(2,COLUMN())),OFFSET($BN$2,0,0,ROW()-1,60),ROW()-1,FALSE))</f>
        <v>14.903</v>
      </c>
      <c r="AD53">
        <f ca="1">IF(AND(ISNUMBER($AD$271),$B$226=1),$AD$271,HLOOKUP(INDIRECT(ADDRESS(2,COLUMN())),OFFSET($BN$2,0,0,ROW()-1,60),ROW()-1,FALSE))</f>
        <v>17.555</v>
      </c>
      <c r="AE53">
        <f ca="1">IF(AND(ISNUMBER($AE$271),$B$226=1),$AE$271,HLOOKUP(INDIRECT(ADDRESS(2,COLUMN())),OFFSET($BN$2,0,0,ROW()-1,60),ROW()-1,FALSE))</f>
        <v>17.331</v>
      </c>
      <c r="AF53">
        <f ca="1">IF(AND(ISNUMBER($AF$271),$B$226=1),$AF$271,HLOOKUP(INDIRECT(ADDRESS(2,COLUMN())),OFFSET($BN$2,0,0,ROW()-1,60),ROW()-1,FALSE))</f>
        <v>8.1240000000000006</v>
      </c>
      <c r="AG53">
        <f ca="1">IF(AND(ISNUMBER($AG$271),$B$226=1),$AG$271,HLOOKUP(INDIRECT(ADDRESS(2,COLUMN())),OFFSET($BN$2,0,0,ROW()-1,60),ROW()-1,FALSE))</f>
        <v>14.794</v>
      </c>
      <c r="AH53">
        <f ca="1">IF(AND(ISNUMBER($AH$271),$B$226=1),$AH$271,HLOOKUP(INDIRECT(ADDRESS(2,COLUMN())),OFFSET($BN$2,0,0,ROW()-1,60),ROW()-1,FALSE))</f>
        <v>15.13</v>
      </c>
      <c r="AI53">
        <f ca="1">IF(AND(ISNUMBER($AI$271),$B$226=1),$AI$271,HLOOKUP(INDIRECT(ADDRESS(2,COLUMN())),OFFSET($BN$2,0,0,ROW()-1,60),ROW()-1,FALSE))</f>
        <v>16.341000000000001</v>
      </c>
      <c r="AJ53">
        <f ca="1">IF(AND(ISNUMBER($AJ$271),$B$226=1),$AJ$271,HLOOKUP(INDIRECT(ADDRESS(2,COLUMN())),OFFSET($BN$2,0,0,ROW()-1,60),ROW()-1,FALSE))</f>
        <v>9.3989999999999991</v>
      </c>
      <c r="AK53">
        <f ca="1">IF(AND(ISNUMBER($AK$271),$B$226=1),$AK$271,HLOOKUP(INDIRECT(ADDRESS(2,COLUMN())),OFFSET($BN$2,0,0,ROW()-1,60),ROW()-1,FALSE))</f>
        <v>14.231999999999999</v>
      </c>
      <c r="AL53">
        <f ca="1">IF(AND(ISNUMBER($AL$271),$B$226=1),$AL$271,HLOOKUP(INDIRECT(ADDRESS(2,COLUMN())),OFFSET($BN$2,0,0,ROW()-1,60),ROW()-1,FALSE))</f>
        <v>15.563000000000001</v>
      </c>
      <c r="AM53">
        <f ca="1">IF(AND(ISNUMBER($AM$271),$B$226=1),$AM$271,HLOOKUP(INDIRECT(ADDRESS(2,COLUMN())),OFFSET($BN$2,0,0,ROW()-1,60),ROW()-1,FALSE))</f>
        <v>18.678999999999998</v>
      </c>
      <c r="AN53">
        <f ca="1">IF(AND(ISNUMBER($AN$271),$B$226=1),$AN$271,HLOOKUP(INDIRECT(ADDRESS(2,COLUMN())),OFFSET($BN$2,0,0,ROW()-1,60),ROW()-1,FALSE))</f>
        <v>10.576000000000001</v>
      </c>
      <c r="AO53">
        <f ca="1">IF(AND(ISNUMBER($AO$271),$B$226=1),$AO$271,HLOOKUP(INDIRECT(ADDRESS(2,COLUMN())),OFFSET($BN$2,0,0,ROW()-1,60),ROW()-1,FALSE))</f>
        <v>16.995000000000001</v>
      </c>
      <c r="AP53">
        <f ca="1">IF(AND(ISNUMBER($AP$271),$B$226=1),$AP$271,HLOOKUP(INDIRECT(ADDRESS(2,COLUMN())),OFFSET($BN$2,0,0,ROW()-1,60),ROW()-1,FALSE))</f>
        <v>18.488</v>
      </c>
      <c r="AQ53">
        <f ca="1">IF(AND(ISNUMBER($AQ$271),$B$226=1),$AQ$271,HLOOKUP(INDIRECT(ADDRESS(2,COLUMN())),OFFSET($BN$2,0,0,ROW()-1,60),ROW()-1,FALSE))</f>
        <v>22.443000000000001</v>
      </c>
      <c r="AR53">
        <f ca="1">IF(AND(ISNUMBER($AR$271),$B$226=1),$AR$271,HLOOKUP(INDIRECT(ADDRESS(2,COLUMN())),OFFSET($BN$2,0,0,ROW()-1,60),ROW()-1,FALSE))</f>
        <v>10.978</v>
      </c>
      <c r="AS53">
        <f ca="1">IF(AND(ISNUMBER($AS$271),$B$226=1),$AS$271,HLOOKUP(INDIRECT(ADDRESS(2,COLUMN())),OFFSET($BN$2,0,0,ROW()-1,60),ROW()-1,FALSE))</f>
        <v>20.73</v>
      </c>
      <c r="AT53">
        <f ca="1">IF(AND(ISNUMBER($AT$271),$B$226=1),$AT$271,HLOOKUP(INDIRECT(ADDRESS(2,COLUMN())),OFFSET($BN$2,0,0,ROW()-1,60),ROW()-1,FALSE))</f>
        <v>16.998000000000001</v>
      </c>
      <c r="AU53">
        <f ca="1">IF(AND(ISNUMBER($AU$271),$B$226=1),$AU$271,HLOOKUP(INDIRECT(ADDRESS(2,COLUMN())),OFFSET($BN$2,0,0,ROW()-1,60),ROW()-1,FALSE))</f>
        <v>13.412000000000001</v>
      </c>
      <c r="AV53">
        <f ca="1">IF(AND(ISNUMBER($AV$271),$B$226=1),$AV$271,HLOOKUP(INDIRECT(ADDRESS(2,COLUMN())),OFFSET($BN$2,0,0,ROW()-1,60),ROW()-1,FALSE))</f>
        <v>12.215</v>
      </c>
      <c r="AW53">
        <f ca="1">IF(AND(ISNUMBER($AW$271),$B$226=1),$AW$271,HLOOKUP(INDIRECT(ADDRESS(2,COLUMN())),OFFSET($BN$2,0,0,ROW()-1,60),ROW()-1,FALSE))</f>
        <v>16.808</v>
      </c>
      <c r="AX53">
        <f ca="1">IF(AND(ISNUMBER($AX$271),$B$226=1),$AX$271,HLOOKUP(INDIRECT(ADDRESS(2,COLUMN())),OFFSET($BN$2,0,0,ROW()-1,60),ROW()-1,FALSE))</f>
        <v>18.308</v>
      </c>
      <c r="AY53">
        <f ca="1">IF(AND(ISNUMBER($AY$271),$B$226=1),$AY$271,HLOOKUP(INDIRECT(ADDRESS(2,COLUMN())),OFFSET($BN$2,0,0,ROW()-1,60),ROW()-1,FALSE))</f>
        <v>17.355</v>
      </c>
      <c r="AZ53">
        <f ca="1">IF(AND(ISNUMBER($AZ$271),$B$226=1),$AZ$271,HLOOKUP(INDIRECT(ADDRESS(2,COLUMN())),OFFSET($BN$2,0,0,ROW()-1,60),ROW()-1,FALSE))</f>
        <v>11.04</v>
      </c>
      <c r="BA53">
        <f ca="1">IF(AND(ISNUMBER($BA$271),$B$226=1),$BA$271,HLOOKUP(INDIRECT(ADDRESS(2,COLUMN())),OFFSET($BN$2,0,0,ROW()-1,60),ROW()-1,FALSE))</f>
        <v>15.952</v>
      </c>
      <c r="BB53">
        <f ca="1">IF(AND(ISNUMBER($BB$271),$B$226=1),$BB$271,HLOOKUP(INDIRECT(ADDRESS(2,COLUMN())),OFFSET($BN$2,0,0,ROW()-1,60),ROW()-1,FALSE))</f>
        <v>17.933</v>
      </c>
      <c r="BC53">
        <f ca="1">IF(AND(ISNUMBER($BC$271),$B$226=1),$BC$271,HLOOKUP(INDIRECT(ADDRESS(2,COLUMN())),OFFSET($BN$2,0,0,ROW()-1,60),ROW()-1,FALSE))</f>
        <v>12.497999999999999</v>
      </c>
      <c r="BD53">
        <f ca="1">IF(AND(ISNUMBER($BD$271),$B$226=1),$BD$271,HLOOKUP(INDIRECT(ADDRESS(2,COLUMN())),OFFSET($BN$2,0,0,ROW()-1,60),ROW()-1,FALSE))</f>
        <v>8.3620000000000001</v>
      </c>
      <c r="BE53">
        <f ca="1">IF(AND(ISNUMBER($BE$271),$B$226=1),$BE$271,HLOOKUP(INDIRECT(ADDRESS(2,COLUMN())),OFFSET($BN$2,0,0,ROW()-1,60),ROW()-1,FALSE))</f>
        <v>11.316000000000001</v>
      </c>
      <c r="BF53">
        <f ca="1">IF(AND(ISNUMBER($BF$271),$B$226=1),$BF$271,HLOOKUP(INDIRECT(ADDRESS(2,COLUMN())),OFFSET($BN$2,0,0,ROW()-1,60),ROW()-1,FALSE))</f>
        <v>8.2309999999999999</v>
      </c>
      <c r="BG53" t="str">
        <f ca="1">IF(AND(ISNUMBER($BG$271),$B$226=1),$BG$271,HLOOKUP(INDIRECT(ADDRESS(2,COLUMN())),OFFSET($BN$2,0,0,ROW()-1,60),ROW()-1,FALSE))</f>
        <v/>
      </c>
      <c r="BH53" t="str">
        <f ca="1">IF(AND(ISNUMBER($BH$271),$B$226=1),$BH$271,HLOOKUP(INDIRECT(ADDRESS(2,COLUMN())),OFFSET($BN$2,0,0,ROW()-1,60),ROW()-1,FALSE))</f>
        <v/>
      </c>
      <c r="BI53" t="str">
        <f ca="1">IF(AND(ISNUMBER($BI$271),$B$226=1),$BI$271,HLOOKUP(INDIRECT(ADDRESS(2,COLUMN())),OFFSET($BN$2,0,0,ROW()-1,60),ROW()-1,FALSE))</f>
        <v/>
      </c>
      <c r="BJ53" t="str">
        <f ca="1">IF(AND(ISNUMBER($BJ$271),$B$226=1),$BJ$271,HLOOKUP(INDIRECT(ADDRESS(2,COLUMN())),OFFSET($BN$2,0,0,ROW()-1,60),ROW()-1,FALSE))</f>
        <v/>
      </c>
      <c r="BK53" t="str">
        <f ca="1">IF(AND(ISNUMBER($BK$271),$B$226=1),$BK$271,HLOOKUP(INDIRECT(ADDRESS(2,COLUMN())),OFFSET($BN$2,0,0,ROW()-1,60),ROW()-1,FALSE))</f>
        <v/>
      </c>
      <c r="BL53" t="str">
        <f ca="1">IF(AND(ISNUMBER($BL$271),$B$226=1),$BL$271,HLOOKUP(INDIRECT(ADDRESS(2,COLUMN())),OFFSET($BN$2,0,0,ROW()-1,60),ROW()-1,FALSE))</f>
        <v/>
      </c>
      <c r="BM53" t="str">
        <f ca="1">IF(AND(ISNUMBER($BM$271),$B$226=1),$BM$271,HLOOKUP(INDIRECT(ADDRESS(2,COLUMN())),OFFSET($BN$2,0,0,ROW()-1,60),ROW()-1,FALSE))</f>
        <v/>
      </c>
      <c r="BN53" t="str">
        <f>""</f>
        <v/>
      </c>
      <c r="BO53">
        <f>57.919</f>
        <v>57.918999999999997</v>
      </c>
      <c r="BP53">
        <f>32.652</f>
        <v>32.652000000000001</v>
      </c>
      <c r="BQ53">
        <f>39.258</f>
        <v>39.258000000000003</v>
      </c>
      <c r="BR53">
        <f>51.108</f>
        <v>51.107999999999997</v>
      </c>
      <c r="BS53">
        <f>50.661</f>
        <v>50.661000000000001</v>
      </c>
      <c r="BT53">
        <f>27.884</f>
        <v>27.884</v>
      </c>
      <c r="BU53">
        <f>34.392</f>
        <v>34.392000000000003</v>
      </c>
      <c r="BV53">
        <f>43.362</f>
        <v>43.362000000000002</v>
      </c>
      <c r="BW53">
        <f>44.312</f>
        <v>44.311999999999998</v>
      </c>
      <c r="BX53">
        <f>24.698</f>
        <v>24.698</v>
      </c>
      <c r="BY53">
        <f>29.92</f>
        <v>29.92</v>
      </c>
      <c r="BZ53">
        <f>35.045</f>
        <v>35.045000000000002</v>
      </c>
      <c r="CA53">
        <f>38.877</f>
        <v>38.877000000000002</v>
      </c>
      <c r="CB53">
        <f>23.165</f>
        <v>23.164999999999999</v>
      </c>
      <c r="CC53">
        <f>24.943</f>
        <v>24.943000000000001</v>
      </c>
      <c r="CD53">
        <f>28.464</f>
        <v>28.463999999999999</v>
      </c>
      <c r="CE53">
        <f>30.56</f>
        <v>30.56</v>
      </c>
      <c r="CF53">
        <f>15.627</f>
        <v>15.627000000000001</v>
      </c>
      <c r="CG53">
        <f>18.895</f>
        <v>18.895</v>
      </c>
      <c r="CH53">
        <f>21.506</f>
        <v>21.506</v>
      </c>
      <c r="CI53">
        <f>21.981</f>
        <v>21.981000000000002</v>
      </c>
      <c r="CJ53">
        <f>9.544</f>
        <v>9.5440000000000005</v>
      </c>
      <c r="CK53">
        <f>14.903</f>
        <v>14.903</v>
      </c>
      <c r="CL53">
        <f>17.555</f>
        <v>17.555</v>
      </c>
      <c r="CM53">
        <f>17.331</f>
        <v>17.331</v>
      </c>
      <c r="CN53">
        <f>8.124</f>
        <v>8.1240000000000006</v>
      </c>
      <c r="CO53">
        <f>14.794</f>
        <v>14.794</v>
      </c>
      <c r="CP53">
        <f>15.13</f>
        <v>15.13</v>
      </c>
      <c r="CQ53">
        <f>16.341</f>
        <v>16.341000000000001</v>
      </c>
      <c r="CR53">
        <f>9.399</f>
        <v>9.3989999999999991</v>
      </c>
      <c r="CS53">
        <f>14.232</f>
        <v>14.231999999999999</v>
      </c>
      <c r="CT53">
        <f>15.563</f>
        <v>15.563000000000001</v>
      </c>
      <c r="CU53">
        <f>18.679</f>
        <v>18.678999999999998</v>
      </c>
      <c r="CV53">
        <f>10.576</f>
        <v>10.576000000000001</v>
      </c>
      <c r="CW53">
        <f>16.995</f>
        <v>16.995000000000001</v>
      </c>
      <c r="CX53">
        <f>18.488</f>
        <v>18.488</v>
      </c>
      <c r="CY53">
        <f>22.443</f>
        <v>22.443000000000001</v>
      </c>
      <c r="CZ53">
        <f>10.978</f>
        <v>10.978</v>
      </c>
      <c r="DA53">
        <f>20.73</f>
        <v>20.73</v>
      </c>
      <c r="DB53">
        <f>16.998</f>
        <v>16.998000000000001</v>
      </c>
      <c r="DC53">
        <f>13.412</f>
        <v>13.412000000000001</v>
      </c>
      <c r="DD53">
        <f>12.215</f>
        <v>12.215</v>
      </c>
      <c r="DE53">
        <f>16.808</f>
        <v>16.808</v>
      </c>
      <c r="DF53">
        <f>18.308</f>
        <v>18.308</v>
      </c>
      <c r="DG53">
        <f>17.355</f>
        <v>17.355</v>
      </c>
      <c r="DH53">
        <f>11.04</f>
        <v>11.04</v>
      </c>
      <c r="DI53">
        <f>15.952</f>
        <v>15.952</v>
      </c>
      <c r="DJ53">
        <f>17.933</f>
        <v>17.933</v>
      </c>
      <c r="DK53">
        <f>12.498</f>
        <v>12.497999999999999</v>
      </c>
      <c r="DL53">
        <f>8.362</f>
        <v>8.3620000000000001</v>
      </c>
      <c r="DM53">
        <f>11.316</f>
        <v>11.316000000000001</v>
      </c>
      <c r="DN53">
        <f>8.231</f>
        <v>8.2309999999999999</v>
      </c>
      <c r="DO53" t="str">
        <f>""</f>
        <v/>
      </c>
      <c r="DP53" t="str">
        <f>""</f>
        <v/>
      </c>
      <c r="DQ53" t="str">
        <f>""</f>
        <v/>
      </c>
      <c r="DR53" t="str">
        <f>""</f>
        <v/>
      </c>
      <c r="DS53" t="str">
        <f>""</f>
        <v/>
      </c>
      <c r="DT53" t="str">
        <f>""</f>
        <v/>
      </c>
      <c r="DU53" t="str">
        <f>""</f>
        <v/>
      </c>
    </row>
    <row r="54" spans="1:125">
      <c r="A54" t="str">
        <f>"    Equity Residential"</f>
        <v xml:space="preserve">    Equity Residential</v>
      </c>
      <c r="B54" t="str">
        <f>"EQR US Equity"</f>
        <v>EQR US Equity</v>
      </c>
      <c r="C54" t="str">
        <f t="shared" si="15"/>
        <v>RR502</v>
      </c>
      <c r="D54" t="str">
        <f t="shared" si="16"/>
        <v>NET_OPER_INCOME</v>
      </c>
      <c r="E54" t="str">
        <f t="shared" si="17"/>
        <v>动态</v>
      </c>
      <c r="F54" t="str">
        <f ca="1">IF(AND(ISNUMBER($F$272),$B$226=1),$F$272,HLOOKUP(INDIRECT(ADDRESS(2,COLUMN())),OFFSET($BN$2,0,0,ROW()-1,60),ROW()-1,FALSE))</f>
        <v/>
      </c>
      <c r="G54">
        <f ca="1">IF(AND(ISNUMBER($G$272),$B$226=1),$G$272,HLOOKUP(INDIRECT(ADDRESS(2,COLUMN())),OFFSET($BN$2,0,0,ROW()-1,60),ROW()-1,FALSE))</f>
        <v>429.1</v>
      </c>
      <c r="H54">
        <f ca="1">IF(AND(ISNUMBER($H$272),$B$226=1),$H$272,HLOOKUP(INDIRECT(ADDRESS(2,COLUMN())),OFFSET($BN$2,0,0,ROW()-1,60),ROW()-1,FALSE))</f>
        <v>414.45299999999997</v>
      </c>
      <c r="I54">
        <f ca="1">IF(AND(ISNUMBER($I$272),$B$226=1),$I$272,HLOOKUP(INDIRECT(ADDRESS(2,COLUMN())),OFFSET($BN$2,0,0,ROW()-1,60),ROW()-1,FALSE))</f>
        <v>404.072</v>
      </c>
      <c r="J54">
        <f ca="1">IF(AND(ISNUMBER($J$272),$B$226=1),$J$272,HLOOKUP(INDIRECT(ADDRESS(2,COLUMN())),OFFSET($BN$2,0,0,ROW()-1,60),ROW()-1,FALSE))</f>
        <v>397.512</v>
      </c>
      <c r="K54">
        <f ca="1">IF(AND(ISNUMBER($K$272),$B$226=1),$K$272,HLOOKUP(INDIRECT(ADDRESS(2,COLUMN())),OFFSET($BN$2,0,0,ROW()-1,60),ROW()-1,FALSE))</f>
        <v>411.90899999999999</v>
      </c>
      <c r="L54">
        <f ca="1">IF(AND(ISNUMBER($L$272),$B$226=1),$L$272,HLOOKUP(INDIRECT(ADDRESS(2,COLUMN())),OFFSET($BN$2,0,0,ROW()-1,60),ROW()-1,FALSE))</f>
        <v>400.99799999999999</v>
      </c>
      <c r="M54">
        <f ca="1">IF(AND(ISNUMBER($M$272),$B$226=1),$M$272,HLOOKUP(INDIRECT(ADDRESS(2,COLUMN())),OFFSET($BN$2,0,0,ROW()-1,60),ROW()-1,FALSE))</f>
        <v>400.44099999999997</v>
      </c>
      <c r="N54">
        <f ca="1">IF(AND(ISNUMBER($N$272),$B$226=1),$N$272,HLOOKUP(INDIRECT(ADDRESS(2,COLUMN())),OFFSET($BN$2,0,0,ROW()-1,60),ROW()-1,FALSE))</f>
        <v>406.22699999999998</v>
      </c>
      <c r="O54">
        <f ca="1">IF(AND(ISNUMBER($O$272),$B$226=1),$O$272,HLOOKUP(INDIRECT(ADDRESS(2,COLUMN())),OFFSET($BN$2,0,0,ROW()-1,60),ROW()-1,FALSE))</f>
        <v>482.137</v>
      </c>
      <c r="P54">
        <f ca="1">IF(AND(ISNUMBER($P$272),$B$226=1),$P$272,HLOOKUP(INDIRECT(ADDRESS(2,COLUMN())),OFFSET($BN$2,0,0,ROW()-1,60),ROW()-1,FALSE))</f>
        <v>468.85</v>
      </c>
      <c r="Q54">
        <f ca="1">IF(AND(ISNUMBER($Q$272),$B$226=1),$Q$272,HLOOKUP(INDIRECT(ADDRESS(2,COLUMN())),OFFSET($BN$2,0,0,ROW()-1,60),ROW()-1,FALSE))</f>
        <v>456.19600000000003</v>
      </c>
      <c r="R54">
        <f ca="1">IF(AND(ISNUMBER($R$272),$B$226=1),$R$272,HLOOKUP(INDIRECT(ADDRESS(2,COLUMN())),OFFSET($BN$2,0,0,ROW()-1,60),ROW()-1,FALSE))</f>
        <v>432.61399999999998</v>
      </c>
      <c r="S54">
        <f ca="1">IF(AND(ISNUMBER($S$272),$B$226=1),$S$272,HLOOKUP(INDIRECT(ADDRESS(2,COLUMN())),OFFSET($BN$2,0,0,ROW()-1,60),ROW()-1,FALSE))</f>
        <v>453.27300000000002</v>
      </c>
      <c r="T54">
        <f ca="1">IF(AND(ISNUMBER($T$272),$B$226=1),$T$272,HLOOKUP(INDIRECT(ADDRESS(2,COLUMN())),OFFSET($BN$2,0,0,ROW()-1,60),ROW()-1,FALSE))</f>
        <v>443.71100000000001</v>
      </c>
      <c r="U54">
        <f ca="1">IF(AND(ISNUMBER($U$272),$B$226=1),$U$272,HLOOKUP(INDIRECT(ADDRESS(2,COLUMN())),OFFSET($BN$2,0,0,ROW()-1,60),ROW()-1,FALSE))</f>
        <v>432.19799999999998</v>
      </c>
      <c r="V54">
        <f ca="1">IF(AND(ISNUMBER($V$272),$B$226=1),$V$272,HLOOKUP(INDIRECT(ADDRESS(2,COLUMN())),OFFSET($BN$2,0,0,ROW()-1,60),ROW()-1,FALSE))</f>
        <v>402.00200000000001</v>
      </c>
      <c r="W54">
        <f ca="1">IF(AND(ISNUMBER($W$272),$B$226=1),$W$272,HLOOKUP(INDIRECT(ADDRESS(2,COLUMN())),OFFSET($BN$2,0,0,ROW()-1,60),ROW()-1,FALSE))</f>
        <v>421.57900000000001</v>
      </c>
      <c r="X54">
        <f ca="1">IF(AND(ISNUMBER($X$272),$B$226=1),$X$272,HLOOKUP(INDIRECT(ADDRESS(2,COLUMN())),OFFSET($BN$2,0,0,ROW()-1,60),ROW()-1,FALSE))</f>
        <v>411.54</v>
      </c>
      <c r="Y54">
        <f ca="1">IF(AND(ISNUMBER($Y$272),$B$226=1),$Y$272,HLOOKUP(INDIRECT(ADDRESS(2,COLUMN())),OFFSET($BN$2,0,0,ROW()-1,60),ROW()-1,FALSE))</f>
        <v>403.36599999999999</v>
      </c>
      <c r="Z54">
        <f ca="1">IF(AND(ISNUMBER($Z$272),$B$226=1),$Z$272,HLOOKUP(INDIRECT(ADDRESS(2,COLUMN())),OFFSET($BN$2,0,0,ROW()-1,60),ROW()-1,FALSE))</f>
        <v>316.96300000000002</v>
      </c>
      <c r="AA54">
        <f ca="1">IF(AND(ISNUMBER($AA$272),$B$226=1),$AA$272,HLOOKUP(INDIRECT(ADDRESS(2,COLUMN())),OFFSET($BN$2,0,0,ROW()-1,60),ROW()-1,FALSE))</f>
        <v>298.74099999999999</v>
      </c>
      <c r="AB54">
        <f ca="1">IF(AND(ISNUMBER($AB$272),$B$226=1),$AB$272,HLOOKUP(INDIRECT(ADDRESS(2,COLUMN())),OFFSET($BN$2,0,0,ROW()-1,60),ROW()-1,FALSE))</f>
        <v>292.35199999999998</v>
      </c>
      <c r="AC54">
        <f ca="1">IF(AND(ISNUMBER($AC$272),$B$226=1),$AC$272,HLOOKUP(INDIRECT(ADDRESS(2,COLUMN())),OFFSET($BN$2,0,0,ROW()-1,60),ROW()-1,FALSE))</f>
        <v>287.38900000000001</v>
      </c>
      <c r="AD54">
        <f ca="1">IF(AND(ISNUMBER($AD$272),$B$226=1),$AD$272,HLOOKUP(INDIRECT(ADDRESS(2,COLUMN())),OFFSET($BN$2,0,0,ROW()-1,60),ROW()-1,FALSE))</f>
        <v>276.41000000000003</v>
      </c>
      <c r="AE54">
        <f ca="1">IF(AND(ISNUMBER($AE$272),$B$226=1),$AE$272,HLOOKUP(INDIRECT(ADDRESS(2,COLUMN())),OFFSET($BN$2,0,0,ROW()-1,60),ROW()-1,FALSE))</f>
        <v>322.80399999999997</v>
      </c>
      <c r="AF54">
        <f ca="1">IF(AND(ISNUMBER($AF$272),$B$226=1),$AF$272,HLOOKUP(INDIRECT(ADDRESS(2,COLUMN())),OFFSET($BN$2,0,0,ROW()-1,60),ROW()-1,FALSE))</f>
        <v>314.62599999999998</v>
      </c>
      <c r="AG54">
        <f ca="1">IF(AND(ISNUMBER($AG$272),$B$226=1),$AG$272,HLOOKUP(INDIRECT(ADDRESS(2,COLUMN())),OFFSET($BN$2,0,0,ROW()-1,60),ROW()-1,FALSE))</f>
        <v>305.21699999999998</v>
      </c>
      <c r="AH54">
        <f ca="1">IF(AND(ISNUMBER($AH$272),$B$226=1),$AH$272,HLOOKUP(INDIRECT(ADDRESS(2,COLUMN())),OFFSET($BN$2,0,0,ROW()-1,60),ROW()-1,FALSE))</f>
        <v>285.84100000000001</v>
      </c>
      <c r="AI54">
        <f ca="1">IF(AND(ISNUMBER($AI$272),$B$226=1),$AI$272,HLOOKUP(INDIRECT(ADDRESS(2,COLUMN())),OFFSET($BN$2,0,0,ROW()-1,60),ROW()-1,FALSE))</f>
        <v>288.036</v>
      </c>
      <c r="AJ54">
        <f ca="1">IF(AND(ISNUMBER($AJ$272),$B$226=1),$AJ$272,HLOOKUP(INDIRECT(ADDRESS(2,COLUMN())),OFFSET($BN$2,0,0,ROW()-1,60),ROW()-1,FALSE))</f>
        <v>273.803</v>
      </c>
      <c r="AK54">
        <f ca="1">IF(AND(ISNUMBER($AK$272),$B$226=1),$AK$272,HLOOKUP(INDIRECT(ADDRESS(2,COLUMN())),OFFSET($BN$2,0,0,ROW()-1,60),ROW()-1,FALSE))</f>
        <v>273.11500000000001</v>
      </c>
      <c r="AL54">
        <f ca="1">IF(AND(ISNUMBER($AL$272),$B$226=1),$AL$272,HLOOKUP(INDIRECT(ADDRESS(2,COLUMN())),OFFSET($BN$2,0,0,ROW()-1,60),ROW()-1,FALSE))</f>
        <v>266.77100000000002</v>
      </c>
      <c r="AM54">
        <f ca="1">IF(AND(ISNUMBER($AM$272),$B$226=1),$AM$272,HLOOKUP(INDIRECT(ADDRESS(2,COLUMN())),OFFSET($BN$2,0,0,ROW()-1,60),ROW()-1,FALSE))</f>
        <v>278.11900000000003</v>
      </c>
      <c r="AN54">
        <f ca="1">IF(AND(ISNUMBER($AN$272),$B$226=1),$AN$272,HLOOKUP(INDIRECT(ADDRESS(2,COLUMN())),OFFSET($BN$2,0,0,ROW()-1,60),ROW()-1,FALSE))</f>
        <v>282.70100000000002</v>
      </c>
      <c r="AO54">
        <f ca="1">IF(AND(ISNUMBER($AO$272),$B$226=1),$AO$272,HLOOKUP(INDIRECT(ADDRESS(2,COLUMN())),OFFSET($BN$2,0,0,ROW()-1,60),ROW()-1,FALSE))</f>
        <v>291.565</v>
      </c>
      <c r="AP54">
        <f ca="1">IF(AND(ISNUMBER($AP$272),$B$226=1),$AP$272,HLOOKUP(INDIRECT(ADDRESS(2,COLUMN())),OFFSET($BN$2,0,0,ROW()-1,60),ROW()-1,FALSE))</f>
        <v>284.58999999999997</v>
      </c>
      <c r="AQ54">
        <f ca="1">IF(AND(ISNUMBER($AQ$272),$B$226=1),$AQ$272,HLOOKUP(INDIRECT(ADDRESS(2,COLUMN())),OFFSET($BN$2,0,0,ROW()-1,60),ROW()-1,FALSE))</f>
        <v>305.44299999999998</v>
      </c>
      <c r="AR54">
        <f ca="1">IF(AND(ISNUMBER($AR$272),$B$226=1),$AR$272,HLOOKUP(INDIRECT(ADDRESS(2,COLUMN())),OFFSET($BN$2,0,0,ROW()-1,60),ROW()-1,FALSE))</f>
        <v>303.40600000000001</v>
      </c>
      <c r="AS54">
        <f ca="1">IF(AND(ISNUMBER($AS$272),$B$226=1),$AS$272,HLOOKUP(INDIRECT(ADDRESS(2,COLUMN())),OFFSET($BN$2,0,0,ROW()-1,60),ROW()-1,FALSE))</f>
        <v>309.94200000000001</v>
      </c>
      <c r="AT54">
        <f ca="1">IF(AND(ISNUMBER($AT$272),$B$226=1),$AT$272,HLOOKUP(INDIRECT(ADDRESS(2,COLUMN())),OFFSET($BN$2,0,0,ROW()-1,60),ROW()-1,FALSE))</f>
        <v>293.12099999999998</v>
      </c>
      <c r="AU54">
        <f ca="1">IF(AND(ISNUMBER($AU$272),$B$226=1),$AU$272,HLOOKUP(INDIRECT(ADDRESS(2,COLUMN())),OFFSET($BN$2,0,0,ROW()-1,60),ROW()-1,FALSE))</f>
        <v>321.483</v>
      </c>
      <c r="AV54">
        <f ca="1">IF(AND(ISNUMBER($AV$272),$B$226=1),$AV$272,HLOOKUP(INDIRECT(ADDRESS(2,COLUMN())),OFFSET($BN$2,0,0,ROW()-1,60),ROW()-1,FALSE))</f>
        <v>295.37700000000001</v>
      </c>
      <c r="AW54">
        <f ca="1">IF(AND(ISNUMBER($AW$272),$B$226=1),$AW$272,HLOOKUP(INDIRECT(ADDRESS(2,COLUMN())),OFFSET($BN$2,0,0,ROW()-1,60),ROW()-1,FALSE))</f>
        <v>290.84500000000003</v>
      </c>
      <c r="AX54">
        <f ca="1">IF(AND(ISNUMBER($AX$272),$B$226=1),$AX$272,HLOOKUP(INDIRECT(ADDRESS(2,COLUMN())),OFFSET($BN$2,0,0,ROW()-1,60),ROW()-1,FALSE))</f>
        <v>269.46499999999997</v>
      </c>
      <c r="AY54">
        <f ca="1">IF(AND(ISNUMBER($AY$272),$B$226=1),$AY$272,HLOOKUP(INDIRECT(ADDRESS(2,COLUMN())),OFFSET($BN$2,0,0,ROW()-1,60),ROW()-1,FALSE))</f>
        <v>186.12100000000001</v>
      </c>
      <c r="AZ54">
        <f ca="1">IF(AND(ISNUMBER($AZ$272),$B$226=1),$AZ$272,HLOOKUP(INDIRECT(ADDRESS(2,COLUMN())),OFFSET($BN$2,0,0,ROW()-1,60),ROW()-1,FALSE))</f>
        <v>298.48700000000002</v>
      </c>
      <c r="BA54">
        <f ca="1">IF(AND(ISNUMBER($BA$272),$B$226=1),$BA$272,HLOOKUP(INDIRECT(ADDRESS(2,COLUMN())),OFFSET($BN$2,0,0,ROW()-1,60),ROW()-1,FALSE))</f>
        <v>289.81099999999998</v>
      </c>
      <c r="BB54">
        <f ca="1">IF(AND(ISNUMBER($BB$272),$B$226=1),$BB$272,HLOOKUP(INDIRECT(ADDRESS(2,COLUMN())),OFFSET($BN$2,0,0,ROW()-1,60),ROW()-1,FALSE))</f>
        <v>268.51600000000002</v>
      </c>
      <c r="BC54">
        <f ca="1">IF(AND(ISNUMBER($BC$272),$B$226=1),$BC$272,HLOOKUP(INDIRECT(ADDRESS(2,COLUMN())),OFFSET($BN$2,0,0,ROW()-1,60),ROW()-1,FALSE))</f>
        <v>219.89699999999999</v>
      </c>
      <c r="BD54">
        <f ca="1">IF(AND(ISNUMBER($BD$272),$B$226=1),$BD$272,HLOOKUP(INDIRECT(ADDRESS(2,COLUMN())),OFFSET($BN$2,0,0,ROW()-1,60),ROW()-1,FALSE))</f>
        <v>234.88900000000001</v>
      </c>
      <c r="BE54">
        <f ca="1">IF(AND(ISNUMBER($BE$272),$B$226=1),$BE$272,HLOOKUP(INDIRECT(ADDRESS(2,COLUMN())),OFFSET($BN$2,0,0,ROW()-1,60),ROW()-1,FALSE))</f>
        <v>237.85300000000001</v>
      </c>
      <c r="BF54">
        <f ca="1">IF(AND(ISNUMBER($BF$272),$B$226=1),$BF$272,HLOOKUP(INDIRECT(ADDRESS(2,COLUMN())),OFFSET($BN$2,0,0,ROW()-1,60),ROW()-1,FALSE))</f>
        <v>251.43700000000001</v>
      </c>
      <c r="BG54">
        <f ca="1">IF(AND(ISNUMBER($BG$272),$B$226=1),$BG$272,HLOOKUP(INDIRECT(ADDRESS(2,COLUMN())),OFFSET($BN$2,0,0,ROW()-1,60),ROW()-1,FALSE))</f>
        <v>228.023</v>
      </c>
      <c r="BH54">
        <f ca="1">IF(AND(ISNUMBER($BH$272),$B$226=1),$BH$272,HLOOKUP(INDIRECT(ADDRESS(2,COLUMN())),OFFSET($BN$2,0,0,ROW()-1,60),ROW()-1,FALSE))</f>
        <v>243.46299999999999</v>
      </c>
      <c r="BI54">
        <f ca="1">IF(AND(ISNUMBER($BI$272),$B$226=1),$BI$272,HLOOKUP(INDIRECT(ADDRESS(2,COLUMN())),OFFSET($BN$2,0,0,ROW()-1,60),ROW()-1,FALSE))</f>
        <v>277.815</v>
      </c>
      <c r="BJ54">
        <f ca="1">IF(AND(ISNUMBER($BJ$272),$B$226=1),$BJ$272,HLOOKUP(INDIRECT(ADDRESS(2,COLUMN())),OFFSET($BN$2,0,0,ROW()-1,60),ROW()-1,FALSE))</f>
        <v>264.91399999999999</v>
      </c>
      <c r="BK54">
        <f ca="1">IF(AND(ISNUMBER($BK$272),$B$226=1),$BK$272,HLOOKUP(INDIRECT(ADDRESS(2,COLUMN())),OFFSET($BN$2,0,0,ROW()-1,60),ROW()-1,FALSE))</f>
        <v>288.105007</v>
      </c>
      <c r="BL54">
        <f ca="1">IF(AND(ISNUMBER($BL$272),$B$226=1),$BL$272,HLOOKUP(INDIRECT(ADDRESS(2,COLUMN())),OFFSET($BN$2,0,0,ROW()-1,60),ROW()-1,FALSE))</f>
        <v>252.63198</v>
      </c>
      <c r="BM54">
        <f ca="1">IF(AND(ISNUMBER($BM$272),$B$226=1),$BM$272,HLOOKUP(INDIRECT(ADDRESS(2,COLUMN())),OFFSET($BN$2,0,0,ROW()-1,60),ROW()-1,FALSE))</f>
        <v>258.55999800000001</v>
      </c>
      <c r="BN54" t="str">
        <f>""</f>
        <v/>
      </c>
      <c r="BO54">
        <f>429.1</f>
        <v>429.1</v>
      </c>
      <c r="BP54">
        <f>414.453</f>
        <v>414.45299999999997</v>
      </c>
      <c r="BQ54">
        <f>404.072</f>
        <v>404.072</v>
      </c>
      <c r="BR54">
        <f>397.512</f>
        <v>397.512</v>
      </c>
      <c r="BS54">
        <f>411.909</f>
        <v>411.90899999999999</v>
      </c>
      <c r="BT54">
        <f>400.998</f>
        <v>400.99799999999999</v>
      </c>
      <c r="BU54">
        <f>400.441</f>
        <v>400.44099999999997</v>
      </c>
      <c r="BV54">
        <f>406.227</f>
        <v>406.22699999999998</v>
      </c>
      <c r="BW54">
        <f>482.137</f>
        <v>482.137</v>
      </c>
      <c r="BX54">
        <f>468.85</f>
        <v>468.85</v>
      </c>
      <c r="BY54">
        <f>456.196</f>
        <v>456.19600000000003</v>
      </c>
      <c r="BZ54">
        <f>432.614</f>
        <v>432.61399999999998</v>
      </c>
      <c r="CA54">
        <f>453.273</f>
        <v>453.27300000000002</v>
      </c>
      <c r="CB54">
        <f>443.711</f>
        <v>443.71100000000001</v>
      </c>
      <c r="CC54">
        <f>432.198</f>
        <v>432.19799999999998</v>
      </c>
      <c r="CD54">
        <f>402.002</f>
        <v>402.00200000000001</v>
      </c>
      <c r="CE54">
        <f>421.579</f>
        <v>421.57900000000001</v>
      </c>
      <c r="CF54">
        <f>411.54</f>
        <v>411.54</v>
      </c>
      <c r="CG54">
        <f>403.366</f>
        <v>403.36599999999999</v>
      </c>
      <c r="CH54">
        <f>316.963</f>
        <v>316.96300000000002</v>
      </c>
      <c r="CI54">
        <f>298.741</f>
        <v>298.74099999999999</v>
      </c>
      <c r="CJ54">
        <f>292.352</f>
        <v>292.35199999999998</v>
      </c>
      <c r="CK54">
        <f>287.389</f>
        <v>287.38900000000001</v>
      </c>
      <c r="CL54">
        <f>276.41</f>
        <v>276.41000000000003</v>
      </c>
      <c r="CM54">
        <f>322.804</f>
        <v>322.80399999999997</v>
      </c>
      <c r="CN54">
        <f>314.626</f>
        <v>314.62599999999998</v>
      </c>
      <c r="CO54">
        <f>305.217</f>
        <v>305.21699999999998</v>
      </c>
      <c r="CP54">
        <f>285.841</f>
        <v>285.84100000000001</v>
      </c>
      <c r="CQ54">
        <f>288.036</f>
        <v>288.036</v>
      </c>
      <c r="CR54">
        <f>273.803</f>
        <v>273.803</v>
      </c>
      <c r="CS54">
        <f>273.115</f>
        <v>273.11500000000001</v>
      </c>
      <c r="CT54">
        <f>266.771</f>
        <v>266.77100000000002</v>
      </c>
      <c r="CU54">
        <f>278.119</f>
        <v>278.11900000000003</v>
      </c>
      <c r="CV54">
        <f>282.701</f>
        <v>282.70100000000002</v>
      </c>
      <c r="CW54">
        <f>291.565</f>
        <v>291.565</v>
      </c>
      <c r="CX54">
        <f>284.59</f>
        <v>284.58999999999997</v>
      </c>
      <c r="CY54">
        <f>305.443</f>
        <v>305.44299999999998</v>
      </c>
      <c r="CZ54">
        <f>303.406</f>
        <v>303.40600000000001</v>
      </c>
      <c r="DA54">
        <f>309.942</f>
        <v>309.94200000000001</v>
      </c>
      <c r="DB54">
        <f>293.121</f>
        <v>293.12099999999998</v>
      </c>
      <c r="DC54">
        <f>321.483</f>
        <v>321.483</v>
      </c>
      <c r="DD54">
        <f>295.377</f>
        <v>295.37700000000001</v>
      </c>
      <c r="DE54">
        <f>290.845</f>
        <v>290.84500000000003</v>
      </c>
      <c r="DF54">
        <f>269.465</f>
        <v>269.46499999999997</v>
      </c>
      <c r="DG54">
        <f>186.121</f>
        <v>186.12100000000001</v>
      </c>
      <c r="DH54">
        <f>298.487</f>
        <v>298.48700000000002</v>
      </c>
      <c r="DI54">
        <f>289.811</f>
        <v>289.81099999999998</v>
      </c>
      <c r="DJ54">
        <f>268.516</f>
        <v>268.51600000000002</v>
      </c>
      <c r="DK54">
        <f>219.897</f>
        <v>219.89699999999999</v>
      </c>
      <c r="DL54">
        <f>234.889</f>
        <v>234.88900000000001</v>
      </c>
      <c r="DM54">
        <f>237.853</f>
        <v>237.85300000000001</v>
      </c>
      <c r="DN54">
        <f>251.437</f>
        <v>251.43700000000001</v>
      </c>
      <c r="DO54">
        <f>228.023</f>
        <v>228.023</v>
      </c>
      <c r="DP54">
        <f>243.463</f>
        <v>243.46299999999999</v>
      </c>
      <c r="DQ54">
        <f>277.815</f>
        <v>277.815</v>
      </c>
      <c r="DR54">
        <f>264.914</f>
        <v>264.91399999999999</v>
      </c>
      <c r="DS54">
        <f>288.105007</f>
        <v>288.105007</v>
      </c>
      <c r="DT54">
        <f>252.63198</f>
        <v>252.63198</v>
      </c>
      <c r="DU54">
        <f>258.559998</f>
        <v>258.55999800000001</v>
      </c>
    </row>
    <row r="55" spans="1:125">
      <c r="A55" t="str">
        <f>"    Essex Property Trust Inc"</f>
        <v xml:space="preserve">    Essex Property Trust Inc</v>
      </c>
      <c r="B55" t="str">
        <f>"ESS US Equity"</f>
        <v>ESS US Equity</v>
      </c>
      <c r="C55" t="str">
        <f t="shared" si="15"/>
        <v>RR502</v>
      </c>
      <c r="D55" t="str">
        <f t="shared" si="16"/>
        <v>NET_OPER_INCOME</v>
      </c>
      <c r="E55" t="str">
        <f t="shared" si="17"/>
        <v>动态</v>
      </c>
      <c r="F55" t="str">
        <f ca="1">IF(AND(ISNUMBER($F$273),$B$226=1),$F$273,HLOOKUP(INDIRECT(ADDRESS(2,COLUMN())),OFFSET($BN$2,0,0,ROW()-1,60),ROW()-1,FALSE))</f>
        <v/>
      </c>
      <c r="G55">
        <f ca="1">IF(AND(ISNUMBER($G$273),$B$226=1),$G$273,HLOOKUP(INDIRECT(ADDRESS(2,COLUMN())),OFFSET($BN$2,0,0,ROW()-1,60),ROW()-1,FALSE))</f>
        <v>241.43700000000001</v>
      </c>
      <c r="H55">
        <f ca="1">IF(AND(ISNUMBER($H$273),$B$226=1),$H$273,HLOOKUP(INDIRECT(ADDRESS(2,COLUMN())),OFFSET($BN$2,0,0,ROW()-1,60),ROW()-1,FALSE))</f>
        <v>240.232</v>
      </c>
      <c r="I55">
        <f ca="1">IF(AND(ISNUMBER($I$273),$B$226=1),$I$273,HLOOKUP(INDIRECT(ADDRESS(2,COLUMN())),OFFSET($BN$2,0,0,ROW()-1,60),ROW()-1,FALSE))</f>
        <v>240.797</v>
      </c>
      <c r="J55">
        <f ca="1">IF(AND(ISNUMBER($J$273),$B$226=1),$J$273,HLOOKUP(INDIRECT(ADDRESS(2,COLUMN())),OFFSET($BN$2,0,0,ROW()-1,60),ROW()-1,FALSE))</f>
        <v>235.89099999999999</v>
      </c>
      <c r="K55">
        <f ca="1">IF(AND(ISNUMBER($K$273),$B$226=1),$K$273,HLOOKUP(INDIRECT(ADDRESS(2,COLUMN())),OFFSET($BN$2,0,0,ROW()-1,60),ROW()-1,FALSE))</f>
        <v>230.041</v>
      </c>
      <c r="L55">
        <f ca="1">IF(AND(ISNUMBER($L$273),$B$226=1),$L$273,HLOOKUP(INDIRECT(ADDRESS(2,COLUMN())),OFFSET($BN$2,0,0,ROW()-1,60),ROW()-1,FALSE))</f>
        <v>229.81</v>
      </c>
      <c r="M55">
        <f ca="1">IF(AND(ISNUMBER($M$273),$B$226=1),$M$273,HLOOKUP(INDIRECT(ADDRESS(2,COLUMN())),OFFSET($BN$2,0,0,ROW()-1,60),ROW()-1,FALSE))</f>
        <v>225.511</v>
      </c>
      <c r="N55">
        <f ca="1">IF(AND(ISNUMBER($N$273),$B$226=1),$N$273,HLOOKUP(INDIRECT(ADDRESS(2,COLUMN())),OFFSET($BN$2,0,0,ROW()-1,60),ROW()-1,FALSE))</f>
        <v>219.71199999999999</v>
      </c>
      <c r="O55">
        <f ca="1">IF(AND(ISNUMBER($O$273),$B$226=1),$O$273,HLOOKUP(INDIRECT(ADDRESS(2,COLUMN())),OFFSET($BN$2,0,0,ROW()-1,60),ROW()-1,FALSE))</f>
        <v>218.60499999999999</v>
      </c>
      <c r="P55">
        <f ca="1">IF(AND(ISNUMBER($P$273),$B$226=1),$P$273,HLOOKUP(INDIRECT(ADDRESS(2,COLUMN())),OFFSET($BN$2,0,0,ROW()-1,60),ROW()-1,FALSE))</f>
        <v>210.50700000000001</v>
      </c>
      <c r="Q55">
        <f ca="1">IF(AND(ISNUMBER($Q$273),$B$226=1),$Q$273,HLOOKUP(INDIRECT(ADDRESS(2,COLUMN())),OFFSET($BN$2,0,0,ROW()-1,60),ROW()-1,FALSE))</f>
        <v>206.08500000000001</v>
      </c>
      <c r="R55">
        <f ca="1">IF(AND(ISNUMBER($R$273),$B$226=1),$R$273,HLOOKUP(INDIRECT(ADDRESS(2,COLUMN())),OFFSET($BN$2,0,0,ROW()-1,60),ROW()-1,FALSE))</f>
        <v>195.702</v>
      </c>
      <c r="S55">
        <f ca="1">IF(AND(ISNUMBER($S$273),$B$226=1),$S$273,HLOOKUP(INDIRECT(ADDRESS(2,COLUMN())),OFFSET($BN$2,0,0,ROW()-1,60),ROW()-1,FALSE))</f>
        <v>190.64699999999999</v>
      </c>
      <c r="T55">
        <f ca="1">IF(AND(ISNUMBER($T$273),$B$226=1),$T$273,HLOOKUP(INDIRECT(ADDRESS(2,COLUMN())),OFFSET($BN$2,0,0,ROW()-1,60),ROW()-1,FALSE))</f>
        <v>182.81100000000001</v>
      </c>
      <c r="U55">
        <f ca="1">IF(AND(ISNUMBER($U$273),$B$226=1),$U$273,HLOOKUP(INDIRECT(ADDRESS(2,COLUMN())),OFFSET($BN$2,0,0,ROW()-1,60),ROW()-1,FALSE))</f>
        <v>176.23</v>
      </c>
      <c r="V55">
        <f ca="1">IF(AND(ISNUMBER($V$273),$B$226=1),$V$273,HLOOKUP(INDIRECT(ADDRESS(2,COLUMN())),OFFSET($BN$2,0,0,ROW()-1,60),ROW()-1,FALSE))</f>
        <v>108.703</v>
      </c>
      <c r="W55">
        <f ca="1">IF(AND(ISNUMBER($W$273),$B$226=1),$W$273,HLOOKUP(INDIRECT(ADDRESS(2,COLUMN())),OFFSET($BN$2,0,0,ROW()-1,60),ROW()-1,FALSE))</f>
        <v>106.367</v>
      </c>
      <c r="X55">
        <f ca="1">IF(AND(ISNUMBER($X$273),$B$226=1),$X$273,HLOOKUP(INDIRECT(ADDRESS(2,COLUMN())),OFFSET($BN$2,0,0,ROW()-1,60),ROW()-1,FALSE))</f>
        <v>103.626</v>
      </c>
      <c r="Y55">
        <f ca="1">IF(AND(ISNUMBER($Y$273),$B$226=1),$Y$273,HLOOKUP(INDIRECT(ADDRESS(2,COLUMN())),OFFSET($BN$2,0,0,ROW()-1,60),ROW()-1,FALSE))</f>
        <v>102.51900000000001</v>
      </c>
      <c r="Z55">
        <f ca="1">IF(AND(ISNUMBER($Z$273),$B$226=1),$Z$273,HLOOKUP(INDIRECT(ADDRESS(2,COLUMN())),OFFSET($BN$2,0,0,ROW()-1,60),ROW()-1,FALSE))</f>
        <v>99.977999999999994</v>
      </c>
      <c r="AA55">
        <f ca="1">IF(AND(ISNUMBER($AA$273),$B$226=1),$AA$273,HLOOKUP(INDIRECT(ADDRESS(2,COLUMN())),OFFSET($BN$2,0,0,ROW()-1,60),ROW()-1,FALSE))</f>
        <v>96.152000000000001</v>
      </c>
      <c r="AB55">
        <f ca="1">IF(AND(ISNUMBER($AB$273),$B$226=1),$AB$273,HLOOKUP(INDIRECT(ADDRESS(2,COLUMN())),OFFSET($BN$2,0,0,ROW()-1,60),ROW()-1,FALSE))</f>
        <v>91.191000000000003</v>
      </c>
      <c r="AC55">
        <f ca="1">IF(AND(ISNUMBER($AC$273),$B$226=1),$AC$273,HLOOKUP(INDIRECT(ADDRESS(2,COLUMN())),OFFSET($BN$2,0,0,ROW()-1,60),ROW()-1,FALSE))</f>
        <v>88.533000000000001</v>
      </c>
      <c r="AD55">
        <f ca="1">IF(AND(ISNUMBER($AD$273),$B$226=1),$AD$273,HLOOKUP(INDIRECT(ADDRESS(2,COLUMN())),OFFSET($BN$2,0,0,ROW()-1,60),ROW()-1,FALSE))</f>
        <v>86.114000000000004</v>
      </c>
      <c r="AE55">
        <f ca="1">IF(AND(ISNUMBER($AE$273),$B$226=1),$AE$273,HLOOKUP(INDIRECT(ADDRESS(2,COLUMN())),OFFSET($BN$2,0,0,ROW()-1,60),ROW()-1,FALSE))</f>
        <v>83.168999999999997</v>
      </c>
      <c r="AF55">
        <f ca="1">IF(AND(ISNUMBER($AF$273),$B$226=1),$AF$273,HLOOKUP(INDIRECT(ADDRESS(2,COLUMN())),OFFSET($BN$2,0,0,ROW()-1,60),ROW()-1,FALSE))</f>
        <v>77.152000000000001</v>
      </c>
      <c r="AG55">
        <f ca="1">IF(AND(ISNUMBER($AG$273),$B$226=1),$AG$273,HLOOKUP(INDIRECT(ADDRESS(2,COLUMN())),OFFSET($BN$2,0,0,ROW()-1,60),ROW()-1,FALSE))</f>
        <v>75.481999999999999</v>
      </c>
      <c r="AH55">
        <f ca="1">IF(AND(ISNUMBER($AH$273),$B$226=1),$AH$273,HLOOKUP(INDIRECT(ADDRESS(2,COLUMN())),OFFSET($BN$2,0,0,ROW()-1,60),ROW()-1,FALSE))</f>
        <v>73.082999999999998</v>
      </c>
      <c r="AI55">
        <f ca="1">IF(AND(ISNUMBER($AI$273),$B$226=1),$AI$273,HLOOKUP(INDIRECT(ADDRESS(2,COLUMN())),OFFSET($BN$2,0,0,ROW()-1,60),ROW()-1,FALSE))</f>
        <v>70.424000000000007</v>
      </c>
      <c r="AJ55">
        <f ca="1">IF(AND(ISNUMBER($AJ$273),$B$226=1),$AJ$273,HLOOKUP(INDIRECT(ADDRESS(2,COLUMN())),OFFSET($BN$2,0,0,ROW()-1,60),ROW()-1,FALSE))</f>
        <v>66.620999999999995</v>
      </c>
      <c r="AK55">
        <f ca="1">IF(AND(ISNUMBER($AK$273),$B$226=1),$AK$273,HLOOKUP(INDIRECT(ADDRESS(2,COLUMN())),OFFSET($BN$2,0,0,ROW()-1,60),ROW()-1,FALSE))</f>
        <v>65.367999999999995</v>
      </c>
      <c r="AL55">
        <f ca="1">IF(AND(ISNUMBER($AL$273),$B$226=1),$AL$273,HLOOKUP(INDIRECT(ADDRESS(2,COLUMN())),OFFSET($BN$2,0,0,ROW()-1,60),ROW()-1,FALSE))</f>
        <v>66.984999999999999</v>
      </c>
      <c r="AM55">
        <f ca="1">IF(AND(ISNUMBER($AM$273),$B$226=1),$AM$273,HLOOKUP(INDIRECT(ADDRESS(2,COLUMN())),OFFSET($BN$2,0,0,ROW()-1,60),ROW()-1,FALSE))</f>
        <v>64.307000000000002</v>
      </c>
      <c r="AN55">
        <f ca="1">IF(AND(ISNUMBER($AN$273),$B$226=1),$AN$273,HLOOKUP(INDIRECT(ADDRESS(2,COLUMN())),OFFSET($BN$2,0,0,ROW()-1,60),ROW()-1,FALSE))</f>
        <v>65.584999999999994</v>
      </c>
      <c r="AO55">
        <f ca="1">IF(AND(ISNUMBER($AO$273),$B$226=1),$AO$273,HLOOKUP(INDIRECT(ADDRESS(2,COLUMN())),OFFSET($BN$2,0,0,ROW()-1,60),ROW()-1,FALSE))</f>
        <v>69.799000000000007</v>
      </c>
      <c r="AP55">
        <f ca="1">IF(AND(ISNUMBER($AP$273),$B$226=1),$AP$273,HLOOKUP(INDIRECT(ADDRESS(2,COLUMN())),OFFSET($BN$2,0,0,ROW()-1,60),ROW()-1,FALSE))</f>
        <v>71.988</v>
      </c>
      <c r="AQ55">
        <f ca="1">IF(AND(ISNUMBER($AQ$273),$B$226=1),$AQ$273,HLOOKUP(INDIRECT(ADDRESS(2,COLUMN())),OFFSET($BN$2,0,0,ROW()-1,60),ROW()-1,FALSE))</f>
        <v>70.822000000000003</v>
      </c>
      <c r="AR55">
        <f ca="1">IF(AND(ISNUMBER($AR$273),$B$226=1),$AR$273,HLOOKUP(INDIRECT(ADDRESS(2,COLUMN())),OFFSET($BN$2,0,0,ROW()-1,60),ROW()-1,FALSE))</f>
        <v>69.245000000000005</v>
      </c>
      <c r="AS55">
        <f ca="1">IF(AND(ISNUMBER($AS$273),$B$226=1),$AS$273,HLOOKUP(INDIRECT(ADDRESS(2,COLUMN())),OFFSET($BN$2,0,0,ROW()-1,60),ROW()-1,FALSE))</f>
        <v>68.585999999999999</v>
      </c>
      <c r="AT55">
        <f ca="1">IF(AND(ISNUMBER($AT$273),$B$226=1),$AT$273,HLOOKUP(INDIRECT(ADDRESS(2,COLUMN())),OFFSET($BN$2,0,0,ROW()-1,60),ROW()-1,FALSE))</f>
        <v>68.206999999999994</v>
      </c>
      <c r="AU55">
        <f ca="1">IF(AND(ISNUMBER($AU$273),$B$226=1),$AU$273,HLOOKUP(INDIRECT(ADDRESS(2,COLUMN())),OFFSET($BN$2,0,0,ROW()-1,60),ROW()-1,FALSE))</f>
        <v>66.626000000000005</v>
      </c>
      <c r="AV55">
        <f ca="1">IF(AND(ISNUMBER($AV$273),$B$226=1),$AV$273,HLOOKUP(INDIRECT(ADDRESS(2,COLUMN())),OFFSET($BN$2,0,0,ROW()-1,60),ROW()-1,FALSE))</f>
        <v>65.146000000000001</v>
      </c>
      <c r="AW55">
        <f ca="1">IF(AND(ISNUMBER($AW$273),$B$226=1),$AW$273,HLOOKUP(INDIRECT(ADDRESS(2,COLUMN())),OFFSET($BN$2,0,0,ROW()-1,60),ROW()-1,FALSE))</f>
        <v>64.677000000000007</v>
      </c>
      <c r="AX55">
        <f ca="1">IF(AND(ISNUMBER($AX$273),$B$226=1),$AX$273,HLOOKUP(INDIRECT(ADDRESS(2,COLUMN())),OFFSET($BN$2,0,0,ROW()-1,60),ROW()-1,FALSE))</f>
        <v>61.112000000000002</v>
      </c>
      <c r="AY55">
        <f ca="1">IF(AND(ISNUMBER($AY$273),$B$226=1),$AY$273,HLOOKUP(INDIRECT(ADDRESS(2,COLUMN())),OFFSET($BN$2,0,0,ROW()-1,60),ROW()-1,FALSE))</f>
        <v>59.69</v>
      </c>
      <c r="AZ55">
        <f ca="1">IF(AND(ISNUMBER($AZ$273),$B$226=1),$AZ$273,HLOOKUP(INDIRECT(ADDRESS(2,COLUMN())),OFFSET($BN$2,0,0,ROW()-1,60),ROW()-1,FALSE))</f>
        <v>58.924999999999997</v>
      </c>
      <c r="BA55">
        <f ca="1">IF(AND(ISNUMBER($BA$273),$B$226=1),$BA$273,HLOOKUP(INDIRECT(ADDRESS(2,COLUMN())),OFFSET($BN$2,0,0,ROW()-1,60),ROW()-1,FALSE))</f>
        <v>56.14</v>
      </c>
      <c r="BB55">
        <f ca="1">IF(AND(ISNUMBER($BB$273),$B$226=1),$BB$273,HLOOKUP(INDIRECT(ADDRESS(2,COLUMN())),OFFSET($BN$2,0,0,ROW()-1,60),ROW()-1,FALSE))</f>
        <v>54.226999999999997</v>
      </c>
      <c r="BC55">
        <f ca="1">IF(AND(ISNUMBER($BC$273),$B$226=1),$BC$273,HLOOKUP(INDIRECT(ADDRESS(2,COLUMN())),OFFSET($BN$2,0,0,ROW()-1,60),ROW()-1,FALSE))</f>
        <v>47.966999999999999</v>
      </c>
      <c r="BD55">
        <f ca="1">IF(AND(ISNUMBER($BD$273),$B$226=1),$BD$273,HLOOKUP(INDIRECT(ADDRESS(2,COLUMN())),OFFSET($BN$2,0,0,ROW()-1,60),ROW()-1,FALSE))</f>
        <v>55.161999999999999</v>
      </c>
      <c r="BE55">
        <f ca="1">IF(AND(ISNUMBER($BE$273),$B$226=1),$BE$273,HLOOKUP(INDIRECT(ADDRESS(2,COLUMN())),OFFSET($BN$2,0,0,ROW()-1,60),ROW()-1,FALSE))</f>
        <v>53.298000000000002</v>
      </c>
      <c r="BF55">
        <f ca="1">IF(AND(ISNUMBER($BF$273),$B$226=1),$BF$273,HLOOKUP(INDIRECT(ADDRESS(2,COLUMN())),OFFSET($BN$2,0,0,ROW()-1,60),ROW()-1,FALSE))</f>
        <v>57.783999999999999</v>
      </c>
      <c r="BG55">
        <f ca="1">IF(AND(ISNUMBER($BG$273),$B$226=1),$BG$273,HLOOKUP(INDIRECT(ADDRESS(2,COLUMN())),OFFSET($BN$2,0,0,ROW()-1,60),ROW()-1,FALSE))</f>
        <v>46.144998000000001</v>
      </c>
      <c r="BH55">
        <f ca="1">IF(AND(ISNUMBER($BH$273),$B$226=1),$BH$273,HLOOKUP(INDIRECT(ADDRESS(2,COLUMN())),OFFSET($BN$2,0,0,ROW()-1,60),ROW()-1,FALSE))</f>
        <v>62.508000000000003</v>
      </c>
      <c r="BI55">
        <f ca="1">IF(AND(ISNUMBER($BI$273),$B$226=1),$BI$273,HLOOKUP(INDIRECT(ADDRESS(2,COLUMN())),OFFSET($BN$2,0,0,ROW()-1,60),ROW()-1,FALSE))</f>
        <v>43.860996</v>
      </c>
      <c r="BJ55">
        <f ca="1">IF(AND(ISNUMBER($BJ$273),$B$226=1),$BJ$273,HLOOKUP(INDIRECT(ADDRESS(2,COLUMN())),OFFSET($BN$2,0,0,ROW()-1,60),ROW()-1,FALSE))</f>
        <v>42.378999999999998</v>
      </c>
      <c r="BK55">
        <f ca="1">IF(AND(ISNUMBER($BK$273),$B$226=1),$BK$273,HLOOKUP(INDIRECT(ADDRESS(2,COLUMN())),OFFSET($BN$2,0,0,ROW()-1,60),ROW()-1,FALSE))</f>
        <v>40.742001000000002</v>
      </c>
      <c r="BL55">
        <f ca="1">IF(AND(ISNUMBER($BL$273),$B$226=1),$BL$273,HLOOKUP(INDIRECT(ADDRESS(2,COLUMN())),OFFSET($BN$2,0,0,ROW()-1,60),ROW()-1,FALSE))</f>
        <v>40.300998</v>
      </c>
      <c r="BM55">
        <f ca="1">IF(AND(ISNUMBER($BM$273),$B$226=1),$BM$273,HLOOKUP(INDIRECT(ADDRESS(2,COLUMN())),OFFSET($BN$2,0,0,ROW()-1,60),ROW()-1,FALSE))</f>
        <v>40.840997999999999</v>
      </c>
      <c r="BN55" t="str">
        <f>""</f>
        <v/>
      </c>
      <c r="BO55">
        <f>241.437</f>
        <v>241.43700000000001</v>
      </c>
      <c r="BP55">
        <f>240.232</f>
        <v>240.232</v>
      </c>
      <c r="BQ55">
        <f>240.797</f>
        <v>240.797</v>
      </c>
      <c r="BR55">
        <f>235.891</f>
        <v>235.89099999999999</v>
      </c>
      <c r="BS55">
        <f>230.041</f>
        <v>230.041</v>
      </c>
      <c r="BT55">
        <f>229.81</f>
        <v>229.81</v>
      </c>
      <c r="BU55">
        <f>225.511</f>
        <v>225.511</v>
      </c>
      <c r="BV55">
        <f>219.712</f>
        <v>219.71199999999999</v>
      </c>
      <c r="BW55">
        <f>218.605</f>
        <v>218.60499999999999</v>
      </c>
      <c r="BX55">
        <f>210.507</f>
        <v>210.50700000000001</v>
      </c>
      <c r="BY55">
        <f>206.085</f>
        <v>206.08500000000001</v>
      </c>
      <c r="BZ55">
        <f>195.702</f>
        <v>195.702</v>
      </c>
      <c r="CA55">
        <f>190.647</f>
        <v>190.64699999999999</v>
      </c>
      <c r="CB55">
        <f>182.811</f>
        <v>182.81100000000001</v>
      </c>
      <c r="CC55">
        <f>176.23</f>
        <v>176.23</v>
      </c>
      <c r="CD55">
        <f>108.703</f>
        <v>108.703</v>
      </c>
      <c r="CE55">
        <f>106.367</f>
        <v>106.367</v>
      </c>
      <c r="CF55">
        <f>103.626</f>
        <v>103.626</v>
      </c>
      <c r="CG55">
        <f>102.519</f>
        <v>102.51900000000001</v>
      </c>
      <c r="CH55">
        <f>99.978</f>
        <v>99.977999999999994</v>
      </c>
      <c r="CI55">
        <f>96.152</f>
        <v>96.152000000000001</v>
      </c>
      <c r="CJ55">
        <f>91.191</f>
        <v>91.191000000000003</v>
      </c>
      <c r="CK55">
        <f>88.533</f>
        <v>88.533000000000001</v>
      </c>
      <c r="CL55">
        <f>86.114</f>
        <v>86.114000000000004</v>
      </c>
      <c r="CM55">
        <f>83.169</f>
        <v>83.168999999999997</v>
      </c>
      <c r="CN55">
        <f>77.152</f>
        <v>77.152000000000001</v>
      </c>
      <c r="CO55">
        <f>75.482</f>
        <v>75.481999999999999</v>
      </c>
      <c r="CP55">
        <f>73.083</f>
        <v>73.082999999999998</v>
      </c>
      <c r="CQ55">
        <f>70.424</f>
        <v>70.424000000000007</v>
      </c>
      <c r="CR55">
        <f>66.621</f>
        <v>66.620999999999995</v>
      </c>
      <c r="CS55">
        <f>65.368</f>
        <v>65.367999999999995</v>
      </c>
      <c r="CT55">
        <f>66.985</f>
        <v>66.984999999999999</v>
      </c>
      <c r="CU55">
        <f>64.307</f>
        <v>64.307000000000002</v>
      </c>
      <c r="CV55">
        <f>65.585</f>
        <v>65.584999999999994</v>
      </c>
      <c r="CW55">
        <f>69.799</f>
        <v>69.799000000000007</v>
      </c>
      <c r="CX55">
        <f>71.988</f>
        <v>71.988</v>
      </c>
      <c r="CY55">
        <f>70.822</f>
        <v>70.822000000000003</v>
      </c>
      <c r="CZ55">
        <f>69.245</f>
        <v>69.245000000000005</v>
      </c>
      <c r="DA55">
        <f>68.586</f>
        <v>68.585999999999999</v>
      </c>
      <c r="DB55">
        <f>68.207</f>
        <v>68.206999999999994</v>
      </c>
      <c r="DC55">
        <f>66.626</f>
        <v>66.626000000000005</v>
      </c>
      <c r="DD55">
        <f>65.146</f>
        <v>65.146000000000001</v>
      </c>
      <c r="DE55">
        <f>64.677</f>
        <v>64.677000000000007</v>
      </c>
      <c r="DF55">
        <f>61.112</f>
        <v>61.112000000000002</v>
      </c>
      <c r="DG55">
        <f>59.69</f>
        <v>59.69</v>
      </c>
      <c r="DH55">
        <f>58.925</f>
        <v>58.924999999999997</v>
      </c>
      <c r="DI55">
        <f>56.14</f>
        <v>56.14</v>
      </c>
      <c r="DJ55">
        <f>54.227</f>
        <v>54.226999999999997</v>
      </c>
      <c r="DK55">
        <f>47.967</f>
        <v>47.966999999999999</v>
      </c>
      <c r="DL55">
        <f>55.162</f>
        <v>55.161999999999999</v>
      </c>
      <c r="DM55">
        <f>53.298</f>
        <v>53.298000000000002</v>
      </c>
      <c r="DN55">
        <f>57.784</f>
        <v>57.783999999999999</v>
      </c>
      <c r="DO55">
        <f>46.144998</f>
        <v>46.144998000000001</v>
      </c>
      <c r="DP55">
        <f>62.508</f>
        <v>62.508000000000003</v>
      </c>
      <c r="DQ55">
        <f>43.860996</f>
        <v>43.860996</v>
      </c>
      <c r="DR55">
        <f>42.379</f>
        <v>42.378999999999998</v>
      </c>
      <c r="DS55">
        <f>40.742001</f>
        <v>40.742001000000002</v>
      </c>
      <c r="DT55">
        <f>40.300998</f>
        <v>40.300998</v>
      </c>
      <c r="DU55">
        <f>40.840998</f>
        <v>40.840997999999999</v>
      </c>
    </row>
    <row r="56" spans="1:125">
      <c r="A56" t="str">
        <f>"    Mid-America Apartment Communit"</f>
        <v xml:space="preserve">    Mid-America Apartment Communit</v>
      </c>
      <c r="B56" t="str">
        <f>"MAA US Equity"</f>
        <v>MAA US Equity</v>
      </c>
      <c r="C56" t="str">
        <f t="shared" si="15"/>
        <v>RR502</v>
      </c>
      <c r="D56" t="str">
        <f t="shared" si="16"/>
        <v>NET_OPER_INCOME</v>
      </c>
      <c r="E56" t="str">
        <f t="shared" si="17"/>
        <v>动态</v>
      </c>
      <c r="F56" t="str">
        <f ca="1">IF(AND(ISNUMBER($F$274),$B$226=1),$F$274,HLOOKUP(INDIRECT(ADDRESS(2,COLUMN())),OFFSET($BN$2,0,0,ROW()-1,60),ROW()-1,FALSE))</f>
        <v/>
      </c>
      <c r="G56">
        <f ca="1">IF(AND(ISNUMBER($G$274),$B$226=1),$G$274,HLOOKUP(INDIRECT(ADDRESS(2,COLUMN())),OFFSET($BN$2,0,0,ROW()-1,60),ROW()-1,FALSE))</f>
        <v>230.84700000000001</v>
      </c>
      <c r="H56">
        <f ca="1">IF(AND(ISNUMBER($H$274),$B$226=1),$H$274,HLOOKUP(INDIRECT(ADDRESS(2,COLUMN())),OFFSET($BN$2,0,0,ROW()-1,60),ROW()-1,FALSE))</f>
        <v>198.15899999999999</v>
      </c>
      <c r="I56">
        <f ca="1">IF(AND(ISNUMBER($I$274),$B$226=1),$I$274,HLOOKUP(INDIRECT(ADDRESS(2,COLUMN())),OFFSET($BN$2,0,0,ROW()-1,60),ROW()-1,FALSE))</f>
        <v>199.11799999999999</v>
      </c>
      <c r="J56">
        <f ca="1">IF(AND(ISNUMBER($J$274),$B$226=1),$J$274,HLOOKUP(INDIRECT(ADDRESS(2,COLUMN())),OFFSET($BN$2,0,0,ROW()-1,60),ROW()-1,FALSE))</f>
        <v>198.923</v>
      </c>
      <c r="K56">
        <f ca="1">IF(AND(ISNUMBER($K$274),$B$226=1),$K$274,HLOOKUP(INDIRECT(ADDRESS(2,COLUMN())),OFFSET($BN$2,0,0,ROW()-1,60),ROW()-1,FALSE))</f>
        <v>162.71100000000001</v>
      </c>
      <c r="L56">
        <f ca="1">IF(AND(ISNUMBER($L$274),$B$226=1),$L$274,HLOOKUP(INDIRECT(ADDRESS(2,COLUMN())),OFFSET($BN$2,0,0,ROW()-1,60),ROW()-1,FALSE))</f>
        <v>139.607</v>
      </c>
      <c r="M56">
        <f ca="1">IF(AND(ISNUMBER($M$274),$B$226=1),$M$274,HLOOKUP(INDIRECT(ADDRESS(2,COLUMN())),OFFSET($BN$2,0,0,ROW()-1,60),ROW()-1,FALSE))</f>
        <v>138.06100000000001</v>
      </c>
      <c r="N56">
        <f ca="1">IF(AND(ISNUMBER($N$274),$B$226=1),$N$274,HLOOKUP(INDIRECT(ADDRESS(2,COLUMN())),OFFSET($BN$2,0,0,ROW()-1,60),ROW()-1,FALSE))</f>
        <v>135.78</v>
      </c>
      <c r="O56">
        <f ca="1">IF(AND(ISNUMBER($O$274),$B$226=1),$O$274,HLOOKUP(INDIRECT(ADDRESS(2,COLUMN())),OFFSET($BN$2,0,0,ROW()-1,60),ROW()-1,FALSE))</f>
        <v>135.99600000000001</v>
      </c>
      <c r="P56">
        <f ca="1">IF(AND(ISNUMBER($P$274),$B$226=1),$P$274,HLOOKUP(INDIRECT(ADDRESS(2,COLUMN())),OFFSET($BN$2,0,0,ROW()-1,60),ROW()-1,FALSE))</f>
        <v>130.44300000000001</v>
      </c>
      <c r="Q56">
        <f ca="1">IF(AND(ISNUMBER($Q$274),$B$226=1),$Q$274,HLOOKUP(INDIRECT(ADDRESS(2,COLUMN())),OFFSET($BN$2,0,0,ROW()-1,60),ROW()-1,FALSE))</f>
        <v>128.32300000000001</v>
      </c>
      <c r="R56">
        <f ca="1">IF(AND(ISNUMBER($R$274),$B$226=1),$R$274,HLOOKUP(INDIRECT(ADDRESS(2,COLUMN())),OFFSET($BN$2,0,0,ROW()-1,60),ROW()-1,FALSE))</f>
        <v>125.8</v>
      </c>
      <c r="S56">
        <f ca="1">IF(AND(ISNUMBER($S$274),$B$226=1),$S$274,HLOOKUP(INDIRECT(ADDRESS(2,COLUMN())),OFFSET($BN$2,0,0,ROW()-1,60),ROW()-1,FALSE))</f>
        <v>125.46599999999999</v>
      </c>
      <c r="T56">
        <f ca="1">IF(AND(ISNUMBER($T$274),$B$226=1),$T$274,HLOOKUP(INDIRECT(ADDRESS(2,COLUMN())),OFFSET($BN$2,0,0,ROW()-1,60),ROW()-1,FALSE))</f>
        <v>118.28400000000001</v>
      </c>
      <c r="U56">
        <f ca="1">IF(AND(ISNUMBER($U$274),$B$226=1),$U$274,HLOOKUP(INDIRECT(ADDRESS(2,COLUMN())),OFFSET($BN$2,0,0,ROW()-1,60),ROW()-1,FALSE))</f>
        <v>115.94499999999999</v>
      </c>
      <c r="V56">
        <f ca="1">IF(AND(ISNUMBER($V$274),$B$226=1),$V$274,HLOOKUP(INDIRECT(ADDRESS(2,COLUMN())),OFFSET($BN$2,0,0,ROW()-1,60),ROW()-1,FALSE))</f>
        <v>116.711</v>
      </c>
      <c r="W56">
        <f ca="1">IF(AND(ISNUMBER($W$274),$B$226=1),$W$274,HLOOKUP(INDIRECT(ADDRESS(2,COLUMN())),OFFSET($BN$2,0,0,ROW()-1,60),ROW()-1,FALSE))</f>
        <v>114.883</v>
      </c>
      <c r="X56">
        <f ca="1">IF(AND(ISNUMBER($X$274),$B$226=1),$X$274,HLOOKUP(INDIRECT(ADDRESS(2,COLUMN())),OFFSET($BN$2,0,0,ROW()-1,60),ROW()-1,FALSE))</f>
        <v>64.094999999999999</v>
      </c>
      <c r="Y56">
        <f ca="1">IF(AND(ISNUMBER($Y$274),$B$226=1),$Y$274,HLOOKUP(INDIRECT(ADDRESS(2,COLUMN())),OFFSET($BN$2,0,0,ROW()-1,60),ROW()-1,FALSE))</f>
        <v>63.225999999999999</v>
      </c>
      <c r="Z56">
        <f ca="1">IF(AND(ISNUMBER($Z$274),$B$226=1),$Z$274,HLOOKUP(INDIRECT(ADDRESS(2,COLUMN())),OFFSET($BN$2,0,0,ROW()-1,60),ROW()-1,FALSE))</f>
        <v>62.253</v>
      </c>
      <c r="AA56">
        <f ca="1">IF(AND(ISNUMBER($AA$274),$B$226=1),$AA$274,HLOOKUP(INDIRECT(ADDRESS(2,COLUMN())),OFFSET($BN$2,0,0,ROW()-1,60),ROW()-1,FALSE))</f>
        <v>71.128</v>
      </c>
      <c r="AB56">
        <f ca="1">IF(AND(ISNUMBER($AB$274),$B$226=1),$AB$274,HLOOKUP(INDIRECT(ADDRESS(2,COLUMN())),OFFSET($BN$2,0,0,ROW()-1,60),ROW()-1,FALSE))</f>
        <v>56.475000000000001</v>
      </c>
      <c r="AC56">
        <f ca="1">IF(AND(ISNUMBER($AC$274),$B$226=1),$AC$274,HLOOKUP(INDIRECT(ADDRESS(2,COLUMN())),OFFSET($BN$2,0,0,ROW()-1,60),ROW()-1,FALSE))</f>
        <v>54.874000000000002</v>
      </c>
      <c r="AD56">
        <f ca="1">IF(AND(ISNUMBER($AD$274),$B$226=1),$AD$274,HLOOKUP(INDIRECT(ADDRESS(2,COLUMN())),OFFSET($BN$2,0,0,ROW()-1,60),ROW()-1,FALSE))</f>
        <v>52.819000000000003</v>
      </c>
      <c r="AE56">
        <f ca="1">IF(AND(ISNUMBER($AE$274),$B$226=1),$AE$274,HLOOKUP(INDIRECT(ADDRESS(2,COLUMN())),OFFSET($BN$2,0,0,ROW()-1,60),ROW()-1,FALSE))</f>
        <v>61.064</v>
      </c>
      <c r="AF56">
        <f ca="1">IF(AND(ISNUMBER($AF$274),$B$226=1),$AF$274,HLOOKUP(INDIRECT(ADDRESS(2,COLUMN())),OFFSET($BN$2,0,0,ROW()-1,60),ROW()-1,FALSE))</f>
        <v>48.383000000000003</v>
      </c>
      <c r="AG56">
        <f ca="1">IF(AND(ISNUMBER($AG$274),$B$226=1),$AG$274,HLOOKUP(INDIRECT(ADDRESS(2,COLUMN())),OFFSET($BN$2,0,0,ROW()-1,60),ROW()-1,FALSE))</f>
        <v>47.343000000000004</v>
      </c>
      <c r="AH56">
        <f ca="1">IF(AND(ISNUMBER($AH$274),$B$226=1),$AH$274,HLOOKUP(INDIRECT(ADDRESS(2,COLUMN())),OFFSET($BN$2,0,0,ROW()-1,60),ROW()-1,FALSE))</f>
        <v>46.491999999999997</v>
      </c>
      <c r="AI56">
        <f ca="1">IF(AND(ISNUMBER($AI$274),$B$226=1),$AI$274,HLOOKUP(INDIRECT(ADDRESS(2,COLUMN())),OFFSET($BN$2,0,0,ROW()-1,60),ROW()-1,FALSE))</f>
        <v>54.470999999999997</v>
      </c>
      <c r="AJ56">
        <f ca="1">IF(AND(ISNUMBER($AJ$274),$B$226=1),$AJ$274,HLOOKUP(INDIRECT(ADDRESS(2,COLUMN())),OFFSET($BN$2,0,0,ROW()-1,60),ROW()-1,FALSE))</f>
        <v>43.146000000000001</v>
      </c>
      <c r="AK56">
        <f ca="1">IF(AND(ISNUMBER($AK$274),$B$226=1),$AK$274,HLOOKUP(INDIRECT(ADDRESS(2,COLUMN())),OFFSET($BN$2,0,0,ROW()-1,60),ROW()-1,FALSE))</f>
        <v>43.893999999999998</v>
      </c>
      <c r="AL56">
        <f ca="1">IF(AND(ISNUMBER($AL$274),$B$226=1),$AL$274,HLOOKUP(INDIRECT(ADDRESS(2,COLUMN())),OFFSET($BN$2,0,0,ROW()-1,60),ROW()-1,FALSE))</f>
        <v>44.616</v>
      </c>
      <c r="AM56">
        <f ca="1">IF(AND(ISNUMBER($AM$274),$B$226=1),$AM$274,HLOOKUP(INDIRECT(ADDRESS(2,COLUMN())),OFFSET($BN$2,0,0,ROW()-1,60),ROW()-1,FALSE))</f>
        <v>50.499000000000002</v>
      </c>
      <c r="AN56">
        <f ca="1">IF(AND(ISNUMBER($AN$274),$B$226=1),$AN$274,HLOOKUP(INDIRECT(ADDRESS(2,COLUMN())),OFFSET($BN$2,0,0,ROW()-1,60),ROW()-1,FALSE))</f>
        <v>43.154000000000003</v>
      </c>
      <c r="AO56">
        <f ca="1">IF(AND(ISNUMBER($AO$274),$B$226=1),$AO$274,HLOOKUP(INDIRECT(ADDRESS(2,COLUMN())),OFFSET($BN$2,0,0,ROW()-1,60),ROW()-1,FALSE))</f>
        <v>46.231000000000002</v>
      </c>
      <c r="AP56">
        <f ca="1">IF(AND(ISNUMBER($AP$274),$B$226=1),$AP$274,HLOOKUP(INDIRECT(ADDRESS(2,COLUMN())),OFFSET($BN$2,0,0,ROW()-1,60),ROW()-1,FALSE))</f>
        <v>46.725999999999999</v>
      </c>
      <c r="AQ56">
        <f ca="1">IF(AND(ISNUMBER($AQ$274),$B$226=1),$AQ$274,HLOOKUP(INDIRECT(ADDRESS(2,COLUMN())),OFFSET($BN$2,0,0,ROW()-1,60),ROW()-1,FALSE))</f>
        <v>50.552999999999997</v>
      </c>
      <c r="AR56">
        <f ca="1">IF(AND(ISNUMBER($AR$274),$B$226=1),$AR$274,HLOOKUP(INDIRECT(ADDRESS(2,COLUMN())),OFFSET($BN$2,0,0,ROW()-1,60),ROW()-1,FALSE))</f>
        <v>44.210999999999999</v>
      </c>
      <c r="AS56">
        <f ca="1">IF(AND(ISNUMBER($AS$274),$B$226=1),$AS$274,HLOOKUP(INDIRECT(ADDRESS(2,COLUMN())),OFFSET($BN$2,0,0,ROW()-1,60),ROW()-1,FALSE))</f>
        <v>45.061</v>
      </c>
      <c r="AT56">
        <f ca="1">IF(AND(ISNUMBER($AT$274),$B$226=1),$AT$274,HLOOKUP(INDIRECT(ADDRESS(2,COLUMN())),OFFSET($BN$2,0,0,ROW()-1,60),ROW()-1,FALSE))</f>
        <v>45.465000000000003</v>
      </c>
      <c r="AU56">
        <f ca="1">IF(AND(ISNUMBER($AU$274),$B$226=1),$AU$274,HLOOKUP(INDIRECT(ADDRESS(2,COLUMN())),OFFSET($BN$2,0,0,ROW()-1,60),ROW()-1,FALSE))</f>
        <v>49.146000000000001</v>
      </c>
      <c r="AV56">
        <f ca="1">IF(AND(ISNUMBER($AV$274),$B$226=1),$AV$274,HLOOKUP(INDIRECT(ADDRESS(2,COLUMN())),OFFSET($BN$2,0,0,ROW()-1,60),ROW()-1,FALSE))</f>
        <v>-27.212</v>
      </c>
      <c r="AW56">
        <f ca="1">IF(AND(ISNUMBER($AW$274),$B$226=1),$AW$274,HLOOKUP(INDIRECT(ADDRESS(2,COLUMN())),OFFSET($BN$2,0,0,ROW()-1,60),ROW()-1,FALSE))</f>
        <v>42.026000000000003</v>
      </c>
      <c r="AX56">
        <f ca="1">IF(AND(ISNUMBER($AX$274),$B$226=1),$AX$274,HLOOKUP(INDIRECT(ADDRESS(2,COLUMN())),OFFSET($BN$2,0,0,ROW()-1,60),ROW()-1,FALSE))</f>
        <v>42.142000000000003</v>
      </c>
      <c r="AY56">
        <f ca="1">IF(AND(ISNUMBER($AY$274),$B$226=1),$AY$274,HLOOKUP(INDIRECT(ADDRESS(2,COLUMN())),OFFSET($BN$2,0,0,ROW()-1,60),ROW()-1,FALSE))</f>
        <v>54.329000000000001</v>
      </c>
      <c r="AZ56">
        <f ca="1">IF(AND(ISNUMBER($AZ$274),$B$226=1),$AZ$274,HLOOKUP(INDIRECT(ADDRESS(2,COLUMN())),OFFSET($BN$2,0,0,ROW()-1,60),ROW()-1,FALSE))</f>
        <v>40.103000000000002</v>
      </c>
      <c r="BA56">
        <f ca="1">IF(AND(ISNUMBER($BA$274),$B$226=1),$BA$274,HLOOKUP(INDIRECT(ADDRESS(2,COLUMN())),OFFSET($BN$2,0,0,ROW()-1,60),ROW()-1,FALSE))</f>
        <v>40.515999999999998</v>
      </c>
      <c r="BB56">
        <f ca="1">IF(AND(ISNUMBER($BB$274),$B$226=1),$BB$274,HLOOKUP(INDIRECT(ADDRESS(2,COLUMN())),OFFSET($BN$2,0,0,ROW()-1,60),ROW()-1,FALSE))</f>
        <v>40.466000000000001</v>
      </c>
      <c r="BC56">
        <f ca="1">IF(AND(ISNUMBER($BC$274),$B$226=1),$BC$274,HLOOKUP(INDIRECT(ADDRESS(2,COLUMN())),OFFSET($BN$2,0,0,ROW()-1,60),ROW()-1,FALSE))</f>
        <v>50.9</v>
      </c>
      <c r="BD56">
        <f ca="1">IF(AND(ISNUMBER($BD$274),$B$226=1),$BD$274,HLOOKUP(INDIRECT(ADDRESS(2,COLUMN())),OFFSET($BN$2,0,0,ROW()-1,60),ROW()-1,FALSE))</f>
        <v>39.808</v>
      </c>
      <c r="BE56">
        <f ca="1">IF(AND(ISNUMBER($BE$274),$B$226=1),$BE$274,HLOOKUP(INDIRECT(ADDRESS(2,COLUMN())),OFFSET($BN$2,0,0,ROW()-1,60),ROW()-1,FALSE))</f>
        <v>39.396000000000001</v>
      </c>
      <c r="BF56">
        <f ca="1">IF(AND(ISNUMBER($BF$274),$B$226=1),$BF$274,HLOOKUP(INDIRECT(ADDRESS(2,COLUMN())),OFFSET($BN$2,0,0,ROW()-1,60),ROW()-1,FALSE))</f>
        <v>39.259</v>
      </c>
      <c r="BG56">
        <f ca="1">IF(AND(ISNUMBER($BG$274),$B$226=1),$BG$274,HLOOKUP(INDIRECT(ADDRESS(2,COLUMN())),OFFSET($BN$2,0,0,ROW()-1,60),ROW()-1,FALSE))</f>
        <v>37.210003</v>
      </c>
      <c r="BH56">
        <f ca="1">IF(AND(ISNUMBER($BH$274),$B$226=1),$BH$274,HLOOKUP(INDIRECT(ADDRESS(2,COLUMN())),OFFSET($BN$2,0,0,ROW()-1,60),ROW()-1,FALSE))</f>
        <v>33.191000000000003</v>
      </c>
      <c r="BI56">
        <f ca="1">IF(AND(ISNUMBER($BI$274),$B$226=1),$BI$274,HLOOKUP(INDIRECT(ADDRESS(2,COLUMN())),OFFSET($BN$2,0,0,ROW()-1,60),ROW()-1,FALSE))</f>
        <v>33.280999999999999</v>
      </c>
      <c r="BJ56">
        <f ca="1">IF(AND(ISNUMBER($BJ$274),$B$226=1),$BJ$274,HLOOKUP(INDIRECT(ADDRESS(2,COLUMN())),OFFSET($BN$2,0,0,ROW()-1,60),ROW()-1,FALSE))</f>
        <v>33.478999000000002</v>
      </c>
      <c r="BK56">
        <f ca="1">IF(AND(ISNUMBER($BK$274),$B$226=1),$BK$274,HLOOKUP(INDIRECT(ADDRESS(2,COLUMN())),OFFSET($BN$2,0,0,ROW()-1,60),ROW()-1,FALSE))</f>
        <v>34.825000350000003</v>
      </c>
      <c r="BL56">
        <f ca="1">IF(AND(ISNUMBER($BL$274),$B$226=1),$BL$274,HLOOKUP(INDIRECT(ADDRESS(2,COLUMN())),OFFSET($BN$2,0,0,ROW()-1,60),ROW()-1,FALSE))</f>
        <v>29.252001</v>
      </c>
      <c r="BM56">
        <f ca="1">IF(AND(ISNUMBER($BM$274),$B$226=1),$BM$274,HLOOKUP(INDIRECT(ADDRESS(2,COLUMN())),OFFSET($BN$2,0,0,ROW()-1,60),ROW()-1,FALSE))</f>
        <v>30.262</v>
      </c>
      <c r="BN56" t="str">
        <f>""</f>
        <v/>
      </c>
      <c r="BO56">
        <f>230.847</f>
        <v>230.84700000000001</v>
      </c>
      <c r="BP56">
        <f>198.159</f>
        <v>198.15899999999999</v>
      </c>
      <c r="BQ56">
        <f>199.118</f>
        <v>199.11799999999999</v>
      </c>
      <c r="BR56">
        <f>198.923</f>
        <v>198.923</v>
      </c>
      <c r="BS56">
        <f>162.711</f>
        <v>162.71100000000001</v>
      </c>
      <c r="BT56">
        <f>139.607</f>
        <v>139.607</v>
      </c>
      <c r="BU56">
        <f>138.061</f>
        <v>138.06100000000001</v>
      </c>
      <c r="BV56">
        <f>135.78</f>
        <v>135.78</v>
      </c>
      <c r="BW56">
        <f>135.996</f>
        <v>135.99600000000001</v>
      </c>
      <c r="BX56">
        <f>130.443</f>
        <v>130.44300000000001</v>
      </c>
      <c r="BY56">
        <f>128.323</f>
        <v>128.32300000000001</v>
      </c>
      <c r="BZ56">
        <f>125.8</f>
        <v>125.8</v>
      </c>
      <c r="CA56">
        <f>125.466</f>
        <v>125.46599999999999</v>
      </c>
      <c r="CB56">
        <f>118.284</f>
        <v>118.28400000000001</v>
      </c>
      <c r="CC56">
        <f>115.945</f>
        <v>115.94499999999999</v>
      </c>
      <c r="CD56">
        <f>116.711</f>
        <v>116.711</v>
      </c>
      <c r="CE56">
        <f>114.883</f>
        <v>114.883</v>
      </c>
      <c r="CF56">
        <f>64.095</f>
        <v>64.094999999999999</v>
      </c>
      <c r="CG56">
        <f>63.226</f>
        <v>63.225999999999999</v>
      </c>
      <c r="CH56">
        <f>62.253</f>
        <v>62.253</v>
      </c>
      <c r="CI56">
        <f>71.128</f>
        <v>71.128</v>
      </c>
      <c r="CJ56">
        <f>56.475</f>
        <v>56.475000000000001</v>
      </c>
      <c r="CK56">
        <f>54.874</f>
        <v>54.874000000000002</v>
      </c>
      <c r="CL56">
        <f>52.819</f>
        <v>52.819000000000003</v>
      </c>
      <c r="CM56">
        <f>61.064</f>
        <v>61.064</v>
      </c>
      <c r="CN56">
        <f>48.383</f>
        <v>48.383000000000003</v>
      </c>
      <c r="CO56">
        <f>47.343</f>
        <v>47.343000000000004</v>
      </c>
      <c r="CP56">
        <f>46.492</f>
        <v>46.491999999999997</v>
      </c>
      <c r="CQ56">
        <f>54.471</f>
        <v>54.470999999999997</v>
      </c>
      <c r="CR56">
        <f>43.146</f>
        <v>43.146000000000001</v>
      </c>
      <c r="CS56">
        <f>43.894</f>
        <v>43.893999999999998</v>
      </c>
      <c r="CT56">
        <f>44.616</f>
        <v>44.616</v>
      </c>
      <c r="CU56">
        <f>50.499</f>
        <v>50.499000000000002</v>
      </c>
      <c r="CV56">
        <f>43.154</f>
        <v>43.154000000000003</v>
      </c>
      <c r="CW56">
        <f>46.231</f>
        <v>46.231000000000002</v>
      </c>
      <c r="CX56">
        <f>46.726</f>
        <v>46.725999999999999</v>
      </c>
      <c r="CY56">
        <f>50.553</f>
        <v>50.552999999999997</v>
      </c>
      <c r="CZ56">
        <f>44.211</f>
        <v>44.210999999999999</v>
      </c>
      <c r="DA56">
        <f>45.061</f>
        <v>45.061</v>
      </c>
      <c r="DB56">
        <f>45.465</f>
        <v>45.465000000000003</v>
      </c>
      <c r="DC56">
        <f>49.146</f>
        <v>49.146000000000001</v>
      </c>
      <c r="DD56">
        <f>-27.212</f>
        <v>-27.212</v>
      </c>
      <c r="DE56">
        <f>42.026</f>
        <v>42.026000000000003</v>
      </c>
      <c r="DF56">
        <f>42.142</f>
        <v>42.142000000000003</v>
      </c>
      <c r="DG56">
        <f>54.329</f>
        <v>54.329000000000001</v>
      </c>
      <c r="DH56">
        <f>40.103</f>
        <v>40.103000000000002</v>
      </c>
      <c r="DI56">
        <f>40.516</f>
        <v>40.515999999999998</v>
      </c>
      <c r="DJ56">
        <f>40.466</f>
        <v>40.466000000000001</v>
      </c>
      <c r="DK56">
        <f>50.9</f>
        <v>50.9</v>
      </c>
      <c r="DL56">
        <f>39.808</f>
        <v>39.808</v>
      </c>
      <c r="DM56">
        <f>39.396</f>
        <v>39.396000000000001</v>
      </c>
      <c r="DN56">
        <f>39.259</f>
        <v>39.259</v>
      </c>
      <c r="DO56">
        <f>37.210003</f>
        <v>37.210003</v>
      </c>
      <c r="DP56">
        <f>33.191</f>
        <v>33.191000000000003</v>
      </c>
      <c r="DQ56">
        <f>33.281</f>
        <v>33.280999999999999</v>
      </c>
      <c r="DR56">
        <f>33.478999</f>
        <v>33.478999000000002</v>
      </c>
      <c r="DS56">
        <f>34.82500035</f>
        <v>34.825000350000003</v>
      </c>
      <c r="DT56">
        <f>29.252001</f>
        <v>29.252001</v>
      </c>
      <c r="DU56">
        <f>30.262</f>
        <v>30.262</v>
      </c>
    </row>
    <row r="57" spans="1:125">
      <c r="A57" t="str">
        <f>"    UDR Inc"</f>
        <v xml:space="preserve">    UDR Inc</v>
      </c>
      <c r="B57" t="str">
        <f>"UDR US Equity"</f>
        <v>UDR US Equity</v>
      </c>
      <c r="C57" t="str">
        <f t="shared" si="15"/>
        <v>RR502</v>
      </c>
      <c r="D57" t="str">
        <f t="shared" si="16"/>
        <v>NET_OPER_INCOME</v>
      </c>
      <c r="E57" t="str">
        <f t="shared" si="17"/>
        <v>动态</v>
      </c>
      <c r="F57" t="str">
        <f ca="1">IF(AND(ISNUMBER($F$275),$B$226=1),$F$275,HLOOKUP(INDIRECT(ADDRESS(2,COLUMN())),OFFSET($BN$2,0,0,ROW()-1,60),ROW()-1,FALSE))</f>
        <v/>
      </c>
      <c r="G57">
        <f ca="1">IF(AND(ISNUMBER($G$275),$B$226=1),$G$275,HLOOKUP(INDIRECT(ADDRESS(2,COLUMN())),OFFSET($BN$2,0,0,ROW()-1,60),ROW()-1,FALSE))</f>
        <v>170.798</v>
      </c>
      <c r="H57">
        <f ca="1">IF(AND(ISNUMBER($H$275),$B$226=1),$H$275,HLOOKUP(INDIRECT(ADDRESS(2,COLUMN())),OFFSET($BN$2,0,0,ROW()-1,60),ROW()-1,FALSE))</f>
        <v>167.89400000000001</v>
      </c>
      <c r="I57">
        <f ca="1">IF(AND(ISNUMBER($I$275),$B$226=1),$I$275,HLOOKUP(INDIRECT(ADDRESS(2,COLUMN())),OFFSET($BN$2,0,0,ROW()-1,60),ROW()-1,FALSE))</f>
        <v>167.89500000000001</v>
      </c>
      <c r="J57">
        <f ca="1">IF(AND(ISNUMBER($J$275),$B$226=1),$J$275,HLOOKUP(INDIRECT(ADDRESS(2,COLUMN())),OFFSET($BN$2,0,0,ROW()-1,60),ROW()-1,FALSE))</f>
        <v>164.84800000000001</v>
      </c>
      <c r="K57">
        <f ca="1">IF(AND(ISNUMBER($K$275),$B$226=1),$K$275,HLOOKUP(INDIRECT(ADDRESS(2,COLUMN())),OFFSET($BN$2,0,0,ROW()-1,60),ROW()-1,FALSE))</f>
        <v>164.67699999999999</v>
      </c>
      <c r="L57">
        <f ca="1">IF(AND(ISNUMBER($L$275),$B$226=1),$L$275,HLOOKUP(INDIRECT(ADDRESS(2,COLUMN())),OFFSET($BN$2,0,0,ROW()-1,60),ROW()-1,FALSE))</f>
        <v>163.749</v>
      </c>
      <c r="M57">
        <f ca="1">IF(AND(ISNUMBER($M$275),$B$226=1),$M$275,HLOOKUP(INDIRECT(ADDRESS(2,COLUMN())),OFFSET($BN$2,0,0,ROW()-1,60),ROW()-1,FALSE))</f>
        <v>160.821</v>
      </c>
      <c r="N57">
        <f ca="1">IF(AND(ISNUMBER($N$275),$B$226=1),$N$275,HLOOKUP(INDIRECT(ADDRESS(2,COLUMN())),OFFSET($BN$2,0,0,ROW()-1,60),ROW()-1,FALSE))</f>
        <v>157.755</v>
      </c>
      <c r="O57">
        <f ca="1">IF(AND(ISNUMBER($O$275),$B$226=1),$O$275,HLOOKUP(INDIRECT(ADDRESS(2,COLUMN())),OFFSET($BN$2,0,0,ROW()-1,60),ROW()-1,FALSE))</f>
        <v>159.852</v>
      </c>
      <c r="P57">
        <f ca="1">IF(AND(ISNUMBER($P$275),$B$226=1),$P$275,HLOOKUP(INDIRECT(ADDRESS(2,COLUMN())),OFFSET($BN$2,0,0,ROW()-1,60),ROW()-1,FALSE))</f>
        <v>147.577</v>
      </c>
      <c r="Q57">
        <f ca="1">IF(AND(ISNUMBER($Q$275),$B$226=1),$Q$275,HLOOKUP(INDIRECT(ADDRESS(2,COLUMN())),OFFSET($BN$2,0,0,ROW()-1,60),ROW()-1,FALSE))</f>
        <v>144.58099999999999</v>
      </c>
      <c r="R57">
        <f ca="1">IF(AND(ISNUMBER($R$275),$B$226=1),$R$275,HLOOKUP(INDIRECT(ADDRESS(2,COLUMN())),OFFSET($BN$2,0,0,ROW()-1,60),ROW()-1,FALSE))</f>
        <v>137.881</v>
      </c>
      <c r="S57">
        <f ca="1">IF(AND(ISNUMBER($S$275),$B$226=1),$S$275,HLOOKUP(INDIRECT(ADDRESS(2,COLUMN())),OFFSET($BN$2,0,0,ROW()-1,60),ROW()-1,FALSE))</f>
        <v>138.32300000000001</v>
      </c>
      <c r="T57">
        <f ca="1">IF(AND(ISNUMBER($T$275),$B$226=1),$T$275,HLOOKUP(INDIRECT(ADDRESS(2,COLUMN())),OFFSET($BN$2,0,0,ROW()-1,60),ROW()-1,FALSE))</f>
        <v>134.20599999999999</v>
      </c>
      <c r="U57">
        <f ca="1">IF(AND(ISNUMBER($U$275),$B$226=1),$U$275,HLOOKUP(INDIRECT(ADDRESS(2,COLUMN())),OFFSET($BN$2,0,0,ROW()-1,60),ROW()-1,FALSE))</f>
        <v>134.876</v>
      </c>
      <c r="V57">
        <f ca="1">IF(AND(ISNUMBER($V$275),$B$226=1),$V$275,HLOOKUP(INDIRECT(ADDRESS(2,COLUMN())),OFFSET($BN$2,0,0,ROW()-1,60),ROW()-1,FALSE))</f>
        <v>126.85599999999999</v>
      </c>
      <c r="W57">
        <f ca="1">IF(AND(ISNUMBER($W$275),$B$226=1),$W$275,HLOOKUP(INDIRECT(ADDRESS(2,COLUMN())),OFFSET($BN$2,0,0,ROW()-1,60),ROW()-1,FALSE))</f>
        <v>124.95099999999999</v>
      </c>
      <c r="X57">
        <f ca="1">IF(AND(ISNUMBER($X$275),$B$226=1),$X$275,HLOOKUP(INDIRECT(ADDRESS(2,COLUMN())),OFFSET($BN$2,0,0,ROW()-1,60),ROW()-1,FALSE))</f>
        <v>121.983</v>
      </c>
      <c r="Y57">
        <f ca="1">IF(AND(ISNUMBER($Y$275),$B$226=1),$Y$275,HLOOKUP(INDIRECT(ADDRESS(2,COLUMN())),OFFSET($BN$2,0,0,ROW()-1,60),ROW()-1,FALSE))</f>
        <v>122.093</v>
      </c>
      <c r="Z57">
        <f ca="1">IF(AND(ISNUMBER($Z$275),$B$226=1),$Z$275,HLOOKUP(INDIRECT(ADDRESS(2,COLUMN())),OFFSET($BN$2,0,0,ROW()-1,60),ROW()-1,FALSE))</f>
        <v>118.84399999999999</v>
      </c>
      <c r="AA57">
        <f ca="1">IF(AND(ISNUMBER($AA$275),$B$226=1),$AA$275,HLOOKUP(INDIRECT(ADDRESS(2,COLUMN())),OFFSET($BN$2,0,0,ROW()-1,60),ROW()-1,FALSE))</f>
        <v>118.45699999999999</v>
      </c>
      <c r="AB57">
        <f ca="1">IF(AND(ISNUMBER($AB$275),$B$226=1),$AB$275,HLOOKUP(INDIRECT(ADDRESS(2,COLUMN())),OFFSET($BN$2,0,0,ROW()-1,60),ROW()-1,FALSE))</f>
        <v>117.29600000000001</v>
      </c>
      <c r="AC57">
        <f ca="1">IF(AND(ISNUMBER($AC$275),$B$226=1),$AC$275,HLOOKUP(INDIRECT(ADDRESS(2,COLUMN())),OFFSET($BN$2,0,0,ROW()-1,60),ROW()-1,FALSE))</f>
        <v>115.453</v>
      </c>
      <c r="AD57">
        <f ca="1">IF(AND(ISNUMBER($AD$275),$B$226=1),$AD$275,HLOOKUP(INDIRECT(ADDRESS(2,COLUMN())),OFFSET($BN$2,0,0,ROW()-1,60),ROW()-1,FALSE))</f>
        <v>112.205</v>
      </c>
      <c r="AE57">
        <f ca="1">IF(AND(ISNUMBER($AE$275),$B$226=1),$AE$275,HLOOKUP(INDIRECT(ADDRESS(2,COLUMN())),OFFSET($BN$2,0,0,ROW()-1,60),ROW()-1,FALSE))</f>
        <v>110.099</v>
      </c>
      <c r="AF57">
        <f ca="1">IF(AND(ISNUMBER($AF$275),$B$226=1),$AF$275,HLOOKUP(INDIRECT(ADDRESS(2,COLUMN())),OFFSET($BN$2,0,0,ROW()-1,60),ROW()-1,FALSE))</f>
        <v>106.52500000000001</v>
      </c>
      <c r="AG57">
        <f ca="1">IF(AND(ISNUMBER($AG$275),$B$226=1),$AG$275,HLOOKUP(INDIRECT(ADDRESS(2,COLUMN())),OFFSET($BN$2,0,0,ROW()-1,60),ROW()-1,FALSE))</f>
        <v>97.335999999999999</v>
      </c>
      <c r="AH57">
        <f ca="1">IF(AND(ISNUMBER($AH$275),$B$226=1),$AH$275,HLOOKUP(INDIRECT(ADDRESS(2,COLUMN())),OFFSET($BN$2,0,0,ROW()-1,60),ROW()-1,FALSE))</f>
        <v>86.43</v>
      </c>
      <c r="AI57">
        <f ca="1">IF(AND(ISNUMBER($AI$275),$B$226=1),$AI$275,HLOOKUP(INDIRECT(ADDRESS(2,COLUMN())),OFFSET($BN$2,0,0,ROW()-1,60),ROW()-1,FALSE))</f>
        <v>95.903000000000006</v>
      </c>
      <c r="AJ57">
        <f ca="1">IF(AND(ISNUMBER($AJ$275),$B$226=1),$AJ$275,HLOOKUP(INDIRECT(ADDRESS(2,COLUMN())),OFFSET($BN$2,0,0,ROW()-1,60),ROW()-1,FALSE))</f>
        <v>92.581000000000003</v>
      </c>
      <c r="AK57">
        <f ca="1">IF(AND(ISNUMBER($AK$275),$B$226=1),$AK$275,HLOOKUP(INDIRECT(ADDRESS(2,COLUMN())),OFFSET($BN$2,0,0,ROW()-1,60),ROW()-1,FALSE))</f>
        <v>91.116</v>
      </c>
      <c r="AL57">
        <f ca="1">IF(AND(ISNUMBER($AL$275),$B$226=1),$AL$275,HLOOKUP(INDIRECT(ADDRESS(2,COLUMN())),OFFSET($BN$2,0,0,ROW()-1,60),ROW()-1,FALSE))</f>
        <v>89.555000000000007</v>
      </c>
      <c r="AM57">
        <f ca="1">IF(AND(ISNUMBER($AM$275),$B$226=1),$AM$275,HLOOKUP(INDIRECT(ADDRESS(2,COLUMN())),OFFSET($BN$2,0,0,ROW()-1,60),ROW()-1,FALSE))</f>
        <v>95.403999999999996</v>
      </c>
      <c r="AN57">
        <f ca="1">IF(AND(ISNUMBER($AN$275),$B$226=1),$AN$275,HLOOKUP(INDIRECT(ADDRESS(2,COLUMN())),OFFSET($BN$2,0,0,ROW()-1,60),ROW()-1,FALSE))</f>
        <v>93.728999999999999</v>
      </c>
      <c r="AO57">
        <f ca="1">IF(AND(ISNUMBER($AO$275),$B$226=1),$AO$275,HLOOKUP(INDIRECT(ADDRESS(2,COLUMN())),OFFSET($BN$2,0,0,ROW()-1,60),ROW()-1,FALSE))</f>
        <v>97.21</v>
      </c>
      <c r="AP57">
        <f ca="1">IF(AND(ISNUMBER($AP$275),$B$226=1),$AP$275,HLOOKUP(INDIRECT(ADDRESS(2,COLUMN())),OFFSET($BN$2,0,0,ROW()-1,60),ROW()-1,FALSE))</f>
        <v>94.911000000000001</v>
      </c>
      <c r="AQ57">
        <f ca="1">IF(AND(ISNUMBER($AQ$275),$B$226=1),$AQ$275,HLOOKUP(INDIRECT(ADDRESS(2,COLUMN())),OFFSET($BN$2,0,0,ROW()-1,60),ROW()-1,FALSE))</f>
        <v>95.048000000000002</v>
      </c>
      <c r="AR57">
        <f ca="1">IF(AND(ISNUMBER($AR$275),$B$226=1),$AR$275,HLOOKUP(INDIRECT(ADDRESS(2,COLUMN())),OFFSET($BN$2,0,0,ROW()-1,60),ROW()-1,FALSE))</f>
        <v>91.518000000000001</v>
      </c>
      <c r="AS57">
        <f ca="1">IF(AND(ISNUMBER($AS$275),$B$226=1),$AS$275,HLOOKUP(INDIRECT(ADDRESS(2,COLUMN())),OFFSET($BN$2,0,0,ROW()-1,60),ROW()-1,FALSE))</f>
        <v>89.754999999999995</v>
      </c>
      <c r="AT57">
        <f ca="1">IF(AND(ISNUMBER($AT$275),$B$226=1),$AT$275,HLOOKUP(INDIRECT(ADDRESS(2,COLUMN())),OFFSET($BN$2,0,0,ROW()-1,60),ROW()-1,FALSE))</f>
        <v>80.058000000000007</v>
      </c>
      <c r="AU57">
        <f ca="1">IF(AND(ISNUMBER($AU$275),$B$226=1),$AU$275,HLOOKUP(INDIRECT(ADDRESS(2,COLUMN())),OFFSET($BN$2,0,0,ROW()-1,60),ROW()-1,FALSE))</f>
        <v>81.823999999999998</v>
      </c>
      <c r="AV57">
        <f ca="1">IF(AND(ISNUMBER($AV$275),$B$226=1),$AV$275,HLOOKUP(INDIRECT(ADDRESS(2,COLUMN())),OFFSET($BN$2,0,0,ROW()-1,60),ROW()-1,FALSE))</f>
        <v>84.19</v>
      </c>
      <c r="AW57">
        <f ca="1">IF(AND(ISNUMBER($AW$275),$B$226=1),$AW$275,HLOOKUP(INDIRECT(ADDRESS(2,COLUMN())),OFFSET($BN$2,0,0,ROW()-1,60),ROW()-1,FALSE))</f>
        <v>79.557000000000002</v>
      </c>
      <c r="AX57">
        <f ca="1">IF(AND(ISNUMBER($AX$275),$B$226=1),$AX$275,HLOOKUP(INDIRECT(ADDRESS(2,COLUMN())),OFFSET($BN$2,0,0,ROW()-1,60),ROW()-1,FALSE))</f>
        <v>75.864000000000004</v>
      </c>
      <c r="AY57">
        <f ca="1">IF(AND(ISNUMBER($AY$275),$B$226=1),$AY$275,HLOOKUP(INDIRECT(ADDRESS(2,COLUMN())),OFFSET($BN$2,0,0,ROW()-1,60),ROW()-1,FALSE))</f>
        <v>74.587999999999994</v>
      </c>
      <c r="AZ57">
        <f ca="1">IF(AND(ISNUMBER($AZ$275),$B$226=1),$AZ$275,HLOOKUP(INDIRECT(ADDRESS(2,COLUMN())),OFFSET($BN$2,0,0,ROW()-1,60),ROW()-1,FALSE))</f>
        <v>125.643</v>
      </c>
      <c r="BA57">
        <f ca="1">IF(AND(ISNUMBER($BA$275),$B$226=1),$BA$275,HLOOKUP(INDIRECT(ADDRESS(2,COLUMN())),OFFSET($BN$2,0,0,ROW()-1,60),ROW()-1,FALSE))</f>
        <v>101.25700000000001</v>
      </c>
      <c r="BB57">
        <f ca="1">IF(AND(ISNUMBER($BB$275),$B$226=1),$BB$275,HLOOKUP(INDIRECT(ADDRESS(2,COLUMN())),OFFSET($BN$2,0,0,ROW()-1,60),ROW()-1,FALSE))</f>
        <v>98.186999999999998</v>
      </c>
      <c r="BC57">
        <f ca="1">IF(AND(ISNUMBER($BC$275),$B$226=1),$BC$275,HLOOKUP(INDIRECT(ADDRESS(2,COLUMN())),OFFSET($BN$2,0,0,ROW()-1,60),ROW()-1,FALSE))</f>
        <v>130.58099999999999</v>
      </c>
      <c r="BD57">
        <f ca="1">IF(AND(ISNUMBER($BD$275),$B$226=1),$BD$275,HLOOKUP(INDIRECT(ADDRESS(2,COLUMN())),OFFSET($BN$2,0,0,ROW()-1,60),ROW()-1,FALSE))</f>
        <v>114.435</v>
      </c>
      <c r="BE57">
        <f ca="1">IF(AND(ISNUMBER($BE$275),$B$226=1),$BE$275,HLOOKUP(INDIRECT(ADDRESS(2,COLUMN())),OFFSET($BN$2,0,0,ROW()-1,60),ROW()-1,FALSE))</f>
        <v>94.811000000000007</v>
      </c>
      <c r="BF57">
        <f ca="1">IF(AND(ISNUMBER($BF$275),$B$226=1),$BF$275,HLOOKUP(INDIRECT(ADDRESS(2,COLUMN())),OFFSET($BN$2,0,0,ROW()-1,60),ROW()-1,FALSE))</f>
        <v>93.706000000000003</v>
      </c>
      <c r="BG57">
        <f ca="1">IF(AND(ISNUMBER($BG$275),$B$226=1),$BG$275,HLOOKUP(INDIRECT(ADDRESS(2,COLUMN())),OFFSET($BN$2,0,0,ROW()-1,60),ROW()-1,FALSE))</f>
        <v>81.11</v>
      </c>
      <c r="BH57">
        <f ca="1">IF(AND(ISNUMBER($BH$275),$B$226=1),$BH$275,HLOOKUP(INDIRECT(ADDRESS(2,COLUMN())),OFFSET($BN$2,0,0,ROW()-1,60),ROW()-1,FALSE))</f>
        <v>88.37</v>
      </c>
      <c r="BI57">
        <f ca="1">IF(AND(ISNUMBER($BI$275),$B$226=1),$BI$275,HLOOKUP(INDIRECT(ADDRESS(2,COLUMN())),OFFSET($BN$2,0,0,ROW()-1,60),ROW()-1,FALSE))</f>
        <v>108.273</v>
      </c>
      <c r="BJ57">
        <f ca="1">IF(AND(ISNUMBER($BJ$275),$B$226=1),$BJ$275,HLOOKUP(INDIRECT(ADDRESS(2,COLUMN())),OFFSET($BN$2,0,0,ROW()-1,60),ROW()-1,FALSE))</f>
        <v>106.46899999999999</v>
      </c>
      <c r="BK57">
        <f ca="1">IF(AND(ISNUMBER($BK$275),$B$226=1),$BK$275,HLOOKUP(INDIRECT(ADDRESS(2,COLUMN())),OFFSET($BN$2,0,0,ROW()-1,60),ROW()-1,FALSE))</f>
        <v>104.279</v>
      </c>
      <c r="BL57">
        <f ca="1">IF(AND(ISNUMBER($BL$275),$B$226=1),$BL$275,HLOOKUP(INDIRECT(ADDRESS(2,COLUMN())),OFFSET($BN$2,0,0,ROW()-1,60),ROW()-1,FALSE))</f>
        <v>98.527000000000001</v>
      </c>
      <c r="BM57">
        <f ca="1">IF(AND(ISNUMBER($BM$275),$B$226=1),$BM$275,HLOOKUP(INDIRECT(ADDRESS(2,COLUMN())),OFFSET($BN$2,0,0,ROW()-1,60),ROW()-1,FALSE))</f>
        <v>100.49299999999999</v>
      </c>
      <c r="BN57" t="str">
        <f>""</f>
        <v/>
      </c>
      <c r="BO57">
        <f>170.798</f>
        <v>170.798</v>
      </c>
      <c r="BP57">
        <f>167.894</f>
        <v>167.89400000000001</v>
      </c>
      <c r="BQ57">
        <f>167.895</f>
        <v>167.89500000000001</v>
      </c>
      <c r="BR57">
        <f>164.848</f>
        <v>164.84800000000001</v>
      </c>
      <c r="BS57">
        <f>164.677</f>
        <v>164.67699999999999</v>
      </c>
      <c r="BT57">
        <f>163.749</f>
        <v>163.749</v>
      </c>
      <c r="BU57">
        <f>160.821</f>
        <v>160.821</v>
      </c>
      <c r="BV57">
        <f>157.755</f>
        <v>157.755</v>
      </c>
      <c r="BW57">
        <f>159.852</f>
        <v>159.852</v>
      </c>
      <c r="BX57">
        <f>147.577</f>
        <v>147.577</v>
      </c>
      <c r="BY57">
        <f>144.581</f>
        <v>144.58099999999999</v>
      </c>
      <c r="BZ57">
        <f>137.881</f>
        <v>137.881</v>
      </c>
      <c r="CA57">
        <f>138.323</f>
        <v>138.32300000000001</v>
      </c>
      <c r="CB57">
        <f>134.206</f>
        <v>134.20599999999999</v>
      </c>
      <c r="CC57">
        <f>134.876</f>
        <v>134.876</v>
      </c>
      <c r="CD57">
        <f>126.856</f>
        <v>126.85599999999999</v>
      </c>
      <c r="CE57">
        <f>124.951</f>
        <v>124.95099999999999</v>
      </c>
      <c r="CF57">
        <f>121.983</f>
        <v>121.983</v>
      </c>
      <c r="CG57">
        <f>122.093</f>
        <v>122.093</v>
      </c>
      <c r="CH57">
        <f>118.844</f>
        <v>118.84399999999999</v>
      </c>
      <c r="CI57">
        <f>118.457</f>
        <v>118.45699999999999</v>
      </c>
      <c r="CJ57">
        <f>117.296</f>
        <v>117.29600000000001</v>
      </c>
      <c r="CK57">
        <f>115.453</f>
        <v>115.453</v>
      </c>
      <c r="CL57">
        <f>112.205</f>
        <v>112.205</v>
      </c>
      <c r="CM57">
        <f>110.099</f>
        <v>110.099</v>
      </c>
      <c r="CN57">
        <f>106.525</f>
        <v>106.52500000000001</v>
      </c>
      <c r="CO57">
        <f>97.336</f>
        <v>97.335999999999999</v>
      </c>
      <c r="CP57">
        <f>86.43</f>
        <v>86.43</v>
      </c>
      <c r="CQ57">
        <f>95.903</f>
        <v>95.903000000000006</v>
      </c>
      <c r="CR57">
        <f>92.581</f>
        <v>92.581000000000003</v>
      </c>
      <c r="CS57">
        <f>91.116</f>
        <v>91.116</v>
      </c>
      <c r="CT57">
        <f>89.555</f>
        <v>89.555000000000007</v>
      </c>
      <c r="CU57">
        <f>95.404</f>
        <v>95.403999999999996</v>
      </c>
      <c r="CV57">
        <f>93.729</f>
        <v>93.728999999999999</v>
      </c>
      <c r="CW57">
        <f>97.21</f>
        <v>97.21</v>
      </c>
      <c r="CX57">
        <f>94.911</f>
        <v>94.911000000000001</v>
      </c>
      <c r="CY57">
        <f>95.048</f>
        <v>95.048000000000002</v>
      </c>
      <c r="CZ57">
        <f>91.518</f>
        <v>91.518000000000001</v>
      </c>
      <c r="DA57">
        <f>89.755</f>
        <v>89.754999999999995</v>
      </c>
      <c r="DB57">
        <f>80.058</f>
        <v>80.058000000000007</v>
      </c>
      <c r="DC57">
        <f>81.824</f>
        <v>81.823999999999998</v>
      </c>
      <c r="DD57">
        <f>84.19</f>
        <v>84.19</v>
      </c>
      <c r="DE57">
        <f>79.557</f>
        <v>79.557000000000002</v>
      </c>
      <c r="DF57">
        <f>75.864</f>
        <v>75.864000000000004</v>
      </c>
      <c r="DG57">
        <f>74.588</f>
        <v>74.587999999999994</v>
      </c>
      <c r="DH57">
        <f>125.643</f>
        <v>125.643</v>
      </c>
      <c r="DI57">
        <f>101.257</f>
        <v>101.25700000000001</v>
      </c>
      <c r="DJ57">
        <f>98.187</f>
        <v>98.186999999999998</v>
      </c>
      <c r="DK57">
        <f>130.581</f>
        <v>130.58099999999999</v>
      </c>
      <c r="DL57">
        <f>114.435</f>
        <v>114.435</v>
      </c>
      <c r="DM57">
        <f>94.811</f>
        <v>94.811000000000007</v>
      </c>
      <c r="DN57">
        <f>93.706</f>
        <v>93.706000000000003</v>
      </c>
      <c r="DO57">
        <f>81.11</f>
        <v>81.11</v>
      </c>
      <c r="DP57">
        <f>88.37</f>
        <v>88.37</v>
      </c>
      <c r="DQ57">
        <f>108.273</f>
        <v>108.273</v>
      </c>
      <c r="DR57">
        <f>106.469</f>
        <v>106.46899999999999</v>
      </c>
      <c r="DS57">
        <f>104.279</f>
        <v>104.279</v>
      </c>
      <c r="DT57">
        <f>98.527</f>
        <v>98.527000000000001</v>
      </c>
      <c r="DU57">
        <f>100.493</f>
        <v>100.49299999999999</v>
      </c>
    </row>
    <row r="58" spans="1:125">
      <c r="A58" t="str">
        <f>"EBITDA"</f>
        <v>EBITDA</v>
      </c>
      <c r="B58" t="str">
        <f>""</f>
        <v/>
      </c>
      <c r="E58" t="str">
        <f>"Median"</f>
        <v>Median</v>
      </c>
      <c r="F58" t="str">
        <f ca="1">IF(ISERROR(IF(MEDIAN($F$59:$F$66) = 0, "", MEDIAN($F$59:$F$66))), "", (IF(MEDIAN($F$59:$F$66) = 0, "", MEDIAN($F$59:$F$66))))</f>
        <v/>
      </c>
      <c r="G58">
        <f ca="1">IF(ISERROR(IF(MEDIAN($G$59:$G$66) = 0, "", MEDIAN($G$59:$G$66))), "", (IF(MEDIAN($G$59:$G$66) = 0, "", MEDIAN($G$59:$G$66))))</f>
        <v>187.20100000000002</v>
      </c>
      <c r="H58">
        <f ca="1">IF(ISERROR(IF(MEDIAN($H$59:$H$66) = 0, "", MEDIAN($H$59:$H$66))), "", (IF(MEDIAN($H$59:$H$66) = 0, "", MEDIAN($H$59:$H$66))))</f>
        <v>183.49700000000001</v>
      </c>
      <c r="I58">
        <f ca="1">IF(ISERROR(IF(MEDIAN($I$59:$I$66) = 0, "", MEDIAN($I$59:$I$66))), "", (IF(MEDIAN($I$59:$I$66) = 0, "", MEDIAN($I$59:$I$66))))</f>
        <v>184.494</v>
      </c>
      <c r="J58">
        <f ca="1">IF(ISERROR(IF(MEDIAN($J$59:$J$66) = 0, "", MEDIAN($J$59:$J$66))), "", (IF(MEDIAN($J$59:$J$66) = 0, "", MEDIAN($J$59:$J$66))))</f>
        <v>179.94400000000002</v>
      </c>
      <c r="K58">
        <f ca="1">IF(ISERROR(IF(MEDIAN($K$59:$K$66) = 0, "", MEDIAN($K$59:$K$66))), "", (IF(MEDIAN($K$59:$K$66) = 0, "", MEDIAN($K$59:$K$66))))</f>
        <v>146.4545</v>
      </c>
      <c r="L58">
        <f ca="1">IF(ISERROR(IF(MEDIAN($L$59:$L$66) = 0, "", MEDIAN($L$59:$L$66))), "", (IF(MEDIAN($L$59:$L$66) = 0, "", MEDIAN($L$59:$L$66))))</f>
        <v>151.91399999999999</v>
      </c>
      <c r="M58">
        <f ca="1">IF(ISERROR(IF(MEDIAN($M$59:$M$66) = 0, "", MEDIAN($M$59:$M$66))), "", (IF(MEDIAN($M$59:$M$66) = 0, "", MEDIAN($M$59:$M$66))))</f>
        <v>151.42149999999998</v>
      </c>
      <c r="N58">
        <f ca="1">IF(ISERROR(IF(MEDIAN($N$59:$N$66) = 0, "", MEDIAN($N$59:$N$66))), "", (IF(MEDIAN($N$59:$N$66) = 0, "", MEDIAN($N$59:$N$66))))</f>
        <v>148.43700000000001</v>
      </c>
      <c r="O58">
        <f ca="1">IF(ISERROR(IF(MEDIAN($O$59:$O$66) = 0, "", MEDIAN($O$59:$O$66))), "", (IF(MEDIAN($O$59:$O$66) = 0, "", MEDIAN($O$59:$O$66))))</f>
        <v>145.27449999999999</v>
      </c>
      <c r="P58">
        <f ca="1">IF(ISERROR(IF(MEDIAN($P$59:$P$66) = 0, "", MEDIAN($P$59:$P$66))), "", (IF(MEDIAN($P$59:$P$66) = 0, "", MEDIAN($P$59:$P$66))))</f>
        <v>138.8175</v>
      </c>
      <c r="Q58">
        <f ca="1">IF(ISERROR(IF(MEDIAN($Q$59:$Q$66) = 0, "", MEDIAN($Q$59:$Q$66))), "", (IF(MEDIAN($Q$59:$Q$66) = 0, "", MEDIAN($Q$59:$Q$66))))</f>
        <v>138.32650000000001</v>
      </c>
      <c r="R58">
        <f ca="1">IF(ISERROR(IF(MEDIAN($R$59:$R$66) = 0, "", MEDIAN($R$59:$R$66))), "", (IF(MEDIAN($R$59:$R$66) = 0, "", MEDIAN($R$59:$R$66))))</f>
        <v>139.0915</v>
      </c>
      <c r="S58">
        <f ca="1">IF(ISERROR(IF(MEDIAN($S$59:$S$66) = 0, "", MEDIAN($S$59:$S$66))), "", (IF(MEDIAN($S$59:$S$66) = 0, "", MEDIAN($S$59:$S$66))))</f>
        <v>132.5275</v>
      </c>
      <c r="T58">
        <f ca="1">IF(ISERROR(IF(MEDIAN($T$59:$T$66) = 0, "", MEDIAN($T$59:$T$66))), "", (IF(MEDIAN($T$59:$T$66) = 0, "", MEDIAN($T$59:$T$66))))</f>
        <v>129.52950000000001</v>
      </c>
      <c r="U58">
        <f ca="1">IF(ISERROR(IF(MEDIAN($U$59:$U$66) = 0, "", MEDIAN($U$59:$U$66))), "", (IF(MEDIAN($U$59:$U$66) = 0, "", MEDIAN($U$59:$U$66))))</f>
        <v>125.82650000000001</v>
      </c>
      <c r="V58">
        <f ca="1">IF(ISERROR(IF(MEDIAN($V$59:$V$66) = 0, "", MEDIAN($V$59:$V$66))), "", (IF(MEDIAN($V$59:$V$66) = 0, "", MEDIAN($V$59:$V$66))))</f>
        <v>117.054</v>
      </c>
      <c r="W58">
        <f ca="1">IF(ISERROR(IF(MEDIAN($W$59:$W$66) = 0, "", MEDIAN($W$59:$W$66))), "", (IF(MEDIAN($W$59:$W$66) = 0, "", MEDIAN($W$59:$W$66))))</f>
        <v>110.61799999999999</v>
      </c>
      <c r="X58">
        <f ca="1">IF(ISERROR(IF(MEDIAN($X$59:$X$66) = 0, "", MEDIAN($X$59:$X$66))), "", (IF(MEDIAN($X$59:$X$66) = 0, "", MEDIAN($X$59:$X$66))))</f>
        <v>107.56399999999999</v>
      </c>
      <c r="Y58">
        <f ca="1">IF(ISERROR(IF(MEDIAN($Y$59:$Y$66) = 0, "", MEDIAN($Y$59:$Y$66))), "", (IF(MEDIAN($Y$59:$Y$66) = 0, "", MEDIAN($Y$59:$Y$66))))</f>
        <v>104.3515</v>
      </c>
      <c r="Z58">
        <f ca="1">IF(ISERROR(IF(MEDIAN($Z$59:$Z$66) = 0, "", MEDIAN($Z$59:$Z$66))), "", (IF(MEDIAN($Z$59:$Z$66) = 0, "", MEDIAN($Z$59:$Z$66))))</f>
        <v>102.2555</v>
      </c>
      <c r="AA58">
        <f ca="1">IF(ISERROR(IF(MEDIAN($AA$59:$AA$66) = 0, "", MEDIAN($AA$59:$AA$66))), "", (IF(MEDIAN($AA$59:$AA$66) = 0, "", MEDIAN($AA$59:$AA$66))))</f>
        <v>96.938999999999993</v>
      </c>
      <c r="AB58">
        <f ca="1">IF(ISERROR(IF(MEDIAN($AB$59:$AB$66) = 0, "", MEDIAN($AB$59:$AB$66))), "", (IF(MEDIAN($AB$59:$AB$66) = 0, "", MEDIAN($AB$59:$AB$66))))</f>
        <v>96.453000000000003</v>
      </c>
      <c r="AC58">
        <f ca="1">IF(ISERROR(IF(MEDIAN($AC$59:$AC$66) = 0, "", MEDIAN($AC$59:$AC$66))), "", (IF(MEDIAN($AC$59:$AC$66) = 0, "", MEDIAN($AC$59:$AC$66))))</f>
        <v>93.039000000000001</v>
      </c>
      <c r="AD58">
        <f ca="1">IF(ISERROR(IF(MEDIAN($AD$59:$AD$66) = 0, "", MEDIAN($AD$59:$AD$66))), "", (IF(MEDIAN($AD$59:$AD$66) = 0, "", MEDIAN($AD$59:$AD$66))))</f>
        <v>89.753</v>
      </c>
      <c r="AE58">
        <f ca="1">IF(ISERROR(IF(MEDIAN($AE$59:$AE$66) = 0, "", MEDIAN($AE$59:$AE$66))), "", (IF(MEDIAN($AE$59:$AE$66) = 0, "", MEDIAN($AE$59:$AE$66))))</f>
        <v>86.531499999999994</v>
      </c>
      <c r="AF58">
        <f ca="1">IF(ISERROR(IF(MEDIAN($AF$59:$AF$66) = 0, "", MEDIAN($AF$59:$AF$66))), "", (IF(MEDIAN($AF$59:$AF$66) = 0, "", MEDIAN($AF$59:$AF$66))))</f>
        <v>81.0505</v>
      </c>
      <c r="AG58">
        <f ca="1">IF(ISERROR(IF(MEDIAN($AG$59:$AG$66) = 0, "", MEDIAN($AG$59:$AG$66))), "", (IF(MEDIAN($AG$59:$AG$66) = 0, "", MEDIAN($AG$59:$AG$66))))</f>
        <v>78.958500000000001</v>
      </c>
      <c r="AH58">
        <f ca="1">IF(ISERROR(IF(MEDIAN($AH$59:$AH$66) = 0, "", MEDIAN($AH$59:$AH$66))), "", (IF(MEDIAN($AH$59:$AH$66) = 0, "", MEDIAN($AH$59:$AH$66))))</f>
        <v>81.704999999999998</v>
      </c>
      <c r="AI58">
        <f ca="1">IF(ISERROR(IF(MEDIAN($AI$59:$AI$66) = 0, "", MEDIAN($AI$59:$AI$66))), "", (IF(MEDIAN($AI$59:$AI$66) = 0, "", MEDIAN($AI$59:$AI$66))))</f>
        <v>83.638000000000005</v>
      </c>
      <c r="AJ58">
        <f ca="1">IF(ISERROR(IF(MEDIAN($AJ$59:$AJ$66) = 0, "", MEDIAN($AJ$59:$AJ$66))), "", (IF(MEDIAN($AJ$59:$AJ$66) = 0, "", MEDIAN($AJ$59:$AJ$66))))</f>
        <v>89.14</v>
      </c>
      <c r="AK58">
        <f ca="1">IF(ISERROR(IF(MEDIAN($AK$59:$AK$66) = 0, "", MEDIAN($AK$59:$AK$66))), "", (IF(MEDIAN($AK$59:$AK$66) = 0, "", MEDIAN($AK$59:$AK$66))))</f>
        <v>80.31</v>
      </c>
      <c r="AL58">
        <f ca="1">IF(ISERROR(IF(MEDIAN($AL$59:$AL$66) = 0, "", MEDIAN($AL$59:$AL$66))), "", (IF(MEDIAN($AL$59:$AL$66) = 0, "", MEDIAN($AL$59:$AL$66))))</f>
        <v>76.200999999999993</v>
      </c>
      <c r="AM58">
        <f ca="1">IF(ISERROR(IF(MEDIAN($AM$59:$AM$66) = 0, "", MEDIAN($AM$59:$AM$66))), "", (IF(MEDIAN($AM$59:$AM$66) = 0, "", MEDIAN($AM$59:$AM$66))))</f>
        <v>58.332000000000001</v>
      </c>
      <c r="AN58">
        <f ca="1">IF(ISERROR(IF(MEDIAN($AN$59:$AN$66) = 0, "", MEDIAN($AN$59:$AN$66))), "", (IF(MEDIAN($AN$59:$AN$66) = 0, "", MEDIAN($AN$59:$AN$66))))</f>
        <v>79.89</v>
      </c>
      <c r="AO58">
        <f ca="1">IF(ISERROR(IF(MEDIAN($AO$59:$AO$66) = 0, "", MEDIAN($AO$59:$AO$66))), "", (IF(MEDIAN($AO$59:$AO$66) = 0, "", MEDIAN($AO$59:$AO$66))))</f>
        <v>82.314999999999998</v>
      </c>
      <c r="AP58">
        <f ca="1">IF(ISERROR(IF(MEDIAN($AP$59:$AP$66) = 0, "", MEDIAN($AP$59:$AP$66))), "", (IF(MEDIAN($AP$59:$AP$66) = 0, "", MEDIAN($AP$59:$AP$66))))</f>
        <v>83.031999999999996</v>
      </c>
      <c r="AQ58">
        <f ca="1">IF(ISERROR(IF(MEDIAN($AQ$59:$AQ$66) = 0, "", MEDIAN($AQ$59:$AQ$66))), "", (IF(MEDIAN($AQ$59:$AQ$66) = 0, "", MEDIAN($AQ$59:$AQ$66))))</f>
        <v>58.084499999999998</v>
      </c>
      <c r="AR58">
        <f ca="1">IF(ISERROR(IF(MEDIAN($AR$59:$AR$66) = 0, "", MEDIAN($AR$59:$AR$66))), "", (IF(MEDIAN($AR$59:$AR$66) = 0, "", MEDIAN($AR$59:$AR$66))))</f>
        <v>81.3</v>
      </c>
      <c r="AS58">
        <f ca="1">IF(ISERROR(IF(MEDIAN($AS$59:$AS$66) = 0, "", MEDIAN($AS$59:$AS$66))), "", (IF(MEDIAN($AS$59:$AS$66) = 0, "", MEDIAN($AS$59:$AS$66))))</f>
        <v>72.901499999999999</v>
      </c>
      <c r="AT58">
        <f ca="1">IF(ISERROR(IF(MEDIAN($AT$59:$AT$66) = 0, "", MEDIAN($AT$59:$AT$66))), "", (IF(MEDIAN($AT$59:$AT$66) = 0, "", MEDIAN($AT$59:$AT$66))))</f>
        <v>70.439499999999995</v>
      </c>
      <c r="AU58">
        <f ca="1">IF(ISERROR(IF(MEDIAN($AU$59:$AU$66) = 0, "", MEDIAN($AU$59:$AU$66))), "", (IF(MEDIAN($AU$59:$AU$66) = 0, "", MEDIAN($AU$59:$AU$66))))</f>
        <v>74.137500000000003</v>
      </c>
      <c r="AV58">
        <f ca="1">IF(ISERROR(IF(MEDIAN($AV$59:$AV$66) = 0, "", MEDIAN($AV$59:$AV$66))), "", (IF(MEDIAN($AV$59:$AV$66) = 0, "", MEDIAN($AV$59:$AV$66))))</f>
        <v>85.293999999999997</v>
      </c>
      <c r="AW58">
        <f ca="1">IF(ISERROR(IF(MEDIAN($AW$59:$AW$66) = 0, "", MEDIAN($AW$59:$AW$66))), "", (IF(MEDIAN($AW$59:$AW$66) = 0, "", MEDIAN($AW$59:$AW$66))))</f>
        <v>86.5</v>
      </c>
      <c r="AX58">
        <f ca="1">IF(ISERROR(IF(MEDIAN($AX$59:$AX$66) = 0, "", MEDIAN($AX$59:$AX$66))), "", (IF(MEDIAN($AX$59:$AX$66) = 0, "", MEDIAN($AX$59:$AX$66))))</f>
        <v>70.785499999999999</v>
      </c>
      <c r="AY58">
        <f ca="1">IF(ISERROR(IF(MEDIAN($AY$59:$AY$66) = 0, "", MEDIAN($AY$59:$AY$66))), "", (IF(MEDIAN($AY$59:$AY$66) = 0, "", MEDIAN($AY$59:$AY$66))))</f>
        <v>81.405000000000001</v>
      </c>
      <c r="AZ58">
        <f ca="1">IF(ISERROR(IF(MEDIAN($AZ$59:$AZ$66) = 0, "", MEDIAN($AZ$59:$AZ$66))), "", (IF(MEDIAN($AZ$59:$AZ$66) = 0, "", MEDIAN($AZ$59:$AZ$66))))</f>
        <v>87.146000000000001</v>
      </c>
      <c r="BA58">
        <f ca="1">IF(ISERROR(IF(MEDIAN($BA$59:$BA$66) = 0, "", MEDIAN($BA$59:$BA$66))), "", (IF(MEDIAN($BA$59:$BA$66) = 0, "", MEDIAN($BA$59:$BA$66))))</f>
        <v>84.89</v>
      </c>
      <c r="BB58">
        <f ca="1">IF(ISERROR(IF(MEDIAN($BB$59:$BB$66) = 0, "", MEDIAN($BB$59:$BB$66))), "", (IF(MEDIAN($BB$59:$BB$66) = 0, "", MEDIAN($BB$59:$BB$66))))</f>
        <v>67.378</v>
      </c>
      <c r="BC58">
        <f ca="1">IF(ISERROR(IF(MEDIAN($BC$59:$BC$66) = 0, "", MEDIAN($BC$59:$BC$66))), "", (IF(MEDIAN($BC$59:$BC$66) = 0, "", MEDIAN($BC$59:$BC$66))))</f>
        <v>81.008499999999998</v>
      </c>
      <c r="BD58">
        <f ca="1">IF(ISERROR(IF(MEDIAN($BD$59:$BD$66) = 0, "", MEDIAN($BD$59:$BD$66))), "", (IF(MEDIAN($BD$59:$BD$66) = 0, "", MEDIAN($BD$59:$BD$66))))</f>
        <v>65.680000000000007</v>
      </c>
      <c r="BE58">
        <f ca="1">IF(ISERROR(IF(MEDIAN($BE$59:$BE$66) = 0, "", MEDIAN($BE$59:$BE$66))), "", (IF(MEDIAN($BE$59:$BE$66) = 0, "", MEDIAN($BE$59:$BE$66))))</f>
        <v>77.447999999999993</v>
      </c>
      <c r="BF58">
        <f ca="1">IF(ISERROR(IF(MEDIAN($BF$59:$BF$66) = 0, "", MEDIAN($BF$59:$BF$66))), "", (IF(MEDIAN($BF$59:$BF$66) = 0, "", MEDIAN($BF$59:$BF$66))))</f>
        <v>74.478999999999999</v>
      </c>
      <c r="BG58">
        <f ca="1">IF(ISERROR(IF(MEDIAN($BG$59:$BG$66) = 0, "", MEDIAN($BG$59:$BG$66))), "", (IF(MEDIAN($BG$59:$BG$66) = 0, "", MEDIAN($BG$59:$BG$66))))</f>
        <v>57.238</v>
      </c>
      <c r="BH58">
        <f ca="1">IF(ISERROR(IF(MEDIAN($BH$59:$BH$66) = 0, "", MEDIAN($BH$59:$BH$66))), "", (IF(MEDIAN($BH$59:$BH$66) = 0, "", MEDIAN($BH$59:$BH$66))))</f>
        <v>58.261000000000003</v>
      </c>
      <c r="BI58">
        <f ca="1">IF(ISERROR(IF(MEDIAN($BI$59:$BI$66) = 0, "", MEDIAN($BI$59:$BI$66))), "", (IF(MEDIAN($BI$59:$BI$66) = 0, "", MEDIAN($BI$59:$BI$66))))</f>
        <v>56.899000000000001</v>
      </c>
      <c r="BJ58">
        <f ca="1">IF(ISERROR(IF(MEDIAN($BJ$59:$BJ$66) = 0, "", MEDIAN($BJ$59:$BJ$66))), "", (IF(MEDIAN($BJ$59:$BJ$66) = 0, "", MEDIAN($BJ$59:$BJ$66))))</f>
        <v>61.283999000000001</v>
      </c>
      <c r="BK58">
        <f ca="1">IF(ISERROR(IF(MEDIAN($BK$59:$BK$66) = 0, "", MEDIAN($BK$59:$BK$66))), "", (IF(MEDIAN($BK$59:$BK$66) = 0, "", MEDIAN($BK$59:$BK$66))))</f>
        <v>72.793500199999997</v>
      </c>
      <c r="BL58">
        <f ca="1">IF(ISERROR(IF(MEDIAN($BL$59:$BL$66) = 0, "", MEDIAN($BL$59:$BL$66))), "", (IF(MEDIAN($BL$59:$BL$66) = 0, "", MEDIAN($BL$59:$BL$66))))</f>
        <v>68.400500499999993</v>
      </c>
      <c r="BM58">
        <f ca="1">IF(ISERROR(IF(MEDIAN($BM$59:$BM$66) = 0, "", MEDIAN($BM$59:$BM$66))), "", (IF(MEDIAN($BM$59:$BM$66) = 0, "", MEDIAN($BM$59:$BM$66))))</f>
        <v>68.498499499999994</v>
      </c>
      <c r="BN58" t="str">
        <f>""</f>
        <v/>
      </c>
      <c r="BO58">
        <f>187.201</f>
        <v>187.20099999999999</v>
      </c>
      <c r="BP58">
        <f>183.497</f>
        <v>183.49700000000001</v>
      </c>
      <c r="BQ58">
        <f>184.494</f>
        <v>184.494</v>
      </c>
      <c r="BR58">
        <f>179.944</f>
        <v>179.94399999999999</v>
      </c>
      <c r="BS58">
        <f>146.4545</f>
        <v>146.4545</v>
      </c>
      <c r="BT58">
        <f>151.914</f>
        <v>151.91399999999999</v>
      </c>
      <c r="BU58">
        <f>151.4215</f>
        <v>151.42150000000001</v>
      </c>
      <c r="BV58">
        <f>148.437</f>
        <v>148.43700000000001</v>
      </c>
      <c r="BW58">
        <f>145.2745</f>
        <v>145.27449999999999</v>
      </c>
      <c r="BX58">
        <f>138.8175</f>
        <v>138.8175</v>
      </c>
      <c r="BY58">
        <f>138.3265</f>
        <v>138.32650000000001</v>
      </c>
      <c r="BZ58">
        <f>139.0915</f>
        <v>139.0915</v>
      </c>
      <c r="CA58">
        <f>132.5275</f>
        <v>132.5275</v>
      </c>
      <c r="CB58">
        <f>129.5295</f>
        <v>129.52950000000001</v>
      </c>
      <c r="CC58">
        <f>125.8265</f>
        <v>125.8265</v>
      </c>
      <c r="CD58">
        <f>117.054</f>
        <v>117.054</v>
      </c>
      <c r="CE58">
        <f>110.618</f>
        <v>110.61799999999999</v>
      </c>
      <c r="CF58">
        <f>107.564</f>
        <v>107.56399999999999</v>
      </c>
      <c r="CG58">
        <f>104.3515</f>
        <v>104.3515</v>
      </c>
      <c r="CH58">
        <f>102.2555</f>
        <v>102.2555</v>
      </c>
      <c r="CI58">
        <f>96.939</f>
        <v>96.938999999999993</v>
      </c>
      <c r="CJ58">
        <f>96.453</f>
        <v>96.453000000000003</v>
      </c>
      <c r="CK58">
        <f>93.039</f>
        <v>93.039000000000001</v>
      </c>
      <c r="CL58">
        <f>89.753</f>
        <v>89.753</v>
      </c>
      <c r="CM58">
        <f>86.5315</f>
        <v>86.531499999999994</v>
      </c>
      <c r="CN58">
        <f>81.0505</f>
        <v>81.0505</v>
      </c>
      <c r="CO58">
        <f>78.9585</f>
        <v>78.958500000000001</v>
      </c>
      <c r="CP58">
        <f>81.705</f>
        <v>81.704999999999998</v>
      </c>
      <c r="CQ58">
        <f>83.638</f>
        <v>83.638000000000005</v>
      </c>
      <c r="CR58">
        <f>89.14</f>
        <v>89.14</v>
      </c>
      <c r="CS58">
        <f>80.31</f>
        <v>80.31</v>
      </c>
      <c r="CT58">
        <f>76.201</f>
        <v>76.200999999999993</v>
      </c>
      <c r="CU58">
        <f>58.332</f>
        <v>58.332000000000001</v>
      </c>
      <c r="CV58">
        <f>79.89</f>
        <v>79.89</v>
      </c>
      <c r="CW58">
        <f>82.315</f>
        <v>82.314999999999998</v>
      </c>
      <c r="CX58">
        <f>83.032</f>
        <v>83.031999999999996</v>
      </c>
      <c r="CY58">
        <f>58.0845</f>
        <v>58.084499999999998</v>
      </c>
      <c r="CZ58">
        <f>81.3</f>
        <v>81.3</v>
      </c>
      <c r="DA58">
        <f>72.9015</f>
        <v>72.901499999999999</v>
      </c>
      <c r="DB58">
        <f>70.4395</f>
        <v>70.439499999999995</v>
      </c>
      <c r="DC58">
        <f>74.1375</f>
        <v>74.137500000000003</v>
      </c>
      <c r="DD58">
        <f>85.294</f>
        <v>85.293999999999997</v>
      </c>
      <c r="DE58">
        <f>86.5</f>
        <v>86.5</v>
      </c>
      <c r="DF58">
        <f>70.7855</f>
        <v>70.785499999999999</v>
      </c>
      <c r="DG58">
        <f>81.405</f>
        <v>81.405000000000001</v>
      </c>
      <c r="DH58">
        <f>87.146</f>
        <v>87.146000000000001</v>
      </c>
      <c r="DI58">
        <f>84.89</f>
        <v>84.89</v>
      </c>
      <c r="DJ58">
        <f>67.378</f>
        <v>67.378</v>
      </c>
      <c r="DK58">
        <f>81.0085</f>
        <v>81.008499999999998</v>
      </c>
      <c r="DL58">
        <f>65.68</f>
        <v>65.680000000000007</v>
      </c>
      <c r="DM58">
        <f>77.448</f>
        <v>77.447999999999993</v>
      </c>
      <c r="DN58">
        <f>74.479</f>
        <v>74.478999999999999</v>
      </c>
      <c r="DO58">
        <f>57.238</f>
        <v>57.238</v>
      </c>
      <c r="DP58">
        <f>58.261</f>
        <v>58.261000000000003</v>
      </c>
      <c r="DQ58">
        <f>56.899</f>
        <v>56.899000000000001</v>
      </c>
      <c r="DR58">
        <f>61.283999</f>
        <v>61.283999000000001</v>
      </c>
      <c r="DS58">
        <f>72.7935002</f>
        <v>72.793500199999997</v>
      </c>
      <c r="DT58">
        <f>68.4005005</f>
        <v>68.400500500000007</v>
      </c>
      <c r="DU58">
        <f>68.4984995</f>
        <v>68.498499499999994</v>
      </c>
    </row>
    <row r="59" spans="1:125">
      <c r="A59" t="str">
        <f>"    American Campus Communities In"</f>
        <v xml:space="preserve">    American Campus Communities In</v>
      </c>
      <c r="B59" t="str">
        <f>"ACC US Equity"</f>
        <v>ACC US Equity</v>
      </c>
      <c r="C59" t="str">
        <f t="shared" ref="C59:C66" si="18">"RR009"</f>
        <v>RR009</v>
      </c>
      <c r="D59" t="str">
        <f t="shared" ref="D59:D66" si="19">"EBITDA"</f>
        <v>EBITDA</v>
      </c>
      <c r="E59" t="str">
        <f t="shared" ref="E59:E66" si="20">"动态"</f>
        <v>动态</v>
      </c>
      <c r="F59" t="str">
        <f ca="1">IF(AND(ISNUMBER($F$276),$B$226=1),$F$276,HLOOKUP(INDIRECT(ADDRESS(2,COLUMN())),OFFSET($BN$2,0,0,ROW()-1,60),ROW()-1,FALSE))</f>
        <v/>
      </c>
      <c r="G59">
        <f ca="1">IF(AND(ISNUMBER($G$276),$B$226=1),$G$276,HLOOKUP(INDIRECT(ADDRESS(2,COLUMN())),OFFSET($BN$2,0,0,ROW()-1,60),ROW()-1,FALSE))</f>
        <v>128.69800000000001</v>
      </c>
      <c r="H59">
        <f ca="1">IF(AND(ISNUMBER($H$276),$B$226=1),$H$276,HLOOKUP(INDIRECT(ADDRESS(2,COLUMN())),OFFSET($BN$2,0,0,ROW()-1,60),ROW()-1,FALSE))</f>
        <v>78.7</v>
      </c>
      <c r="I59">
        <f ca="1">IF(AND(ISNUMBER($I$276),$B$226=1),$I$276,HLOOKUP(INDIRECT(ADDRESS(2,COLUMN())),OFFSET($BN$2,0,0,ROW()-1,60),ROW()-1,FALSE))</f>
        <v>68.552999999999997</v>
      </c>
      <c r="J59">
        <f ca="1">IF(AND(ISNUMBER($J$276),$B$226=1),$J$276,HLOOKUP(INDIRECT(ADDRESS(2,COLUMN())),OFFSET($BN$2,0,0,ROW()-1,60),ROW()-1,FALSE))</f>
        <v>101.542</v>
      </c>
      <c r="K59">
        <f ca="1">IF(AND(ISNUMBER($K$276),$B$226=1),$K$276,HLOOKUP(INDIRECT(ADDRESS(2,COLUMN())),OFFSET($BN$2,0,0,ROW()-1,60),ROW()-1,FALSE))</f>
        <v>103.625</v>
      </c>
      <c r="L59">
        <f ca="1">IF(AND(ISNUMBER($L$276),$B$226=1),$L$276,HLOOKUP(INDIRECT(ADDRESS(2,COLUMN())),OFFSET($BN$2,0,0,ROW()-1,60),ROW()-1,FALSE))</f>
        <v>81.344999999999999</v>
      </c>
      <c r="M59">
        <f ca="1">IF(AND(ISNUMBER($M$276),$B$226=1),$M$276,HLOOKUP(INDIRECT(ADDRESS(2,COLUMN())),OFFSET($BN$2,0,0,ROW()-1,60),ROW()-1,FALSE))</f>
        <v>92.808999999999997</v>
      </c>
      <c r="N59">
        <f ca="1">IF(AND(ISNUMBER($N$276),$B$226=1),$N$276,HLOOKUP(INDIRECT(ADDRESS(2,COLUMN())),OFFSET($BN$2,0,0,ROW()-1,60),ROW()-1,FALSE))</f>
        <v>106.751</v>
      </c>
      <c r="O59">
        <f ca="1">IF(AND(ISNUMBER($O$276),$B$226=1),$O$276,HLOOKUP(INDIRECT(ADDRESS(2,COLUMN())),OFFSET($BN$2,0,0,ROW()-1,60),ROW()-1,FALSE))</f>
        <v>108.41</v>
      </c>
      <c r="P59">
        <f ca="1">IF(AND(ISNUMBER($P$276),$B$226=1),$P$276,HLOOKUP(INDIRECT(ADDRESS(2,COLUMN())),OFFSET($BN$2,0,0,ROW()-1,60),ROW()-1,FALSE))</f>
        <v>70.799000000000007</v>
      </c>
      <c r="Q59">
        <f ca="1">IF(AND(ISNUMBER($Q$276),$B$226=1),$Q$276,HLOOKUP(INDIRECT(ADDRESS(2,COLUMN())),OFFSET($BN$2,0,0,ROW()-1,60),ROW()-1,FALSE))</f>
        <v>86.034000000000006</v>
      </c>
      <c r="R59">
        <f ca="1">IF(AND(ISNUMBER($R$276),$B$226=1),$R$276,HLOOKUP(INDIRECT(ADDRESS(2,COLUMN())),OFFSET($BN$2,0,0,ROW()-1,60),ROW()-1,FALSE))</f>
        <v>100.449</v>
      </c>
      <c r="S59">
        <f ca="1">IF(AND(ISNUMBER($S$276),$B$226=1),$S$276,HLOOKUP(INDIRECT(ADDRESS(2,COLUMN())),OFFSET($BN$2,0,0,ROW()-1,60),ROW()-1,FALSE))</f>
        <v>104.06399999999999</v>
      </c>
      <c r="T59">
        <f ca="1">IF(AND(ISNUMBER($T$276),$B$226=1),$T$276,HLOOKUP(INDIRECT(ADDRESS(2,COLUMN())),OFFSET($BN$2,0,0,ROW()-1,60),ROW()-1,FALSE))</f>
        <v>70.807000000000002</v>
      </c>
      <c r="U59">
        <f ca="1">IF(AND(ISNUMBER($U$276),$B$226=1),$U$276,HLOOKUP(INDIRECT(ADDRESS(2,COLUMN())),OFFSET($BN$2,0,0,ROW()-1,60),ROW()-1,FALSE))</f>
        <v>83.882999999999996</v>
      </c>
      <c r="V59">
        <f ca="1">IF(AND(ISNUMBER($V$276),$B$226=1),$V$276,HLOOKUP(INDIRECT(ADDRESS(2,COLUMN())),OFFSET($BN$2,0,0,ROW()-1,60),ROW()-1,FALSE))</f>
        <v>96.216999999999999</v>
      </c>
      <c r="W59">
        <f ca="1">IF(AND(ISNUMBER($W$276),$B$226=1),$W$276,HLOOKUP(INDIRECT(ADDRESS(2,COLUMN())),OFFSET($BN$2,0,0,ROW()-1,60),ROW()-1,FALSE))</f>
        <v>96.382999999999996</v>
      </c>
      <c r="X59">
        <f ca="1">IF(AND(ISNUMBER($X$276),$B$226=1),$X$276,HLOOKUP(INDIRECT(ADDRESS(2,COLUMN())),OFFSET($BN$2,0,0,ROW()-1,60),ROW()-1,FALSE))</f>
        <v>60.573999999999998</v>
      </c>
      <c r="Y59">
        <f ca="1">IF(AND(ISNUMBER($Y$276),$B$226=1),$Y$276,HLOOKUP(INDIRECT(ADDRESS(2,COLUMN())),OFFSET($BN$2,0,0,ROW()-1,60),ROW()-1,FALSE))</f>
        <v>73.709000000000003</v>
      </c>
      <c r="Z59">
        <f ca="1">IF(AND(ISNUMBER($Z$276),$B$226=1),$Z$276,HLOOKUP(INDIRECT(ADDRESS(2,COLUMN())),OFFSET($BN$2,0,0,ROW()-1,60),ROW()-1,FALSE))</f>
        <v>88.655000000000001</v>
      </c>
      <c r="AA59">
        <f ca="1">IF(AND(ISNUMBER($AA$276),$B$226=1),$AA$276,HLOOKUP(INDIRECT(ADDRESS(2,COLUMN())),OFFSET($BN$2,0,0,ROW()-1,60),ROW()-1,FALSE))</f>
        <v>77.209999999999994</v>
      </c>
      <c r="AB59">
        <f ca="1">IF(AND(ISNUMBER($AB$276),$B$226=1),$AB$276,HLOOKUP(INDIRECT(ADDRESS(2,COLUMN())),OFFSET($BN$2,0,0,ROW()-1,60),ROW()-1,FALSE))</f>
        <v>41.89</v>
      </c>
      <c r="AC59">
        <f ca="1">IF(AND(ISNUMBER($AC$276),$B$226=1),$AC$276,HLOOKUP(INDIRECT(ADDRESS(2,COLUMN())),OFFSET($BN$2,0,0,ROW()-1,60),ROW()-1,FALSE))</f>
        <v>48.354999999999997</v>
      </c>
      <c r="AD59">
        <f ca="1">IF(AND(ISNUMBER($AD$276),$B$226=1),$AD$276,HLOOKUP(INDIRECT(ADDRESS(2,COLUMN())),OFFSET($BN$2,0,0,ROW()-1,60),ROW()-1,FALSE))</f>
        <v>56.139000000000003</v>
      </c>
      <c r="AE59">
        <f ca="1">IF(AND(ISNUMBER($AE$276),$B$226=1),$AE$276,HLOOKUP(INDIRECT(ADDRESS(2,COLUMN())),OFFSET($BN$2,0,0,ROW()-1,60),ROW()-1,FALSE))</f>
        <v>53.335999999999999</v>
      </c>
      <c r="AF59">
        <f ca="1">IF(AND(ISNUMBER($AF$276),$B$226=1),$AF$276,HLOOKUP(INDIRECT(ADDRESS(2,COLUMN())),OFFSET($BN$2,0,0,ROW()-1,60),ROW()-1,FALSE))</f>
        <v>38.043999999999997</v>
      </c>
      <c r="AG59">
        <f ca="1">IF(AND(ISNUMBER($AG$276),$B$226=1),$AG$276,HLOOKUP(INDIRECT(ADDRESS(2,COLUMN())),OFFSET($BN$2,0,0,ROW()-1,60),ROW()-1,FALSE))</f>
        <v>42.923999999999999</v>
      </c>
      <c r="AH59">
        <f ca="1">IF(AND(ISNUMBER($AH$276),$B$226=1),$AH$276,HLOOKUP(INDIRECT(ADDRESS(2,COLUMN())),OFFSET($BN$2,0,0,ROW()-1,60),ROW()-1,FALSE))</f>
        <v>54.353000000000002</v>
      </c>
      <c r="AI59">
        <f ca="1">IF(AND(ISNUMBER($AI$276),$B$226=1),$AI$276,HLOOKUP(INDIRECT(ADDRESS(2,COLUMN())),OFFSET($BN$2,0,0,ROW()-1,60),ROW()-1,FALSE))</f>
        <v>49.429000000000002</v>
      </c>
      <c r="AJ59">
        <f ca="1">IF(AND(ISNUMBER($AJ$276),$B$226=1),$AJ$276,HLOOKUP(INDIRECT(ADDRESS(2,COLUMN())),OFFSET($BN$2,0,0,ROW()-1,60),ROW()-1,FALSE))</f>
        <v>36.345999999999997</v>
      </c>
      <c r="AK59">
        <f ca="1">IF(AND(ISNUMBER($AK$276),$B$226=1),$AK$276,HLOOKUP(INDIRECT(ADDRESS(2,COLUMN())),OFFSET($BN$2,0,0,ROW()-1,60),ROW()-1,FALSE))</f>
        <v>34.935000000000002</v>
      </c>
      <c r="AL59">
        <f ca="1">IF(AND(ISNUMBER($AL$276),$B$226=1),$AL$276,HLOOKUP(INDIRECT(ADDRESS(2,COLUMN())),OFFSET($BN$2,0,0,ROW()-1,60),ROW()-1,FALSE))</f>
        <v>41.146000000000001</v>
      </c>
      <c r="AM59">
        <f ca="1">IF(AND(ISNUMBER($AM$276),$B$226=1),$AM$276,HLOOKUP(INDIRECT(ADDRESS(2,COLUMN())),OFFSET($BN$2,0,0,ROW()-1,60),ROW()-1,FALSE))</f>
        <v>43.183</v>
      </c>
      <c r="AN59">
        <f ca="1">IF(AND(ISNUMBER($AN$276),$B$226=1),$AN$276,HLOOKUP(INDIRECT(ADDRESS(2,COLUMN())),OFFSET($BN$2,0,0,ROW()-1,60),ROW()-1,FALSE))</f>
        <v>30.77</v>
      </c>
      <c r="AO59">
        <f ca="1">IF(AND(ISNUMBER($AO$276),$B$226=1),$AO$276,HLOOKUP(INDIRECT(ADDRESS(2,COLUMN())),OFFSET($BN$2,0,0,ROW()-1,60),ROW()-1,FALSE))</f>
        <v>31.411999999999999</v>
      </c>
      <c r="AP59">
        <f ca="1">IF(AND(ISNUMBER($AP$276),$B$226=1),$AP$276,HLOOKUP(INDIRECT(ADDRESS(2,COLUMN())),OFFSET($BN$2,0,0,ROW()-1,60),ROW()-1,FALSE))</f>
        <v>37.716000000000001</v>
      </c>
      <c r="AQ59">
        <f ca="1">IF(AND(ISNUMBER($AQ$276),$B$226=1),$AQ$276,HLOOKUP(INDIRECT(ADDRESS(2,COLUMN())),OFFSET($BN$2,0,0,ROW()-1,60),ROW()-1,FALSE))</f>
        <v>36.322000000000003</v>
      </c>
      <c r="AR59">
        <f ca="1">IF(AND(ISNUMBER($AR$276),$B$226=1),$AR$276,HLOOKUP(INDIRECT(ADDRESS(2,COLUMN())),OFFSET($BN$2,0,0,ROW()-1,60),ROW()-1,FALSE))</f>
        <v>23.012</v>
      </c>
      <c r="AS59">
        <f ca="1">IF(AND(ISNUMBER($AS$276),$B$226=1),$AS$276,HLOOKUP(INDIRECT(ADDRESS(2,COLUMN())),OFFSET($BN$2,0,0,ROW()-1,60),ROW()-1,FALSE))</f>
        <v>18.317</v>
      </c>
      <c r="AT59">
        <f ca="1">IF(AND(ISNUMBER($AT$276),$B$226=1),$AT$276,HLOOKUP(INDIRECT(ADDRESS(2,COLUMN())),OFFSET($BN$2,0,0,ROW()-1,60),ROW()-1,FALSE))</f>
        <v>20.762</v>
      </c>
      <c r="AU59">
        <f ca="1">IF(AND(ISNUMBER($AU$276),$B$226=1),$AU$276,HLOOKUP(INDIRECT(ADDRESS(2,COLUMN())),OFFSET($BN$2,0,0,ROW()-1,60),ROW()-1,FALSE))</f>
        <v>22.062000000000001</v>
      </c>
      <c r="AV59">
        <f ca="1">IF(AND(ISNUMBER($AV$276),$B$226=1),$AV$276,HLOOKUP(INDIRECT(ADDRESS(2,COLUMN())),OFFSET($BN$2,0,0,ROW()-1,60),ROW()-1,FALSE))</f>
        <v>13.750999999999999</v>
      </c>
      <c r="AW59">
        <f ca="1">IF(AND(ISNUMBER($AW$276),$B$226=1),$AW$276,HLOOKUP(INDIRECT(ADDRESS(2,COLUMN())),OFFSET($BN$2,0,0,ROW()-1,60),ROW()-1,FALSE))</f>
        <v>14.242000000000001</v>
      </c>
      <c r="AX59">
        <f ca="1">IF(AND(ISNUMBER($AX$276),$B$226=1),$AX$276,HLOOKUP(INDIRECT(ADDRESS(2,COLUMN())),OFFSET($BN$2,0,0,ROW()-1,60),ROW()-1,FALSE))</f>
        <v>8.8219999999999992</v>
      </c>
      <c r="AY59">
        <f ca="1">IF(AND(ISNUMBER($AY$276),$B$226=1),$AY$276,HLOOKUP(INDIRECT(ADDRESS(2,COLUMN())),OFFSET($BN$2,0,0,ROW()-1,60),ROW()-1,FALSE))</f>
        <v>18.163</v>
      </c>
      <c r="AZ59">
        <f ca="1">IF(AND(ISNUMBER($AZ$276),$B$226=1),$AZ$276,HLOOKUP(INDIRECT(ADDRESS(2,COLUMN())),OFFSET($BN$2,0,0,ROW()-1,60),ROW()-1,FALSE))</f>
        <v>12.593</v>
      </c>
      <c r="BA59">
        <f ca="1">IF(AND(ISNUMBER($BA$276),$B$226=1),$BA$276,HLOOKUP(INDIRECT(ADDRESS(2,COLUMN())),OFFSET($BN$2,0,0,ROW()-1,60),ROW()-1,FALSE))</f>
        <v>11.736000000000001</v>
      </c>
      <c r="BB59">
        <f ca="1">IF(AND(ISNUMBER($BB$276),$B$226=1),$BB$276,HLOOKUP(INDIRECT(ADDRESS(2,COLUMN())),OFFSET($BN$2,0,0,ROW()-1,60),ROW()-1,FALSE))</f>
        <v>14.036</v>
      </c>
      <c r="BC59">
        <f ca="1">IF(AND(ISNUMBER($BC$276),$B$226=1),$BC$276,HLOOKUP(INDIRECT(ADDRESS(2,COLUMN())),OFFSET($BN$2,0,0,ROW()-1,60),ROW()-1,FALSE))</f>
        <v>11.548</v>
      </c>
      <c r="BD59">
        <f ca="1">IF(AND(ISNUMBER($BD$276),$B$226=1),$BD$276,HLOOKUP(INDIRECT(ADDRESS(2,COLUMN())),OFFSET($BN$2,0,0,ROW()-1,60),ROW()-1,FALSE))</f>
        <v>8.2409999999999997</v>
      </c>
      <c r="BE59">
        <f ca="1">IF(AND(ISNUMBER($BE$276),$B$226=1),$BE$276,HLOOKUP(INDIRECT(ADDRESS(2,COLUMN())),OFFSET($BN$2,0,0,ROW()-1,60),ROW()-1,FALSE))</f>
        <v>7.4539999999999997</v>
      </c>
      <c r="BF59">
        <f ca="1">IF(AND(ISNUMBER($BF$276),$B$226=1),$BF$276,HLOOKUP(INDIRECT(ADDRESS(2,COLUMN())),OFFSET($BN$2,0,0,ROW()-1,60),ROW()-1,FALSE))</f>
        <v>9.548</v>
      </c>
      <c r="BG59">
        <f ca="1">IF(AND(ISNUMBER($BG$276),$B$226=1),$BG$276,HLOOKUP(INDIRECT(ADDRESS(2,COLUMN())),OFFSET($BN$2,0,0,ROW()-1,60),ROW()-1,FALSE))</f>
        <v>8.8819999999999997</v>
      </c>
      <c r="BH59">
        <f ca="1">IF(AND(ISNUMBER($BH$276),$B$226=1),$BH$276,HLOOKUP(INDIRECT(ADDRESS(2,COLUMN())),OFFSET($BN$2,0,0,ROW()-1,60),ROW()-1,FALSE))</f>
        <v>3.1419999999999999</v>
      </c>
      <c r="BI59">
        <f ca="1">IF(AND(ISNUMBER($BI$276),$B$226=1),$BI$276,HLOOKUP(INDIRECT(ADDRESS(2,COLUMN())),OFFSET($BN$2,0,0,ROW()-1,60),ROW()-1,FALSE))</f>
        <v>5.843000054</v>
      </c>
      <c r="BJ59">
        <f ca="1">IF(AND(ISNUMBER($BJ$276),$B$226=1),$BJ$276,HLOOKUP(INDIRECT(ADDRESS(2,COLUMN())),OFFSET($BN$2,0,0,ROW()-1,60),ROW()-1,FALSE))</f>
        <v>8.5909998420000004</v>
      </c>
      <c r="BK59" t="str">
        <f ca="1">IF(AND(ISNUMBER($BK$276),$B$226=1),$BK$276,HLOOKUP(INDIRECT(ADDRESS(2,COLUMN())),OFFSET($BN$2,0,0,ROW()-1,60),ROW()-1,FALSE))</f>
        <v/>
      </c>
      <c r="BL59" t="str">
        <f ca="1">IF(AND(ISNUMBER($BL$276),$B$226=1),$BL$276,HLOOKUP(INDIRECT(ADDRESS(2,COLUMN())),OFFSET($BN$2,0,0,ROW()-1,60),ROW()-1,FALSE))</f>
        <v/>
      </c>
      <c r="BM59" t="str">
        <f ca="1">IF(AND(ISNUMBER($BM$276),$B$226=1),$BM$276,HLOOKUP(INDIRECT(ADDRESS(2,COLUMN())),OFFSET($BN$2,0,0,ROW()-1,60),ROW()-1,FALSE))</f>
        <v/>
      </c>
      <c r="BN59" t="str">
        <f>""</f>
        <v/>
      </c>
      <c r="BO59">
        <f>128.698</f>
        <v>128.69800000000001</v>
      </c>
      <c r="BP59">
        <f>78.7</f>
        <v>78.7</v>
      </c>
      <c r="BQ59">
        <f>68.553</f>
        <v>68.552999999999997</v>
      </c>
      <c r="BR59">
        <f>101.542</f>
        <v>101.542</v>
      </c>
      <c r="BS59">
        <f>103.625</f>
        <v>103.625</v>
      </c>
      <c r="BT59">
        <f>81.345</f>
        <v>81.344999999999999</v>
      </c>
      <c r="BU59">
        <f>92.809</f>
        <v>92.808999999999997</v>
      </c>
      <c r="BV59">
        <f>106.751</f>
        <v>106.751</v>
      </c>
      <c r="BW59">
        <f>108.41</f>
        <v>108.41</v>
      </c>
      <c r="BX59">
        <f>70.799</f>
        <v>70.799000000000007</v>
      </c>
      <c r="BY59">
        <f>86.034</f>
        <v>86.034000000000006</v>
      </c>
      <c r="BZ59">
        <f>100.449</f>
        <v>100.449</v>
      </c>
      <c r="CA59">
        <f>104.064</f>
        <v>104.06399999999999</v>
      </c>
      <c r="CB59">
        <f>70.807</f>
        <v>70.807000000000002</v>
      </c>
      <c r="CC59">
        <f>83.883</f>
        <v>83.882999999999996</v>
      </c>
      <c r="CD59">
        <f>96.217</f>
        <v>96.216999999999999</v>
      </c>
      <c r="CE59">
        <f>96.383</f>
        <v>96.382999999999996</v>
      </c>
      <c r="CF59">
        <f>60.574</f>
        <v>60.573999999999998</v>
      </c>
      <c r="CG59">
        <f>73.709</f>
        <v>73.709000000000003</v>
      </c>
      <c r="CH59">
        <f>88.655</f>
        <v>88.655000000000001</v>
      </c>
      <c r="CI59">
        <f>77.21</f>
        <v>77.209999999999994</v>
      </c>
      <c r="CJ59">
        <f>41.89</f>
        <v>41.89</v>
      </c>
      <c r="CK59">
        <f>48.355</f>
        <v>48.354999999999997</v>
      </c>
      <c r="CL59">
        <f>56.139</f>
        <v>56.139000000000003</v>
      </c>
      <c r="CM59">
        <f>53.336</f>
        <v>53.335999999999999</v>
      </c>
      <c r="CN59">
        <f>38.044</f>
        <v>38.043999999999997</v>
      </c>
      <c r="CO59">
        <f>42.924</f>
        <v>42.923999999999999</v>
      </c>
      <c r="CP59">
        <f>54.353</f>
        <v>54.353000000000002</v>
      </c>
      <c r="CQ59">
        <f>49.429</f>
        <v>49.429000000000002</v>
      </c>
      <c r="CR59">
        <f>36.346</f>
        <v>36.345999999999997</v>
      </c>
      <c r="CS59">
        <f>34.935</f>
        <v>34.935000000000002</v>
      </c>
      <c r="CT59">
        <f>41.146</f>
        <v>41.146000000000001</v>
      </c>
      <c r="CU59">
        <f>43.183</f>
        <v>43.183</v>
      </c>
      <c r="CV59">
        <f>30.77</f>
        <v>30.77</v>
      </c>
      <c r="CW59">
        <f>31.412</f>
        <v>31.411999999999999</v>
      </c>
      <c r="CX59">
        <f>37.716</f>
        <v>37.716000000000001</v>
      </c>
      <c r="CY59">
        <f>36.322</f>
        <v>36.322000000000003</v>
      </c>
      <c r="CZ59">
        <f>23.012</f>
        <v>23.012</v>
      </c>
      <c r="DA59">
        <f>18.317</f>
        <v>18.317</v>
      </c>
      <c r="DB59">
        <f>20.762</f>
        <v>20.762</v>
      </c>
      <c r="DC59">
        <f>22.062</f>
        <v>22.062000000000001</v>
      </c>
      <c r="DD59">
        <f>13.751</f>
        <v>13.750999999999999</v>
      </c>
      <c r="DE59">
        <f>14.242</f>
        <v>14.242000000000001</v>
      </c>
      <c r="DF59">
        <f>8.822</f>
        <v>8.8219999999999992</v>
      </c>
      <c r="DG59">
        <f>18.163</f>
        <v>18.163</v>
      </c>
      <c r="DH59">
        <f>12.593</f>
        <v>12.593</v>
      </c>
      <c r="DI59">
        <f>11.736</f>
        <v>11.736000000000001</v>
      </c>
      <c r="DJ59">
        <f>14.036</f>
        <v>14.036</v>
      </c>
      <c r="DK59">
        <f>11.548</f>
        <v>11.548</v>
      </c>
      <c r="DL59">
        <f>8.241</f>
        <v>8.2409999999999997</v>
      </c>
      <c r="DM59">
        <f>7.454</f>
        <v>7.4539999999999997</v>
      </c>
      <c r="DN59">
        <f>9.548</f>
        <v>9.548</v>
      </c>
      <c r="DO59">
        <f>8.882</f>
        <v>8.8819999999999997</v>
      </c>
      <c r="DP59">
        <f>3.142</f>
        <v>3.1419999999999999</v>
      </c>
      <c r="DQ59">
        <f>5.843000054</f>
        <v>5.843000054</v>
      </c>
      <c r="DR59">
        <f>8.590999842</f>
        <v>8.5909998420000004</v>
      </c>
      <c r="DS59" t="str">
        <f>""</f>
        <v/>
      </c>
      <c r="DT59" t="str">
        <f>""</f>
        <v/>
      </c>
      <c r="DU59" t="str">
        <f>""</f>
        <v/>
      </c>
    </row>
    <row r="60" spans="1:125">
      <c r="A60" t="str">
        <f>"    AvalonBay Communities Inc"</f>
        <v xml:space="preserve">    AvalonBay Communities Inc</v>
      </c>
      <c r="B60" t="str">
        <f>"AVB US Equity"</f>
        <v>AVB US Equity</v>
      </c>
      <c r="C60" t="str">
        <f t="shared" si="18"/>
        <v>RR009</v>
      </c>
      <c r="D60" t="str">
        <f t="shared" si="19"/>
        <v>EBITDA</v>
      </c>
      <c r="E60" t="str">
        <f t="shared" si="20"/>
        <v>动态</v>
      </c>
      <c r="F60" t="str">
        <f ca="1">IF(AND(ISNUMBER($F$277),$B$226=1),$F$277,HLOOKUP(INDIRECT(ADDRESS(2,COLUMN())),OFFSET($BN$2,0,0,ROW()-1,60),ROW()-1,FALSE))</f>
        <v/>
      </c>
      <c r="G60">
        <f ca="1">IF(AND(ISNUMBER($G$277),$B$226=1),$G$277,HLOOKUP(INDIRECT(ADDRESS(2,COLUMN())),OFFSET($BN$2,0,0,ROW()-1,60),ROW()-1,FALSE))</f>
        <v>384.28899999999999</v>
      </c>
      <c r="H60">
        <f ca="1">IF(AND(ISNUMBER($H$277),$B$226=1),$H$277,HLOOKUP(INDIRECT(ADDRESS(2,COLUMN())),OFFSET($BN$2,0,0,ROW()-1,60),ROW()-1,FALSE))</f>
        <v>350.76799999999997</v>
      </c>
      <c r="I60">
        <f ca="1">IF(AND(ISNUMBER($I$277),$B$226=1),$I$277,HLOOKUP(INDIRECT(ADDRESS(2,COLUMN())),OFFSET($BN$2,0,0,ROW()-1,60),ROW()-1,FALSE))</f>
        <v>335.74200000000002</v>
      </c>
      <c r="J60">
        <f ca="1">IF(AND(ISNUMBER($J$277),$B$226=1),$J$277,HLOOKUP(INDIRECT(ADDRESS(2,COLUMN())),OFFSET($BN$2,0,0,ROW()-1,60),ROW()-1,FALSE))</f>
        <v>320.73</v>
      </c>
      <c r="K60">
        <f ca="1">IF(AND(ISNUMBER($K$277),$B$226=1),$K$277,HLOOKUP(INDIRECT(ADDRESS(2,COLUMN())),OFFSET($BN$2,0,0,ROW()-1,60),ROW()-1,FALSE))</f>
        <v>337.14699999999999</v>
      </c>
      <c r="L60">
        <f ca="1">IF(AND(ISNUMBER($L$277),$B$226=1),$L$277,HLOOKUP(INDIRECT(ADDRESS(2,COLUMN())),OFFSET($BN$2,0,0,ROW()-1,60),ROW()-1,FALSE))</f>
        <v>323.35199999999998</v>
      </c>
      <c r="M60">
        <f ca="1">IF(AND(ISNUMBER($M$277),$B$226=1),$M$277,HLOOKUP(INDIRECT(ADDRESS(2,COLUMN())),OFFSET($BN$2,0,0,ROW()-1,60),ROW()-1,FALSE))</f>
        <v>320.58199999999999</v>
      </c>
      <c r="N60">
        <f ca="1">IF(AND(ISNUMBER($N$277),$B$226=1),$N$277,HLOOKUP(INDIRECT(ADDRESS(2,COLUMN())),OFFSET($BN$2,0,0,ROW()-1,60),ROW()-1,FALSE))</f>
        <v>329.14100000000002</v>
      </c>
      <c r="O60">
        <f ca="1">IF(AND(ISNUMBER($O$277),$B$226=1),$O$277,HLOOKUP(INDIRECT(ADDRESS(2,COLUMN())),OFFSET($BN$2,0,0,ROW()-1,60),ROW()-1,FALSE))</f>
        <v>309.26100000000002</v>
      </c>
      <c r="P60">
        <f ca="1">IF(AND(ISNUMBER($P$277),$B$226=1),$P$277,HLOOKUP(INDIRECT(ADDRESS(2,COLUMN())),OFFSET($BN$2,0,0,ROW()-1,60),ROW()-1,FALSE))</f>
        <v>286.52100000000002</v>
      </c>
      <c r="Q60">
        <f ca="1">IF(AND(ISNUMBER($Q$277),$B$226=1),$Q$277,HLOOKUP(INDIRECT(ADDRESS(2,COLUMN())),OFFSET($BN$2,0,0,ROW()-1,60),ROW()-1,FALSE))</f>
        <v>312.54500000000002</v>
      </c>
      <c r="R60">
        <f ca="1">IF(AND(ISNUMBER($R$277),$B$226=1),$R$277,HLOOKUP(INDIRECT(ADDRESS(2,COLUMN())),OFFSET($BN$2,0,0,ROW()-1,60),ROW()-1,FALSE))</f>
        <v>264.97000000000003</v>
      </c>
      <c r="S60">
        <f ca="1">IF(AND(ISNUMBER($S$277),$B$226=1),$S$277,HLOOKUP(INDIRECT(ADDRESS(2,COLUMN())),OFFSET($BN$2,0,0,ROW()-1,60),ROW()-1,FALSE))</f>
        <v>278.46300000000002</v>
      </c>
      <c r="T60">
        <f ca="1">IF(AND(ISNUMBER($T$277),$B$226=1),$T$277,HLOOKUP(INDIRECT(ADDRESS(2,COLUMN())),OFFSET($BN$2,0,0,ROW()-1,60),ROW()-1,FALSE))</f>
        <v>276.39999999999998</v>
      </c>
      <c r="U60">
        <f ca="1">IF(AND(ISNUMBER($U$277),$B$226=1),$U$277,HLOOKUP(INDIRECT(ADDRESS(2,COLUMN())),OFFSET($BN$2,0,0,ROW()-1,60),ROW()-1,FALSE))</f>
        <v>260.64600000000002</v>
      </c>
      <c r="V60">
        <f ca="1">IF(AND(ISNUMBER($V$277),$B$226=1),$V$277,HLOOKUP(INDIRECT(ADDRESS(2,COLUMN())),OFFSET($BN$2,0,0,ROW()-1,60),ROW()-1,FALSE))</f>
        <v>247.09700000000001</v>
      </c>
      <c r="W60">
        <f ca="1">IF(AND(ISNUMBER($W$277),$B$226=1),$W$277,HLOOKUP(INDIRECT(ADDRESS(2,COLUMN())),OFFSET($BN$2,0,0,ROW()-1,60),ROW()-1,FALSE))</f>
        <v>253.58699999999999</v>
      </c>
      <c r="X60">
        <f ca="1">IF(AND(ISNUMBER($X$277),$B$226=1),$X$277,HLOOKUP(INDIRECT(ADDRESS(2,COLUMN())),OFFSET($BN$2,0,0,ROW()-1,60),ROW()-1,FALSE))</f>
        <v>235.917</v>
      </c>
      <c r="Y60">
        <f ca="1">IF(AND(ISNUMBER($Y$277),$B$226=1),$Y$277,HLOOKUP(INDIRECT(ADDRESS(2,COLUMN())),OFFSET($BN$2,0,0,ROW()-1,60),ROW()-1,FALSE))</f>
        <v>243.23500000000001</v>
      </c>
      <c r="Z60">
        <f ca="1">IF(AND(ISNUMBER($Z$277),$B$226=1),$Z$277,HLOOKUP(INDIRECT(ADDRESS(2,COLUMN())),OFFSET($BN$2,0,0,ROW()-1,60),ROW()-1,FALSE))</f>
        <v>151.79900000000001</v>
      </c>
      <c r="AA60">
        <f ca="1">IF(AND(ISNUMBER($AA$277),$B$226=1),$AA$277,HLOOKUP(INDIRECT(ADDRESS(2,COLUMN())),OFFSET($BN$2,0,0,ROW()-1,60),ROW()-1,FALSE))</f>
        <v>153.565</v>
      </c>
      <c r="AB60">
        <f ca="1">IF(AND(ISNUMBER($AB$277),$B$226=1),$AB$277,HLOOKUP(INDIRECT(ADDRESS(2,COLUMN())),OFFSET($BN$2,0,0,ROW()-1,60),ROW()-1,FALSE))</f>
        <v>166.923</v>
      </c>
      <c r="AC60">
        <f ca="1">IF(AND(ISNUMBER($AC$277),$B$226=1),$AC$277,HLOOKUP(INDIRECT(ADDRESS(2,COLUMN())),OFFSET($BN$2,0,0,ROW()-1,60),ROW()-1,FALSE))</f>
        <v>155.45400000000001</v>
      </c>
      <c r="AD60">
        <f ca="1">IF(AND(ISNUMBER($AD$277),$B$226=1),$AD$277,HLOOKUP(INDIRECT(ADDRESS(2,COLUMN())),OFFSET($BN$2,0,0,ROW()-1,60),ROW()-1,FALSE))</f>
        <v>149.29499999999999</v>
      </c>
      <c r="AE60">
        <f ca="1">IF(AND(ISNUMBER($AE$277),$B$226=1),$AE$277,HLOOKUP(INDIRECT(ADDRESS(2,COLUMN())),OFFSET($BN$2,0,0,ROW()-1,60),ROW()-1,FALSE))</f>
        <v>143.36000000000001</v>
      </c>
      <c r="AF60">
        <f ca="1">IF(AND(ISNUMBER($AF$277),$B$226=1),$AF$277,HLOOKUP(INDIRECT(ADDRESS(2,COLUMN())),OFFSET($BN$2,0,0,ROW()-1,60),ROW()-1,FALSE))</f>
        <v>133.72300000000001</v>
      </c>
      <c r="AG60">
        <f ca="1">IF(AND(ISNUMBER($AG$277),$B$226=1),$AG$277,HLOOKUP(INDIRECT(ADDRESS(2,COLUMN())),OFFSET($BN$2,0,0,ROW()-1,60),ROW()-1,FALSE))</f>
        <v>145.416</v>
      </c>
      <c r="AH60">
        <f ca="1">IF(AND(ISNUMBER($AH$277),$B$226=1),$AH$277,HLOOKUP(INDIRECT(ADDRESS(2,COLUMN())),OFFSET($BN$2,0,0,ROW()-1,60),ROW()-1,FALSE))</f>
        <v>133.33099999999999</v>
      </c>
      <c r="AI60">
        <f ca="1">IF(AND(ISNUMBER($AI$277),$B$226=1),$AI$277,HLOOKUP(INDIRECT(ADDRESS(2,COLUMN())),OFFSET($BN$2,0,0,ROW()-1,60),ROW()-1,FALSE))</f>
        <v>135.68299999999999</v>
      </c>
      <c r="AJ60">
        <f ca="1">IF(AND(ISNUMBER($AJ$277),$B$226=1),$AJ$277,HLOOKUP(INDIRECT(ADDRESS(2,COLUMN())),OFFSET($BN$2,0,0,ROW()-1,60),ROW()-1,FALSE))</f>
        <v>128.495</v>
      </c>
      <c r="AK60">
        <f ca="1">IF(AND(ISNUMBER($AK$277),$B$226=1),$AK$277,HLOOKUP(INDIRECT(ADDRESS(2,COLUMN())),OFFSET($BN$2,0,0,ROW()-1,60),ROW()-1,FALSE))</f>
        <v>130.661</v>
      </c>
      <c r="AL60">
        <f ca="1">IF(AND(ISNUMBER($AL$277),$B$226=1),$AL$277,HLOOKUP(INDIRECT(ADDRESS(2,COLUMN())),OFFSET($BN$2,0,0,ROW()-1,60),ROW()-1,FALSE))</f>
        <v>118.60899999999999</v>
      </c>
      <c r="AM60">
        <f ca="1">IF(AND(ISNUMBER($AM$277),$B$226=1),$AM$277,HLOOKUP(INDIRECT(ADDRESS(2,COLUMN())),OFFSET($BN$2,0,0,ROW()-1,60),ROW()-1,FALSE))</f>
        <v>112.72799999999999</v>
      </c>
      <c r="AN60">
        <f ca="1">IF(AND(ISNUMBER($AN$277),$B$226=1),$AN$277,HLOOKUP(INDIRECT(ADDRESS(2,COLUMN())),OFFSET($BN$2,0,0,ROW()-1,60),ROW()-1,FALSE))</f>
        <v>116.13500000000001</v>
      </c>
      <c r="AO60">
        <f ca="1">IF(AND(ISNUMBER($AO$277),$B$226=1),$AO$277,HLOOKUP(INDIRECT(ADDRESS(2,COLUMN())),OFFSET($BN$2,0,0,ROW()-1,60),ROW()-1,FALSE))</f>
        <v>105.751</v>
      </c>
      <c r="AP60">
        <f ca="1">IF(AND(ISNUMBER($AP$277),$B$226=1),$AP$277,HLOOKUP(INDIRECT(ADDRESS(2,COLUMN())),OFFSET($BN$2,0,0,ROW()-1,60),ROW()-1,FALSE))</f>
        <v>118.82</v>
      </c>
      <c r="AQ60">
        <f ca="1">IF(AND(ISNUMBER($AQ$277),$B$226=1),$AQ$277,HLOOKUP(INDIRECT(ADDRESS(2,COLUMN())),OFFSET($BN$2,0,0,ROW()-1,60),ROW()-1,FALSE))</f>
        <v>49.418999999999997</v>
      </c>
      <c r="AR60">
        <f ca="1">IF(AND(ISNUMBER($AR$277),$B$226=1),$AR$277,HLOOKUP(INDIRECT(ADDRESS(2,COLUMN())),OFFSET($BN$2,0,0,ROW()-1,60),ROW()-1,FALSE))</f>
        <v>183.589</v>
      </c>
      <c r="AS60">
        <f ca="1">IF(AND(ISNUMBER($AS$277),$B$226=1),$AS$277,HLOOKUP(INDIRECT(ADDRESS(2,COLUMN())),OFFSET($BN$2,0,0,ROW()-1,60),ROW()-1,FALSE))</f>
        <v>123.047</v>
      </c>
      <c r="AT60">
        <f ca="1">IF(AND(ISNUMBER($AT$277),$B$226=1),$AT$277,HLOOKUP(INDIRECT(ADDRESS(2,COLUMN())),OFFSET($BN$2,0,0,ROW()-1,60),ROW()-1,FALSE))</f>
        <v>120.155</v>
      </c>
      <c r="AU60">
        <f ca="1">IF(AND(ISNUMBER($AU$277),$B$226=1),$AU$277,HLOOKUP(INDIRECT(ADDRESS(2,COLUMN())),OFFSET($BN$2,0,0,ROW()-1,60),ROW()-1,FALSE))</f>
        <v>118.91500000000001</v>
      </c>
      <c r="AV60">
        <f ca="1">IF(AND(ISNUMBER($AV$277),$B$226=1),$AV$277,HLOOKUP(INDIRECT(ADDRESS(2,COLUMN())),OFFSET($BN$2,0,0,ROW()-1,60),ROW()-1,FALSE))</f>
        <v>119.495</v>
      </c>
      <c r="AW60">
        <f ca="1">IF(AND(ISNUMBER($AW$277),$B$226=1),$AW$277,HLOOKUP(INDIRECT(ADDRESS(2,COLUMN())),OFFSET($BN$2,0,0,ROW()-1,60),ROW()-1,FALSE))</f>
        <v>112.666</v>
      </c>
      <c r="AX60">
        <f ca="1">IF(AND(ISNUMBER($AX$277),$B$226=1),$AX$277,HLOOKUP(INDIRECT(ADDRESS(2,COLUMN())),OFFSET($BN$2,0,0,ROW()-1,60),ROW()-1,FALSE))</f>
        <v>117.014</v>
      </c>
      <c r="AY60">
        <f ca="1">IF(AND(ISNUMBER($AY$277),$B$226=1),$AY$277,HLOOKUP(INDIRECT(ADDRESS(2,COLUMN())),OFFSET($BN$2,0,0,ROW()-1,60),ROW()-1,FALSE))</f>
        <v>111.006</v>
      </c>
      <c r="AZ60">
        <f ca="1">IF(AND(ISNUMBER($AZ$277),$B$226=1),$AZ$277,HLOOKUP(INDIRECT(ADDRESS(2,COLUMN())),OFFSET($BN$2,0,0,ROW()-1,60),ROW()-1,FALSE))</f>
        <v>109.09399999999999</v>
      </c>
      <c r="BA60">
        <f ca="1">IF(AND(ISNUMBER($BA$277),$B$226=1),$BA$277,HLOOKUP(INDIRECT(ADDRESS(2,COLUMN())),OFFSET($BN$2,0,0,ROW()-1,60),ROW()-1,FALSE))</f>
        <v>103.53700000000001</v>
      </c>
      <c r="BB60">
        <f ca="1">IF(AND(ISNUMBER($BB$277),$B$226=1),$BB$277,HLOOKUP(INDIRECT(ADDRESS(2,COLUMN())),OFFSET($BN$2,0,0,ROW()-1,60),ROW()-1,FALSE))</f>
        <v>105.404</v>
      </c>
      <c r="BC60">
        <f ca="1">IF(AND(ISNUMBER($BC$277),$B$226=1),$BC$277,HLOOKUP(INDIRECT(ADDRESS(2,COLUMN())),OFFSET($BN$2,0,0,ROW()-1,60),ROW()-1,FALSE))</f>
        <v>99.07</v>
      </c>
      <c r="BD60">
        <f ca="1">IF(AND(ISNUMBER($BD$277),$B$226=1),$BD$277,HLOOKUP(INDIRECT(ADDRESS(2,COLUMN())),OFFSET($BN$2,0,0,ROW()-1,60),ROW()-1,FALSE))</f>
        <v>99.992999999999995</v>
      </c>
      <c r="BE60">
        <f ca="1">IF(AND(ISNUMBER($BE$277),$B$226=1),$BE$277,HLOOKUP(INDIRECT(ADDRESS(2,COLUMN())),OFFSET($BN$2,0,0,ROW()-1,60),ROW()-1,FALSE))</f>
        <v>99.677999999999997</v>
      </c>
      <c r="BF60">
        <f ca="1">IF(AND(ISNUMBER($BF$277),$B$226=1),$BF$277,HLOOKUP(INDIRECT(ADDRESS(2,COLUMN())),OFFSET($BN$2,0,0,ROW()-1,60),ROW()-1,FALSE))</f>
        <v>97.129000000000005</v>
      </c>
      <c r="BG60">
        <f ca="1">IF(AND(ISNUMBER($BG$277),$B$226=1),$BG$277,HLOOKUP(INDIRECT(ADDRESS(2,COLUMN())),OFFSET($BN$2,0,0,ROW()-1,60),ROW()-1,FALSE))</f>
        <v>85.283000000000001</v>
      </c>
      <c r="BH60">
        <f ca="1">IF(AND(ISNUMBER($BH$277),$B$226=1),$BH$277,HLOOKUP(INDIRECT(ADDRESS(2,COLUMN())),OFFSET($BN$2,0,0,ROW()-1,60),ROW()-1,FALSE))</f>
        <v>96.834999999999994</v>
      </c>
      <c r="BI60">
        <f ca="1">IF(AND(ISNUMBER($BI$277),$B$226=1),$BI$277,HLOOKUP(INDIRECT(ADDRESS(2,COLUMN())),OFFSET($BN$2,0,0,ROW()-1,60),ROW()-1,FALSE))</f>
        <v>95.203000000000003</v>
      </c>
      <c r="BJ60">
        <f ca="1">IF(AND(ISNUMBER($BJ$277),$B$226=1),$BJ$277,HLOOKUP(INDIRECT(ADDRESS(2,COLUMN())),OFFSET($BN$2,0,0,ROW()-1,60),ROW()-1,FALSE))</f>
        <v>91.396000000000001</v>
      </c>
      <c r="BK60">
        <f ca="1">IF(AND(ISNUMBER($BK$277),$B$226=1),$BK$277,HLOOKUP(INDIRECT(ADDRESS(2,COLUMN())),OFFSET($BN$2,0,0,ROW()-1,60),ROW()-1,FALSE))</f>
        <v>91.121000289999998</v>
      </c>
      <c r="BL60">
        <f ca="1">IF(AND(ISNUMBER($BL$277),$B$226=1),$BL$277,HLOOKUP(INDIRECT(ADDRESS(2,COLUMN())),OFFSET($BN$2,0,0,ROW()-1,60),ROW()-1,FALSE))</f>
        <v>91.366</v>
      </c>
      <c r="BM60">
        <f ca="1">IF(AND(ISNUMBER($BM$277),$B$226=1),$BM$277,HLOOKUP(INDIRECT(ADDRESS(2,COLUMN())),OFFSET($BN$2,0,0,ROW()-1,60),ROW()-1,FALSE))</f>
        <v>91.093000000000004</v>
      </c>
      <c r="BN60" t="str">
        <f>""</f>
        <v/>
      </c>
      <c r="BO60">
        <f>384.289</f>
        <v>384.28899999999999</v>
      </c>
      <c r="BP60">
        <f>350.768</f>
        <v>350.76799999999997</v>
      </c>
      <c r="BQ60">
        <f>335.742</f>
        <v>335.74200000000002</v>
      </c>
      <c r="BR60">
        <f>320.73</f>
        <v>320.73</v>
      </c>
      <c r="BS60">
        <f>337.147</f>
        <v>337.14699999999999</v>
      </c>
      <c r="BT60">
        <f>323.352</f>
        <v>323.35199999999998</v>
      </c>
      <c r="BU60">
        <f>320.582</f>
        <v>320.58199999999999</v>
      </c>
      <c r="BV60">
        <f>329.141</f>
        <v>329.14100000000002</v>
      </c>
      <c r="BW60">
        <f>309.261</f>
        <v>309.26100000000002</v>
      </c>
      <c r="BX60">
        <f>286.521</f>
        <v>286.52100000000002</v>
      </c>
      <c r="BY60">
        <f>312.545</f>
        <v>312.54500000000002</v>
      </c>
      <c r="BZ60">
        <f>264.97</f>
        <v>264.97000000000003</v>
      </c>
      <c r="CA60">
        <f>278.463</f>
        <v>278.46300000000002</v>
      </c>
      <c r="CB60">
        <f>276.4</f>
        <v>276.39999999999998</v>
      </c>
      <c r="CC60">
        <f>260.646</f>
        <v>260.64600000000002</v>
      </c>
      <c r="CD60">
        <f>247.097</f>
        <v>247.09700000000001</v>
      </c>
      <c r="CE60">
        <f>253.587</f>
        <v>253.58699999999999</v>
      </c>
      <c r="CF60">
        <f>235.917</f>
        <v>235.917</v>
      </c>
      <c r="CG60">
        <f>243.235</f>
        <v>243.23500000000001</v>
      </c>
      <c r="CH60">
        <f>151.799</f>
        <v>151.79900000000001</v>
      </c>
      <c r="CI60">
        <f>153.565</f>
        <v>153.565</v>
      </c>
      <c r="CJ60">
        <f>166.923</f>
        <v>166.923</v>
      </c>
      <c r="CK60">
        <f>155.454</f>
        <v>155.45400000000001</v>
      </c>
      <c r="CL60">
        <f>149.295</f>
        <v>149.29499999999999</v>
      </c>
      <c r="CM60">
        <f>143.36</f>
        <v>143.36000000000001</v>
      </c>
      <c r="CN60">
        <f>133.723</f>
        <v>133.72300000000001</v>
      </c>
      <c r="CO60">
        <f>145.416</f>
        <v>145.416</v>
      </c>
      <c r="CP60">
        <f>133.331</f>
        <v>133.33099999999999</v>
      </c>
      <c r="CQ60">
        <f>135.683</f>
        <v>135.68299999999999</v>
      </c>
      <c r="CR60">
        <f>128.495</f>
        <v>128.495</v>
      </c>
      <c r="CS60">
        <f>130.661</f>
        <v>130.661</v>
      </c>
      <c r="CT60">
        <f>118.609</f>
        <v>118.60899999999999</v>
      </c>
      <c r="CU60">
        <f>112.728</f>
        <v>112.72799999999999</v>
      </c>
      <c r="CV60">
        <f>116.135</f>
        <v>116.13500000000001</v>
      </c>
      <c r="CW60">
        <f>105.751</f>
        <v>105.751</v>
      </c>
      <c r="CX60">
        <f>118.82</f>
        <v>118.82</v>
      </c>
      <c r="CY60">
        <f>49.419</f>
        <v>49.418999999999997</v>
      </c>
      <c r="CZ60">
        <f>183.589</f>
        <v>183.589</v>
      </c>
      <c r="DA60">
        <f>123.047</f>
        <v>123.047</v>
      </c>
      <c r="DB60">
        <f>120.155</f>
        <v>120.155</v>
      </c>
      <c r="DC60">
        <f>118.915</f>
        <v>118.91500000000001</v>
      </c>
      <c r="DD60">
        <f>119.495</f>
        <v>119.495</v>
      </c>
      <c r="DE60">
        <f>112.666</f>
        <v>112.666</v>
      </c>
      <c r="DF60">
        <f>117.014</f>
        <v>117.014</v>
      </c>
      <c r="DG60">
        <f>111.006</f>
        <v>111.006</v>
      </c>
      <c r="DH60">
        <f>109.094</f>
        <v>109.09399999999999</v>
      </c>
      <c r="DI60">
        <f>103.537</f>
        <v>103.53700000000001</v>
      </c>
      <c r="DJ60">
        <f>105.404</f>
        <v>105.404</v>
      </c>
      <c r="DK60">
        <f>99.07</f>
        <v>99.07</v>
      </c>
      <c r="DL60">
        <f>99.993</f>
        <v>99.992999999999995</v>
      </c>
      <c r="DM60">
        <f>99.678</f>
        <v>99.677999999999997</v>
      </c>
      <c r="DN60">
        <f>97.129</f>
        <v>97.129000000000005</v>
      </c>
      <c r="DO60">
        <f>85.283</f>
        <v>85.283000000000001</v>
      </c>
      <c r="DP60">
        <f>96.835</f>
        <v>96.834999999999994</v>
      </c>
      <c r="DQ60">
        <f>95.203</f>
        <v>95.203000000000003</v>
      </c>
      <c r="DR60">
        <f>91.396</f>
        <v>91.396000000000001</v>
      </c>
      <c r="DS60">
        <f>91.12100029</f>
        <v>91.121000289999998</v>
      </c>
      <c r="DT60">
        <f>91.366</f>
        <v>91.366</v>
      </c>
      <c r="DU60">
        <f>91.093</f>
        <v>91.093000000000004</v>
      </c>
    </row>
    <row r="61" spans="1:125">
      <c r="A61" t="str">
        <f>"    Camden Property Trust"</f>
        <v xml:space="preserve">    Camden Property Trust</v>
      </c>
      <c r="B61" t="str">
        <f>"CPT US Equity"</f>
        <v>CPT US Equity</v>
      </c>
      <c r="C61" t="str">
        <f t="shared" si="18"/>
        <v>RR009</v>
      </c>
      <c r="D61" t="str">
        <f t="shared" si="19"/>
        <v>EBITDA</v>
      </c>
      <c r="E61" t="str">
        <f t="shared" si="20"/>
        <v>动态</v>
      </c>
      <c r="F61" t="str">
        <f ca="1">IF(AND(ISNUMBER($F$278),$B$226=1),$F$278,HLOOKUP(INDIRECT(ADDRESS(2,COLUMN())),OFFSET($BN$2,0,0,ROW()-1,60),ROW()-1,FALSE))</f>
        <v/>
      </c>
      <c r="G61">
        <f ca="1">IF(AND(ISNUMBER($G$278),$B$226=1),$G$278,HLOOKUP(INDIRECT(ADDRESS(2,COLUMN())),OFFSET($BN$2,0,0,ROW()-1,60),ROW()-1,FALSE))</f>
        <v>131.48099999999999</v>
      </c>
      <c r="H61">
        <f ca="1">IF(AND(ISNUMBER($H$278),$B$226=1),$H$278,HLOOKUP(INDIRECT(ADDRESS(2,COLUMN())),OFFSET($BN$2,0,0,ROW()-1,60),ROW()-1,FALSE))</f>
        <v>122.571</v>
      </c>
      <c r="I61">
        <f ca="1">IF(AND(ISNUMBER($I$278),$B$226=1),$I$278,HLOOKUP(INDIRECT(ADDRESS(2,COLUMN())),OFFSET($BN$2,0,0,ROW()-1,60),ROW()-1,FALSE))</f>
        <v>124.99299999999999</v>
      </c>
      <c r="J61">
        <f ca="1">IF(AND(ISNUMBER($J$278),$B$226=1),$J$278,HLOOKUP(INDIRECT(ADDRESS(2,COLUMN())),OFFSET($BN$2,0,0,ROW()-1,60),ROW()-1,FALSE))</f>
        <v>121.02200000000001</v>
      </c>
      <c r="K61">
        <f ca="1">IF(AND(ISNUMBER($K$278),$B$226=1),$K$278,HLOOKUP(INDIRECT(ADDRESS(2,COLUMN())),OFFSET($BN$2,0,0,ROW()-1,60),ROW()-1,FALSE))</f>
        <v>125.56</v>
      </c>
      <c r="L61">
        <f ca="1">IF(AND(ISNUMBER($L$278),$B$226=1),$L$278,HLOOKUP(INDIRECT(ADDRESS(2,COLUMN())),OFFSET($BN$2,0,0,ROW()-1,60),ROW()-1,FALSE))</f>
        <v>124.217</v>
      </c>
      <c r="M61">
        <f ca="1">IF(AND(ISNUMBER($M$278),$B$226=1),$M$278,HLOOKUP(INDIRECT(ADDRESS(2,COLUMN())),OFFSET($BN$2,0,0,ROW()-1,60),ROW()-1,FALSE))</f>
        <v>123.895</v>
      </c>
      <c r="N61">
        <f ca="1">IF(AND(ISNUMBER($N$278),$B$226=1),$N$278,HLOOKUP(INDIRECT(ADDRESS(2,COLUMN())),OFFSET($BN$2,0,0,ROW()-1,60),ROW()-1,FALSE))</f>
        <v>121.896</v>
      </c>
      <c r="O61">
        <f ca="1">IF(AND(ISNUMBER($O$278),$B$226=1),$O$278,HLOOKUP(INDIRECT(ADDRESS(2,COLUMN())),OFFSET($BN$2,0,0,ROW()-1,60),ROW()-1,FALSE))</f>
        <v>110.703</v>
      </c>
      <c r="P61">
        <f ca="1">IF(AND(ISNUMBER($P$278),$B$226=1),$P$278,HLOOKUP(INDIRECT(ADDRESS(2,COLUMN())),OFFSET($BN$2,0,0,ROW()-1,60),ROW()-1,FALSE))</f>
        <v>128.191</v>
      </c>
      <c r="Q61">
        <f ca="1">IF(AND(ISNUMBER($Q$278),$B$226=1),$Q$278,HLOOKUP(INDIRECT(ADDRESS(2,COLUMN())),OFFSET($BN$2,0,0,ROW()-1,60),ROW()-1,FALSE))</f>
        <v>112.12</v>
      </c>
      <c r="R61">
        <f ca="1">IF(AND(ISNUMBER($R$278),$B$226=1),$R$278,HLOOKUP(INDIRECT(ADDRESS(2,COLUMN())),OFFSET($BN$2,0,0,ROW()-1,60),ROW()-1,FALSE))</f>
        <v>121.8</v>
      </c>
      <c r="S61">
        <f ca="1">IF(AND(ISNUMBER($S$278),$B$226=1),$S$278,HLOOKUP(INDIRECT(ADDRESS(2,COLUMN())),OFFSET($BN$2,0,0,ROW()-1,60),ROW()-1,FALSE))</f>
        <v>114.79</v>
      </c>
      <c r="T61">
        <f ca="1">IF(AND(ISNUMBER($T$278),$B$226=1),$T$278,HLOOKUP(INDIRECT(ADDRESS(2,COLUMN())),OFFSET($BN$2,0,0,ROW()-1,60),ROW()-1,FALSE))</f>
        <v>119.56699999999999</v>
      </c>
      <c r="U61">
        <f ca="1">IF(AND(ISNUMBER($U$278),$B$226=1),$U$278,HLOOKUP(INDIRECT(ADDRESS(2,COLUMN())),OFFSET($BN$2,0,0,ROW()-1,60),ROW()-1,FALSE))</f>
        <v>115.973</v>
      </c>
      <c r="V61">
        <f ca="1">IF(AND(ISNUMBER($V$278),$B$226=1),$V$278,HLOOKUP(INDIRECT(ADDRESS(2,COLUMN())),OFFSET($BN$2,0,0,ROW()-1,60),ROW()-1,FALSE))</f>
        <v>117.985</v>
      </c>
      <c r="W61">
        <f ca="1">IF(AND(ISNUMBER($W$278),$B$226=1),$W$278,HLOOKUP(INDIRECT(ADDRESS(2,COLUMN())),OFFSET($BN$2,0,0,ROW()-1,60),ROW()-1,FALSE))</f>
        <v>119.81699999999999</v>
      </c>
      <c r="X61">
        <f ca="1">IF(AND(ISNUMBER($X$278),$B$226=1),$X$278,HLOOKUP(INDIRECT(ADDRESS(2,COLUMN())),OFFSET($BN$2,0,0,ROW()-1,60),ROW()-1,FALSE))</f>
        <v>114.71899999999999</v>
      </c>
      <c r="Y61">
        <f ca="1">IF(AND(ISNUMBER($Y$278),$B$226=1),$Y$278,HLOOKUP(INDIRECT(ADDRESS(2,COLUMN())),OFFSET($BN$2,0,0,ROW()-1,60),ROW()-1,FALSE))</f>
        <v>109.581</v>
      </c>
      <c r="Z61">
        <f ca="1">IF(AND(ISNUMBER($Z$278),$B$226=1),$Z$278,HLOOKUP(INDIRECT(ADDRESS(2,COLUMN())),OFFSET($BN$2,0,0,ROW()-1,60),ROW()-1,FALSE))</f>
        <v>107.872</v>
      </c>
      <c r="AA61">
        <f ca="1">IF(AND(ISNUMBER($AA$278),$B$226=1),$AA$278,HLOOKUP(INDIRECT(ADDRESS(2,COLUMN())),OFFSET($BN$2,0,0,ROW()-1,60),ROW()-1,FALSE))</f>
        <v>106.376</v>
      </c>
      <c r="AB61">
        <f ca="1">IF(AND(ISNUMBER($AB$278),$B$226=1),$AB$278,HLOOKUP(INDIRECT(ADDRESS(2,COLUMN())),OFFSET($BN$2,0,0,ROW()-1,60),ROW()-1,FALSE))</f>
        <v>104.065</v>
      </c>
      <c r="AC61">
        <f ca="1">IF(AND(ISNUMBER($AC$278),$B$226=1),$AC$278,HLOOKUP(INDIRECT(ADDRESS(2,COLUMN())),OFFSET($BN$2,0,0,ROW()-1,60),ROW()-1,FALSE))</f>
        <v>100.426</v>
      </c>
      <c r="AD61">
        <f ca="1">IF(AND(ISNUMBER($AD$278),$B$226=1),$AD$278,HLOOKUP(INDIRECT(ADDRESS(2,COLUMN())),OFFSET($BN$2,0,0,ROW()-1,60),ROW()-1,FALSE))</f>
        <v>95.826999999999998</v>
      </c>
      <c r="AE61">
        <f ca="1">IF(AND(ISNUMBER($AE$278),$B$226=1),$AE$278,HLOOKUP(INDIRECT(ADDRESS(2,COLUMN())),OFFSET($BN$2,0,0,ROW()-1,60),ROW()-1,FALSE))</f>
        <v>90.018000000000001</v>
      </c>
      <c r="AF61">
        <f ca="1">IF(AND(ISNUMBER($AF$278),$B$226=1),$AF$278,HLOOKUP(INDIRECT(ADDRESS(2,COLUMN())),OFFSET($BN$2,0,0,ROW()-1,60),ROW()-1,FALSE))</f>
        <v>87.491</v>
      </c>
      <c r="AG61">
        <f ca="1">IF(AND(ISNUMBER($AG$278),$B$226=1),$AG$278,HLOOKUP(INDIRECT(ADDRESS(2,COLUMN())),OFFSET($BN$2,0,0,ROW()-1,60),ROW()-1,FALSE))</f>
        <v>86.094999999999999</v>
      </c>
      <c r="AH61">
        <f ca="1">IF(AND(ISNUMBER($AH$278),$B$226=1),$AH$278,HLOOKUP(INDIRECT(ADDRESS(2,COLUMN())),OFFSET($BN$2,0,0,ROW()-1,60),ROW()-1,FALSE))</f>
        <v>81.704999999999998</v>
      </c>
      <c r="AI61">
        <f ca="1">IF(AND(ISNUMBER($AI$278),$B$226=1),$AI$278,HLOOKUP(INDIRECT(ADDRESS(2,COLUMN())),OFFSET($BN$2,0,0,ROW()-1,60),ROW()-1,FALSE))</f>
        <v>81.584000000000003</v>
      </c>
      <c r="AJ61">
        <f ca="1">IF(AND(ISNUMBER($AJ$278),$B$226=1),$AJ$278,HLOOKUP(INDIRECT(ADDRESS(2,COLUMN())),OFFSET($BN$2,0,0,ROW()-1,60),ROW()-1,FALSE))</f>
        <v>79.653999999999996</v>
      </c>
      <c r="AK61">
        <f ca="1">IF(AND(ISNUMBER($AK$278),$B$226=1),$AK$278,HLOOKUP(INDIRECT(ADDRESS(2,COLUMN())),OFFSET($BN$2,0,0,ROW()-1,60),ROW()-1,FALSE))</f>
        <v>78.230999999999995</v>
      </c>
      <c r="AL61">
        <f ca="1">IF(AND(ISNUMBER($AL$278),$B$226=1),$AL$278,HLOOKUP(INDIRECT(ADDRESS(2,COLUMN())),OFFSET($BN$2,0,0,ROW()-1,60),ROW()-1,FALSE))</f>
        <v>76.200999999999993</v>
      </c>
      <c r="AM61">
        <f ca="1">IF(AND(ISNUMBER($AM$278),$B$226=1),$AM$278,HLOOKUP(INDIRECT(ADDRESS(2,COLUMN())),OFFSET($BN$2,0,0,ROW()-1,60),ROW()-1,FALSE))</f>
        <v>-4.452</v>
      </c>
      <c r="AN61">
        <f ca="1">IF(AND(ISNUMBER($AN$278),$B$226=1),$AN$278,HLOOKUP(INDIRECT(ADDRESS(2,COLUMN())),OFFSET($BN$2,0,0,ROW()-1,60),ROW()-1,FALSE))</f>
        <v>79.89</v>
      </c>
      <c r="AO61">
        <f ca="1">IF(AND(ISNUMBER($AO$278),$B$226=1),$AO$278,HLOOKUP(INDIRECT(ADDRESS(2,COLUMN())),OFFSET($BN$2,0,0,ROW()-1,60),ROW()-1,FALSE))</f>
        <v>82.314999999999998</v>
      </c>
      <c r="AP61">
        <f ca="1">IF(AND(ISNUMBER($AP$278),$B$226=1),$AP$278,HLOOKUP(INDIRECT(ADDRESS(2,COLUMN())),OFFSET($BN$2,0,0,ROW()-1,60),ROW()-1,FALSE))</f>
        <v>83.031999999999996</v>
      </c>
      <c r="AQ61">
        <f ca="1">IF(AND(ISNUMBER($AQ$278),$B$226=1),$AQ$278,HLOOKUP(INDIRECT(ADDRESS(2,COLUMN())),OFFSET($BN$2,0,0,ROW()-1,60),ROW()-1,FALSE))</f>
        <v>82.763000000000005</v>
      </c>
      <c r="AR61">
        <f ca="1">IF(AND(ISNUMBER($AR$278),$B$226=1),$AR$278,HLOOKUP(INDIRECT(ADDRESS(2,COLUMN())),OFFSET($BN$2,0,0,ROW()-1,60),ROW()-1,FALSE))</f>
        <v>81.3</v>
      </c>
      <c r="AS61">
        <f ca="1">IF(AND(ISNUMBER($AS$278),$B$226=1),$AS$278,HLOOKUP(INDIRECT(ADDRESS(2,COLUMN())),OFFSET($BN$2,0,0,ROW()-1,60),ROW()-1,FALSE))</f>
        <v>83.728999999999999</v>
      </c>
      <c r="AT61">
        <f ca="1">IF(AND(ISNUMBER($AT$278),$B$226=1),$AT$278,HLOOKUP(INDIRECT(ADDRESS(2,COLUMN())),OFFSET($BN$2,0,0,ROW()-1,60),ROW()-1,FALSE))</f>
        <v>82.542000000000002</v>
      </c>
      <c r="AU61">
        <f ca="1">IF(AND(ISNUMBER($AU$278),$B$226=1),$AU$278,HLOOKUP(INDIRECT(ADDRESS(2,COLUMN())),OFFSET($BN$2,0,0,ROW()-1,60),ROW()-1,FALSE))</f>
        <v>61.241999999999997</v>
      </c>
      <c r="AV61">
        <f ca="1">IF(AND(ISNUMBER($AV$278),$B$226=1),$AV$278,HLOOKUP(INDIRECT(ADDRESS(2,COLUMN())),OFFSET($BN$2,0,0,ROW()-1,60),ROW()-1,FALSE))</f>
        <v>85.293999999999997</v>
      </c>
      <c r="AW61">
        <f ca="1">IF(AND(ISNUMBER($AW$278),$B$226=1),$AW$278,HLOOKUP(INDIRECT(ADDRESS(2,COLUMN())),OFFSET($BN$2,0,0,ROW()-1,60),ROW()-1,FALSE))</f>
        <v>86.5</v>
      </c>
      <c r="AX61">
        <f ca="1">IF(AND(ISNUMBER($AX$278),$B$226=1),$AX$278,HLOOKUP(INDIRECT(ADDRESS(2,COLUMN())),OFFSET($BN$2,0,0,ROW()-1,60),ROW()-1,FALSE))</f>
        <v>83.852000000000004</v>
      </c>
      <c r="AY61">
        <f ca="1">IF(AND(ISNUMBER($AY$278),$B$226=1),$AY$278,HLOOKUP(INDIRECT(ADDRESS(2,COLUMN())),OFFSET($BN$2,0,0,ROW()-1,60),ROW()-1,FALSE))</f>
        <v>81.813000000000002</v>
      </c>
      <c r="AZ61">
        <f ca="1">IF(AND(ISNUMBER($AZ$278),$B$226=1),$AZ$278,HLOOKUP(INDIRECT(ADDRESS(2,COLUMN())),OFFSET($BN$2,0,0,ROW()-1,60),ROW()-1,FALSE))</f>
        <v>87.146000000000001</v>
      </c>
      <c r="BA61">
        <f ca="1">IF(AND(ISNUMBER($BA$278),$B$226=1),$BA$278,HLOOKUP(INDIRECT(ADDRESS(2,COLUMN())),OFFSET($BN$2,0,0,ROW()-1,60),ROW()-1,FALSE))</f>
        <v>84.89</v>
      </c>
      <c r="BB61">
        <f ca="1">IF(AND(ISNUMBER($BB$278),$B$226=1),$BB$278,HLOOKUP(INDIRECT(ADDRESS(2,COLUMN())),OFFSET($BN$2,0,0,ROW()-1,60),ROW()-1,FALSE))</f>
        <v>84.004000000000005</v>
      </c>
      <c r="BC61">
        <f ca="1">IF(AND(ISNUMBER($BC$278),$B$226=1),$BC$278,HLOOKUP(INDIRECT(ADDRESS(2,COLUMN())),OFFSET($BN$2,0,0,ROW()-1,60),ROW()-1,FALSE))</f>
        <v>79.11</v>
      </c>
      <c r="BD61">
        <f ca="1">IF(AND(ISNUMBER($BD$278),$B$226=1),$BD$278,HLOOKUP(INDIRECT(ADDRESS(2,COLUMN())),OFFSET($BN$2,0,0,ROW()-1,60),ROW()-1,FALSE))</f>
        <v>77.180000000000007</v>
      </c>
      <c r="BE61">
        <f ca="1">IF(AND(ISNUMBER($BE$278),$B$226=1),$BE$278,HLOOKUP(INDIRECT(ADDRESS(2,COLUMN())),OFFSET($BN$2,0,0,ROW()-1,60),ROW()-1,FALSE))</f>
        <v>77.447999999999993</v>
      </c>
      <c r="BF61">
        <f ca="1">IF(AND(ISNUMBER($BF$278),$B$226=1),$BF$278,HLOOKUP(INDIRECT(ADDRESS(2,COLUMN())),OFFSET($BN$2,0,0,ROW()-1,60),ROW()-1,FALSE))</f>
        <v>74.478999999999999</v>
      </c>
      <c r="BG61">
        <f ca="1">IF(AND(ISNUMBER($BG$278),$B$226=1),$BG$278,HLOOKUP(INDIRECT(ADDRESS(2,COLUMN())),OFFSET($BN$2,0,0,ROW()-1,60),ROW()-1,FALSE))</f>
        <v>57.238</v>
      </c>
      <c r="BH61">
        <f ca="1">IF(AND(ISNUMBER($BH$278),$B$226=1),$BH$278,HLOOKUP(INDIRECT(ADDRESS(2,COLUMN())),OFFSET($BN$2,0,0,ROW()-1,60),ROW()-1,FALSE))</f>
        <v>58.261000000000003</v>
      </c>
      <c r="BI61">
        <f ca="1">IF(AND(ISNUMBER($BI$278),$B$226=1),$BI$278,HLOOKUP(INDIRECT(ADDRESS(2,COLUMN())),OFFSET($BN$2,0,0,ROW()-1,60),ROW()-1,FALSE))</f>
        <v>56.899000000000001</v>
      </c>
      <c r="BJ61">
        <f ca="1">IF(AND(ISNUMBER($BJ$278),$B$226=1),$BJ$278,HLOOKUP(INDIRECT(ADDRESS(2,COLUMN())),OFFSET($BN$2,0,0,ROW()-1,60),ROW()-1,FALSE))</f>
        <v>61.283999000000001</v>
      </c>
      <c r="BK61">
        <f ca="1">IF(AND(ISNUMBER($BK$278),$B$226=1),$BK$278,HLOOKUP(INDIRECT(ADDRESS(2,COLUMN())),OFFSET($BN$2,0,0,ROW()-1,60),ROW()-1,FALSE))</f>
        <v>60.751000400000002</v>
      </c>
      <c r="BL61">
        <f ca="1">IF(AND(ISNUMBER($BL$278),$B$226=1),$BL$278,HLOOKUP(INDIRECT(ADDRESS(2,COLUMN())),OFFSET($BN$2,0,0,ROW()-1,60),ROW()-1,FALSE))</f>
        <v>55.909001000000004</v>
      </c>
      <c r="BM61">
        <f ca="1">IF(AND(ISNUMBER($BM$278),$B$226=1),$BM$278,HLOOKUP(INDIRECT(ADDRESS(2,COLUMN())),OFFSET($BN$2,0,0,ROW()-1,60),ROW()-1,FALSE))</f>
        <v>53.417999000000002</v>
      </c>
      <c r="BN61" t="str">
        <f>""</f>
        <v/>
      </c>
      <c r="BO61">
        <f>131.481</f>
        <v>131.48099999999999</v>
      </c>
      <c r="BP61">
        <f>122.571</f>
        <v>122.571</v>
      </c>
      <c r="BQ61">
        <f>124.993</f>
        <v>124.99299999999999</v>
      </c>
      <c r="BR61">
        <f>121.022</f>
        <v>121.02200000000001</v>
      </c>
      <c r="BS61">
        <f>125.56</f>
        <v>125.56</v>
      </c>
      <c r="BT61">
        <f>124.217</f>
        <v>124.217</v>
      </c>
      <c r="BU61">
        <f>123.895</f>
        <v>123.895</v>
      </c>
      <c r="BV61">
        <f>121.896</f>
        <v>121.896</v>
      </c>
      <c r="BW61">
        <f>110.703</f>
        <v>110.703</v>
      </c>
      <c r="BX61">
        <f>128.191</f>
        <v>128.191</v>
      </c>
      <c r="BY61">
        <f>112.12</f>
        <v>112.12</v>
      </c>
      <c r="BZ61">
        <f>121.8</f>
        <v>121.8</v>
      </c>
      <c r="CA61">
        <f>114.79</f>
        <v>114.79</v>
      </c>
      <c r="CB61">
        <f>119.567</f>
        <v>119.56699999999999</v>
      </c>
      <c r="CC61">
        <f>115.973</f>
        <v>115.973</v>
      </c>
      <c r="CD61">
        <f>117.985</f>
        <v>117.985</v>
      </c>
      <c r="CE61">
        <f>119.817</f>
        <v>119.81699999999999</v>
      </c>
      <c r="CF61">
        <f>114.719</f>
        <v>114.71899999999999</v>
      </c>
      <c r="CG61">
        <f>109.581</f>
        <v>109.581</v>
      </c>
      <c r="CH61">
        <f>107.872</f>
        <v>107.872</v>
      </c>
      <c r="CI61">
        <f>106.376</f>
        <v>106.376</v>
      </c>
      <c r="CJ61">
        <f>104.065</f>
        <v>104.065</v>
      </c>
      <c r="CK61">
        <f>100.426</f>
        <v>100.426</v>
      </c>
      <c r="CL61">
        <f>95.827</f>
        <v>95.826999999999998</v>
      </c>
      <c r="CM61">
        <f>90.018</f>
        <v>90.018000000000001</v>
      </c>
      <c r="CN61">
        <f>87.491</f>
        <v>87.491</v>
      </c>
      <c r="CO61">
        <f>86.095</f>
        <v>86.094999999999999</v>
      </c>
      <c r="CP61">
        <f>81.705</f>
        <v>81.704999999999998</v>
      </c>
      <c r="CQ61">
        <f>81.584</f>
        <v>81.584000000000003</v>
      </c>
      <c r="CR61">
        <f>79.654</f>
        <v>79.653999999999996</v>
      </c>
      <c r="CS61">
        <f>78.231</f>
        <v>78.230999999999995</v>
      </c>
      <c r="CT61">
        <f>76.201</f>
        <v>76.200999999999993</v>
      </c>
      <c r="CU61">
        <f>-4.452</f>
        <v>-4.452</v>
      </c>
      <c r="CV61">
        <f>79.89</f>
        <v>79.89</v>
      </c>
      <c r="CW61">
        <f>82.315</f>
        <v>82.314999999999998</v>
      </c>
      <c r="CX61">
        <f>83.032</f>
        <v>83.031999999999996</v>
      </c>
      <c r="CY61">
        <f>82.763</f>
        <v>82.763000000000005</v>
      </c>
      <c r="CZ61">
        <f>81.3</f>
        <v>81.3</v>
      </c>
      <c r="DA61">
        <f>83.729</f>
        <v>83.728999999999999</v>
      </c>
      <c r="DB61">
        <f>82.542</f>
        <v>82.542000000000002</v>
      </c>
      <c r="DC61">
        <f>61.242</f>
        <v>61.241999999999997</v>
      </c>
      <c r="DD61">
        <f>85.294</f>
        <v>85.293999999999997</v>
      </c>
      <c r="DE61">
        <f>86.5</f>
        <v>86.5</v>
      </c>
      <c r="DF61">
        <f>83.852</f>
        <v>83.852000000000004</v>
      </c>
      <c r="DG61">
        <f>81.813</f>
        <v>81.813000000000002</v>
      </c>
      <c r="DH61">
        <f>87.146</f>
        <v>87.146000000000001</v>
      </c>
      <c r="DI61">
        <f>84.89</f>
        <v>84.89</v>
      </c>
      <c r="DJ61">
        <f>84.004</f>
        <v>84.004000000000005</v>
      </c>
      <c r="DK61">
        <f>79.11</f>
        <v>79.11</v>
      </c>
      <c r="DL61">
        <f>77.18</f>
        <v>77.180000000000007</v>
      </c>
      <c r="DM61">
        <f>77.448</f>
        <v>77.447999999999993</v>
      </c>
      <c r="DN61">
        <f>74.479</f>
        <v>74.478999999999999</v>
      </c>
      <c r="DO61">
        <f>57.238</f>
        <v>57.238</v>
      </c>
      <c r="DP61">
        <f>58.261</f>
        <v>58.261000000000003</v>
      </c>
      <c r="DQ61">
        <f>56.899</f>
        <v>56.899000000000001</v>
      </c>
      <c r="DR61">
        <f>61.283999</f>
        <v>61.283999000000001</v>
      </c>
      <c r="DS61">
        <f>60.7510004</f>
        <v>60.751000400000002</v>
      </c>
      <c r="DT61">
        <f>55.909001</f>
        <v>55.909001000000004</v>
      </c>
      <c r="DU61">
        <f>53.417999</f>
        <v>53.417999000000002</v>
      </c>
    </row>
    <row r="62" spans="1:125">
      <c r="A62" t="str">
        <f>"    Education Realty Trust Inc"</f>
        <v xml:space="preserve">    Education Realty Trust Inc</v>
      </c>
      <c r="B62" t="str">
        <f>"EDR US Equity"</f>
        <v>EDR US Equity</v>
      </c>
      <c r="C62" t="str">
        <f t="shared" si="18"/>
        <v>RR009</v>
      </c>
      <c r="D62" t="str">
        <f t="shared" si="19"/>
        <v>EBITDA</v>
      </c>
      <c r="E62" t="str">
        <f t="shared" si="20"/>
        <v>动态</v>
      </c>
      <c r="F62" t="str">
        <f ca="1">IF(AND(ISNUMBER($F$279),$B$226=1),$F$279,HLOOKUP(INDIRECT(ADDRESS(2,COLUMN())),OFFSET($BN$2,0,0,ROW()-1,60),ROW()-1,FALSE))</f>
        <v/>
      </c>
      <c r="G62">
        <f ca="1">IF(AND(ISNUMBER($G$279),$B$226=1),$G$279,HLOOKUP(INDIRECT(ADDRESS(2,COLUMN())),OFFSET($BN$2,0,0,ROW()-1,60),ROW()-1,FALSE))</f>
        <v>54.719000000000001</v>
      </c>
      <c r="H62">
        <f ca="1">IF(AND(ISNUMBER($H$279),$B$226=1),$H$279,HLOOKUP(INDIRECT(ADDRESS(2,COLUMN())),OFFSET($BN$2,0,0,ROW()-1,60),ROW()-1,FALSE))</f>
        <v>26.318000000000001</v>
      </c>
      <c r="I62">
        <f ca="1">IF(AND(ISNUMBER($I$279),$B$226=1),$I$279,HLOOKUP(INDIRECT(ADDRESS(2,COLUMN())),OFFSET($BN$2,0,0,ROW()-1,60),ROW()-1,FALSE))</f>
        <v>33.145000000000003</v>
      </c>
      <c r="J62">
        <f ca="1">IF(AND(ISNUMBER($J$279),$B$226=1),$J$279,HLOOKUP(INDIRECT(ADDRESS(2,COLUMN())),OFFSET($BN$2,0,0,ROW()-1,60),ROW()-1,FALSE))</f>
        <v>44.28</v>
      </c>
      <c r="K62">
        <f ca="1">IF(AND(ISNUMBER($K$279),$B$226=1),$K$279,HLOOKUP(INDIRECT(ADDRESS(2,COLUMN())),OFFSET($BN$2,0,0,ROW()-1,60),ROW()-1,FALSE))</f>
        <v>40.594999999999999</v>
      </c>
      <c r="L62">
        <f ca="1">IF(AND(ISNUMBER($L$279),$B$226=1),$L$279,HLOOKUP(INDIRECT(ADDRESS(2,COLUMN())),OFFSET($BN$2,0,0,ROW()-1,60),ROW()-1,FALSE))</f>
        <v>23.567</v>
      </c>
      <c r="M62">
        <f ca="1">IF(AND(ISNUMBER($M$279),$B$226=1),$M$279,HLOOKUP(INDIRECT(ADDRESS(2,COLUMN())),OFFSET($BN$2,0,0,ROW()-1,60),ROW()-1,FALSE))</f>
        <v>28.585000000000001</v>
      </c>
      <c r="N62">
        <f ca="1">IF(AND(ISNUMBER($N$279),$B$226=1),$N$279,HLOOKUP(INDIRECT(ADDRESS(2,COLUMN())),OFFSET($BN$2,0,0,ROW()-1,60),ROW()-1,FALSE))</f>
        <v>37.731999999999999</v>
      </c>
      <c r="O62">
        <f ca="1">IF(AND(ISNUMBER($O$279),$B$226=1),$O$279,HLOOKUP(INDIRECT(ADDRESS(2,COLUMN())),OFFSET($BN$2,0,0,ROW()-1,60),ROW()-1,FALSE))</f>
        <v>38.274000000000001</v>
      </c>
      <c r="P62">
        <f ca="1">IF(AND(ISNUMBER($P$279),$B$226=1),$P$279,HLOOKUP(INDIRECT(ADDRESS(2,COLUMN())),OFFSET($BN$2,0,0,ROW()-1,60),ROW()-1,FALSE))</f>
        <v>20.245000000000001</v>
      </c>
      <c r="Q62">
        <f ca="1">IF(AND(ISNUMBER($Q$279),$B$226=1),$Q$279,HLOOKUP(INDIRECT(ADDRESS(2,COLUMN())),OFFSET($BN$2,0,0,ROW()-1,60),ROW()-1,FALSE))</f>
        <v>24.853999999999999</v>
      </c>
      <c r="R62">
        <f ca="1">IF(AND(ISNUMBER($R$279),$B$226=1),$R$279,HLOOKUP(INDIRECT(ADDRESS(2,COLUMN())),OFFSET($BN$2,0,0,ROW()-1,60),ROW()-1,FALSE))</f>
        <v>29.704000000000001</v>
      </c>
      <c r="S62">
        <f ca="1">IF(AND(ISNUMBER($S$279),$B$226=1),$S$279,HLOOKUP(INDIRECT(ADDRESS(2,COLUMN())),OFFSET($BN$2,0,0,ROW()-1,60),ROW()-1,FALSE))</f>
        <v>33.56</v>
      </c>
      <c r="T62">
        <f ca="1">IF(AND(ISNUMBER($T$279),$B$226=1),$T$279,HLOOKUP(INDIRECT(ADDRESS(2,COLUMN())),OFFSET($BN$2,0,0,ROW()-1,60),ROW()-1,FALSE))</f>
        <v>16.452000000000002</v>
      </c>
      <c r="U62">
        <f ca="1">IF(AND(ISNUMBER($U$279),$B$226=1),$U$279,HLOOKUP(INDIRECT(ADDRESS(2,COLUMN())),OFFSET($BN$2,0,0,ROW()-1,60),ROW()-1,FALSE))</f>
        <v>10.807</v>
      </c>
      <c r="V62">
        <f ca="1">IF(AND(ISNUMBER($V$279),$B$226=1),$V$279,HLOOKUP(INDIRECT(ADDRESS(2,COLUMN())),OFFSET($BN$2,0,0,ROW()-1,60),ROW()-1,FALSE))</f>
        <v>22.094999999999999</v>
      </c>
      <c r="W62">
        <f ca="1">IF(AND(ISNUMBER($W$279),$B$226=1),$W$279,HLOOKUP(INDIRECT(ADDRESS(2,COLUMN())),OFFSET($BN$2,0,0,ROW()-1,60),ROW()-1,FALSE))</f>
        <v>26.137</v>
      </c>
      <c r="X62">
        <f ca="1">IF(AND(ISNUMBER($X$279),$B$226=1),$X$279,HLOOKUP(INDIRECT(ADDRESS(2,COLUMN())),OFFSET($BN$2,0,0,ROW()-1,60),ROW()-1,FALSE))</f>
        <v>11.465999999999999</v>
      </c>
      <c r="Y62">
        <f ca="1">IF(AND(ISNUMBER($Y$279),$B$226=1),$Y$279,HLOOKUP(INDIRECT(ADDRESS(2,COLUMN())),OFFSET($BN$2,0,0,ROW()-1,60),ROW()-1,FALSE))</f>
        <v>15.343</v>
      </c>
      <c r="Z62">
        <f ca="1">IF(AND(ISNUMBER($Z$279),$B$226=1),$Z$279,HLOOKUP(INDIRECT(ADDRESS(2,COLUMN())),OFFSET($BN$2,0,0,ROW()-1,60),ROW()-1,FALSE))</f>
        <v>18.241</v>
      </c>
      <c r="AA62">
        <f ca="1">IF(AND(ISNUMBER($AA$279),$B$226=1),$AA$279,HLOOKUP(INDIRECT(ADDRESS(2,COLUMN())),OFFSET($BN$2,0,0,ROW()-1,60),ROW()-1,FALSE))</f>
        <v>16.501000000000001</v>
      </c>
      <c r="AB62">
        <f ca="1">IF(AND(ISNUMBER($AB$279),$B$226=1),$AB$279,HLOOKUP(INDIRECT(ADDRESS(2,COLUMN())),OFFSET($BN$2,0,0,ROW()-1,60),ROW()-1,FALSE))</f>
        <v>6.2</v>
      </c>
      <c r="AC62">
        <f ca="1">IF(AND(ISNUMBER($AC$279),$B$226=1),$AC$279,HLOOKUP(INDIRECT(ADDRESS(2,COLUMN())),OFFSET($BN$2,0,0,ROW()-1,60),ROW()-1,FALSE))</f>
        <v>11.323</v>
      </c>
      <c r="AD62">
        <f ca="1">IF(AND(ISNUMBER($AD$279),$B$226=1),$AD$279,HLOOKUP(INDIRECT(ADDRESS(2,COLUMN())),OFFSET($BN$2,0,0,ROW()-1,60),ROW()-1,FALSE))</f>
        <v>14.609</v>
      </c>
      <c r="AE62">
        <f ca="1">IF(AND(ISNUMBER($AE$279),$B$226=1),$AE$279,HLOOKUP(INDIRECT(ADDRESS(2,COLUMN())),OFFSET($BN$2,0,0,ROW()-1,60),ROW()-1,FALSE))</f>
        <v>14.605</v>
      </c>
      <c r="AF62">
        <f ca="1">IF(AND(ISNUMBER($AF$279),$B$226=1),$AF$279,HLOOKUP(INDIRECT(ADDRESS(2,COLUMN())),OFFSET($BN$2,0,0,ROW()-1,60),ROW()-1,FALSE))</f>
        <v>5.4409999999999998</v>
      </c>
      <c r="AG62">
        <f ca="1">IF(AND(ISNUMBER($AG$279),$B$226=1),$AG$279,HLOOKUP(INDIRECT(ADDRESS(2,COLUMN())),OFFSET($BN$2,0,0,ROW()-1,60),ROW()-1,FALSE))</f>
        <v>10.611000000000001</v>
      </c>
      <c r="AH62">
        <f ca="1">IF(AND(ISNUMBER($AH$279),$B$226=1),$AH$279,HLOOKUP(INDIRECT(ADDRESS(2,COLUMN())),OFFSET($BN$2,0,0,ROW()-1,60),ROW()-1,FALSE))</f>
        <v>12.692</v>
      </c>
      <c r="AI62">
        <f ca="1">IF(AND(ISNUMBER($AI$279),$B$226=1),$AI$279,HLOOKUP(INDIRECT(ADDRESS(2,COLUMN())),OFFSET($BN$2,0,0,ROW()-1,60),ROW()-1,FALSE))</f>
        <v>10.601000000000001</v>
      </c>
      <c r="AJ62">
        <f ca="1">IF(AND(ISNUMBER($AJ$279),$B$226=1),$AJ$279,HLOOKUP(INDIRECT(ADDRESS(2,COLUMN())),OFFSET($BN$2,0,0,ROW()-1,60),ROW()-1,FALSE))</f>
        <v>6.0739999999999998</v>
      </c>
      <c r="AK62">
        <f ca="1">IF(AND(ISNUMBER($AK$279),$B$226=1),$AK$279,HLOOKUP(INDIRECT(ADDRESS(2,COLUMN())),OFFSET($BN$2,0,0,ROW()-1,60),ROW()-1,FALSE))</f>
        <v>8.6809999999999992</v>
      </c>
      <c r="AL62">
        <f ca="1">IF(AND(ISNUMBER($AL$279),$B$226=1),$AL$279,HLOOKUP(INDIRECT(ADDRESS(2,COLUMN())),OFFSET($BN$2,0,0,ROW()-1,60),ROW()-1,FALSE))</f>
        <v>12.47</v>
      </c>
      <c r="AM62">
        <f ca="1">IF(AND(ISNUMBER($AM$279),$B$226=1),$AM$279,HLOOKUP(INDIRECT(ADDRESS(2,COLUMN())),OFFSET($BN$2,0,0,ROW()-1,60),ROW()-1,FALSE))</f>
        <v>14.237</v>
      </c>
      <c r="AN62">
        <f ca="1">IF(AND(ISNUMBER($AN$279),$B$226=1),$AN$279,HLOOKUP(INDIRECT(ADDRESS(2,COLUMN())),OFFSET($BN$2,0,0,ROW()-1,60),ROW()-1,FALSE))</f>
        <v>6.6840000000000002</v>
      </c>
      <c r="AO62">
        <f ca="1">IF(AND(ISNUMBER($AO$279),$B$226=1),$AO$279,HLOOKUP(INDIRECT(ADDRESS(2,COLUMN())),OFFSET($BN$2,0,0,ROW()-1,60),ROW()-1,FALSE))</f>
        <v>13.179</v>
      </c>
      <c r="AP62">
        <f ca="1">IF(AND(ISNUMBER($AP$279),$B$226=1),$AP$279,HLOOKUP(INDIRECT(ADDRESS(2,COLUMN())),OFFSET($BN$2,0,0,ROW()-1,60),ROW()-1,FALSE))</f>
        <v>14.515000000000001</v>
      </c>
      <c r="AQ62">
        <f ca="1">IF(AND(ISNUMBER($AQ$279),$B$226=1),$AQ$279,HLOOKUP(INDIRECT(ADDRESS(2,COLUMN())),OFFSET($BN$2,0,0,ROW()-1,60),ROW()-1,FALSE))</f>
        <v>16.161000000000001</v>
      </c>
      <c r="AR62">
        <f ca="1">IF(AND(ISNUMBER($AR$279),$B$226=1),$AR$279,HLOOKUP(INDIRECT(ADDRESS(2,COLUMN())),OFFSET($BN$2,0,0,ROW()-1,60),ROW()-1,FALSE))</f>
        <v>6.9210000000000003</v>
      </c>
      <c r="AS62">
        <f ca="1">IF(AND(ISNUMBER($AS$279),$B$226=1),$AS$279,HLOOKUP(INDIRECT(ADDRESS(2,COLUMN())),OFFSET($BN$2,0,0,ROW()-1,60),ROW()-1,FALSE))</f>
        <v>16.887</v>
      </c>
      <c r="AT62">
        <f ca="1">IF(AND(ISNUMBER($AT$279),$B$226=1),$AT$279,HLOOKUP(INDIRECT(ADDRESS(2,COLUMN())),OFFSET($BN$2,0,0,ROW()-1,60),ROW()-1,FALSE))</f>
        <v>15.052</v>
      </c>
      <c r="AU62">
        <f ca="1">IF(AND(ISNUMBER($AU$279),$B$226=1),$AU$279,HLOOKUP(INDIRECT(ADDRESS(2,COLUMN())),OFFSET($BN$2,0,0,ROW()-1,60),ROW()-1,FALSE))</f>
        <v>14.193</v>
      </c>
      <c r="AV62">
        <f ca="1">IF(AND(ISNUMBER($AV$279),$B$226=1),$AV$279,HLOOKUP(INDIRECT(ADDRESS(2,COLUMN())),OFFSET($BN$2,0,0,ROW()-1,60),ROW()-1,FALSE))</f>
        <v>8.609</v>
      </c>
      <c r="AW62">
        <f ca="1">IF(AND(ISNUMBER($AW$279),$B$226=1),$AW$279,HLOOKUP(INDIRECT(ADDRESS(2,COLUMN())),OFFSET($BN$2,0,0,ROW()-1,60),ROW()-1,FALSE))</f>
        <v>13.667999999999999</v>
      </c>
      <c r="AX62">
        <f ca="1">IF(AND(ISNUMBER($AX$279),$B$226=1),$AX$279,HLOOKUP(INDIRECT(ADDRESS(2,COLUMN())),OFFSET($BN$2,0,0,ROW()-1,60),ROW()-1,FALSE))</f>
        <v>14.837</v>
      </c>
      <c r="AY62">
        <f ca="1">IF(AND(ISNUMBER($AY$279),$B$226=1),$AY$279,HLOOKUP(INDIRECT(ADDRESS(2,COLUMN())),OFFSET($BN$2,0,0,ROW()-1,60),ROW()-1,FALSE))</f>
        <v>14.706</v>
      </c>
      <c r="AZ62">
        <f ca="1">IF(AND(ISNUMBER($AZ$279),$B$226=1),$AZ$279,HLOOKUP(INDIRECT(ADDRESS(2,COLUMN())),OFFSET($BN$2,0,0,ROW()-1,60),ROW()-1,FALSE))</f>
        <v>8.8450000000000006</v>
      </c>
      <c r="BA62">
        <f ca="1">IF(AND(ISNUMBER($BA$279),$B$226=1),$BA$279,HLOOKUP(INDIRECT(ADDRESS(2,COLUMN())),OFFSET($BN$2,0,0,ROW()-1,60),ROW()-1,FALSE))</f>
        <v>13.491</v>
      </c>
      <c r="BB62">
        <f ca="1">IF(AND(ISNUMBER($BB$279),$B$226=1),$BB$279,HLOOKUP(INDIRECT(ADDRESS(2,COLUMN())),OFFSET($BN$2,0,0,ROW()-1,60),ROW()-1,FALSE))</f>
        <v>15.271000000000001</v>
      </c>
      <c r="BC62">
        <f ca="1">IF(AND(ISNUMBER($BC$279),$B$226=1),$BC$279,HLOOKUP(INDIRECT(ADDRESS(2,COLUMN())),OFFSET($BN$2,0,0,ROW()-1,60),ROW()-1,FALSE))</f>
        <v>11.622999999999999</v>
      </c>
      <c r="BD62">
        <f ca="1">IF(AND(ISNUMBER($BD$279),$B$226=1),$BD$279,HLOOKUP(INDIRECT(ADDRESS(2,COLUMN())),OFFSET($BN$2,0,0,ROW()-1,60),ROW()-1,FALSE))</f>
        <v>6.0590000000000002</v>
      </c>
      <c r="BE62">
        <f ca="1">IF(AND(ISNUMBER($BE$279),$B$226=1),$BE$279,HLOOKUP(INDIRECT(ADDRESS(2,COLUMN())),OFFSET($BN$2,0,0,ROW()-1,60),ROW()-1,FALSE))</f>
        <v>8.9309999999999992</v>
      </c>
      <c r="BF62">
        <f ca="1">IF(AND(ISNUMBER($BF$279),$B$226=1),$BF$279,HLOOKUP(INDIRECT(ADDRESS(2,COLUMN())),OFFSET($BN$2,0,0,ROW()-1,60),ROW()-1,FALSE))</f>
        <v>3.3780000000000001</v>
      </c>
      <c r="BG62" t="str">
        <f ca="1">IF(AND(ISNUMBER($BG$279),$B$226=1),$BG$279,HLOOKUP(INDIRECT(ADDRESS(2,COLUMN())),OFFSET($BN$2,0,0,ROW()-1,60),ROW()-1,FALSE))</f>
        <v/>
      </c>
      <c r="BH62" t="str">
        <f ca="1">IF(AND(ISNUMBER($BH$279),$B$226=1),$BH$279,HLOOKUP(INDIRECT(ADDRESS(2,COLUMN())),OFFSET($BN$2,0,0,ROW()-1,60),ROW()-1,FALSE))</f>
        <v/>
      </c>
      <c r="BI62" t="str">
        <f ca="1">IF(AND(ISNUMBER($BI$279),$B$226=1),$BI$279,HLOOKUP(INDIRECT(ADDRESS(2,COLUMN())),OFFSET($BN$2,0,0,ROW()-1,60),ROW()-1,FALSE))</f>
        <v/>
      </c>
      <c r="BJ62" t="str">
        <f ca="1">IF(AND(ISNUMBER($BJ$279),$B$226=1),$BJ$279,HLOOKUP(INDIRECT(ADDRESS(2,COLUMN())),OFFSET($BN$2,0,0,ROW()-1,60),ROW()-1,FALSE))</f>
        <v/>
      </c>
      <c r="BK62" t="str">
        <f ca="1">IF(AND(ISNUMBER($BK$279),$B$226=1),$BK$279,HLOOKUP(INDIRECT(ADDRESS(2,COLUMN())),OFFSET($BN$2,0,0,ROW()-1,60),ROW()-1,FALSE))</f>
        <v/>
      </c>
      <c r="BL62" t="str">
        <f ca="1">IF(AND(ISNUMBER($BL$279),$B$226=1),$BL$279,HLOOKUP(INDIRECT(ADDRESS(2,COLUMN())),OFFSET($BN$2,0,0,ROW()-1,60),ROW()-1,FALSE))</f>
        <v/>
      </c>
      <c r="BM62" t="str">
        <f ca="1">IF(AND(ISNUMBER($BM$279),$B$226=1),$BM$279,HLOOKUP(INDIRECT(ADDRESS(2,COLUMN())),OFFSET($BN$2,0,0,ROW()-1,60),ROW()-1,FALSE))</f>
        <v/>
      </c>
      <c r="BN62" t="str">
        <f>""</f>
        <v/>
      </c>
      <c r="BO62">
        <f>54.719</f>
        <v>54.719000000000001</v>
      </c>
      <c r="BP62">
        <f>26.318</f>
        <v>26.318000000000001</v>
      </c>
      <c r="BQ62">
        <f>33.145</f>
        <v>33.145000000000003</v>
      </c>
      <c r="BR62">
        <f>44.28</f>
        <v>44.28</v>
      </c>
      <c r="BS62">
        <f>40.595</f>
        <v>40.594999999999999</v>
      </c>
      <c r="BT62">
        <f>23.567</f>
        <v>23.567</v>
      </c>
      <c r="BU62">
        <f>28.585</f>
        <v>28.585000000000001</v>
      </c>
      <c r="BV62">
        <f>37.732</f>
        <v>37.731999999999999</v>
      </c>
      <c r="BW62">
        <f>38.274</f>
        <v>38.274000000000001</v>
      </c>
      <c r="BX62">
        <f>20.245</f>
        <v>20.245000000000001</v>
      </c>
      <c r="BY62">
        <f>24.854</f>
        <v>24.853999999999999</v>
      </c>
      <c r="BZ62">
        <f>29.704</f>
        <v>29.704000000000001</v>
      </c>
      <c r="CA62">
        <f>33.56</f>
        <v>33.56</v>
      </c>
      <c r="CB62">
        <f>16.452</f>
        <v>16.452000000000002</v>
      </c>
      <c r="CC62">
        <f>10.807</f>
        <v>10.807</v>
      </c>
      <c r="CD62">
        <f>22.095</f>
        <v>22.094999999999999</v>
      </c>
      <c r="CE62">
        <f>26.137</f>
        <v>26.137</v>
      </c>
      <c r="CF62">
        <f>11.466</f>
        <v>11.465999999999999</v>
      </c>
      <c r="CG62">
        <f>15.343</f>
        <v>15.343</v>
      </c>
      <c r="CH62">
        <f>18.241</f>
        <v>18.241</v>
      </c>
      <c r="CI62">
        <f>16.501</f>
        <v>16.501000000000001</v>
      </c>
      <c r="CJ62">
        <f>6.2</f>
        <v>6.2</v>
      </c>
      <c r="CK62">
        <f>11.323</f>
        <v>11.323</v>
      </c>
      <c r="CL62">
        <f>14.609</f>
        <v>14.609</v>
      </c>
      <c r="CM62">
        <f>14.605</f>
        <v>14.605</v>
      </c>
      <c r="CN62">
        <f>5.441</f>
        <v>5.4409999999999998</v>
      </c>
      <c r="CO62">
        <f>10.611</f>
        <v>10.611000000000001</v>
      </c>
      <c r="CP62">
        <f>12.692</f>
        <v>12.692</v>
      </c>
      <c r="CQ62">
        <f>10.601</f>
        <v>10.601000000000001</v>
      </c>
      <c r="CR62">
        <f>6.074</f>
        <v>6.0739999999999998</v>
      </c>
      <c r="CS62">
        <f>8.681</f>
        <v>8.6809999999999992</v>
      </c>
      <c r="CT62">
        <f>12.47</f>
        <v>12.47</v>
      </c>
      <c r="CU62">
        <f>14.237</f>
        <v>14.237</v>
      </c>
      <c r="CV62">
        <f>6.684</f>
        <v>6.6840000000000002</v>
      </c>
      <c r="CW62">
        <f>13.179</f>
        <v>13.179</v>
      </c>
      <c r="CX62">
        <f>14.515</f>
        <v>14.515000000000001</v>
      </c>
      <c r="CY62">
        <f>16.161</f>
        <v>16.161000000000001</v>
      </c>
      <c r="CZ62">
        <f>6.921</f>
        <v>6.9210000000000003</v>
      </c>
      <c r="DA62">
        <f>16.887</f>
        <v>16.887</v>
      </c>
      <c r="DB62">
        <f>15.052</f>
        <v>15.052</v>
      </c>
      <c r="DC62">
        <f>14.193</f>
        <v>14.193</v>
      </c>
      <c r="DD62">
        <f>8.609</f>
        <v>8.609</v>
      </c>
      <c r="DE62">
        <f>13.668</f>
        <v>13.667999999999999</v>
      </c>
      <c r="DF62">
        <f>14.837</f>
        <v>14.837</v>
      </c>
      <c r="DG62">
        <f>14.706</f>
        <v>14.706</v>
      </c>
      <c r="DH62">
        <f>8.845</f>
        <v>8.8450000000000006</v>
      </c>
      <c r="DI62">
        <f>13.491</f>
        <v>13.491</v>
      </c>
      <c r="DJ62">
        <f>15.271</f>
        <v>15.271000000000001</v>
      </c>
      <c r="DK62">
        <f>11.623</f>
        <v>11.622999999999999</v>
      </c>
      <c r="DL62">
        <f>6.059</f>
        <v>6.0590000000000002</v>
      </c>
      <c r="DM62">
        <f>8.931</f>
        <v>8.9309999999999992</v>
      </c>
      <c r="DN62">
        <f>3.378</f>
        <v>3.3780000000000001</v>
      </c>
      <c r="DO62" t="str">
        <f>""</f>
        <v/>
      </c>
      <c r="DP62" t="str">
        <f>""</f>
        <v/>
      </c>
      <c r="DQ62" t="str">
        <f>""</f>
        <v/>
      </c>
      <c r="DR62" t="str">
        <f>""</f>
        <v/>
      </c>
      <c r="DS62" t="str">
        <f>""</f>
        <v/>
      </c>
      <c r="DT62" t="str">
        <f>""</f>
        <v/>
      </c>
      <c r="DU62" t="str">
        <f>""</f>
        <v/>
      </c>
    </row>
    <row r="63" spans="1:125">
      <c r="A63" t="str">
        <f>"    Equity Residential"</f>
        <v xml:space="preserve">    Equity Residential</v>
      </c>
      <c r="B63" t="str">
        <f>"EQR US Equity"</f>
        <v>EQR US Equity</v>
      </c>
      <c r="C63" t="str">
        <f t="shared" si="18"/>
        <v>RR009</v>
      </c>
      <c r="D63" t="str">
        <f t="shared" si="19"/>
        <v>EBITDA</v>
      </c>
      <c r="E63" t="str">
        <f t="shared" si="20"/>
        <v>动态</v>
      </c>
      <c r="F63" t="str">
        <f ca="1">IF(AND(ISNUMBER($F$280),$B$226=1),$F$280,HLOOKUP(INDIRECT(ADDRESS(2,COLUMN())),OFFSET($BN$2,0,0,ROW()-1,60),ROW()-1,FALSE))</f>
        <v/>
      </c>
      <c r="G63">
        <f ca="1">IF(AND(ISNUMBER($G$280),$B$226=1),$G$280,HLOOKUP(INDIRECT(ADDRESS(2,COLUMN())),OFFSET($BN$2,0,0,ROW()-1,60),ROW()-1,FALSE))</f>
        <v>416.64800000000002</v>
      </c>
      <c r="H63">
        <f ca="1">IF(AND(ISNUMBER($H$280),$B$226=1),$H$280,HLOOKUP(INDIRECT(ADDRESS(2,COLUMN())),OFFSET($BN$2,0,0,ROW()-1,60),ROW()-1,FALSE))</f>
        <v>402.89800000000002</v>
      </c>
      <c r="I63">
        <f ca="1">IF(AND(ISNUMBER($I$280),$B$226=1),$I$280,HLOOKUP(INDIRECT(ADDRESS(2,COLUMN())),OFFSET($BN$2,0,0,ROW()-1,60),ROW()-1,FALSE))</f>
        <v>391.30700000000002</v>
      </c>
      <c r="J63">
        <f ca="1">IF(AND(ISNUMBER($J$280),$B$226=1),$J$280,HLOOKUP(INDIRECT(ADDRESS(2,COLUMN())),OFFSET($BN$2,0,0,ROW()-1,60),ROW()-1,FALSE))</f>
        <v>384.19499999999999</v>
      </c>
      <c r="K63">
        <f ca="1">IF(AND(ISNUMBER($K$280),$B$226=1),$K$280,HLOOKUP(INDIRECT(ADDRESS(2,COLUMN())),OFFSET($BN$2,0,0,ROW()-1,60),ROW()-1,FALSE))</f>
        <v>402.33699999999999</v>
      </c>
      <c r="L63">
        <f ca="1">IF(AND(ISNUMBER($L$280),$B$226=1),$L$280,HLOOKUP(INDIRECT(ADDRESS(2,COLUMN())),OFFSET($BN$2,0,0,ROW()-1,60),ROW()-1,FALSE))</f>
        <v>389.46100000000001</v>
      </c>
      <c r="M63">
        <f ca="1">IF(AND(ISNUMBER($M$280),$B$226=1),$M$280,HLOOKUP(INDIRECT(ADDRESS(2,COLUMN())),OFFSET($BN$2,0,0,ROW()-1,60),ROW()-1,FALSE))</f>
        <v>383.00200000000001</v>
      </c>
      <c r="N63">
        <f ca="1">IF(AND(ISNUMBER($N$280),$B$226=1),$N$280,HLOOKUP(INDIRECT(ADDRESS(2,COLUMN())),OFFSET($BN$2,0,0,ROW()-1,60),ROW()-1,FALSE))</f>
        <v>390.36099999999999</v>
      </c>
      <c r="O63">
        <f ca="1">IF(AND(ISNUMBER($O$280),$B$226=1),$O$280,HLOOKUP(INDIRECT(ADDRESS(2,COLUMN())),OFFSET($BN$2,0,0,ROW()-1,60),ROW()-1,FALSE))</f>
        <v>468.93900000000002</v>
      </c>
      <c r="P63">
        <f ca="1">IF(AND(ISNUMBER($P$280),$B$226=1),$P$280,HLOOKUP(INDIRECT(ADDRESS(2,COLUMN())),OFFSET($BN$2,0,0,ROW()-1,60),ROW()-1,FALSE))</f>
        <v>454.49599999999998</v>
      </c>
      <c r="Q63">
        <f ca="1">IF(AND(ISNUMBER($Q$280),$B$226=1),$Q$280,HLOOKUP(INDIRECT(ADDRESS(2,COLUMN())),OFFSET($BN$2,0,0,ROW()-1,60),ROW()-1,FALSE))</f>
        <v>441.38200000000001</v>
      </c>
      <c r="R63">
        <f ca="1">IF(AND(ISNUMBER($R$280),$B$226=1),$R$280,HLOOKUP(INDIRECT(ADDRESS(2,COLUMN())),OFFSET($BN$2,0,0,ROW()-1,60),ROW()-1,FALSE))</f>
        <v>413.69799999999998</v>
      </c>
      <c r="S63">
        <f ca="1">IF(AND(ISNUMBER($S$280),$B$226=1),$S$280,HLOOKUP(INDIRECT(ADDRESS(2,COLUMN())),OFFSET($BN$2,0,0,ROW()-1,60),ROW()-1,FALSE))</f>
        <v>444.46699999999998</v>
      </c>
      <c r="T63">
        <f ca="1">IF(AND(ISNUMBER($T$280),$B$226=1),$T$280,HLOOKUP(INDIRECT(ADDRESS(2,COLUMN())),OFFSET($BN$2,0,0,ROW()-1,60),ROW()-1,FALSE))</f>
        <v>434.589</v>
      </c>
      <c r="U63">
        <f ca="1">IF(AND(ISNUMBER($U$280),$B$226=1),$U$280,HLOOKUP(INDIRECT(ADDRESS(2,COLUMN())),OFFSET($BN$2,0,0,ROW()-1,60),ROW()-1,FALSE))</f>
        <v>419.14699999999999</v>
      </c>
      <c r="V63">
        <f ca="1">IF(AND(ISNUMBER($V$280),$B$226=1),$V$280,HLOOKUP(INDIRECT(ADDRESS(2,COLUMN())),OFFSET($BN$2,0,0,ROW()-1,60),ROW()-1,FALSE))</f>
        <v>385.255</v>
      </c>
      <c r="W63">
        <f ca="1">IF(AND(ISNUMBER($W$280),$B$226=1),$W$280,HLOOKUP(INDIRECT(ADDRESS(2,COLUMN())),OFFSET($BN$2,0,0,ROW()-1,60),ROW()-1,FALSE))</f>
        <v>405.61700000000002</v>
      </c>
      <c r="X63">
        <f ca="1">IF(AND(ISNUMBER($X$280),$B$226=1),$X$280,HLOOKUP(INDIRECT(ADDRESS(2,COLUMN())),OFFSET($BN$2,0,0,ROW()-1,60),ROW()-1,FALSE))</f>
        <v>401.00299999999999</v>
      </c>
      <c r="Y63">
        <f ca="1">IF(AND(ISNUMBER($Y$280),$B$226=1),$Y$280,HLOOKUP(INDIRECT(ADDRESS(2,COLUMN())),OFFSET($BN$2,0,0,ROW()-1,60),ROW()-1,FALSE))</f>
        <v>395.351</v>
      </c>
      <c r="Z63">
        <f ca="1">IF(AND(ISNUMBER($Z$280),$B$226=1),$Z$280,HLOOKUP(INDIRECT(ADDRESS(2,COLUMN())),OFFSET($BN$2,0,0,ROW()-1,60),ROW()-1,FALSE))</f>
        <v>324.57600000000002</v>
      </c>
      <c r="AA63">
        <f ca="1">IF(AND(ISNUMBER($AA$280),$B$226=1),$AA$280,HLOOKUP(INDIRECT(ADDRESS(2,COLUMN())),OFFSET($BN$2,0,0,ROW()-1,60),ROW()-1,FALSE))</f>
        <v>316.29700000000003</v>
      </c>
      <c r="AB63">
        <f ca="1">IF(AND(ISNUMBER($AB$280),$B$226=1),$AB$280,HLOOKUP(INDIRECT(ADDRESS(2,COLUMN())),OFFSET($BN$2,0,0,ROW()-1,60),ROW()-1,FALSE))</f>
        <v>311.76600000000002</v>
      </c>
      <c r="AC63">
        <f ca="1">IF(AND(ISNUMBER($AC$280),$B$226=1),$AC$280,HLOOKUP(INDIRECT(ADDRESS(2,COLUMN())),OFFSET($BN$2,0,0,ROW()-1,60),ROW()-1,FALSE))</f>
        <v>301.55799999999999</v>
      </c>
      <c r="AD63">
        <f ca="1">IF(AND(ISNUMBER($AD$280),$B$226=1),$AD$280,HLOOKUP(INDIRECT(ADDRESS(2,COLUMN())),OFFSET($BN$2,0,0,ROW()-1,60),ROW()-1,FALSE))</f>
        <v>289.584</v>
      </c>
      <c r="AE63">
        <f ca="1">IF(AND(ISNUMBER($AE$280),$B$226=1),$AE$280,HLOOKUP(INDIRECT(ADDRESS(2,COLUMN())),OFFSET($BN$2,0,0,ROW()-1,60),ROW()-1,FALSE))</f>
        <v>321.95499999999998</v>
      </c>
      <c r="AF63">
        <f ca="1">IF(AND(ISNUMBER($AF$280),$B$226=1),$AF$280,HLOOKUP(INDIRECT(ADDRESS(2,COLUMN())),OFFSET($BN$2,0,0,ROW()-1,60),ROW()-1,FALSE))</f>
        <v>310.267</v>
      </c>
      <c r="AG63">
        <f ca="1">IF(AND(ISNUMBER($AG$280),$B$226=1),$AG$280,HLOOKUP(INDIRECT(ADDRESS(2,COLUMN())),OFFSET($BN$2,0,0,ROW()-1,60),ROW()-1,FALSE))</f>
        <v>301.42399999999998</v>
      </c>
      <c r="AH63">
        <f ca="1">IF(AND(ISNUMBER($AH$280),$B$226=1),$AH$280,HLOOKUP(INDIRECT(ADDRESS(2,COLUMN())),OFFSET($BN$2,0,0,ROW()-1,60),ROW()-1,FALSE))</f>
        <v>285.31599999999997</v>
      </c>
      <c r="AI63">
        <f ca="1">IF(AND(ISNUMBER($AI$280),$B$226=1),$AI$280,HLOOKUP(INDIRECT(ADDRESS(2,COLUMN())),OFFSET($BN$2,0,0,ROW()-1,60),ROW()-1,FALSE))</f>
        <v>248.21100000000001</v>
      </c>
      <c r="AJ63">
        <f ca="1">IF(AND(ISNUMBER($AJ$280),$B$226=1),$AJ$280,HLOOKUP(INDIRECT(ADDRESS(2,COLUMN())),OFFSET($BN$2,0,0,ROW()-1,60),ROW()-1,FALSE))</f>
        <v>279.28300000000002</v>
      </c>
      <c r="AK63">
        <f ca="1">IF(AND(ISNUMBER($AK$280),$B$226=1),$AK$280,HLOOKUP(INDIRECT(ADDRESS(2,COLUMN())),OFFSET($BN$2,0,0,ROW()-1,60),ROW()-1,FALSE))</f>
        <v>275.27100000000002</v>
      </c>
      <c r="AL63">
        <f ca="1">IF(AND(ISNUMBER($AL$280),$B$226=1),$AL$280,HLOOKUP(INDIRECT(ADDRESS(2,COLUMN())),OFFSET($BN$2,0,0,ROW()-1,60),ROW()-1,FALSE))</f>
        <v>262.74200000000002</v>
      </c>
      <c r="AM63">
        <f ca="1">IF(AND(ISNUMBER($AM$280),$B$226=1),$AM$280,HLOOKUP(INDIRECT(ADDRESS(2,COLUMN())),OFFSET($BN$2,0,0,ROW()-1,60),ROW()-1,FALSE))</f>
        <v>275.84199999999998</v>
      </c>
      <c r="AN63">
        <f ca="1">IF(AND(ISNUMBER($AN$280),$B$226=1),$AN$280,HLOOKUP(INDIRECT(ADDRESS(2,COLUMN())),OFFSET($BN$2,0,0,ROW()-1,60),ROW()-1,FALSE))</f>
        <v>278.30700000000002</v>
      </c>
      <c r="AO63">
        <f ca="1">IF(AND(ISNUMBER($AO$280),$B$226=1),$AO$280,HLOOKUP(INDIRECT(ADDRESS(2,COLUMN())),OFFSET($BN$2,0,0,ROW()-1,60),ROW()-1,FALSE))</f>
        <v>278.291</v>
      </c>
      <c r="AP63">
        <f ca="1">IF(AND(ISNUMBER($AP$280),$B$226=1),$AP$280,HLOOKUP(INDIRECT(ADDRESS(2,COLUMN())),OFFSET($BN$2,0,0,ROW()-1,60),ROW()-1,FALSE))</f>
        <v>282.875</v>
      </c>
      <c r="AQ63">
        <f ca="1">IF(AND(ISNUMBER($AQ$280),$B$226=1),$AQ$280,HLOOKUP(INDIRECT(ADDRESS(2,COLUMN())),OFFSET($BN$2,0,0,ROW()-1,60),ROW()-1,FALSE))</f>
        <v>302.786</v>
      </c>
      <c r="AR63">
        <f ca="1">IF(AND(ISNUMBER($AR$280),$B$226=1),$AR$280,HLOOKUP(INDIRECT(ADDRESS(2,COLUMN())),OFFSET($BN$2,0,0,ROW()-1,60),ROW()-1,FALSE))</f>
        <v>301.93700000000001</v>
      </c>
      <c r="AS63">
        <f ca="1">IF(AND(ISNUMBER($AS$280),$B$226=1),$AS$280,HLOOKUP(INDIRECT(ADDRESS(2,COLUMN())),OFFSET($BN$2,0,0,ROW()-1,60),ROW()-1,FALSE))</f>
        <v>304.95</v>
      </c>
      <c r="AT63">
        <f ca="1">IF(AND(ISNUMBER($AT$280),$B$226=1),$AT$280,HLOOKUP(INDIRECT(ADDRESS(2,COLUMN())),OFFSET($BN$2,0,0,ROW()-1,60),ROW()-1,FALSE))</f>
        <v>287.089</v>
      </c>
      <c r="AU63">
        <f ca="1">IF(AND(ISNUMBER($AU$280),$B$226=1),$AU$280,HLOOKUP(INDIRECT(ADDRESS(2,COLUMN())),OFFSET($BN$2,0,0,ROW()-1,60),ROW()-1,FALSE))</f>
        <v>317.67399999999998</v>
      </c>
      <c r="AV63">
        <f ca="1">IF(AND(ISNUMBER($AV$280),$B$226=1),$AV$280,HLOOKUP(INDIRECT(ADDRESS(2,COLUMN())),OFFSET($BN$2,0,0,ROW()-1,60),ROW()-1,FALSE))</f>
        <v>293.31799999999998</v>
      </c>
      <c r="AW63">
        <f ca="1">IF(AND(ISNUMBER($AW$280),$B$226=1),$AW$280,HLOOKUP(INDIRECT(ADDRESS(2,COLUMN())),OFFSET($BN$2,0,0,ROW()-1,60),ROW()-1,FALSE))</f>
        <v>293.00900000000001</v>
      </c>
      <c r="AX63">
        <f ca="1">IF(AND(ISNUMBER($AX$280),$B$226=1),$AX$280,HLOOKUP(INDIRECT(ADDRESS(2,COLUMN())),OFFSET($BN$2,0,0,ROW()-1,60),ROW()-1,FALSE))</f>
        <v>275.24099999999999</v>
      </c>
      <c r="AY63">
        <f ca="1">IF(AND(ISNUMBER($AY$280),$B$226=1),$AY$280,HLOOKUP(INDIRECT(ADDRESS(2,COLUMN())),OFFSET($BN$2,0,0,ROW()-1,60),ROW()-1,FALSE))</f>
        <v>250.273</v>
      </c>
      <c r="AZ63">
        <f ca="1">IF(AND(ISNUMBER($AZ$280),$B$226=1),$AZ$280,HLOOKUP(INDIRECT(ADDRESS(2,COLUMN())),OFFSET($BN$2,0,0,ROW()-1,60),ROW()-1,FALSE))</f>
        <v>284.03899999999999</v>
      </c>
      <c r="BA63">
        <f ca="1">IF(AND(ISNUMBER($BA$280),$B$226=1),$BA$280,HLOOKUP(INDIRECT(ADDRESS(2,COLUMN())),OFFSET($BN$2,0,0,ROW()-1,60),ROW()-1,FALSE))</f>
        <v>291.02199999999999</v>
      </c>
      <c r="BB63">
        <f ca="1">IF(AND(ISNUMBER($BB$280),$B$226=1),$BB$280,HLOOKUP(INDIRECT(ADDRESS(2,COLUMN())),OFFSET($BN$2,0,0,ROW()-1,60),ROW()-1,FALSE))</f>
        <v>273.57100000000003</v>
      </c>
      <c r="BC63">
        <f ca="1">IF(AND(ISNUMBER($BC$280),$B$226=1),$BC$280,HLOOKUP(INDIRECT(ADDRESS(2,COLUMN())),OFFSET($BN$2,0,0,ROW()-1,60),ROW()-1,FALSE))</f>
        <v>232.00899999999999</v>
      </c>
      <c r="BD63">
        <f ca="1">IF(AND(ISNUMBER($BD$280),$B$226=1),$BD$280,HLOOKUP(INDIRECT(ADDRESS(2,COLUMN())),OFFSET($BN$2,0,0,ROW()-1,60),ROW()-1,FALSE))</f>
        <v>240.96</v>
      </c>
      <c r="BE63">
        <f ca="1">IF(AND(ISNUMBER($BE$280),$B$226=1),$BE$280,HLOOKUP(INDIRECT(ADDRESS(2,COLUMN())),OFFSET($BN$2,0,0,ROW()-1,60),ROW()-1,FALSE))</f>
        <v>246.46299999999999</v>
      </c>
      <c r="BF63">
        <f ca="1">IF(AND(ISNUMBER($BF$280),$B$226=1),$BF$280,HLOOKUP(INDIRECT(ADDRESS(2,COLUMN())),OFFSET($BN$2,0,0,ROW()-1,60),ROW()-1,FALSE))</f>
        <v>247.20400000000001</v>
      </c>
      <c r="BG63">
        <f ca="1">IF(AND(ISNUMBER($BG$280),$B$226=1),$BG$280,HLOOKUP(INDIRECT(ADDRESS(2,COLUMN())),OFFSET($BN$2,0,0,ROW()-1,60),ROW()-1,FALSE))</f>
        <v>241.00800000000001</v>
      </c>
      <c r="BH63">
        <f ca="1">IF(AND(ISNUMBER($BH$280),$B$226=1),$BH$280,HLOOKUP(INDIRECT(ADDRESS(2,COLUMN())),OFFSET($BN$2,0,0,ROW()-1,60),ROW()-1,FALSE))</f>
        <v>241.453</v>
      </c>
      <c r="BI63">
        <f ca="1">IF(AND(ISNUMBER($BI$280),$B$226=1),$BI$280,HLOOKUP(INDIRECT(ADDRESS(2,COLUMN())),OFFSET($BN$2,0,0,ROW()-1,60),ROW()-1,FALSE))</f>
        <v>151.082998</v>
      </c>
      <c r="BJ63">
        <f ca="1">IF(AND(ISNUMBER($BJ$280),$B$226=1),$BJ$280,HLOOKUP(INDIRECT(ADDRESS(2,COLUMN())),OFFSET($BN$2,0,0,ROW()-1,60),ROW()-1,FALSE))</f>
        <v>258.60899799999999</v>
      </c>
      <c r="BK63">
        <f ca="1">IF(AND(ISNUMBER($BK$280),$B$226=1),$BK$280,HLOOKUP(INDIRECT(ADDRESS(2,COLUMN())),OFFSET($BN$2,0,0,ROW()-1,60),ROW()-1,FALSE))</f>
        <v>220.38100600000001</v>
      </c>
      <c r="BL63">
        <f ca="1">IF(AND(ISNUMBER($BL$280),$B$226=1),$BL$280,HLOOKUP(INDIRECT(ADDRESS(2,COLUMN())),OFFSET($BN$2,0,0,ROW()-1,60),ROW()-1,FALSE))</f>
        <v>261.46199799999999</v>
      </c>
      <c r="BM63">
        <f ca="1">IF(AND(ISNUMBER($BM$280),$B$226=1),$BM$280,HLOOKUP(INDIRECT(ADDRESS(2,COLUMN())),OFFSET($BN$2,0,0,ROW()-1,60),ROW()-1,FALSE))</f>
        <v>265.92199699999998</v>
      </c>
      <c r="BN63" t="str">
        <f>""</f>
        <v/>
      </c>
      <c r="BO63">
        <f>416.648</f>
        <v>416.64800000000002</v>
      </c>
      <c r="BP63">
        <f>402.898</f>
        <v>402.89800000000002</v>
      </c>
      <c r="BQ63">
        <f>391.307</f>
        <v>391.30700000000002</v>
      </c>
      <c r="BR63">
        <f>384.195</f>
        <v>384.19499999999999</v>
      </c>
      <c r="BS63">
        <f>402.337</f>
        <v>402.33699999999999</v>
      </c>
      <c r="BT63">
        <f>389.461</f>
        <v>389.46100000000001</v>
      </c>
      <c r="BU63">
        <f>383.002</f>
        <v>383.00200000000001</v>
      </c>
      <c r="BV63">
        <f>390.361</f>
        <v>390.36099999999999</v>
      </c>
      <c r="BW63">
        <f>468.939</f>
        <v>468.93900000000002</v>
      </c>
      <c r="BX63">
        <f>454.496</f>
        <v>454.49599999999998</v>
      </c>
      <c r="BY63">
        <f>441.382</f>
        <v>441.38200000000001</v>
      </c>
      <c r="BZ63">
        <f>413.698</f>
        <v>413.69799999999998</v>
      </c>
      <c r="CA63">
        <f>444.467</f>
        <v>444.46699999999998</v>
      </c>
      <c r="CB63">
        <f>434.589</f>
        <v>434.589</v>
      </c>
      <c r="CC63">
        <f>419.147</f>
        <v>419.14699999999999</v>
      </c>
      <c r="CD63">
        <f>385.255</f>
        <v>385.255</v>
      </c>
      <c r="CE63">
        <f>405.617</f>
        <v>405.61700000000002</v>
      </c>
      <c r="CF63">
        <f>401.003</f>
        <v>401.00299999999999</v>
      </c>
      <c r="CG63">
        <f>395.351</f>
        <v>395.351</v>
      </c>
      <c r="CH63">
        <f>324.576</f>
        <v>324.57600000000002</v>
      </c>
      <c r="CI63">
        <f>316.297</f>
        <v>316.29700000000003</v>
      </c>
      <c r="CJ63">
        <f>311.766</f>
        <v>311.76600000000002</v>
      </c>
      <c r="CK63">
        <f>301.558</f>
        <v>301.55799999999999</v>
      </c>
      <c r="CL63">
        <f>289.584</f>
        <v>289.584</v>
      </c>
      <c r="CM63">
        <f>321.955</f>
        <v>321.95499999999998</v>
      </c>
      <c r="CN63">
        <f>310.267</f>
        <v>310.267</v>
      </c>
      <c r="CO63">
        <f>301.424</f>
        <v>301.42399999999998</v>
      </c>
      <c r="CP63">
        <f>285.316</f>
        <v>285.31599999999997</v>
      </c>
      <c r="CQ63">
        <f>248.211</f>
        <v>248.21100000000001</v>
      </c>
      <c r="CR63">
        <f>279.283</f>
        <v>279.28300000000002</v>
      </c>
      <c r="CS63">
        <f>275.271</f>
        <v>275.27100000000002</v>
      </c>
      <c r="CT63">
        <f>262.742</f>
        <v>262.74200000000002</v>
      </c>
      <c r="CU63">
        <f>275.842</f>
        <v>275.84199999999998</v>
      </c>
      <c r="CV63">
        <f>278.307</f>
        <v>278.30700000000002</v>
      </c>
      <c r="CW63">
        <f>278.291</f>
        <v>278.291</v>
      </c>
      <c r="CX63">
        <f>282.875</f>
        <v>282.875</v>
      </c>
      <c r="CY63">
        <f>302.786</f>
        <v>302.786</v>
      </c>
      <c r="CZ63">
        <f>301.937</f>
        <v>301.93700000000001</v>
      </c>
      <c r="DA63">
        <f>304.95</f>
        <v>304.95</v>
      </c>
      <c r="DB63">
        <f>287.089</f>
        <v>287.089</v>
      </c>
      <c r="DC63">
        <f>317.674</f>
        <v>317.67399999999998</v>
      </c>
      <c r="DD63">
        <f>293.318</f>
        <v>293.31799999999998</v>
      </c>
      <c r="DE63">
        <f>293.009</f>
        <v>293.00900000000001</v>
      </c>
      <c r="DF63">
        <f>275.241</f>
        <v>275.24099999999999</v>
      </c>
      <c r="DG63">
        <f>250.273</f>
        <v>250.273</v>
      </c>
      <c r="DH63">
        <f>284.039</f>
        <v>284.03899999999999</v>
      </c>
      <c r="DI63">
        <f>291.022</f>
        <v>291.02199999999999</v>
      </c>
      <c r="DJ63">
        <f>273.571</f>
        <v>273.57100000000003</v>
      </c>
      <c r="DK63">
        <f>232.009</f>
        <v>232.00899999999999</v>
      </c>
      <c r="DL63">
        <f>240.96</f>
        <v>240.96</v>
      </c>
      <c r="DM63">
        <f>246.463</f>
        <v>246.46299999999999</v>
      </c>
      <c r="DN63">
        <f>247.204</f>
        <v>247.20400000000001</v>
      </c>
      <c r="DO63">
        <f>241.008</f>
        <v>241.00800000000001</v>
      </c>
      <c r="DP63">
        <f>241.453</f>
        <v>241.453</v>
      </c>
      <c r="DQ63">
        <f>151.082998</f>
        <v>151.082998</v>
      </c>
      <c r="DR63">
        <f>258.608998</f>
        <v>258.60899799999999</v>
      </c>
      <c r="DS63">
        <f>220.381006</f>
        <v>220.38100600000001</v>
      </c>
      <c r="DT63">
        <f>261.461998</f>
        <v>261.46199799999999</v>
      </c>
      <c r="DU63">
        <f>265.921997</f>
        <v>265.92199699999998</v>
      </c>
    </row>
    <row r="64" spans="1:125">
      <c r="A64" t="str">
        <f>"    Essex Property Trust Inc"</f>
        <v xml:space="preserve">    Essex Property Trust Inc</v>
      </c>
      <c r="B64" t="str">
        <f>"ESS US Equity"</f>
        <v>ESS US Equity</v>
      </c>
      <c r="C64" t="str">
        <f t="shared" si="18"/>
        <v>RR009</v>
      </c>
      <c r="D64" t="str">
        <f t="shared" si="19"/>
        <v>EBITDA</v>
      </c>
      <c r="E64" t="str">
        <f t="shared" si="20"/>
        <v>动态</v>
      </c>
      <c r="F64" t="str">
        <f ca="1">IF(AND(ISNUMBER($F$281),$B$226=1),$F$281,HLOOKUP(INDIRECT(ADDRESS(2,COLUMN())),OFFSET($BN$2,0,0,ROW()-1,60),ROW()-1,FALSE))</f>
        <v/>
      </c>
      <c r="G64">
        <f ca="1">IF(AND(ISNUMBER($G$281),$B$226=1),$G$281,HLOOKUP(INDIRECT(ADDRESS(2,COLUMN())),OFFSET($BN$2,0,0,ROW()-1,60),ROW()-1,FALSE))</f>
        <v>235.495</v>
      </c>
      <c r="H64">
        <f ca="1">IF(AND(ISNUMBER($H$281),$B$226=1),$H$281,HLOOKUP(INDIRECT(ADDRESS(2,COLUMN())),OFFSET($BN$2,0,0,ROW()-1,60),ROW()-1,FALSE))</f>
        <v>229.30500000000001</v>
      </c>
      <c r="I64">
        <f ca="1">IF(AND(ISNUMBER($I$281),$B$226=1),$I$281,HLOOKUP(INDIRECT(ADDRESS(2,COLUMN())),OFFSET($BN$2,0,0,ROW()-1,60),ROW()-1,FALSE))</f>
        <v>229.178</v>
      </c>
      <c r="J64">
        <f ca="1">IF(AND(ISNUMBER($J$281),$B$226=1),$J$281,HLOOKUP(INDIRECT(ADDRESS(2,COLUMN())),OFFSET($BN$2,0,0,ROW()-1,60),ROW()-1,FALSE))</f>
        <v>221.42500000000001</v>
      </c>
      <c r="K64">
        <f ca="1">IF(AND(ISNUMBER($K$281),$B$226=1),$K$281,HLOOKUP(INDIRECT(ADDRESS(2,COLUMN())),OFFSET($BN$2,0,0,ROW()-1,60),ROW()-1,FALSE))</f>
        <v>217.35499999999999</v>
      </c>
      <c r="L64">
        <f ca="1">IF(AND(ISNUMBER($L$281),$B$226=1),$L$281,HLOOKUP(INDIRECT(ADDRESS(2,COLUMN())),OFFSET($BN$2,0,0,ROW()-1,60),ROW()-1,FALSE))</f>
        <v>227.477</v>
      </c>
      <c r="M64">
        <f ca="1">IF(AND(ISNUMBER($M$281),$B$226=1),$M$281,HLOOKUP(INDIRECT(ADDRESS(2,COLUMN())),OFFSET($BN$2,0,0,ROW()-1,60),ROW()-1,FALSE))</f>
        <v>211.74299999999999</v>
      </c>
      <c r="N64">
        <f ca="1">IF(AND(ISNUMBER($N$281),$B$226=1),$N$281,HLOOKUP(INDIRECT(ADDRESS(2,COLUMN())),OFFSET($BN$2,0,0,ROW()-1,60),ROW()-1,FALSE))</f>
        <v>205.90700000000001</v>
      </c>
      <c r="O64">
        <f ca="1">IF(AND(ISNUMBER($O$281),$B$226=1),$O$281,HLOOKUP(INDIRECT(ADDRESS(2,COLUMN())),OFFSET($BN$2,0,0,ROW()-1,60),ROW()-1,FALSE))</f>
        <v>208.68100000000001</v>
      </c>
      <c r="P64">
        <f ca="1">IF(AND(ISNUMBER($P$281),$B$226=1),$P$281,HLOOKUP(INDIRECT(ADDRESS(2,COLUMN())),OFFSET($BN$2,0,0,ROW()-1,60),ROW()-1,FALSE))</f>
        <v>210.12200000000001</v>
      </c>
      <c r="Q64">
        <f ca="1">IF(AND(ISNUMBER($Q$281),$B$226=1),$Q$281,HLOOKUP(INDIRECT(ADDRESS(2,COLUMN())),OFFSET($BN$2,0,0,ROW()-1,60),ROW()-1,FALSE))</f>
        <v>190.102</v>
      </c>
      <c r="R64">
        <f ca="1">IF(AND(ISNUMBER($R$281),$B$226=1),$R$281,HLOOKUP(INDIRECT(ADDRESS(2,COLUMN())),OFFSET($BN$2,0,0,ROW()-1,60),ROW()-1,FALSE))</f>
        <v>175.69200000000001</v>
      </c>
      <c r="S64">
        <f ca="1">IF(AND(ISNUMBER($S$281),$B$226=1),$S$281,HLOOKUP(INDIRECT(ADDRESS(2,COLUMN())),OFFSET($BN$2,0,0,ROW()-1,60),ROW()-1,FALSE))</f>
        <v>169.84399999999999</v>
      </c>
      <c r="T64">
        <f ca="1">IF(AND(ISNUMBER($T$281),$B$226=1),$T$281,HLOOKUP(INDIRECT(ADDRESS(2,COLUMN())),OFFSET($BN$2,0,0,ROW()-1,60),ROW()-1,FALSE))</f>
        <v>168.27</v>
      </c>
      <c r="U64">
        <f ca="1">IF(AND(ISNUMBER($U$281),$B$226=1),$U$281,HLOOKUP(INDIRECT(ADDRESS(2,COLUMN())),OFFSET($BN$2,0,0,ROW()-1,60),ROW()-1,FALSE))</f>
        <v>135.81399999999999</v>
      </c>
      <c r="V64">
        <f ca="1">IF(AND(ISNUMBER($V$281),$B$226=1),$V$281,HLOOKUP(INDIRECT(ADDRESS(2,COLUMN())),OFFSET($BN$2,0,0,ROW()-1,60),ROW()-1,FALSE))</f>
        <v>87.858999999999995</v>
      </c>
      <c r="W64">
        <f ca="1">IF(AND(ISNUMBER($W$281),$B$226=1),$W$281,HLOOKUP(INDIRECT(ADDRESS(2,COLUMN())),OFFSET($BN$2,0,0,ROW()-1,60),ROW()-1,FALSE))</f>
        <v>98.266999999999996</v>
      </c>
      <c r="X64">
        <f ca="1">IF(AND(ISNUMBER($X$281),$B$226=1),$X$281,HLOOKUP(INDIRECT(ADDRESS(2,COLUMN())),OFFSET($BN$2,0,0,ROW()-1,60),ROW()-1,FALSE))</f>
        <v>100.40900000000001</v>
      </c>
      <c r="Y64">
        <f ca="1">IF(AND(ISNUMBER($Y$281),$B$226=1),$Y$281,HLOOKUP(INDIRECT(ADDRESS(2,COLUMN())),OFFSET($BN$2,0,0,ROW()-1,60),ROW()-1,FALSE))</f>
        <v>99.122</v>
      </c>
      <c r="Z64">
        <f ca="1">IF(AND(ISNUMBER($Z$281),$B$226=1),$Z$281,HLOOKUP(INDIRECT(ADDRESS(2,COLUMN())),OFFSET($BN$2,0,0,ROW()-1,60),ROW()-1,FALSE))</f>
        <v>96.638999999999996</v>
      </c>
      <c r="AA64">
        <f ca="1">IF(AND(ISNUMBER($AA$281),$B$226=1),$AA$281,HLOOKUP(INDIRECT(ADDRESS(2,COLUMN())),OFFSET($BN$2,0,0,ROW()-1,60),ROW()-1,FALSE))</f>
        <v>92.602000000000004</v>
      </c>
      <c r="AB64">
        <f ca="1">IF(AND(ISNUMBER($AB$281),$B$226=1),$AB$281,HLOOKUP(INDIRECT(ADDRESS(2,COLUMN())),OFFSET($BN$2,0,0,ROW()-1,60),ROW()-1,FALSE))</f>
        <v>88.840999999999994</v>
      </c>
      <c r="AC64">
        <f ca="1">IF(AND(ISNUMBER($AC$281),$B$226=1),$AC$281,HLOOKUP(INDIRECT(ADDRESS(2,COLUMN())),OFFSET($BN$2,0,0,ROW()-1,60),ROW()-1,FALSE))</f>
        <v>85.652000000000001</v>
      </c>
      <c r="AD64">
        <f ca="1">IF(AND(ISNUMBER($AD$281),$B$226=1),$AD$281,HLOOKUP(INDIRECT(ADDRESS(2,COLUMN())),OFFSET($BN$2,0,0,ROW()-1,60),ROW()-1,FALSE))</f>
        <v>83.679000000000002</v>
      </c>
      <c r="AE64">
        <f ca="1">IF(AND(ISNUMBER($AE$281),$B$226=1),$AE$281,HLOOKUP(INDIRECT(ADDRESS(2,COLUMN())),OFFSET($BN$2,0,0,ROW()-1,60),ROW()-1,FALSE))</f>
        <v>83.045000000000002</v>
      </c>
      <c r="AF64">
        <f ca="1">IF(AND(ISNUMBER($AF$281),$B$226=1),$AF$281,HLOOKUP(INDIRECT(ADDRESS(2,COLUMN())),OFFSET($BN$2,0,0,ROW()-1,60),ROW()-1,FALSE))</f>
        <v>74.61</v>
      </c>
      <c r="AG64">
        <f ca="1">IF(AND(ISNUMBER($AG$281),$B$226=1),$AG$281,HLOOKUP(INDIRECT(ADDRESS(2,COLUMN())),OFFSET($BN$2,0,0,ROW()-1,60),ROW()-1,FALSE))</f>
        <v>71.822000000000003</v>
      </c>
      <c r="AH64">
        <f ca="1">IF(AND(ISNUMBER($AH$281),$B$226=1),$AH$281,HLOOKUP(INDIRECT(ADDRESS(2,COLUMN())),OFFSET($BN$2,0,0,ROW()-1,60),ROW()-1,FALSE))</f>
        <v>71.066000000000003</v>
      </c>
      <c r="AI64">
        <f ca="1">IF(AND(ISNUMBER($AI$281),$B$226=1),$AI$281,HLOOKUP(INDIRECT(ADDRESS(2,COLUMN())),OFFSET($BN$2,0,0,ROW()-1,60),ROW()-1,FALSE))</f>
        <v>88.777000000000001</v>
      </c>
      <c r="AJ64">
        <f ca="1">IF(AND(ISNUMBER($AJ$281),$B$226=1),$AJ$281,HLOOKUP(INDIRECT(ADDRESS(2,COLUMN())),OFFSET($BN$2,0,0,ROW()-1,60),ROW()-1,FALSE))</f>
        <v>89.14</v>
      </c>
      <c r="AK64">
        <f ca="1">IF(AND(ISNUMBER($AK$281),$B$226=1),$AK$281,HLOOKUP(INDIRECT(ADDRESS(2,COLUMN())),OFFSET($BN$2,0,0,ROW()-1,60),ROW()-1,FALSE))</f>
        <v>80.31</v>
      </c>
      <c r="AL64">
        <f ca="1">IF(AND(ISNUMBER($AL$281),$B$226=1),$AL$281,HLOOKUP(INDIRECT(ADDRESS(2,COLUMN())),OFFSET($BN$2,0,0,ROW()-1,60),ROW()-1,FALSE))</f>
        <v>40.408000000000001</v>
      </c>
      <c r="AM64">
        <f ca="1">IF(AND(ISNUMBER($AM$281),$B$226=1),$AM$281,HLOOKUP(INDIRECT(ADDRESS(2,COLUMN())),OFFSET($BN$2,0,0,ROW()-1,60),ROW()-1,FALSE))</f>
        <v>58.332000000000001</v>
      </c>
      <c r="AN64">
        <f ca="1">IF(AND(ISNUMBER($AN$281),$B$226=1),$AN$281,HLOOKUP(INDIRECT(ADDRESS(2,COLUMN())),OFFSET($BN$2,0,0,ROW()-1,60),ROW()-1,FALSE))</f>
        <v>48.395000000000003</v>
      </c>
      <c r="AO64">
        <f ca="1">IF(AND(ISNUMBER($AO$281),$B$226=1),$AO$281,HLOOKUP(INDIRECT(ADDRESS(2,COLUMN())),OFFSET($BN$2,0,0,ROW()-1,60),ROW()-1,FALSE))</f>
        <v>26.001000000000001</v>
      </c>
      <c r="AP64">
        <f ca="1">IF(AND(ISNUMBER($AP$281),$B$226=1),$AP$281,HLOOKUP(INDIRECT(ADDRESS(2,COLUMN())),OFFSET($BN$2,0,0,ROW()-1,60),ROW()-1,FALSE))</f>
        <v>40.081000000000003</v>
      </c>
      <c r="AQ64">
        <f ca="1">IF(AND(ISNUMBER($AQ$281),$B$226=1),$AQ$281,HLOOKUP(INDIRECT(ADDRESS(2,COLUMN())),OFFSET($BN$2,0,0,ROW()-1,60),ROW()-1,FALSE))</f>
        <v>66.75</v>
      </c>
      <c r="AR64" t="str">
        <f ca="1">IF(AND(ISNUMBER($AR$281),$B$226=1),$AR$281,HLOOKUP(INDIRECT(ADDRESS(2,COLUMN())),OFFSET($BN$2,0,0,ROW()-1,60),ROW()-1,FALSE))</f>
        <v/>
      </c>
      <c r="AS64">
        <f ca="1">IF(AND(ISNUMBER($AS$281),$B$226=1),$AS$281,HLOOKUP(INDIRECT(ADDRESS(2,COLUMN())),OFFSET($BN$2,0,0,ROW()-1,60),ROW()-1,FALSE))</f>
        <v>62.073999999999998</v>
      </c>
      <c r="AT64">
        <f ca="1">IF(AND(ISNUMBER($AT$281),$B$226=1),$AT$281,HLOOKUP(INDIRECT(ADDRESS(2,COLUMN())),OFFSET($BN$2,0,0,ROW()-1,60),ROW()-1,FALSE))</f>
        <v>64.331999999999994</v>
      </c>
      <c r="AU64">
        <f ca="1">IF(AND(ISNUMBER($AU$281),$B$226=1),$AU$281,HLOOKUP(INDIRECT(ADDRESS(2,COLUMN())),OFFSET($BN$2,0,0,ROW()-1,60),ROW()-1,FALSE))</f>
        <v>110.029</v>
      </c>
      <c r="AV64" t="str">
        <f ca="1">IF(AND(ISNUMBER($AV$281),$B$226=1),$AV$281,HLOOKUP(INDIRECT(ADDRESS(2,COLUMN())),OFFSET($BN$2,0,0,ROW()-1,60),ROW()-1,FALSE))</f>
        <v/>
      </c>
      <c r="AW64" t="str">
        <f ca="1">IF(AND(ISNUMBER($AW$281),$B$226=1),$AW$281,HLOOKUP(INDIRECT(ADDRESS(2,COLUMN())),OFFSET($BN$2,0,0,ROW()-1,60),ROW()-1,FALSE))</f>
        <v/>
      </c>
      <c r="AX64">
        <f ca="1">IF(AND(ISNUMBER($AX$281),$B$226=1),$AX$281,HLOOKUP(INDIRECT(ADDRESS(2,COLUMN())),OFFSET($BN$2,0,0,ROW()-1,60),ROW()-1,FALSE))</f>
        <v>57.719000000000001</v>
      </c>
      <c r="AY64">
        <f ca="1">IF(AND(ISNUMBER($AY$281),$B$226=1),$AY$281,HLOOKUP(INDIRECT(ADDRESS(2,COLUMN())),OFFSET($BN$2,0,0,ROW()-1,60),ROW()-1,FALSE))</f>
        <v>115.855</v>
      </c>
      <c r="AZ64" t="str">
        <f ca="1">IF(AND(ISNUMBER($AZ$281),$B$226=1),$AZ$281,HLOOKUP(INDIRECT(ADDRESS(2,COLUMN())),OFFSET($BN$2,0,0,ROW()-1,60),ROW()-1,FALSE))</f>
        <v/>
      </c>
      <c r="BA64" t="str">
        <f ca="1">IF(AND(ISNUMBER($BA$281),$B$226=1),$BA$281,HLOOKUP(INDIRECT(ADDRESS(2,COLUMN())),OFFSET($BN$2,0,0,ROW()-1,60),ROW()-1,FALSE))</f>
        <v/>
      </c>
      <c r="BB64">
        <f ca="1">IF(AND(ISNUMBER($BB$281),$B$226=1),$BB$281,HLOOKUP(INDIRECT(ADDRESS(2,COLUMN())),OFFSET($BN$2,0,0,ROW()-1,60),ROW()-1,FALSE))</f>
        <v>50.752000000000002</v>
      </c>
      <c r="BC64">
        <f ca="1">IF(AND(ISNUMBER($BC$281),$B$226=1),$BC$281,HLOOKUP(INDIRECT(ADDRESS(2,COLUMN())),OFFSET($BN$2,0,0,ROW()-1,60),ROW()-1,FALSE))</f>
        <v>82.906999999999996</v>
      </c>
      <c r="BD64">
        <f ca="1">IF(AND(ISNUMBER($BD$281),$B$226=1),$BD$281,HLOOKUP(INDIRECT(ADDRESS(2,COLUMN())),OFFSET($BN$2,0,0,ROW()-1,60),ROW()-1,FALSE))</f>
        <v>54.18</v>
      </c>
      <c r="BE64" t="str">
        <f ca="1">IF(AND(ISNUMBER($BE$281),$B$226=1),$BE$281,HLOOKUP(INDIRECT(ADDRESS(2,COLUMN())),OFFSET($BN$2,0,0,ROW()-1,60),ROW()-1,FALSE))</f>
        <v/>
      </c>
      <c r="BF64" t="str">
        <f ca="1">IF(AND(ISNUMBER($BF$281),$B$226=1),$BF$281,HLOOKUP(INDIRECT(ADDRESS(2,COLUMN())),OFFSET($BN$2,0,0,ROW()-1,60),ROW()-1,FALSE))</f>
        <v/>
      </c>
      <c r="BG64">
        <f ca="1">IF(AND(ISNUMBER($BG$281),$B$226=1),$BG$281,HLOOKUP(INDIRECT(ADDRESS(2,COLUMN())),OFFSET($BN$2,0,0,ROW()-1,60),ROW()-1,FALSE))</f>
        <v>46.703000000000003</v>
      </c>
      <c r="BH64">
        <f ca="1">IF(AND(ISNUMBER($BH$281),$B$226=1),$BH$281,HLOOKUP(INDIRECT(ADDRESS(2,COLUMN())),OFFSET($BN$2,0,0,ROW()-1,60),ROW()-1,FALSE))</f>
        <v>55.704999999999998</v>
      </c>
      <c r="BI64">
        <f ca="1">IF(AND(ISNUMBER($BI$281),$B$226=1),$BI$281,HLOOKUP(INDIRECT(ADDRESS(2,COLUMN())),OFFSET($BN$2,0,0,ROW()-1,60),ROW()-1,FALSE))</f>
        <v>45.148000000000003</v>
      </c>
      <c r="BJ64">
        <f ca="1">IF(AND(ISNUMBER($BJ$281),$B$226=1),$BJ$281,HLOOKUP(INDIRECT(ADDRESS(2,COLUMN())),OFFSET($BN$2,0,0,ROW()-1,60),ROW()-1,FALSE))</f>
        <v>43.487999000000002</v>
      </c>
      <c r="BK64">
        <f ca="1">IF(AND(ISNUMBER($BK$281),$B$226=1),$BK$281,HLOOKUP(INDIRECT(ADDRESS(2,COLUMN())),OFFSET($BN$2,0,0,ROW()-1,60),ROW()-1,FALSE))</f>
        <v>42.271000999999998</v>
      </c>
      <c r="BL64">
        <f ca="1">IF(AND(ISNUMBER($BL$281),$B$226=1),$BL$281,HLOOKUP(INDIRECT(ADDRESS(2,COLUMN())),OFFSET($BN$2,0,0,ROW()-1,60),ROW()-1,FALSE))</f>
        <v>41.679000000000002</v>
      </c>
      <c r="BM64">
        <f ca="1">IF(AND(ISNUMBER($BM$281),$B$226=1),$BM$281,HLOOKUP(INDIRECT(ADDRESS(2,COLUMN())),OFFSET($BN$2,0,0,ROW()-1,60),ROW()-1,FALSE))</f>
        <v>42.832999999999998</v>
      </c>
      <c r="BN64" t="str">
        <f>""</f>
        <v/>
      </c>
      <c r="BO64">
        <f>235.495</f>
        <v>235.495</v>
      </c>
      <c r="BP64">
        <f>229.305</f>
        <v>229.30500000000001</v>
      </c>
      <c r="BQ64">
        <f>229.178</f>
        <v>229.178</v>
      </c>
      <c r="BR64">
        <f>221.425</f>
        <v>221.42500000000001</v>
      </c>
      <c r="BS64">
        <f>217.355</f>
        <v>217.35499999999999</v>
      </c>
      <c r="BT64">
        <f>227.477</f>
        <v>227.477</v>
      </c>
      <c r="BU64">
        <f>211.743</f>
        <v>211.74299999999999</v>
      </c>
      <c r="BV64">
        <f>205.907</f>
        <v>205.90700000000001</v>
      </c>
      <c r="BW64">
        <f>208.681</f>
        <v>208.68100000000001</v>
      </c>
      <c r="BX64">
        <f>210.122</f>
        <v>210.12200000000001</v>
      </c>
      <c r="BY64">
        <f>190.102</f>
        <v>190.102</v>
      </c>
      <c r="BZ64">
        <f>175.692</f>
        <v>175.69200000000001</v>
      </c>
      <c r="CA64">
        <f>169.844</f>
        <v>169.84399999999999</v>
      </c>
      <c r="CB64">
        <f>168.27</f>
        <v>168.27</v>
      </c>
      <c r="CC64">
        <f>135.814</f>
        <v>135.81399999999999</v>
      </c>
      <c r="CD64">
        <f>87.859</f>
        <v>87.858999999999995</v>
      </c>
      <c r="CE64">
        <f>98.267</f>
        <v>98.266999999999996</v>
      </c>
      <c r="CF64">
        <f>100.409</f>
        <v>100.40900000000001</v>
      </c>
      <c r="CG64">
        <f>99.122</f>
        <v>99.122</v>
      </c>
      <c r="CH64">
        <f>96.639</f>
        <v>96.638999999999996</v>
      </c>
      <c r="CI64">
        <f>92.602</f>
        <v>92.602000000000004</v>
      </c>
      <c r="CJ64">
        <f>88.841</f>
        <v>88.840999999999994</v>
      </c>
      <c r="CK64">
        <f>85.652</f>
        <v>85.652000000000001</v>
      </c>
      <c r="CL64">
        <f>83.679</f>
        <v>83.679000000000002</v>
      </c>
      <c r="CM64">
        <f>83.045</f>
        <v>83.045000000000002</v>
      </c>
      <c r="CN64">
        <f>74.61</f>
        <v>74.61</v>
      </c>
      <c r="CO64">
        <f>71.822</f>
        <v>71.822000000000003</v>
      </c>
      <c r="CP64">
        <f>71.066</f>
        <v>71.066000000000003</v>
      </c>
      <c r="CQ64">
        <f>88.777</f>
        <v>88.777000000000001</v>
      </c>
      <c r="CR64">
        <f>89.14</f>
        <v>89.14</v>
      </c>
      <c r="CS64">
        <f>80.31</f>
        <v>80.31</v>
      </c>
      <c r="CT64">
        <f>40.408</f>
        <v>40.408000000000001</v>
      </c>
      <c r="CU64">
        <f>58.332</f>
        <v>58.332000000000001</v>
      </c>
      <c r="CV64">
        <f>48.395</f>
        <v>48.395000000000003</v>
      </c>
      <c r="CW64">
        <f>26.001</f>
        <v>26.001000000000001</v>
      </c>
      <c r="CX64">
        <f>40.081</f>
        <v>40.081000000000003</v>
      </c>
      <c r="CY64">
        <f>66.75</f>
        <v>66.75</v>
      </c>
      <c r="CZ64" t="str">
        <f>""</f>
        <v/>
      </c>
      <c r="DA64">
        <f>62.074</f>
        <v>62.073999999999998</v>
      </c>
      <c r="DB64">
        <f>64.332</f>
        <v>64.331999999999994</v>
      </c>
      <c r="DC64">
        <f>110.029</f>
        <v>110.029</v>
      </c>
      <c r="DD64" t="str">
        <f>""</f>
        <v/>
      </c>
      <c r="DE64" t="str">
        <f>""</f>
        <v/>
      </c>
      <c r="DF64">
        <f>57.719</f>
        <v>57.719000000000001</v>
      </c>
      <c r="DG64">
        <f>115.855</f>
        <v>115.855</v>
      </c>
      <c r="DH64" t="str">
        <f>""</f>
        <v/>
      </c>
      <c r="DI64" t="str">
        <f>""</f>
        <v/>
      </c>
      <c r="DJ64">
        <f>50.752</f>
        <v>50.752000000000002</v>
      </c>
      <c r="DK64">
        <f>82.907</f>
        <v>82.906999999999996</v>
      </c>
      <c r="DL64">
        <f>54.18</f>
        <v>54.18</v>
      </c>
      <c r="DM64" t="str">
        <f>""</f>
        <v/>
      </c>
      <c r="DN64" t="str">
        <f>""</f>
        <v/>
      </c>
      <c r="DO64">
        <f>46.703</f>
        <v>46.703000000000003</v>
      </c>
      <c r="DP64">
        <f>55.705</f>
        <v>55.704999999999998</v>
      </c>
      <c r="DQ64">
        <f>45.148</f>
        <v>45.148000000000003</v>
      </c>
      <c r="DR64">
        <f>43.487999</f>
        <v>43.487999000000002</v>
      </c>
      <c r="DS64">
        <f>42.271001</f>
        <v>42.271000999999998</v>
      </c>
      <c r="DT64">
        <f>41.679</f>
        <v>41.679000000000002</v>
      </c>
      <c r="DU64">
        <f>42.833</f>
        <v>42.832999999999998</v>
      </c>
    </row>
    <row r="65" spans="1:125">
      <c r="A65" t="str">
        <f>"    Mid-America Apartment Communit"</f>
        <v xml:space="preserve">    Mid-America Apartment Communit</v>
      </c>
      <c r="B65" t="str">
        <f>"MAA US Equity"</f>
        <v>MAA US Equity</v>
      </c>
      <c r="C65" t="str">
        <f t="shared" si="18"/>
        <v>RR009</v>
      </c>
      <c r="D65" t="str">
        <f t="shared" si="19"/>
        <v>EBITDA</v>
      </c>
      <c r="E65" t="str">
        <f t="shared" si="20"/>
        <v>动态</v>
      </c>
      <c r="F65" t="str">
        <f ca="1">IF(AND(ISNUMBER($F$282),$B$226=1),$F$282,HLOOKUP(INDIRECT(ADDRESS(2,COLUMN())),OFFSET($BN$2,0,0,ROW()-1,60),ROW()-1,FALSE))</f>
        <v/>
      </c>
      <c r="G65">
        <f ca="1">IF(AND(ISNUMBER($G$282),$B$226=1),$G$282,HLOOKUP(INDIRECT(ADDRESS(2,COLUMN())),OFFSET($BN$2,0,0,ROW()-1,60),ROW()-1,FALSE))</f>
        <v>216.066</v>
      </c>
      <c r="H65">
        <f ca="1">IF(AND(ISNUMBER($H$282),$B$226=1),$H$282,HLOOKUP(INDIRECT(ADDRESS(2,COLUMN())),OFFSET($BN$2,0,0,ROW()-1,60),ROW()-1,FALSE))</f>
        <v>212.74600000000001</v>
      </c>
      <c r="I65">
        <f ca="1">IF(AND(ISNUMBER($I$282),$B$226=1),$I$282,HLOOKUP(INDIRECT(ADDRESS(2,COLUMN())),OFFSET($BN$2,0,0,ROW()-1,60),ROW()-1,FALSE))</f>
        <v>212.76599999999999</v>
      </c>
      <c r="J65">
        <f ca="1">IF(AND(ISNUMBER($J$282),$B$226=1),$J$282,HLOOKUP(INDIRECT(ADDRESS(2,COLUMN())),OFFSET($BN$2,0,0,ROW()-1,60),ROW()-1,FALSE))</f>
        <v>207.738</v>
      </c>
      <c r="K65">
        <f ca="1">IF(AND(ISNUMBER($K$282),$B$226=1),$K$282,HLOOKUP(INDIRECT(ADDRESS(2,COLUMN())),OFFSET($BN$2,0,0,ROW()-1,60),ROW()-1,FALSE))</f>
        <v>139.828</v>
      </c>
      <c r="L65">
        <f ca="1">IF(AND(ISNUMBER($L$282),$B$226=1),$L$282,HLOOKUP(INDIRECT(ADDRESS(2,COLUMN())),OFFSET($BN$2,0,0,ROW()-1,60),ROW()-1,FALSE))</f>
        <v>150.749</v>
      </c>
      <c r="M65">
        <f ca="1">IF(AND(ISNUMBER($M$282),$B$226=1),$M$282,HLOOKUP(INDIRECT(ADDRESS(2,COLUMN())),OFFSET($BN$2,0,0,ROW()-1,60),ROW()-1,FALSE))</f>
        <v>153.76</v>
      </c>
      <c r="N65">
        <f ca="1">IF(AND(ISNUMBER($N$282),$B$226=1),$N$282,HLOOKUP(INDIRECT(ADDRESS(2,COLUMN())),OFFSET($BN$2,0,0,ROW()-1,60),ROW()-1,FALSE))</f>
        <v>151.857</v>
      </c>
      <c r="O65">
        <f ca="1">IF(AND(ISNUMBER($O$282),$B$226=1),$O$282,HLOOKUP(INDIRECT(ADDRESS(2,COLUMN())),OFFSET($BN$2,0,0,ROW()-1,60),ROW()-1,FALSE))</f>
        <v>148.92599999999999</v>
      </c>
      <c r="P65">
        <f ca="1">IF(AND(ISNUMBER($P$282),$B$226=1),$P$282,HLOOKUP(INDIRECT(ADDRESS(2,COLUMN())),OFFSET($BN$2,0,0,ROW()-1,60),ROW()-1,FALSE))</f>
        <v>145.40899999999999</v>
      </c>
      <c r="Q65">
        <f ca="1">IF(AND(ISNUMBER($Q$282),$B$226=1),$Q$282,HLOOKUP(INDIRECT(ADDRESS(2,COLUMN())),OFFSET($BN$2,0,0,ROW()-1,60),ROW()-1,FALSE))</f>
        <v>145.30699999999999</v>
      </c>
      <c r="R65">
        <f ca="1">IF(AND(ISNUMBER($R$282),$B$226=1),$R$282,HLOOKUP(INDIRECT(ADDRESS(2,COLUMN())),OFFSET($BN$2,0,0,ROW()-1,60),ROW()-1,FALSE))</f>
        <v>142.51</v>
      </c>
      <c r="S65">
        <f ca="1">IF(AND(ISNUMBER($S$282),$B$226=1),$S$282,HLOOKUP(INDIRECT(ADDRESS(2,COLUMN())),OFFSET($BN$2,0,0,ROW()-1,60),ROW()-1,FALSE))</f>
        <v>137.22300000000001</v>
      </c>
      <c r="T65">
        <f ca="1">IF(AND(ISNUMBER($T$282),$B$226=1),$T$282,HLOOKUP(INDIRECT(ADDRESS(2,COLUMN())),OFFSET($BN$2,0,0,ROW()-1,60),ROW()-1,FALSE))</f>
        <v>135.25200000000001</v>
      </c>
      <c r="U65">
        <f ca="1">IF(AND(ISNUMBER($U$282),$B$226=1),$U$282,HLOOKUP(INDIRECT(ADDRESS(2,COLUMN())),OFFSET($BN$2,0,0,ROW()-1,60),ROW()-1,FALSE))</f>
        <v>128.72200000000001</v>
      </c>
      <c r="V65">
        <f ca="1">IF(AND(ISNUMBER($V$282),$B$226=1),$V$282,HLOOKUP(INDIRECT(ADDRESS(2,COLUMN())),OFFSET($BN$2,0,0,ROW()-1,60),ROW()-1,FALSE))</f>
        <v>130.298</v>
      </c>
      <c r="W65">
        <f ca="1">IF(AND(ISNUMBER($W$282),$B$226=1),$W$282,HLOOKUP(INDIRECT(ADDRESS(2,COLUMN())),OFFSET($BN$2,0,0,ROW()-1,60),ROW()-1,FALSE))</f>
        <v>106.297</v>
      </c>
      <c r="X65">
        <f ca="1">IF(AND(ISNUMBER($X$282),$B$226=1),$X$282,HLOOKUP(INDIRECT(ADDRESS(2,COLUMN())),OFFSET($BN$2,0,0,ROW()-1,60),ROW()-1,FALSE))</f>
        <v>66.326999999999998</v>
      </c>
      <c r="Y65">
        <f ca="1">IF(AND(ISNUMBER($Y$282),$B$226=1),$Y$282,HLOOKUP(INDIRECT(ADDRESS(2,COLUMN())),OFFSET($BN$2,0,0,ROW()-1,60),ROW()-1,FALSE))</f>
        <v>65.918999999999997</v>
      </c>
      <c r="Z65">
        <f ca="1">IF(AND(ISNUMBER($Z$282),$B$226=1),$Z$282,HLOOKUP(INDIRECT(ADDRESS(2,COLUMN())),OFFSET($BN$2,0,0,ROW()-1,60),ROW()-1,FALSE))</f>
        <v>71.084000000000003</v>
      </c>
      <c r="AA65">
        <f ca="1">IF(AND(ISNUMBER($AA$282),$B$226=1),$AA$282,HLOOKUP(INDIRECT(ADDRESS(2,COLUMN())),OFFSET($BN$2,0,0,ROW()-1,60),ROW()-1,FALSE))</f>
        <v>69.673000000000002</v>
      </c>
      <c r="AB65">
        <f ca="1">IF(AND(ISNUMBER($AB$282),$B$226=1),$AB$282,HLOOKUP(INDIRECT(ADDRESS(2,COLUMN())),OFFSET($BN$2,0,0,ROW()-1,60),ROW()-1,FALSE))</f>
        <v>63.942</v>
      </c>
      <c r="AC65">
        <f ca="1">IF(AND(ISNUMBER($AC$282),$B$226=1),$AC$282,HLOOKUP(INDIRECT(ADDRESS(2,COLUMN())),OFFSET($BN$2,0,0,ROW()-1,60),ROW()-1,FALSE))</f>
        <v>62.933</v>
      </c>
      <c r="AD65">
        <f ca="1">IF(AND(ISNUMBER($AD$282),$B$226=1),$AD$282,HLOOKUP(INDIRECT(ADDRESS(2,COLUMN())),OFFSET($BN$2,0,0,ROW()-1,60),ROW()-1,FALSE))</f>
        <v>61.512</v>
      </c>
      <c r="AE65">
        <f ca="1">IF(AND(ISNUMBER($AE$282),$B$226=1),$AE$282,HLOOKUP(INDIRECT(ADDRESS(2,COLUMN())),OFFSET($BN$2,0,0,ROW()-1,60),ROW()-1,FALSE))</f>
        <v>58.085000000000001</v>
      </c>
      <c r="AF65">
        <f ca="1">IF(AND(ISNUMBER($AF$282),$B$226=1),$AF$282,HLOOKUP(INDIRECT(ADDRESS(2,COLUMN())),OFFSET($BN$2,0,0,ROW()-1,60),ROW()-1,FALSE))</f>
        <v>54.951999999999998</v>
      </c>
      <c r="AG65">
        <f ca="1">IF(AND(ISNUMBER($AG$282),$B$226=1),$AG$282,HLOOKUP(INDIRECT(ADDRESS(2,COLUMN())),OFFSET($BN$2,0,0,ROW()-1,60),ROW()-1,FALSE))</f>
        <v>50.908000000000001</v>
      </c>
      <c r="AH65" t="str">
        <f ca="1">IF(AND(ISNUMBER($AH$282),$B$226=1),$AH$282,HLOOKUP(INDIRECT(ADDRESS(2,COLUMN())),OFFSET($BN$2,0,0,ROW()-1,60),ROW()-1,FALSE))</f>
        <v/>
      </c>
      <c r="AI65" t="str">
        <f ca="1">IF(AND(ISNUMBER($AI$282),$B$226=1),$AI$282,HLOOKUP(INDIRECT(ADDRESS(2,COLUMN())),OFFSET($BN$2,0,0,ROW()-1,60),ROW()-1,FALSE))</f>
        <v/>
      </c>
      <c r="AJ65" t="str">
        <f ca="1">IF(AND(ISNUMBER($AJ$282),$B$226=1),$AJ$282,HLOOKUP(INDIRECT(ADDRESS(2,COLUMN())),OFFSET($BN$2,0,0,ROW()-1,60),ROW()-1,FALSE))</f>
        <v/>
      </c>
      <c r="AK65" t="str">
        <f ca="1">IF(AND(ISNUMBER($AK$282),$B$226=1),$AK$282,HLOOKUP(INDIRECT(ADDRESS(2,COLUMN())),OFFSET($BN$2,0,0,ROW()-1,60),ROW()-1,FALSE))</f>
        <v/>
      </c>
      <c r="AL65" t="str">
        <f ca="1">IF(AND(ISNUMBER($AL$282),$B$226=1),$AL$282,HLOOKUP(INDIRECT(ADDRESS(2,COLUMN())),OFFSET($BN$2,0,0,ROW()-1,60),ROW()-1,FALSE))</f>
        <v/>
      </c>
      <c r="AM65" t="str">
        <f ca="1">IF(AND(ISNUMBER($AM$282),$B$226=1),$AM$282,HLOOKUP(INDIRECT(ADDRESS(2,COLUMN())),OFFSET($BN$2,0,0,ROW()-1,60),ROW()-1,FALSE))</f>
        <v/>
      </c>
      <c r="AN65" t="str">
        <f ca="1">IF(AND(ISNUMBER($AN$282),$B$226=1),$AN$282,HLOOKUP(INDIRECT(ADDRESS(2,COLUMN())),OFFSET($BN$2,0,0,ROW()-1,60),ROW()-1,FALSE))</f>
        <v/>
      </c>
      <c r="AO65" t="str">
        <f ca="1">IF(AND(ISNUMBER($AO$282),$B$226=1),$AO$282,HLOOKUP(INDIRECT(ADDRESS(2,COLUMN())),OFFSET($BN$2,0,0,ROW()-1,60),ROW()-1,FALSE))</f>
        <v/>
      </c>
      <c r="AP65" t="str">
        <f ca="1">IF(AND(ISNUMBER($AP$282),$B$226=1),$AP$282,HLOOKUP(INDIRECT(ADDRESS(2,COLUMN())),OFFSET($BN$2,0,0,ROW()-1,60),ROW()-1,FALSE))</f>
        <v/>
      </c>
      <c r="AQ65">
        <f ca="1">IF(AND(ISNUMBER($AQ$282),$B$226=1),$AQ$282,HLOOKUP(INDIRECT(ADDRESS(2,COLUMN())),OFFSET($BN$2,0,0,ROW()-1,60),ROW()-1,FALSE))</f>
        <v>48.948</v>
      </c>
      <c r="AR65">
        <f ca="1">IF(AND(ISNUMBER($AR$282),$B$226=1),$AR$282,HLOOKUP(INDIRECT(ADDRESS(2,COLUMN())),OFFSET($BN$2,0,0,ROW()-1,60),ROW()-1,FALSE))</f>
        <v>46.018999999999998</v>
      </c>
      <c r="AS65">
        <f ca="1">IF(AND(ISNUMBER($AS$282),$B$226=1),$AS$282,HLOOKUP(INDIRECT(ADDRESS(2,COLUMN())),OFFSET($BN$2,0,0,ROW()-1,60),ROW()-1,FALSE))</f>
        <v>46.462000000000003</v>
      </c>
      <c r="AT65">
        <f ca="1">IF(AND(ISNUMBER($AT$282),$B$226=1),$AT$282,HLOOKUP(INDIRECT(ADDRESS(2,COLUMN())),OFFSET($BN$2,0,0,ROW()-1,60),ROW()-1,FALSE))</f>
        <v>47.649000000000001</v>
      </c>
      <c r="AU65">
        <f ca="1">IF(AND(ISNUMBER($AU$282),$B$226=1),$AU$282,HLOOKUP(INDIRECT(ADDRESS(2,COLUMN())),OFFSET($BN$2,0,0,ROW()-1,60),ROW()-1,FALSE))</f>
        <v>48.387</v>
      </c>
      <c r="AV65">
        <f ca="1">IF(AND(ISNUMBER($AV$282),$B$226=1),$AV$282,HLOOKUP(INDIRECT(ADDRESS(2,COLUMN())),OFFSET($BN$2,0,0,ROW()-1,60),ROW()-1,FALSE))</f>
        <v>45.030999999999999</v>
      </c>
      <c r="AW65">
        <f ca="1">IF(AND(ISNUMBER($AW$282),$B$226=1),$AW$282,HLOOKUP(INDIRECT(ADDRESS(2,COLUMN())),OFFSET($BN$2,0,0,ROW()-1,60),ROW()-1,FALSE))</f>
        <v>43.948</v>
      </c>
      <c r="AX65">
        <f ca="1">IF(AND(ISNUMBER($AX$282),$B$226=1),$AX$282,HLOOKUP(INDIRECT(ADDRESS(2,COLUMN())),OFFSET($BN$2,0,0,ROW()-1,60),ROW()-1,FALSE))</f>
        <v>43.518000000000001</v>
      </c>
      <c r="AY65">
        <f ca="1">IF(AND(ISNUMBER($AY$282),$B$226=1),$AY$282,HLOOKUP(INDIRECT(ADDRESS(2,COLUMN())),OFFSET($BN$2,0,0,ROW()-1,60),ROW()-1,FALSE))</f>
        <v>43.302</v>
      </c>
      <c r="AZ65">
        <f ca="1">IF(AND(ISNUMBER($AZ$282),$B$226=1),$AZ$282,HLOOKUP(INDIRECT(ADDRESS(2,COLUMN())),OFFSET($BN$2,0,0,ROW()-1,60),ROW()-1,FALSE))</f>
        <v>41.598999999999997</v>
      </c>
      <c r="BA65">
        <f ca="1">IF(AND(ISNUMBER($BA$282),$B$226=1),$BA$282,HLOOKUP(INDIRECT(ADDRESS(2,COLUMN())),OFFSET($BN$2,0,0,ROW()-1,60),ROW()-1,FALSE))</f>
        <v>41.776000000000003</v>
      </c>
      <c r="BB65">
        <f ca="1">IF(AND(ISNUMBER($BB$282),$B$226=1),$BB$282,HLOOKUP(INDIRECT(ADDRESS(2,COLUMN())),OFFSET($BN$2,0,0,ROW()-1,60),ROW()-1,FALSE))</f>
        <v>41.075000000000003</v>
      </c>
      <c r="BC65">
        <f ca="1">IF(AND(ISNUMBER($BC$282),$B$226=1),$BC$282,HLOOKUP(INDIRECT(ADDRESS(2,COLUMN())),OFFSET($BN$2,0,0,ROW()-1,60),ROW()-1,FALSE))</f>
        <v>40.287999999999997</v>
      </c>
      <c r="BD65">
        <f ca="1">IF(AND(ISNUMBER($BD$282),$B$226=1),$BD$282,HLOOKUP(INDIRECT(ADDRESS(2,COLUMN())),OFFSET($BN$2,0,0,ROW()-1,60),ROW()-1,FALSE))</f>
        <v>37.941000000000003</v>
      </c>
      <c r="BE65">
        <f ca="1">IF(AND(ISNUMBER($BE$282),$B$226=1),$BE$282,HLOOKUP(INDIRECT(ADDRESS(2,COLUMN())),OFFSET($BN$2,0,0,ROW()-1,60),ROW()-1,FALSE))</f>
        <v>37.564</v>
      </c>
      <c r="BF65">
        <f ca="1">IF(AND(ISNUMBER($BF$282),$B$226=1),$BF$282,HLOOKUP(INDIRECT(ADDRESS(2,COLUMN())),OFFSET($BN$2,0,0,ROW()-1,60),ROW()-1,FALSE))</f>
        <v>36.603000000000002</v>
      </c>
      <c r="BG65">
        <f ca="1">IF(AND(ISNUMBER($BG$282),$B$226=1),$BG$282,HLOOKUP(INDIRECT(ADDRESS(2,COLUMN())),OFFSET($BN$2,0,0,ROW()-1,60),ROW()-1,FALSE))</f>
        <v>35.570999999999998</v>
      </c>
      <c r="BH65">
        <f ca="1">IF(AND(ISNUMBER($BH$282),$B$226=1),$BH$282,HLOOKUP(INDIRECT(ADDRESS(2,COLUMN())),OFFSET($BN$2,0,0,ROW()-1,60),ROW()-1,FALSE))</f>
        <v>34.301999000000002</v>
      </c>
      <c r="BI65">
        <f ca="1">IF(AND(ISNUMBER($BI$282),$B$226=1),$BI$282,HLOOKUP(INDIRECT(ADDRESS(2,COLUMN())),OFFSET($BN$2,0,0,ROW()-1,60),ROW()-1,FALSE))</f>
        <v>34.095999999999997</v>
      </c>
      <c r="BJ65">
        <f ca="1">IF(AND(ISNUMBER($BJ$282),$B$226=1),$BJ$282,HLOOKUP(INDIRECT(ADDRESS(2,COLUMN())),OFFSET($BN$2,0,0,ROW()-1,60),ROW()-1,FALSE))</f>
        <v>34.378999</v>
      </c>
      <c r="BK65">
        <f ca="1">IF(AND(ISNUMBER($BK$282),$B$226=1),$BK$282,HLOOKUP(INDIRECT(ADDRESS(2,COLUMN())),OFFSET($BN$2,0,0,ROW()-1,60),ROW()-1,FALSE))</f>
        <v>32.858000279999999</v>
      </c>
      <c r="BL65">
        <f ca="1">IF(AND(ISNUMBER($BL$282),$B$226=1),$BL$282,HLOOKUP(INDIRECT(ADDRESS(2,COLUMN())),OFFSET($BN$2,0,0,ROW()-1,60),ROW()-1,FALSE))</f>
        <v>30.434000000000001</v>
      </c>
      <c r="BM65">
        <f ca="1">IF(AND(ISNUMBER($BM$282),$B$226=1),$BM$282,HLOOKUP(INDIRECT(ADDRESS(2,COLUMN())),OFFSET($BN$2,0,0,ROW()-1,60),ROW()-1,FALSE))</f>
        <v>31.035</v>
      </c>
      <c r="BN65" t="str">
        <f>""</f>
        <v/>
      </c>
      <c r="BO65">
        <f>216.066</f>
        <v>216.066</v>
      </c>
      <c r="BP65">
        <f>212.746</f>
        <v>212.74600000000001</v>
      </c>
      <c r="BQ65">
        <f>212.766</f>
        <v>212.76599999999999</v>
      </c>
      <c r="BR65">
        <f>207.738</f>
        <v>207.738</v>
      </c>
      <c r="BS65">
        <f>139.828</f>
        <v>139.828</v>
      </c>
      <c r="BT65">
        <f>150.749</f>
        <v>150.749</v>
      </c>
      <c r="BU65">
        <f>153.76</f>
        <v>153.76</v>
      </c>
      <c r="BV65">
        <f>151.857</f>
        <v>151.857</v>
      </c>
      <c r="BW65">
        <f>148.926</f>
        <v>148.92599999999999</v>
      </c>
      <c r="BX65">
        <f>145.409</f>
        <v>145.40899999999999</v>
      </c>
      <c r="BY65">
        <f>145.307</f>
        <v>145.30699999999999</v>
      </c>
      <c r="BZ65">
        <f>142.51</f>
        <v>142.51</v>
      </c>
      <c r="CA65">
        <f>137.223</f>
        <v>137.22300000000001</v>
      </c>
      <c r="CB65">
        <f>135.252</f>
        <v>135.25200000000001</v>
      </c>
      <c r="CC65">
        <f>128.722</f>
        <v>128.72200000000001</v>
      </c>
      <c r="CD65">
        <f>130.298</f>
        <v>130.298</v>
      </c>
      <c r="CE65">
        <f>106.297</f>
        <v>106.297</v>
      </c>
      <c r="CF65">
        <f>66.327</f>
        <v>66.326999999999998</v>
      </c>
      <c r="CG65">
        <f>65.919</f>
        <v>65.918999999999997</v>
      </c>
      <c r="CH65">
        <f>71.084</f>
        <v>71.084000000000003</v>
      </c>
      <c r="CI65">
        <f>69.673</f>
        <v>69.673000000000002</v>
      </c>
      <c r="CJ65">
        <f>63.942</f>
        <v>63.942</v>
      </c>
      <c r="CK65">
        <f>62.933</f>
        <v>62.933</v>
      </c>
      <c r="CL65">
        <f>61.512</f>
        <v>61.512</v>
      </c>
      <c r="CM65">
        <f>58.085</f>
        <v>58.085000000000001</v>
      </c>
      <c r="CN65">
        <f>54.952</f>
        <v>54.951999999999998</v>
      </c>
      <c r="CO65">
        <f>50.908</f>
        <v>50.908000000000001</v>
      </c>
      <c r="CP65" t="str">
        <f>""</f>
        <v/>
      </c>
      <c r="CQ65" t="str">
        <f>""</f>
        <v/>
      </c>
      <c r="CR65" t="str">
        <f>""</f>
        <v/>
      </c>
      <c r="CS65" t="str">
        <f>""</f>
        <v/>
      </c>
      <c r="CT65" t="str">
        <f>""</f>
        <v/>
      </c>
      <c r="CU65" t="str">
        <f>""</f>
        <v/>
      </c>
      <c r="CV65" t="str">
        <f>""</f>
        <v/>
      </c>
      <c r="CW65" t="str">
        <f>""</f>
        <v/>
      </c>
      <c r="CX65" t="str">
        <f>""</f>
        <v/>
      </c>
      <c r="CY65">
        <f>48.948</f>
        <v>48.948</v>
      </c>
      <c r="CZ65">
        <f>46.019</f>
        <v>46.018999999999998</v>
      </c>
      <c r="DA65">
        <f>46.462</f>
        <v>46.462000000000003</v>
      </c>
      <c r="DB65">
        <f>47.649</f>
        <v>47.649000000000001</v>
      </c>
      <c r="DC65">
        <f>48.387</f>
        <v>48.387</v>
      </c>
      <c r="DD65">
        <f>45.031</f>
        <v>45.030999999999999</v>
      </c>
      <c r="DE65">
        <f>43.948</f>
        <v>43.948</v>
      </c>
      <c r="DF65">
        <f>43.518</f>
        <v>43.518000000000001</v>
      </c>
      <c r="DG65">
        <f>43.302</f>
        <v>43.302</v>
      </c>
      <c r="DH65">
        <f>41.599</f>
        <v>41.598999999999997</v>
      </c>
      <c r="DI65">
        <f>41.776</f>
        <v>41.776000000000003</v>
      </c>
      <c r="DJ65">
        <f>41.075</f>
        <v>41.075000000000003</v>
      </c>
      <c r="DK65">
        <f>40.288</f>
        <v>40.287999999999997</v>
      </c>
      <c r="DL65">
        <f>37.941</f>
        <v>37.941000000000003</v>
      </c>
      <c r="DM65">
        <f>37.564</f>
        <v>37.564</v>
      </c>
      <c r="DN65">
        <f>36.603</f>
        <v>36.603000000000002</v>
      </c>
      <c r="DO65">
        <f>35.571</f>
        <v>35.570999999999998</v>
      </c>
      <c r="DP65">
        <f>34.301999</f>
        <v>34.301999000000002</v>
      </c>
      <c r="DQ65">
        <f>34.096</f>
        <v>34.095999999999997</v>
      </c>
      <c r="DR65">
        <f>34.378999</f>
        <v>34.378999</v>
      </c>
      <c r="DS65">
        <f>32.85800028</f>
        <v>32.858000279999999</v>
      </c>
      <c r="DT65">
        <f>30.434</f>
        <v>30.434000000000001</v>
      </c>
      <c r="DU65">
        <f>31.035</f>
        <v>31.035</v>
      </c>
    </row>
    <row r="66" spans="1:125">
      <c r="A66" t="str">
        <f>"    UDR Inc"</f>
        <v xml:space="preserve">    UDR Inc</v>
      </c>
      <c r="B66" t="str">
        <f>"UDR US Equity"</f>
        <v>UDR US Equity</v>
      </c>
      <c r="C66" t="str">
        <f t="shared" si="18"/>
        <v>RR009</v>
      </c>
      <c r="D66" t="str">
        <f t="shared" si="19"/>
        <v>EBITDA</v>
      </c>
      <c r="E66" t="str">
        <f t="shared" si="20"/>
        <v>动态</v>
      </c>
      <c r="F66" t="str">
        <f ca="1">IF(AND(ISNUMBER($F$283),$B$226=1),$F$283,HLOOKUP(INDIRECT(ADDRESS(2,COLUMN())),OFFSET($BN$2,0,0,ROW()-1,60),ROW()-1,FALSE))</f>
        <v/>
      </c>
      <c r="G66">
        <f ca="1">IF(AND(ISNUMBER($G$283),$B$226=1),$G$283,HLOOKUP(INDIRECT(ADDRESS(2,COLUMN())),OFFSET($BN$2,0,0,ROW()-1,60),ROW()-1,FALSE))</f>
        <v>158.33600000000001</v>
      </c>
      <c r="H66">
        <f ca="1">IF(AND(ISNUMBER($H$283),$B$226=1),$H$283,HLOOKUP(INDIRECT(ADDRESS(2,COLUMN())),OFFSET($BN$2,0,0,ROW()-1,60),ROW()-1,FALSE))</f>
        <v>154.24799999999999</v>
      </c>
      <c r="I66">
        <f ca="1">IF(AND(ISNUMBER($I$283),$B$226=1),$I$283,HLOOKUP(INDIRECT(ADDRESS(2,COLUMN())),OFFSET($BN$2,0,0,ROW()-1,60),ROW()-1,FALSE))</f>
        <v>156.22200000000001</v>
      </c>
      <c r="J66">
        <f ca="1">IF(AND(ISNUMBER($J$283),$B$226=1),$J$283,HLOOKUP(INDIRECT(ADDRESS(2,COLUMN())),OFFSET($BN$2,0,0,ROW()-1,60),ROW()-1,FALSE))</f>
        <v>152.15</v>
      </c>
      <c r="K66">
        <f ca="1">IF(AND(ISNUMBER($K$283),$B$226=1),$K$283,HLOOKUP(INDIRECT(ADDRESS(2,COLUMN())),OFFSET($BN$2,0,0,ROW()-1,60),ROW()-1,FALSE))</f>
        <v>153.08099999999999</v>
      </c>
      <c r="L66">
        <f ca="1">IF(AND(ISNUMBER($L$283),$B$226=1),$L$283,HLOOKUP(INDIRECT(ADDRESS(2,COLUMN())),OFFSET($BN$2,0,0,ROW()-1,60),ROW()-1,FALSE))</f>
        <v>153.07900000000001</v>
      </c>
      <c r="M66">
        <f ca="1">IF(AND(ISNUMBER($M$283),$B$226=1),$M$283,HLOOKUP(INDIRECT(ADDRESS(2,COLUMN())),OFFSET($BN$2,0,0,ROW()-1,60),ROW()-1,FALSE))</f>
        <v>149.083</v>
      </c>
      <c r="N66">
        <f ca="1">IF(AND(ISNUMBER($N$283),$B$226=1),$N$283,HLOOKUP(INDIRECT(ADDRESS(2,COLUMN())),OFFSET($BN$2,0,0,ROW()-1,60),ROW()-1,FALSE))</f>
        <v>145.017</v>
      </c>
      <c r="O66">
        <f ca="1">IF(AND(ISNUMBER($O$283),$B$226=1),$O$283,HLOOKUP(INDIRECT(ADDRESS(2,COLUMN())),OFFSET($BN$2,0,0,ROW()-1,60),ROW()-1,FALSE))</f>
        <v>141.62299999999999</v>
      </c>
      <c r="P66">
        <f ca="1">IF(AND(ISNUMBER($P$283),$B$226=1),$P$283,HLOOKUP(INDIRECT(ADDRESS(2,COLUMN())),OFFSET($BN$2,0,0,ROW()-1,60),ROW()-1,FALSE))</f>
        <v>132.226</v>
      </c>
      <c r="Q66">
        <f ca="1">IF(AND(ISNUMBER($Q$283),$B$226=1),$Q$283,HLOOKUP(INDIRECT(ADDRESS(2,COLUMN())),OFFSET($BN$2,0,0,ROW()-1,60),ROW()-1,FALSE))</f>
        <v>131.346</v>
      </c>
      <c r="R66">
        <f ca="1">IF(AND(ISNUMBER($R$283),$B$226=1),$R$283,HLOOKUP(INDIRECT(ADDRESS(2,COLUMN())),OFFSET($BN$2,0,0,ROW()-1,60),ROW()-1,FALSE))</f>
        <v>135.673</v>
      </c>
      <c r="S66">
        <f ca="1">IF(AND(ISNUMBER($S$283),$B$226=1),$S$283,HLOOKUP(INDIRECT(ADDRESS(2,COLUMN())),OFFSET($BN$2,0,0,ROW()-1,60),ROW()-1,FALSE))</f>
        <v>127.83199999999999</v>
      </c>
      <c r="T66">
        <f ca="1">IF(AND(ISNUMBER($T$283),$B$226=1),$T$283,HLOOKUP(INDIRECT(ADDRESS(2,COLUMN())),OFFSET($BN$2,0,0,ROW()-1,60),ROW()-1,FALSE))</f>
        <v>123.807</v>
      </c>
      <c r="U66">
        <f ca="1">IF(AND(ISNUMBER($U$283),$B$226=1),$U$283,HLOOKUP(INDIRECT(ADDRESS(2,COLUMN())),OFFSET($BN$2,0,0,ROW()-1,60),ROW()-1,FALSE))</f>
        <v>122.931</v>
      </c>
      <c r="V66">
        <f ca="1">IF(AND(ISNUMBER($V$283),$B$226=1),$V$283,HLOOKUP(INDIRECT(ADDRESS(2,COLUMN())),OFFSET($BN$2,0,0,ROW()-1,60),ROW()-1,FALSE))</f>
        <v>116.123</v>
      </c>
      <c r="W66">
        <f ca="1">IF(AND(ISNUMBER($W$283),$B$226=1),$W$283,HLOOKUP(INDIRECT(ADDRESS(2,COLUMN())),OFFSET($BN$2,0,0,ROW()-1,60),ROW()-1,FALSE))</f>
        <v>114.93899999999999</v>
      </c>
      <c r="X66">
        <f ca="1">IF(AND(ISNUMBER($X$283),$B$226=1),$X$283,HLOOKUP(INDIRECT(ADDRESS(2,COLUMN())),OFFSET($BN$2,0,0,ROW()-1,60),ROW()-1,FALSE))</f>
        <v>119.039</v>
      </c>
      <c r="Y66">
        <f ca="1">IF(AND(ISNUMBER($Y$283),$B$226=1),$Y$283,HLOOKUP(INDIRECT(ADDRESS(2,COLUMN())),OFFSET($BN$2,0,0,ROW()-1,60),ROW()-1,FALSE))</f>
        <v>116.952</v>
      </c>
      <c r="Z66">
        <f ca="1">IF(AND(ISNUMBER($Z$283),$B$226=1),$Z$283,HLOOKUP(INDIRECT(ADDRESS(2,COLUMN())),OFFSET($BN$2,0,0,ROW()-1,60),ROW()-1,FALSE))</f>
        <v>114.22</v>
      </c>
      <c r="AA66">
        <f ca="1">IF(AND(ISNUMBER($AA$283),$B$226=1),$AA$283,HLOOKUP(INDIRECT(ADDRESS(2,COLUMN())),OFFSET($BN$2,0,0,ROW()-1,60),ROW()-1,FALSE))</f>
        <v>101.276</v>
      </c>
      <c r="AB66">
        <f ca="1">IF(AND(ISNUMBER($AB$283),$B$226=1),$AB$283,HLOOKUP(INDIRECT(ADDRESS(2,COLUMN())),OFFSET($BN$2,0,0,ROW()-1,60),ROW()-1,FALSE))</f>
        <v>109.127</v>
      </c>
      <c r="AC66">
        <f ca="1">IF(AND(ISNUMBER($AC$283),$B$226=1),$AC$283,HLOOKUP(INDIRECT(ADDRESS(2,COLUMN())),OFFSET($BN$2,0,0,ROW()-1,60),ROW()-1,FALSE))</f>
        <v>100.685</v>
      </c>
      <c r="AD66">
        <f ca="1">IF(AND(ISNUMBER($AD$283),$B$226=1),$AD$283,HLOOKUP(INDIRECT(ADDRESS(2,COLUMN())),OFFSET($BN$2,0,0,ROW()-1,60),ROW()-1,FALSE))</f>
        <v>110.77200000000001</v>
      </c>
      <c r="AE66">
        <f ca="1">IF(AND(ISNUMBER($AE$283),$B$226=1),$AE$283,HLOOKUP(INDIRECT(ADDRESS(2,COLUMN())),OFFSET($BN$2,0,0,ROW()-1,60),ROW()-1,FALSE))</f>
        <v>105.315</v>
      </c>
      <c r="AF66">
        <f ca="1">IF(AND(ISNUMBER($AF$283),$B$226=1),$AF$283,HLOOKUP(INDIRECT(ADDRESS(2,COLUMN())),OFFSET($BN$2,0,0,ROW()-1,60),ROW()-1,FALSE))</f>
        <v>112.82899999999999</v>
      </c>
      <c r="AG66">
        <f ca="1">IF(AND(ISNUMBER($AG$283),$B$226=1),$AG$283,HLOOKUP(INDIRECT(ADDRESS(2,COLUMN())),OFFSET($BN$2,0,0,ROW()-1,60),ROW()-1,FALSE))</f>
        <v>99.474000000000004</v>
      </c>
      <c r="AH66">
        <f ca="1">IF(AND(ISNUMBER($AH$283),$B$226=1),$AH$283,HLOOKUP(INDIRECT(ADDRESS(2,COLUMN())),OFFSET($BN$2,0,0,ROW()-1,60),ROW()-1,FALSE))</f>
        <v>92.8</v>
      </c>
      <c r="AI66">
        <f ca="1">IF(AND(ISNUMBER($AI$283),$B$226=1),$AI$283,HLOOKUP(INDIRECT(ADDRESS(2,COLUMN())),OFFSET($BN$2,0,0,ROW()-1,60),ROW()-1,FALSE))</f>
        <v>83.638000000000005</v>
      </c>
      <c r="AJ66">
        <f ca="1">IF(AND(ISNUMBER($AJ$283),$B$226=1),$AJ$283,HLOOKUP(INDIRECT(ADDRESS(2,COLUMN())),OFFSET($BN$2,0,0,ROW()-1,60),ROW()-1,FALSE))</f>
        <v>90.334999999999994</v>
      </c>
      <c r="AK66">
        <f ca="1">IF(AND(ISNUMBER($AK$283),$B$226=1),$AK$283,HLOOKUP(INDIRECT(ADDRESS(2,COLUMN())),OFFSET($BN$2,0,0,ROW()-1,60),ROW()-1,FALSE))</f>
        <v>86.046000000000006</v>
      </c>
      <c r="AL66">
        <f ca="1">IF(AND(ISNUMBER($AL$283),$B$226=1),$AL$283,HLOOKUP(INDIRECT(ADDRESS(2,COLUMN())),OFFSET($BN$2,0,0,ROW()-1,60),ROW()-1,FALSE))</f>
        <v>82.004000000000005</v>
      </c>
      <c r="AM66">
        <f ca="1">IF(AND(ISNUMBER($AM$283),$B$226=1),$AM$283,HLOOKUP(INDIRECT(ADDRESS(2,COLUMN())),OFFSET($BN$2,0,0,ROW()-1,60),ROW()-1,FALSE))</f>
        <v>82.911000000000001</v>
      </c>
      <c r="AN66">
        <f ca="1">IF(AND(ISNUMBER($AN$283),$B$226=1),$AN$283,HLOOKUP(INDIRECT(ADDRESS(2,COLUMN())),OFFSET($BN$2,0,0,ROW()-1,60),ROW()-1,FALSE))</f>
        <v>82.314999999999998</v>
      </c>
      <c r="AO66">
        <f ca="1">IF(AND(ISNUMBER($AO$283),$B$226=1),$AO$283,HLOOKUP(INDIRECT(ADDRESS(2,COLUMN())),OFFSET($BN$2,0,0,ROW()-1,60),ROW()-1,FALSE))</f>
        <v>93.793000000000006</v>
      </c>
      <c r="AP66">
        <f ca="1">IF(AND(ISNUMBER($AP$283),$B$226=1),$AP$283,HLOOKUP(INDIRECT(ADDRESS(2,COLUMN())),OFFSET($BN$2,0,0,ROW()-1,60),ROW()-1,FALSE))</f>
        <v>87.287999999999997</v>
      </c>
      <c r="AQ66">
        <f ca="1">IF(AND(ISNUMBER($AQ$283),$B$226=1),$AQ$283,HLOOKUP(INDIRECT(ADDRESS(2,COLUMN())),OFFSET($BN$2,0,0,ROW()-1,60),ROW()-1,FALSE))</f>
        <v>80.888000000000005</v>
      </c>
      <c r="AR66">
        <f ca="1">IF(AND(ISNUMBER($AR$283),$B$226=1),$AR$283,HLOOKUP(INDIRECT(ADDRESS(2,COLUMN())),OFFSET($BN$2,0,0,ROW()-1,60),ROW()-1,FALSE))</f>
        <v>89.808000000000007</v>
      </c>
      <c r="AS66">
        <f ca="1">IF(AND(ISNUMBER($AS$283),$B$226=1),$AS$283,HLOOKUP(INDIRECT(ADDRESS(2,COLUMN())),OFFSET($BN$2,0,0,ROW()-1,60),ROW()-1,FALSE))</f>
        <v>85.608000000000004</v>
      </c>
      <c r="AT66">
        <f ca="1">IF(AND(ISNUMBER($AT$283),$B$226=1),$AT$283,HLOOKUP(INDIRECT(ADDRESS(2,COLUMN())),OFFSET($BN$2,0,0,ROW()-1,60),ROW()-1,FALSE))</f>
        <v>76.546999999999997</v>
      </c>
      <c r="AU66">
        <f ca="1">IF(AND(ISNUMBER($AU$283),$B$226=1),$AU$283,HLOOKUP(INDIRECT(ADDRESS(2,COLUMN())),OFFSET($BN$2,0,0,ROW()-1,60),ROW()-1,FALSE))</f>
        <v>87.033000000000001</v>
      </c>
      <c r="AV66">
        <f ca="1">IF(AND(ISNUMBER($AV$283),$B$226=1),$AV$283,HLOOKUP(INDIRECT(ADDRESS(2,COLUMN())),OFFSET($BN$2,0,0,ROW()-1,60),ROW()-1,FALSE))</f>
        <v>99.396000000000001</v>
      </c>
      <c r="AW66">
        <f ca="1">IF(AND(ISNUMBER($AW$283),$B$226=1),$AW$283,HLOOKUP(INDIRECT(ADDRESS(2,COLUMN())),OFFSET($BN$2,0,0,ROW()-1,60),ROW()-1,FALSE))</f>
        <v>89.837000000000003</v>
      </c>
      <c r="AX66">
        <f ca="1">IF(AND(ISNUMBER($AX$283),$B$226=1),$AX$283,HLOOKUP(INDIRECT(ADDRESS(2,COLUMN())),OFFSET($BN$2,0,0,ROW()-1,60),ROW()-1,FALSE))</f>
        <v>90.495000000000005</v>
      </c>
      <c r="AY66">
        <f ca="1">IF(AND(ISNUMBER($AY$283),$B$226=1),$AY$283,HLOOKUP(INDIRECT(ADDRESS(2,COLUMN())),OFFSET($BN$2,0,0,ROW()-1,60),ROW()-1,FALSE))</f>
        <v>80.997</v>
      </c>
      <c r="AZ66">
        <f ca="1">IF(AND(ISNUMBER($AZ$283),$B$226=1),$AZ$283,HLOOKUP(INDIRECT(ADDRESS(2,COLUMN())),OFFSET($BN$2,0,0,ROW()-1,60),ROW()-1,FALSE))</f>
        <v>105.264</v>
      </c>
      <c r="BA66">
        <f ca="1">IF(AND(ISNUMBER($BA$283),$B$226=1),$BA$283,HLOOKUP(INDIRECT(ADDRESS(2,COLUMN())),OFFSET($BN$2,0,0,ROW()-1,60),ROW()-1,FALSE))</f>
        <v>97.963999999999999</v>
      </c>
      <c r="BB66">
        <f ca="1">IF(AND(ISNUMBER($BB$283),$B$226=1),$BB$283,HLOOKUP(INDIRECT(ADDRESS(2,COLUMN())),OFFSET($BN$2,0,0,ROW()-1,60),ROW()-1,FALSE))</f>
        <v>97.921999999999997</v>
      </c>
      <c r="BC66">
        <f ca="1">IF(AND(ISNUMBER($BC$283),$B$226=1),$BC$283,HLOOKUP(INDIRECT(ADDRESS(2,COLUMN())),OFFSET($BN$2,0,0,ROW()-1,60),ROW()-1,FALSE))</f>
        <v>106.55500000000001</v>
      </c>
      <c r="BD66">
        <f ca="1">IF(AND(ISNUMBER($BD$283),$B$226=1),$BD$283,HLOOKUP(INDIRECT(ADDRESS(2,COLUMN())),OFFSET($BN$2,0,0,ROW()-1,60),ROW()-1,FALSE))</f>
        <v>93.954999999999998</v>
      </c>
      <c r="BE66">
        <f ca="1">IF(AND(ISNUMBER($BE$283),$B$226=1),$BE$283,HLOOKUP(INDIRECT(ADDRESS(2,COLUMN())),OFFSET($BN$2,0,0,ROW()-1,60),ROW()-1,FALSE))</f>
        <v>92.945999999999998</v>
      </c>
      <c r="BF66">
        <f ca="1">IF(AND(ISNUMBER($BF$283),$B$226=1),$BF$283,HLOOKUP(INDIRECT(ADDRESS(2,COLUMN())),OFFSET($BN$2,0,0,ROW()-1,60),ROW()-1,FALSE))</f>
        <v>90.206000000000003</v>
      </c>
      <c r="BG66">
        <f ca="1">IF(AND(ISNUMBER($BG$283),$B$226=1),$BG$283,HLOOKUP(INDIRECT(ADDRESS(2,COLUMN())),OFFSET($BN$2,0,0,ROW()-1,60),ROW()-1,FALSE))</f>
        <v>72.921999999999997</v>
      </c>
      <c r="BH66">
        <f ca="1">IF(AND(ISNUMBER($BH$283),$B$226=1),$BH$283,HLOOKUP(INDIRECT(ADDRESS(2,COLUMN())),OFFSET($BN$2,0,0,ROW()-1,60),ROW()-1,FALSE))</f>
        <v>83.98</v>
      </c>
      <c r="BI66">
        <f ca="1">IF(AND(ISNUMBER($BI$283),$B$226=1),$BI$283,HLOOKUP(INDIRECT(ADDRESS(2,COLUMN())),OFFSET($BN$2,0,0,ROW()-1,60),ROW()-1,FALSE))</f>
        <v>88.396000000000001</v>
      </c>
      <c r="BJ66">
        <f ca="1">IF(AND(ISNUMBER($BJ$283),$B$226=1),$BJ$283,HLOOKUP(INDIRECT(ADDRESS(2,COLUMN())),OFFSET($BN$2,0,0,ROW()-1,60),ROW()-1,FALSE))</f>
        <v>86.507999999999996</v>
      </c>
      <c r="BK66">
        <f ca="1">IF(AND(ISNUMBER($BK$283),$B$226=1),$BK$283,HLOOKUP(INDIRECT(ADDRESS(2,COLUMN())),OFFSET($BN$2,0,0,ROW()-1,60),ROW()-1,FALSE))</f>
        <v>84.835999999999999</v>
      </c>
      <c r="BL66">
        <f ca="1">IF(AND(ISNUMBER($BL$283),$B$226=1),$BL$283,HLOOKUP(INDIRECT(ADDRESS(2,COLUMN())),OFFSET($BN$2,0,0,ROW()-1,60),ROW()-1,FALSE))</f>
        <v>80.891999999999996</v>
      </c>
      <c r="BM66">
        <f ca="1">IF(AND(ISNUMBER($BM$283),$B$226=1),$BM$283,HLOOKUP(INDIRECT(ADDRESS(2,COLUMN())),OFFSET($BN$2,0,0,ROW()-1,60),ROW()-1,FALSE))</f>
        <v>83.578999999999994</v>
      </c>
      <c r="BN66" t="str">
        <f>""</f>
        <v/>
      </c>
      <c r="BO66">
        <f>158.336</f>
        <v>158.33600000000001</v>
      </c>
      <c r="BP66">
        <f>154.248</f>
        <v>154.24799999999999</v>
      </c>
      <c r="BQ66">
        <f>156.222</f>
        <v>156.22200000000001</v>
      </c>
      <c r="BR66">
        <f>152.15</f>
        <v>152.15</v>
      </c>
      <c r="BS66">
        <f>153.081</f>
        <v>153.08099999999999</v>
      </c>
      <c r="BT66">
        <f>153.079</f>
        <v>153.07900000000001</v>
      </c>
      <c r="BU66">
        <f>149.083</f>
        <v>149.083</v>
      </c>
      <c r="BV66">
        <f>145.017</f>
        <v>145.017</v>
      </c>
      <c r="BW66">
        <f>141.623</f>
        <v>141.62299999999999</v>
      </c>
      <c r="BX66">
        <f>132.226</f>
        <v>132.226</v>
      </c>
      <c r="BY66">
        <f>131.346</f>
        <v>131.346</v>
      </c>
      <c r="BZ66">
        <f>135.673</f>
        <v>135.673</v>
      </c>
      <c r="CA66">
        <f>127.832</f>
        <v>127.83199999999999</v>
      </c>
      <c r="CB66">
        <f>123.807</f>
        <v>123.807</v>
      </c>
      <c r="CC66">
        <f>122.931</f>
        <v>122.931</v>
      </c>
      <c r="CD66">
        <f>116.123</f>
        <v>116.123</v>
      </c>
      <c r="CE66">
        <f>114.939</f>
        <v>114.93899999999999</v>
      </c>
      <c r="CF66">
        <f>119.039</f>
        <v>119.039</v>
      </c>
      <c r="CG66">
        <f>116.952</f>
        <v>116.952</v>
      </c>
      <c r="CH66">
        <f>114.22</f>
        <v>114.22</v>
      </c>
      <c r="CI66">
        <f>101.276</f>
        <v>101.276</v>
      </c>
      <c r="CJ66">
        <f>109.127</f>
        <v>109.127</v>
      </c>
      <c r="CK66">
        <f>100.685</f>
        <v>100.685</v>
      </c>
      <c r="CL66">
        <f>110.772</f>
        <v>110.77200000000001</v>
      </c>
      <c r="CM66">
        <f>105.315</f>
        <v>105.315</v>
      </c>
      <c r="CN66">
        <f>112.829</f>
        <v>112.82899999999999</v>
      </c>
      <c r="CO66">
        <f>99.474</f>
        <v>99.474000000000004</v>
      </c>
      <c r="CP66">
        <f>92.8</f>
        <v>92.8</v>
      </c>
      <c r="CQ66">
        <f>83.638</f>
        <v>83.638000000000005</v>
      </c>
      <c r="CR66">
        <f>90.335</f>
        <v>90.334999999999994</v>
      </c>
      <c r="CS66">
        <f>86.046</f>
        <v>86.046000000000006</v>
      </c>
      <c r="CT66">
        <f>82.004</f>
        <v>82.004000000000005</v>
      </c>
      <c r="CU66">
        <f>82.911</f>
        <v>82.911000000000001</v>
      </c>
      <c r="CV66">
        <f>82.315</f>
        <v>82.314999999999998</v>
      </c>
      <c r="CW66">
        <f>93.793</f>
        <v>93.793000000000006</v>
      </c>
      <c r="CX66">
        <f>87.288</f>
        <v>87.287999999999997</v>
      </c>
      <c r="CY66">
        <f>80.888</f>
        <v>80.888000000000005</v>
      </c>
      <c r="CZ66">
        <f>89.808</f>
        <v>89.808000000000007</v>
      </c>
      <c r="DA66">
        <f>85.608</f>
        <v>85.608000000000004</v>
      </c>
      <c r="DB66">
        <f>76.547</f>
        <v>76.546999999999997</v>
      </c>
      <c r="DC66">
        <f>87.033</f>
        <v>87.033000000000001</v>
      </c>
      <c r="DD66">
        <f>99.396</f>
        <v>99.396000000000001</v>
      </c>
      <c r="DE66">
        <f>89.837</f>
        <v>89.837000000000003</v>
      </c>
      <c r="DF66">
        <f>90.495</f>
        <v>90.495000000000005</v>
      </c>
      <c r="DG66">
        <f>80.997</f>
        <v>80.997</v>
      </c>
      <c r="DH66">
        <f>105.264</f>
        <v>105.264</v>
      </c>
      <c r="DI66">
        <f>97.964</f>
        <v>97.963999999999999</v>
      </c>
      <c r="DJ66">
        <f>97.922</f>
        <v>97.921999999999997</v>
      </c>
      <c r="DK66">
        <f>106.555</f>
        <v>106.55500000000001</v>
      </c>
      <c r="DL66">
        <f>93.955</f>
        <v>93.954999999999998</v>
      </c>
      <c r="DM66">
        <f>92.946</f>
        <v>92.945999999999998</v>
      </c>
      <c r="DN66">
        <f>90.206</f>
        <v>90.206000000000003</v>
      </c>
      <c r="DO66">
        <f>72.922</f>
        <v>72.921999999999997</v>
      </c>
      <c r="DP66">
        <f>83.98</f>
        <v>83.98</v>
      </c>
      <c r="DQ66">
        <f>88.396</f>
        <v>88.396000000000001</v>
      </c>
      <c r="DR66">
        <f>86.508</f>
        <v>86.507999999999996</v>
      </c>
      <c r="DS66">
        <f>84.836</f>
        <v>84.835999999999999</v>
      </c>
      <c r="DT66">
        <f>80.892</f>
        <v>80.891999999999996</v>
      </c>
      <c r="DU66">
        <f>83.579</f>
        <v>83.578999999999994</v>
      </c>
    </row>
    <row r="67" spans="1:125">
      <c r="A67" t="str">
        <f>"调整后EBITDA"</f>
        <v>调整后EBITDA</v>
      </c>
      <c r="B67" t="str">
        <f>""</f>
        <v/>
      </c>
      <c r="E67" t="str">
        <f>"Median"</f>
        <v>Median</v>
      </c>
      <c r="F67" t="str">
        <f ca="1">IF(ISERROR(IF(MEDIAN($F$68:$F$75) = 0, "", MEDIAN($F$68:$F$75))), "", (IF(MEDIAN($F$68:$F$75) = 0, "", MEDIAN($F$68:$F$75))))</f>
        <v/>
      </c>
      <c r="G67">
        <f ca="1">IF(ISERROR(IF(MEDIAN($G$68:$G$75) = 0, "", MEDIAN($G$68:$G$75))), "", (IF(MEDIAN($G$68:$G$75) = 0, "", MEDIAN($G$68:$G$75))))</f>
        <v>225.149</v>
      </c>
      <c r="H67">
        <f ca="1">IF(ISERROR(IF(MEDIAN($H$68:$H$75) = 0, "", MEDIAN($H$68:$H$75))), "", (IF(MEDIAN($H$68:$H$75) = 0, "", MEDIAN($H$68:$H$75))))</f>
        <v>221.36699999999999</v>
      </c>
      <c r="I67">
        <f ca="1">IF(ISERROR(IF(MEDIAN($I$68:$I$75) = 0, "", MEDIAN($I$68:$I$75))), "", (IF(MEDIAN($I$68:$I$75) = 0, "", MEDIAN($I$68:$I$75))))</f>
        <v>217.52199999999999</v>
      </c>
      <c r="J67">
        <f ca="1">IF(ISERROR(IF(MEDIAN($J$68:$J$75) = 0, "", MEDIAN($J$68:$J$75))), "", (IF(MEDIAN($J$68:$J$75) = 0, "", MEDIAN($J$68:$J$75))))</f>
        <v>216.85</v>
      </c>
      <c r="K67">
        <f ca="1">IF(ISERROR(IF(MEDIAN($K$68:$K$75) = 0, "", MEDIAN($K$68:$K$75))), "", (IF(MEDIAN($K$68:$K$75) = 0, "", MEDIAN($K$68:$K$75))))</f>
        <v>177.44900000000001</v>
      </c>
      <c r="L67">
        <f ca="1">IF(ISERROR(IF(MEDIAN($L$68:$L$75) = 0, "", MEDIAN($L$68:$L$75))), "", (IF(MEDIAN($L$68:$L$75) = 0, "", MEDIAN($L$68:$L$75))))</f>
        <v>165.95599999999999</v>
      </c>
      <c r="M67">
        <f ca="1">IF(ISERROR(IF(MEDIAN($M$68:$M$75) = 0, "", MEDIAN($M$68:$M$75))), "", (IF(MEDIAN($M$68:$M$75) = 0, "", MEDIAN($M$68:$M$75))))</f>
        <v>158.9615</v>
      </c>
      <c r="N67">
        <f ca="1">IF(ISERROR(IF(MEDIAN($N$68:$N$75) = 0, "", MEDIAN($N$68:$N$75))), "", (IF(MEDIAN($N$68:$N$75) = 0, "", MEDIAN($N$68:$N$75))))</f>
        <v>155.25299999999999</v>
      </c>
      <c r="O67">
        <f ca="1">IF(ISERROR(IF(MEDIAN($O$68:$O$75) = 0, "", MEDIAN($O$68:$O$75))), "", (IF(MEDIAN($O$68:$O$75) = 0, "", MEDIAN($O$68:$O$75))))</f>
        <v>154.108</v>
      </c>
      <c r="P67">
        <f ca="1">IF(ISERROR(IF(MEDIAN($P$68:$P$75) = 0, "", MEDIAN($P$68:$P$75))), "", (IF(MEDIAN($P$68:$P$75) = 0, "", MEDIAN($P$68:$P$75))))</f>
        <v>146.71249999999998</v>
      </c>
      <c r="Q67">
        <f ca="1">IF(ISERROR(IF(MEDIAN($Q$68:$Q$75) = 0, "", MEDIAN($Q$68:$Q$75))), "", (IF(MEDIAN($Q$68:$Q$75) = 0, "", MEDIAN($Q$68:$Q$75))))</f>
        <v>144.48250000000002</v>
      </c>
      <c r="R67">
        <f ca="1">IF(ISERROR(IF(MEDIAN($R$68:$R$75) = 0, "", MEDIAN($R$68:$R$75))), "", (IF(MEDIAN($R$68:$R$75) = 0, "", MEDIAN($R$68:$R$75))))</f>
        <v>142.64099999999999</v>
      </c>
      <c r="S67">
        <f ca="1">IF(ISERROR(IF(MEDIAN($S$68:$S$75) = 0, "", MEDIAN($S$68:$S$75))), "", (IF(MEDIAN($S$68:$S$75) = 0, "", MEDIAN($S$68:$S$75))))</f>
        <v>143.047</v>
      </c>
      <c r="T67">
        <f ca="1">IF(ISERROR(IF(MEDIAN($T$68:$T$75) = 0, "", MEDIAN($T$68:$T$75))), "", (IF(MEDIAN($T$68:$T$75) = 0, "", MEDIAN($T$68:$T$75))))</f>
        <v>137.30199999999999</v>
      </c>
      <c r="U67">
        <f ca="1">IF(ISERROR(IF(MEDIAN($U$68:$U$75) = 0, "", MEDIAN($U$68:$U$75))), "", (IF(MEDIAN($U$68:$U$75) = 0, "", MEDIAN($U$68:$U$75))))</f>
        <v>133.01599999999999</v>
      </c>
      <c r="V67">
        <f ca="1">IF(ISERROR(IF(MEDIAN($V$68:$V$75) = 0, "", MEDIAN($V$68:$V$75))), "", (IF(MEDIAN($V$68:$V$75) = 0, "", MEDIAN($V$68:$V$75))))</f>
        <v>130.26</v>
      </c>
      <c r="W67">
        <f ca="1">IF(ISERROR(IF(MEDIAN($W$68:$W$75) = 0, "", MEDIAN($W$68:$W$75))), "", (IF(MEDIAN($W$68:$W$75) = 0, "", MEDIAN($W$68:$W$75))))</f>
        <v>129.40449999999998</v>
      </c>
      <c r="X67">
        <f ca="1">IF(ISERROR(IF(MEDIAN($X$68:$X$75) = 0, "", MEDIAN($X$68:$X$75))), "", (IF(MEDIAN($X$68:$X$75) = 0, "", MEDIAN($X$68:$X$75))))</f>
        <v>72.159000000000006</v>
      </c>
      <c r="Y67">
        <f ca="1">IF(ISERROR(IF(MEDIAN($Y$68:$Y$75) = 0, "", MEDIAN($Y$68:$Y$75))), "", (IF(MEDIAN($Y$68:$Y$75) = 0, "", MEDIAN($Y$68:$Y$75))))</f>
        <v>73.108999999999995</v>
      </c>
      <c r="Z67">
        <f ca="1">IF(ISERROR(IF(MEDIAN($Z$68:$Z$75) = 0, "", MEDIAN($Z$68:$Z$75))), "", (IF(MEDIAN($Z$68:$Z$75) = 0, "", MEDIAN($Z$68:$Z$75))))</f>
        <v>72.173000000000002</v>
      </c>
      <c r="AA67">
        <f ca="1">IF(ISERROR(IF(MEDIAN($AA$68:$AA$75) = 0, "", MEDIAN($AA$68:$AA$75))), "", (IF(MEDIAN($AA$68:$AA$75) = 0, "", MEDIAN($AA$68:$AA$75))))</f>
        <v>71.174999999999997</v>
      </c>
      <c r="AB67">
        <f ca="1">IF(ISERROR(IF(MEDIAN($AB$68:$AB$75) = 0, "", MEDIAN($AB$68:$AB$75))), "", (IF(MEDIAN($AB$68:$AB$75) = 0, "", MEDIAN($AB$68:$AB$75))))</f>
        <v>8.2769999999999992</v>
      </c>
      <c r="AC67">
        <f ca="1">IF(ISERROR(IF(MEDIAN($AC$68:$AC$75) = 0, "", MEDIAN($AC$68:$AC$75))), "", (IF(MEDIAN($AC$68:$AC$75) = 0, "", MEDIAN($AC$68:$AC$75))))</f>
        <v>14.599</v>
      </c>
      <c r="AD67">
        <f ca="1">IF(ISERROR(IF(MEDIAN($AD$68:$AD$75) = 0, "", MEDIAN($AD$68:$AD$75))), "", (IF(MEDIAN($AD$68:$AD$75) = 0, "", MEDIAN($AD$68:$AD$75))))</f>
        <v>16.451000000000001</v>
      </c>
      <c r="AE67">
        <f ca="1">IF(ISERROR(IF(MEDIAN($AE$68:$AE$75) = 0, "", MEDIAN($AE$68:$AE$75))), "", (IF(MEDIAN($AE$68:$AE$75) = 0, "", MEDIAN($AE$68:$AE$75))))</f>
        <v>16.838000000000001</v>
      </c>
      <c r="AF67">
        <f ca="1">IF(ISERROR(IF(MEDIAN($AF$68:$AF$75) = 0, "", MEDIAN($AF$68:$AF$75))), "", (IF(MEDIAN($AF$68:$AF$75) = 0, "", MEDIAN($AF$68:$AF$75))))</f>
        <v>6.1180000000000003</v>
      </c>
      <c r="AG67" t="str">
        <f ca="1">IF(ISERROR(IF(MEDIAN($AG$68:$AG$75) = 0, "", MEDIAN($AG$68:$AG$75))), "", (IF(MEDIAN($AG$68:$AG$75) = 0, "", MEDIAN($AG$68:$AG$75))))</f>
        <v/>
      </c>
      <c r="AH67" t="str">
        <f ca="1">IF(ISERROR(IF(MEDIAN($AH$68:$AH$75) = 0, "", MEDIAN($AH$68:$AH$75))), "", (IF(MEDIAN($AH$68:$AH$75) = 0, "", MEDIAN($AH$68:$AH$75))))</f>
        <v/>
      </c>
      <c r="AI67" t="str">
        <f ca="1">IF(ISERROR(IF(MEDIAN($AI$68:$AI$75) = 0, "", MEDIAN($AI$68:$AI$75))), "", (IF(MEDIAN($AI$68:$AI$75) = 0, "", MEDIAN($AI$68:$AI$75))))</f>
        <v/>
      </c>
      <c r="AJ67" t="str">
        <f ca="1">IF(ISERROR(IF(MEDIAN($AJ$68:$AJ$75) = 0, "", MEDIAN($AJ$68:$AJ$75))), "", (IF(MEDIAN($AJ$68:$AJ$75) = 0, "", MEDIAN($AJ$68:$AJ$75))))</f>
        <v/>
      </c>
      <c r="AK67" t="str">
        <f ca="1">IF(ISERROR(IF(MEDIAN($AK$68:$AK$75) = 0, "", MEDIAN($AK$68:$AK$75))), "", (IF(MEDIAN($AK$68:$AK$75) = 0, "", MEDIAN($AK$68:$AK$75))))</f>
        <v/>
      </c>
      <c r="AL67" t="str">
        <f ca="1">IF(ISERROR(IF(MEDIAN($AL$68:$AL$75) = 0, "", MEDIAN($AL$68:$AL$75))), "", (IF(MEDIAN($AL$68:$AL$75) = 0, "", MEDIAN($AL$68:$AL$75))))</f>
        <v/>
      </c>
      <c r="AM67" t="str">
        <f ca="1">IF(ISERROR(IF(MEDIAN($AM$68:$AM$75) = 0, "", MEDIAN($AM$68:$AM$75))), "", (IF(MEDIAN($AM$68:$AM$75) = 0, "", MEDIAN($AM$68:$AM$75))))</f>
        <v/>
      </c>
      <c r="AN67" t="str">
        <f ca="1">IF(ISERROR(IF(MEDIAN($AN$68:$AN$75) = 0, "", MEDIAN($AN$68:$AN$75))), "", (IF(MEDIAN($AN$68:$AN$75) = 0, "", MEDIAN($AN$68:$AN$75))))</f>
        <v/>
      </c>
      <c r="AO67" t="str">
        <f ca="1">IF(ISERROR(IF(MEDIAN($AO$68:$AO$75) = 0, "", MEDIAN($AO$68:$AO$75))), "", (IF(MEDIAN($AO$68:$AO$75) = 0, "", MEDIAN($AO$68:$AO$75))))</f>
        <v/>
      </c>
      <c r="AP67" t="str">
        <f ca="1">IF(ISERROR(IF(MEDIAN($AP$68:$AP$75) = 0, "", MEDIAN($AP$68:$AP$75))), "", (IF(MEDIAN($AP$68:$AP$75) = 0, "", MEDIAN($AP$68:$AP$75))))</f>
        <v/>
      </c>
      <c r="AQ67" t="str">
        <f ca="1">IF(ISERROR(IF(MEDIAN($AQ$68:$AQ$75) = 0, "", MEDIAN($AQ$68:$AQ$75))), "", (IF(MEDIAN($AQ$68:$AQ$75) = 0, "", MEDIAN($AQ$68:$AQ$75))))</f>
        <v/>
      </c>
      <c r="AR67" t="str">
        <f ca="1">IF(ISERROR(IF(MEDIAN($AR$68:$AR$75) = 0, "", MEDIAN($AR$68:$AR$75))), "", (IF(MEDIAN($AR$68:$AR$75) = 0, "", MEDIAN($AR$68:$AR$75))))</f>
        <v/>
      </c>
      <c r="AS67" t="str">
        <f ca="1">IF(ISERROR(IF(MEDIAN($AS$68:$AS$75) = 0, "", MEDIAN($AS$68:$AS$75))), "", (IF(MEDIAN($AS$68:$AS$75) = 0, "", MEDIAN($AS$68:$AS$75))))</f>
        <v/>
      </c>
      <c r="AT67" t="str">
        <f ca="1">IF(ISERROR(IF(MEDIAN($AT$68:$AT$75) = 0, "", MEDIAN($AT$68:$AT$75))), "", (IF(MEDIAN($AT$68:$AT$75) = 0, "", MEDIAN($AT$68:$AT$75))))</f>
        <v/>
      </c>
      <c r="AU67" t="str">
        <f ca="1">IF(ISERROR(IF(MEDIAN($AU$68:$AU$75) = 0, "", MEDIAN($AU$68:$AU$75))), "", (IF(MEDIAN($AU$68:$AU$75) = 0, "", MEDIAN($AU$68:$AU$75))))</f>
        <v/>
      </c>
      <c r="AV67" t="str">
        <f ca="1">IF(ISERROR(IF(MEDIAN($AV$68:$AV$75) = 0, "", MEDIAN($AV$68:$AV$75))), "", (IF(MEDIAN($AV$68:$AV$75) = 0, "", MEDIAN($AV$68:$AV$75))))</f>
        <v/>
      </c>
      <c r="AW67" t="str">
        <f ca="1">IF(ISERROR(IF(MEDIAN($AW$68:$AW$75) = 0, "", MEDIAN($AW$68:$AW$75))), "", (IF(MEDIAN($AW$68:$AW$75) = 0, "", MEDIAN($AW$68:$AW$75))))</f>
        <v/>
      </c>
      <c r="AX67" t="str">
        <f ca="1">IF(ISERROR(IF(MEDIAN($AX$68:$AX$75) = 0, "", MEDIAN($AX$68:$AX$75))), "", (IF(MEDIAN($AX$68:$AX$75) = 0, "", MEDIAN($AX$68:$AX$75))))</f>
        <v/>
      </c>
      <c r="AY67" t="str">
        <f ca="1">IF(ISERROR(IF(MEDIAN($AY$68:$AY$75) = 0, "", MEDIAN($AY$68:$AY$75))), "", (IF(MEDIAN($AY$68:$AY$75) = 0, "", MEDIAN($AY$68:$AY$75))))</f>
        <v/>
      </c>
      <c r="AZ67" t="str">
        <f ca="1">IF(ISERROR(IF(MEDIAN($AZ$68:$AZ$75) = 0, "", MEDIAN($AZ$68:$AZ$75))), "", (IF(MEDIAN($AZ$68:$AZ$75) = 0, "", MEDIAN($AZ$68:$AZ$75))))</f>
        <v/>
      </c>
      <c r="BA67" t="str">
        <f ca="1">IF(ISERROR(IF(MEDIAN($BA$68:$BA$75) = 0, "", MEDIAN($BA$68:$BA$75))), "", (IF(MEDIAN($BA$68:$BA$75) = 0, "", MEDIAN($BA$68:$BA$75))))</f>
        <v/>
      </c>
      <c r="BB67" t="str">
        <f ca="1">IF(ISERROR(IF(MEDIAN($BB$68:$BB$75) = 0, "", MEDIAN($BB$68:$BB$75))), "", (IF(MEDIAN($BB$68:$BB$75) = 0, "", MEDIAN($BB$68:$BB$75))))</f>
        <v/>
      </c>
      <c r="BC67" t="str">
        <f ca="1">IF(ISERROR(IF(MEDIAN($BC$68:$BC$75) = 0, "", MEDIAN($BC$68:$BC$75))), "", (IF(MEDIAN($BC$68:$BC$75) = 0, "", MEDIAN($BC$68:$BC$75))))</f>
        <v/>
      </c>
      <c r="BD67" t="str">
        <f ca="1">IF(ISERROR(IF(MEDIAN($BD$68:$BD$75) = 0, "", MEDIAN($BD$68:$BD$75))), "", (IF(MEDIAN($BD$68:$BD$75) = 0, "", MEDIAN($BD$68:$BD$75))))</f>
        <v/>
      </c>
      <c r="BE67" t="str">
        <f ca="1">IF(ISERROR(IF(MEDIAN($BE$68:$BE$75) = 0, "", MEDIAN($BE$68:$BE$75))), "", (IF(MEDIAN($BE$68:$BE$75) = 0, "", MEDIAN($BE$68:$BE$75))))</f>
        <v/>
      </c>
      <c r="BF67" t="str">
        <f ca="1">IF(ISERROR(IF(MEDIAN($BF$68:$BF$75) = 0, "", MEDIAN($BF$68:$BF$75))), "", (IF(MEDIAN($BF$68:$BF$75) = 0, "", MEDIAN($BF$68:$BF$75))))</f>
        <v/>
      </c>
      <c r="BG67" t="str">
        <f ca="1">IF(ISERROR(IF(MEDIAN($BG$68:$BG$75) = 0, "", MEDIAN($BG$68:$BG$75))), "", (IF(MEDIAN($BG$68:$BG$75) = 0, "", MEDIAN($BG$68:$BG$75))))</f>
        <v/>
      </c>
      <c r="BH67" t="str">
        <f ca="1">IF(ISERROR(IF(MEDIAN($BH$68:$BH$75) = 0, "", MEDIAN($BH$68:$BH$75))), "", (IF(MEDIAN($BH$68:$BH$75) = 0, "", MEDIAN($BH$68:$BH$75))))</f>
        <v/>
      </c>
      <c r="BI67" t="str">
        <f ca="1">IF(ISERROR(IF(MEDIAN($BI$68:$BI$75) = 0, "", MEDIAN($BI$68:$BI$75))), "", (IF(MEDIAN($BI$68:$BI$75) = 0, "", MEDIAN($BI$68:$BI$75))))</f>
        <v/>
      </c>
      <c r="BJ67" t="str">
        <f ca="1">IF(ISERROR(IF(MEDIAN($BJ$68:$BJ$75) = 0, "", MEDIAN($BJ$68:$BJ$75))), "", (IF(MEDIAN($BJ$68:$BJ$75) = 0, "", MEDIAN($BJ$68:$BJ$75))))</f>
        <v/>
      </c>
      <c r="BK67" t="str">
        <f ca="1">IF(ISERROR(IF(MEDIAN($BK$68:$BK$75) = 0, "", MEDIAN($BK$68:$BK$75))), "", (IF(MEDIAN($BK$68:$BK$75) = 0, "", MEDIAN($BK$68:$BK$75))))</f>
        <v/>
      </c>
      <c r="BL67" t="str">
        <f ca="1">IF(ISERROR(IF(MEDIAN($BL$68:$BL$75) = 0, "", MEDIAN($BL$68:$BL$75))), "", (IF(MEDIAN($BL$68:$BL$75) = 0, "", MEDIAN($BL$68:$BL$75))))</f>
        <v/>
      </c>
      <c r="BM67" t="str">
        <f ca="1">IF(ISERROR(IF(MEDIAN($BM$68:$BM$75) = 0, "", MEDIAN($BM$68:$BM$75))), "", (IF(MEDIAN($BM$68:$BM$75) = 0, "", MEDIAN($BM$68:$BM$75))))</f>
        <v/>
      </c>
      <c r="BN67" t="str">
        <f>""</f>
        <v/>
      </c>
      <c r="BO67">
        <f>225.149</f>
        <v>225.149</v>
      </c>
      <c r="BP67">
        <f>221.367</f>
        <v>221.36699999999999</v>
      </c>
      <c r="BQ67">
        <f>217.522</f>
        <v>217.52199999999999</v>
      </c>
      <c r="BR67">
        <f>216.85</f>
        <v>216.85</v>
      </c>
      <c r="BS67">
        <f>177.449</f>
        <v>177.44900000000001</v>
      </c>
      <c r="BT67">
        <f>165.956</f>
        <v>165.95599999999999</v>
      </c>
      <c r="BU67">
        <f>158.9615</f>
        <v>158.9615</v>
      </c>
      <c r="BV67">
        <f>155.253</f>
        <v>155.25299999999999</v>
      </c>
      <c r="BW67">
        <f>154.108</f>
        <v>154.108</v>
      </c>
      <c r="BX67">
        <f>146.7125</f>
        <v>146.71250000000001</v>
      </c>
      <c r="BY67">
        <f>144.4825</f>
        <v>144.48249999999999</v>
      </c>
      <c r="BZ67">
        <f>142.641</f>
        <v>142.64099999999999</v>
      </c>
      <c r="CA67">
        <f>143.047</f>
        <v>143.047</v>
      </c>
      <c r="CB67">
        <f>137.302</f>
        <v>137.30199999999999</v>
      </c>
      <c r="CC67">
        <f>133.016</f>
        <v>133.01599999999999</v>
      </c>
      <c r="CD67">
        <f>130.26</f>
        <v>130.26</v>
      </c>
      <c r="CE67">
        <f>129.4045</f>
        <v>129.40450000000001</v>
      </c>
      <c r="CF67">
        <f>72.159</f>
        <v>72.159000000000006</v>
      </c>
      <c r="CG67">
        <f>73.109</f>
        <v>73.108999999999995</v>
      </c>
      <c r="CH67">
        <f>72.173</f>
        <v>72.173000000000002</v>
      </c>
      <c r="CI67">
        <f>71.175</f>
        <v>71.174999999999997</v>
      </c>
      <c r="CJ67">
        <f>8.277</f>
        <v>8.2769999999999992</v>
      </c>
      <c r="CK67">
        <f>14.599</f>
        <v>14.599</v>
      </c>
      <c r="CL67">
        <f>16.451</f>
        <v>16.451000000000001</v>
      </c>
      <c r="CM67">
        <f>16.838</f>
        <v>16.838000000000001</v>
      </c>
      <c r="CN67">
        <f>6.118</f>
        <v>6.1180000000000003</v>
      </c>
      <c r="CO67" t="str">
        <f>""</f>
        <v/>
      </c>
      <c r="CP67" t="str">
        <f>""</f>
        <v/>
      </c>
      <c r="CQ67" t="str">
        <f>""</f>
        <v/>
      </c>
      <c r="CR67" t="str">
        <f>""</f>
        <v/>
      </c>
      <c r="CS67" t="str">
        <f>""</f>
        <v/>
      </c>
      <c r="CT67" t="str">
        <f>""</f>
        <v/>
      </c>
      <c r="CU67" t="str">
        <f>""</f>
        <v/>
      </c>
      <c r="CV67" t="str">
        <f>""</f>
        <v/>
      </c>
      <c r="CW67" t="str">
        <f>""</f>
        <v/>
      </c>
      <c r="CX67" t="str">
        <f>""</f>
        <v/>
      </c>
      <c r="CY67" t="str">
        <f>""</f>
        <v/>
      </c>
      <c r="CZ67" t="str">
        <f>""</f>
        <v/>
      </c>
      <c r="DA67" t="str">
        <f>""</f>
        <v/>
      </c>
      <c r="DB67" t="str">
        <f>""</f>
        <v/>
      </c>
      <c r="DC67" t="str">
        <f>""</f>
        <v/>
      </c>
      <c r="DD67" t="str">
        <f>""</f>
        <v/>
      </c>
      <c r="DE67" t="str">
        <f>""</f>
        <v/>
      </c>
      <c r="DF67" t="str">
        <f>""</f>
        <v/>
      </c>
      <c r="DG67" t="str">
        <f>""</f>
        <v/>
      </c>
      <c r="DH67" t="str">
        <f>""</f>
        <v/>
      </c>
      <c r="DI67" t="str">
        <f>""</f>
        <v/>
      </c>
      <c r="DJ67" t="str">
        <f>""</f>
        <v/>
      </c>
      <c r="DK67" t="str">
        <f>""</f>
        <v/>
      </c>
      <c r="DL67" t="str">
        <f>""</f>
        <v/>
      </c>
      <c r="DM67" t="str">
        <f>""</f>
        <v/>
      </c>
      <c r="DN67" t="str">
        <f>""</f>
        <v/>
      </c>
      <c r="DO67" t="str">
        <f>""</f>
        <v/>
      </c>
      <c r="DP67" t="str">
        <f>""</f>
        <v/>
      </c>
      <c r="DQ67" t="str">
        <f>""</f>
        <v/>
      </c>
      <c r="DR67" t="str">
        <f>""</f>
        <v/>
      </c>
      <c r="DS67" t="str">
        <f>""</f>
        <v/>
      </c>
      <c r="DT67" t="str">
        <f>""</f>
        <v/>
      </c>
      <c r="DU67" t="str">
        <f>""</f>
        <v/>
      </c>
    </row>
    <row r="68" spans="1:125">
      <c r="A68" t="str">
        <f>"    American Campus Communities In"</f>
        <v xml:space="preserve">    American Campus Communities In</v>
      </c>
      <c r="B68" t="str">
        <f>"ACC US Equity"</f>
        <v>ACC US Equity</v>
      </c>
      <c r="C68" t="str">
        <f t="shared" ref="C68:C75" si="21">"IS972"</f>
        <v>IS972</v>
      </c>
      <c r="D68" t="str">
        <f t="shared" ref="D68:D75" si="22">"IS_ADJUSTED_EBITDA_AS_REPORTED"</f>
        <v>IS_ADJUSTED_EBITDA_AS_REPORTED</v>
      </c>
      <c r="E68" t="str">
        <f t="shared" ref="E68:E75" si="23">"动态"</f>
        <v>动态</v>
      </c>
      <c r="F68" t="str">
        <f ca="1">IF(AND(ISNUMBER($F$284),$B$226=1),$F$284,HLOOKUP(INDIRECT(ADDRESS(2,COLUMN())),OFFSET($BN$2,0,0,ROW()-1,60),ROW()-1,FALSE))</f>
        <v/>
      </c>
      <c r="G68" t="str">
        <f ca="1">IF(AND(ISNUMBER($G$284),$B$226=1),$G$284,HLOOKUP(INDIRECT(ADDRESS(2,COLUMN())),OFFSET($BN$2,0,0,ROW()-1,60),ROW()-1,FALSE))</f>
        <v/>
      </c>
      <c r="H68" t="str">
        <f ca="1">IF(AND(ISNUMBER($H$284),$B$226=1),$H$284,HLOOKUP(INDIRECT(ADDRESS(2,COLUMN())),OFFSET($BN$2,0,0,ROW()-1,60),ROW()-1,FALSE))</f>
        <v/>
      </c>
      <c r="I68" t="str">
        <f ca="1">IF(AND(ISNUMBER($I$284),$B$226=1),$I$284,HLOOKUP(INDIRECT(ADDRESS(2,COLUMN())),OFFSET($BN$2,0,0,ROW()-1,60),ROW()-1,FALSE))</f>
        <v/>
      </c>
      <c r="J68" t="str">
        <f ca="1">IF(AND(ISNUMBER($J$284),$B$226=1),$J$284,HLOOKUP(INDIRECT(ADDRESS(2,COLUMN())),OFFSET($BN$2,0,0,ROW()-1,60),ROW()-1,FALSE))</f>
        <v/>
      </c>
      <c r="K68" t="str">
        <f ca="1">IF(AND(ISNUMBER($K$284),$B$226=1),$K$284,HLOOKUP(INDIRECT(ADDRESS(2,COLUMN())),OFFSET($BN$2,0,0,ROW()-1,60),ROW()-1,FALSE))</f>
        <v/>
      </c>
      <c r="L68" t="str">
        <f ca="1">IF(AND(ISNUMBER($L$284),$B$226=1),$L$284,HLOOKUP(INDIRECT(ADDRESS(2,COLUMN())),OFFSET($BN$2,0,0,ROW()-1,60),ROW()-1,FALSE))</f>
        <v/>
      </c>
      <c r="M68" t="str">
        <f ca="1">IF(AND(ISNUMBER($M$284),$B$226=1),$M$284,HLOOKUP(INDIRECT(ADDRESS(2,COLUMN())),OFFSET($BN$2,0,0,ROW()-1,60),ROW()-1,FALSE))</f>
        <v/>
      </c>
      <c r="N68" t="str">
        <f ca="1">IF(AND(ISNUMBER($N$284),$B$226=1),$N$284,HLOOKUP(INDIRECT(ADDRESS(2,COLUMN())),OFFSET($BN$2,0,0,ROW()-1,60),ROW()-1,FALSE))</f>
        <v/>
      </c>
      <c r="O68" t="str">
        <f ca="1">IF(AND(ISNUMBER($O$284),$B$226=1),$O$284,HLOOKUP(INDIRECT(ADDRESS(2,COLUMN())),OFFSET($BN$2,0,0,ROW()-1,60),ROW()-1,FALSE))</f>
        <v/>
      </c>
      <c r="P68" t="str">
        <f ca="1">IF(AND(ISNUMBER($P$284),$B$226=1),$P$284,HLOOKUP(INDIRECT(ADDRESS(2,COLUMN())),OFFSET($BN$2,0,0,ROW()-1,60),ROW()-1,FALSE))</f>
        <v/>
      </c>
      <c r="Q68" t="str">
        <f ca="1">IF(AND(ISNUMBER($Q$284),$B$226=1),$Q$284,HLOOKUP(INDIRECT(ADDRESS(2,COLUMN())),OFFSET($BN$2,0,0,ROW()-1,60),ROW()-1,FALSE))</f>
        <v/>
      </c>
      <c r="R68" t="str">
        <f ca="1">IF(AND(ISNUMBER($R$284),$B$226=1),$R$284,HLOOKUP(INDIRECT(ADDRESS(2,COLUMN())),OFFSET($BN$2,0,0,ROW()-1,60),ROW()-1,FALSE))</f>
        <v/>
      </c>
      <c r="S68" t="str">
        <f ca="1">IF(AND(ISNUMBER($S$284),$B$226=1),$S$284,HLOOKUP(INDIRECT(ADDRESS(2,COLUMN())),OFFSET($BN$2,0,0,ROW()-1,60),ROW()-1,FALSE))</f>
        <v/>
      </c>
      <c r="T68" t="str">
        <f ca="1">IF(AND(ISNUMBER($T$284),$B$226=1),$T$284,HLOOKUP(INDIRECT(ADDRESS(2,COLUMN())),OFFSET($BN$2,0,0,ROW()-1,60),ROW()-1,FALSE))</f>
        <v/>
      </c>
      <c r="U68" t="str">
        <f ca="1">IF(AND(ISNUMBER($U$284),$B$226=1),$U$284,HLOOKUP(INDIRECT(ADDRESS(2,COLUMN())),OFFSET($BN$2,0,0,ROW()-1,60),ROW()-1,FALSE))</f>
        <v/>
      </c>
      <c r="V68" t="str">
        <f ca="1">IF(AND(ISNUMBER($V$284),$B$226=1),$V$284,HLOOKUP(INDIRECT(ADDRESS(2,COLUMN())),OFFSET($BN$2,0,0,ROW()-1,60),ROW()-1,FALSE))</f>
        <v/>
      </c>
      <c r="W68" t="str">
        <f ca="1">IF(AND(ISNUMBER($W$284),$B$226=1),$W$284,HLOOKUP(INDIRECT(ADDRESS(2,COLUMN())),OFFSET($BN$2,0,0,ROW()-1,60),ROW()-1,FALSE))</f>
        <v/>
      </c>
      <c r="X68" t="str">
        <f ca="1">IF(AND(ISNUMBER($X$284),$B$226=1),$X$284,HLOOKUP(INDIRECT(ADDRESS(2,COLUMN())),OFFSET($BN$2,0,0,ROW()-1,60),ROW()-1,FALSE))</f>
        <v/>
      </c>
      <c r="Y68" t="str">
        <f ca="1">IF(AND(ISNUMBER($Y$284),$B$226=1),$Y$284,HLOOKUP(INDIRECT(ADDRESS(2,COLUMN())),OFFSET($BN$2,0,0,ROW()-1,60),ROW()-1,FALSE))</f>
        <v/>
      </c>
      <c r="Z68" t="str">
        <f ca="1">IF(AND(ISNUMBER($Z$284),$B$226=1),$Z$284,HLOOKUP(INDIRECT(ADDRESS(2,COLUMN())),OFFSET($BN$2,0,0,ROW()-1,60),ROW()-1,FALSE))</f>
        <v/>
      </c>
      <c r="AA68" t="str">
        <f ca="1">IF(AND(ISNUMBER($AA$284),$B$226=1),$AA$284,HLOOKUP(INDIRECT(ADDRESS(2,COLUMN())),OFFSET($BN$2,0,0,ROW()-1,60),ROW()-1,FALSE))</f>
        <v/>
      </c>
      <c r="AB68" t="str">
        <f ca="1">IF(AND(ISNUMBER($AB$284),$B$226=1),$AB$284,HLOOKUP(INDIRECT(ADDRESS(2,COLUMN())),OFFSET($BN$2,0,0,ROW()-1,60),ROW()-1,FALSE))</f>
        <v/>
      </c>
      <c r="AC68" t="str">
        <f ca="1">IF(AND(ISNUMBER($AC$284),$B$226=1),$AC$284,HLOOKUP(INDIRECT(ADDRESS(2,COLUMN())),OFFSET($BN$2,0,0,ROW()-1,60),ROW()-1,FALSE))</f>
        <v/>
      </c>
      <c r="AD68" t="str">
        <f ca="1">IF(AND(ISNUMBER($AD$284),$B$226=1),$AD$284,HLOOKUP(INDIRECT(ADDRESS(2,COLUMN())),OFFSET($BN$2,0,0,ROW()-1,60),ROW()-1,FALSE))</f>
        <v/>
      </c>
      <c r="AE68" t="str">
        <f ca="1">IF(AND(ISNUMBER($AE$284),$B$226=1),$AE$284,HLOOKUP(INDIRECT(ADDRESS(2,COLUMN())),OFFSET($BN$2,0,0,ROW()-1,60),ROW()-1,FALSE))</f>
        <v/>
      </c>
      <c r="AF68" t="str">
        <f ca="1">IF(AND(ISNUMBER($AF$284),$B$226=1),$AF$284,HLOOKUP(INDIRECT(ADDRESS(2,COLUMN())),OFFSET($BN$2,0,0,ROW()-1,60),ROW()-1,FALSE))</f>
        <v/>
      </c>
      <c r="AG68" t="str">
        <f ca="1">IF(AND(ISNUMBER($AG$284),$B$226=1),$AG$284,HLOOKUP(INDIRECT(ADDRESS(2,COLUMN())),OFFSET($BN$2,0,0,ROW()-1,60),ROW()-1,FALSE))</f>
        <v/>
      </c>
      <c r="AH68" t="str">
        <f ca="1">IF(AND(ISNUMBER($AH$284),$B$226=1),$AH$284,HLOOKUP(INDIRECT(ADDRESS(2,COLUMN())),OFFSET($BN$2,0,0,ROW()-1,60),ROW()-1,FALSE))</f>
        <v/>
      </c>
      <c r="AI68" t="str">
        <f ca="1">IF(AND(ISNUMBER($AI$284),$B$226=1),$AI$284,HLOOKUP(INDIRECT(ADDRESS(2,COLUMN())),OFFSET($BN$2,0,0,ROW()-1,60),ROW()-1,FALSE))</f>
        <v/>
      </c>
      <c r="AJ68" t="str">
        <f ca="1">IF(AND(ISNUMBER($AJ$284),$B$226=1),$AJ$284,HLOOKUP(INDIRECT(ADDRESS(2,COLUMN())),OFFSET($BN$2,0,0,ROW()-1,60),ROW()-1,FALSE))</f>
        <v/>
      </c>
      <c r="AK68" t="str">
        <f ca="1">IF(AND(ISNUMBER($AK$284),$B$226=1),$AK$284,HLOOKUP(INDIRECT(ADDRESS(2,COLUMN())),OFFSET($BN$2,0,0,ROW()-1,60),ROW()-1,FALSE))</f>
        <v/>
      </c>
      <c r="AL68" t="str">
        <f ca="1">IF(AND(ISNUMBER($AL$284),$B$226=1),$AL$284,HLOOKUP(INDIRECT(ADDRESS(2,COLUMN())),OFFSET($BN$2,0,0,ROW()-1,60),ROW()-1,FALSE))</f>
        <v/>
      </c>
      <c r="AM68" t="str">
        <f ca="1">IF(AND(ISNUMBER($AM$284),$B$226=1),$AM$284,HLOOKUP(INDIRECT(ADDRESS(2,COLUMN())),OFFSET($BN$2,0,0,ROW()-1,60),ROW()-1,FALSE))</f>
        <v/>
      </c>
      <c r="AN68" t="str">
        <f ca="1">IF(AND(ISNUMBER($AN$284),$B$226=1),$AN$284,HLOOKUP(INDIRECT(ADDRESS(2,COLUMN())),OFFSET($BN$2,0,0,ROW()-1,60),ROW()-1,FALSE))</f>
        <v/>
      </c>
      <c r="AO68" t="str">
        <f ca="1">IF(AND(ISNUMBER($AO$284),$B$226=1),$AO$284,HLOOKUP(INDIRECT(ADDRESS(2,COLUMN())),OFFSET($BN$2,0,0,ROW()-1,60),ROW()-1,FALSE))</f>
        <v/>
      </c>
      <c r="AP68" t="str">
        <f ca="1">IF(AND(ISNUMBER($AP$284),$B$226=1),$AP$284,HLOOKUP(INDIRECT(ADDRESS(2,COLUMN())),OFFSET($BN$2,0,0,ROW()-1,60),ROW()-1,FALSE))</f>
        <v/>
      </c>
      <c r="AQ68" t="str">
        <f ca="1">IF(AND(ISNUMBER($AQ$284),$B$226=1),$AQ$284,HLOOKUP(INDIRECT(ADDRESS(2,COLUMN())),OFFSET($BN$2,0,0,ROW()-1,60),ROW()-1,FALSE))</f>
        <v/>
      </c>
      <c r="AR68" t="str">
        <f ca="1">IF(AND(ISNUMBER($AR$284),$B$226=1),$AR$284,HLOOKUP(INDIRECT(ADDRESS(2,COLUMN())),OFFSET($BN$2,0,0,ROW()-1,60),ROW()-1,FALSE))</f>
        <v/>
      </c>
      <c r="AS68" t="str">
        <f ca="1">IF(AND(ISNUMBER($AS$284),$B$226=1),$AS$284,HLOOKUP(INDIRECT(ADDRESS(2,COLUMN())),OFFSET($BN$2,0,0,ROW()-1,60),ROW()-1,FALSE))</f>
        <v/>
      </c>
      <c r="AT68" t="str">
        <f ca="1">IF(AND(ISNUMBER($AT$284),$B$226=1),$AT$284,HLOOKUP(INDIRECT(ADDRESS(2,COLUMN())),OFFSET($BN$2,0,0,ROW()-1,60),ROW()-1,FALSE))</f>
        <v/>
      </c>
      <c r="AU68" t="str">
        <f ca="1">IF(AND(ISNUMBER($AU$284),$B$226=1),$AU$284,HLOOKUP(INDIRECT(ADDRESS(2,COLUMN())),OFFSET($BN$2,0,0,ROW()-1,60),ROW()-1,FALSE))</f>
        <v/>
      </c>
      <c r="AV68" t="str">
        <f ca="1">IF(AND(ISNUMBER($AV$284),$B$226=1),$AV$284,HLOOKUP(INDIRECT(ADDRESS(2,COLUMN())),OFFSET($BN$2,0,0,ROW()-1,60),ROW()-1,FALSE))</f>
        <v/>
      </c>
      <c r="AW68" t="str">
        <f ca="1">IF(AND(ISNUMBER($AW$284),$B$226=1),$AW$284,HLOOKUP(INDIRECT(ADDRESS(2,COLUMN())),OFFSET($BN$2,0,0,ROW()-1,60),ROW()-1,FALSE))</f>
        <v/>
      </c>
      <c r="AX68" t="str">
        <f ca="1">IF(AND(ISNUMBER($AX$284),$B$226=1),$AX$284,HLOOKUP(INDIRECT(ADDRESS(2,COLUMN())),OFFSET($BN$2,0,0,ROW()-1,60),ROW()-1,FALSE))</f>
        <v/>
      </c>
      <c r="AY68" t="str">
        <f ca="1">IF(AND(ISNUMBER($AY$284),$B$226=1),$AY$284,HLOOKUP(INDIRECT(ADDRESS(2,COLUMN())),OFFSET($BN$2,0,0,ROW()-1,60),ROW()-1,FALSE))</f>
        <v/>
      </c>
      <c r="AZ68" t="str">
        <f ca="1">IF(AND(ISNUMBER($AZ$284),$B$226=1),$AZ$284,HLOOKUP(INDIRECT(ADDRESS(2,COLUMN())),OFFSET($BN$2,0,0,ROW()-1,60),ROW()-1,FALSE))</f>
        <v/>
      </c>
      <c r="BA68" t="str">
        <f ca="1">IF(AND(ISNUMBER($BA$284),$B$226=1),$BA$284,HLOOKUP(INDIRECT(ADDRESS(2,COLUMN())),OFFSET($BN$2,0,0,ROW()-1,60),ROW()-1,FALSE))</f>
        <v/>
      </c>
      <c r="BB68" t="str">
        <f ca="1">IF(AND(ISNUMBER($BB$284),$B$226=1),$BB$284,HLOOKUP(INDIRECT(ADDRESS(2,COLUMN())),OFFSET($BN$2,0,0,ROW()-1,60),ROW()-1,FALSE))</f>
        <v/>
      </c>
      <c r="BC68" t="str">
        <f ca="1">IF(AND(ISNUMBER($BC$284),$B$226=1),$BC$284,HLOOKUP(INDIRECT(ADDRESS(2,COLUMN())),OFFSET($BN$2,0,0,ROW()-1,60),ROW()-1,FALSE))</f>
        <v/>
      </c>
      <c r="BD68" t="str">
        <f ca="1">IF(AND(ISNUMBER($BD$284),$B$226=1),$BD$284,HLOOKUP(INDIRECT(ADDRESS(2,COLUMN())),OFFSET($BN$2,0,0,ROW()-1,60),ROW()-1,FALSE))</f>
        <v/>
      </c>
      <c r="BE68" t="str">
        <f ca="1">IF(AND(ISNUMBER($BE$284),$B$226=1),$BE$284,HLOOKUP(INDIRECT(ADDRESS(2,COLUMN())),OFFSET($BN$2,0,0,ROW()-1,60),ROW()-1,FALSE))</f>
        <v/>
      </c>
      <c r="BF68" t="str">
        <f ca="1">IF(AND(ISNUMBER($BF$284),$B$226=1),$BF$284,HLOOKUP(INDIRECT(ADDRESS(2,COLUMN())),OFFSET($BN$2,0,0,ROW()-1,60),ROW()-1,FALSE))</f>
        <v/>
      </c>
      <c r="BG68" t="str">
        <f ca="1">IF(AND(ISNUMBER($BG$284),$B$226=1),$BG$284,HLOOKUP(INDIRECT(ADDRESS(2,COLUMN())),OFFSET($BN$2,0,0,ROW()-1,60),ROW()-1,FALSE))</f>
        <v/>
      </c>
      <c r="BH68" t="str">
        <f ca="1">IF(AND(ISNUMBER($BH$284),$B$226=1),$BH$284,HLOOKUP(INDIRECT(ADDRESS(2,COLUMN())),OFFSET($BN$2,0,0,ROW()-1,60),ROW()-1,FALSE))</f>
        <v/>
      </c>
      <c r="BI68" t="str">
        <f ca="1">IF(AND(ISNUMBER($BI$284),$B$226=1),$BI$284,HLOOKUP(INDIRECT(ADDRESS(2,COLUMN())),OFFSET($BN$2,0,0,ROW()-1,60),ROW()-1,FALSE))</f>
        <v/>
      </c>
      <c r="BJ68" t="str">
        <f ca="1">IF(AND(ISNUMBER($BJ$284),$B$226=1),$BJ$284,HLOOKUP(INDIRECT(ADDRESS(2,COLUMN())),OFFSET($BN$2,0,0,ROW()-1,60),ROW()-1,FALSE))</f>
        <v/>
      </c>
      <c r="BK68" t="str">
        <f ca="1">IF(AND(ISNUMBER($BK$284),$B$226=1),$BK$284,HLOOKUP(INDIRECT(ADDRESS(2,COLUMN())),OFFSET($BN$2,0,0,ROW()-1,60),ROW()-1,FALSE))</f>
        <v/>
      </c>
      <c r="BL68" t="str">
        <f ca="1">IF(AND(ISNUMBER($BL$284),$B$226=1),$BL$284,HLOOKUP(INDIRECT(ADDRESS(2,COLUMN())),OFFSET($BN$2,0,0,ROW()-1,60),ROW()-1,FALSE))</f>
        <v/>
      </c>
      <c r="BM68" t="str">
        <f ca="1">IF(AND(ISNUMBER($BM$284),$B$226=1),$BM$284,HLOOKUP(INDIRECT(ADDRESS(2,COLUMN())),OFFSET($BN$2,0,0,ROW()-1,60),ROW()-1,FALSE))</f>
        <v/>
      </c>
      <c r="BN68" t="str">
        <f>""</f>
        <v/>
      </c>
      <c r="BO68" t="str">
        <f>""</f>
        <v/>
      </c>
      <c r="BP68" t="str">
        <f>""</f>
        <v/>
      </c>
      <c r="BQ68" t="str">
        <f>""</f>
        <v/>
      </c>
      <c r="BR68" t="str">
        <f>""</f>
        <v/>
      </c>
      <c r="BS68" t="str">
        <f>""</f>
        <v/>
      </c>
      <c r="BT68" t="str">
        <f>""</f>
        <v/>
      </c>
      <c r="BU68" t="str">
        <f>""</f>
        <v/>
      </c>
      <c r="BV68" t="str">
        <f>""</f>
        <v/>
      </c>
      <c r="BW68" t="str">
        <f>""</f>
        <v/>
      </c>
      <c r="BX68" t="str">
        <f>""</f>
        <v/>
      </c>
      <c r="BY68" t="str">
        <f>""</f>
        <v/>
      </c>
      <c r="BZ68" t="str">
        <f>""</f>
        <v/>
      </c>
      <c r="CA68" t="str">
        <f>""</f>
        <v/>
      </c>
      <c r="CB68" t="str">
        <f>""</f>
        <v/>
      </c>
      <c r="CC68" t="str">
        <f>""</f>
        <v/>
      </c>
      <c r="CD68" t="str">
        <f>""</f>
        <v/>
      </c>
      <c r="CE68" t="str">
        <f>""</f>
        <v/>
      </c>
      <c r="CF68" t="str">
        <f>""</f>
        <v/>
      </c>
      <c r="CG68" t="str">
        <f>""</f>
        <v/>
      </c>
      <c r="CH68" t="str">
        <f>""</f>
        <v/>
      </c>
      <c r="CI68" t="str">
        <f>""</f>
        <v/>
      </c>
      <c r="CJ68" t="str">
        <f>""</f>
        <v/>
      </c>
      <c r="CK68" t="str">
        <f>""</f>
        <v/>
      </c>
      <c r="CL68" t="str">
        <f>""</f>
        <v/>
      </c>
      <c r="CM68" t="str">
        <f>""</f>
        <v/>
      </c>
      <c r="CN68" t="str">
        <f>""</f>
        <v/>
      </c>
      <c r="CO68" t="str">
        <f>""</f>
        <v/>
      </c>
      <c r="CP68" t="str">
        <f>""</f>
        <v/>
      </c>
      <c r="CQ68" t="str">
        <f>""</f>
        <v/>
      </c>
      <c r="CR68" t="str">
        <f>""</f>
        <v/>
      </c>
      <c r="CS68" t="str">
        <f>""</f>
        <v/>
      </c>
      <c r="CT68" t="str">
        <f>""</f>
        <v/>
      </c>
      <c r="CU68" t="str">
        <f>""</f>
        <v/>
      </c>
      <c r="CV68" t="str">
        <f>""</f>
        <v/>
      </c>
      <c r="CW68" t="str">
        <f>""</f>
        <v/>
      </c>
      <c r="CX68" t="str">
        <f>""</f>
        <v/>
      </c>
      <c r="CY68" t="str">
        <f>""</f>
        <v/>
      </c>
      <c r="CZ68" t="str">
        <f>""</f>
        <v/>
      </c>
      <c r="DA68" t="str">
        <f>""</f>
        <v/>
      </c>
      <c r="DB68" t="str">
        <f>""</f>
        <v/>
      </c>
      <c r="DC68" t="str">
        <f>""</f>
        <v/>
      </c>
      <c r="DD68" t="str">
        <f>""</f>
        <v/>
      </c>
      <c r="DE68" t="str">
        <f>""</f>
        <v/>
      </c>
      <c r="DF68" t="str">
        <f>""</f>
        <v/>
      </c>
      <c r="DG68" t="str">
        <f>""</f>
        <v/>
      </c>
      <c r="DH68" t="str">
        <f>""</f>
        <v/>
      </c>
      <c r="DI68" t="str">
        <f>""</f>
        <v/>
      </c>
      <c r="DJ68" t="str">
        <f>""</f>
        <v/>
      </c>
      <c r="DK68" t="str">
        <f>""</f>
        <v/>
      </c>
      <c r="DL68" t="str">
        <f>""</f>
        <v/>
      </c>
      <c r="DM68" t="str">
        <f>""</f>
        <v/>
      </c>
      <c r="DN68" t="str">
        <f>""</f>
        <v/>
      </c>
      <c r="DO68" t="str">
        <f>""</f>
        <v/>
      </c>
      <c r="DP68" t="str">
        <f>""</f>
        <v/>
      </c>
      <c r="DQ68" t="str">
        <f>""</f>
        <v/>
      </c>
      <c r="DR68" t="str">
        <f>""</f>
        <v/>
      </c>
      <c r="DS68" t="str">
        <f>""</f>
        <v/>
      </c>
      <c r="DT68" t="str">
        <f>""</f>
        <v/>
      </c>
      <c r="DU68" t="str">
        <f>""</f>
        <v/>
      </c>
    </row>
    <row r="69" spans="1:125">
      <c r="A69" t="str">
        <f>"    AvalonBay Communities Inc"</f>
        <v xml:space="preserve">    AvalonBay Communities Inc</v>
      </c>
      <c r="B69" t="str">
        <f>"AVB US Equity"</f>
        <v>AVB US Equity</v>
      </c>
      <c r="C69" t="str">
        <f t="shared" si="21"/>
        <v>IS972</v>
      </c>
      <c r="D69" t="str">
        <f t="shared" si="22"/>
        <v>IS_ADJUSTED_EBITDA_AS_REPORTED</v>
      </c>
      <c r="E69" t="str">
        <f t="shared" si="23"/>
        <v>动态</v>
      </c>
      <c r="F69" t="str">
        <f ca="1">IF(AND(ISNUMBER($F$285),$B$226=1),$F$285,HLOOKUP(INDIRECT(ADDRESS(2,COLUMN())),OFFSET($BN$2,0,0,ROW()-1,60),ROW()-1,FALSE))</f>
        <v/>
      </c>
      <c r="G69">
        <f ca="1">IF(AND(ISNUMBER($G$285),$B$226=1),$G$285,HLOOKUP(INDIRECT(ADDRESS(2,COLUMN())),OFFSET($BN$2,0,0,ROW()-1,60),ROW()-1,FALSE))</f>
        <v>362.197</v>
      </c>
      <c r="H69">
        <f ca="1">IF(AND(ISNUMBER($H$285),$B$226=1),$H$285,HLOOKUP(INDIRECT(ADDRESS(2,COLUMN())),OFFSET($BN$2,0,0,ROW()-1,60),ROW()-1,FALSE))</f>
        <v>348.18700000000001</v>
      </c>
      <c r="I69">
        <f ca="1">IF(AND(ISNUMBER($I$285),$B$226=1),$I$285,HLOOKUP(INDIRECT(ADDRESS(2,COLUMN())),OFFSET($BN$2,0,0,ROW()-1,60),ROW()-1,FALSE))</f>
        <v>337.30399999999997</v>
      </c>
      <c r="J69">
        <f ca="1">IF(AND(ISNUMBER($J$285),$B$226=1),$J$285,HLOOKUP(INDIRECT(ADDRESS(2,COLUMN())),OFFSET($BN$2,0,0,ROW()-1,60),ROW()-1,FALSE))</f>
        <v>333.47699999999998</v>
      </c>
      <c r="K69">
        <f ca="1">IF(AND(ISNUMBER($K$285),$B$226=1),$K$285,HLOOKUP(INDIRECT(ADDRESS(2,COLUMN())),OFFSET($BN$2,0,0,ROW()-1,60),ROW()-1,FALSE))</f>
        <v>339.05500000000001</v>
      </c>
      <c r="L69">
        <f ca="1">IF(AND(ISNUMBER($L$285),$B$226=1),$L$285,HLOOKUP(INDIRECT(ADDRESS(2,COLUMN())),OFFSET($BN$2,0,0,ROW()-1,60),ROW()-1,FALSE))</f>
        <v>323.66800000000001</v>
      </c>
      <c r="M69">
        <f ca="1">IF(AND(ISNUMBER($M$285),$B$226=1),$M$285,HLOOKUP(INDIRECT(ADDRESS(2,COLUMN())),OFFSET($BN$2,0,0,ROW()-1,60),ROW()-1,FALSE))</f>
        <v>320.74900000000002</v>
      </c>
      <c r="N69">
        <f ca="1">IF(AND(ISNUMBER($N$285),$B$226=1),$N$285,HLOOKUP(INDIRECT(ADDRESS(2,COLUMN())),OFFSET($BN$2,0,0,ROW()-1,60),ROW()-1,FALSE))</f>
        <v>311.54300000000001</v>
      </c>
      <c r="O69">
        <f ca="1">IF(AND(ISNUMBER($O$285),$B$226=1),$O$285,HLOOKUP(INDIRECT(ADDRESS(2,COLUMN())),OFFSET($BN$2,0,0,ROW()-1,60),ROW()-1,FALSE))</f>
        <v>310.90600000000001</v>
      </c>
      <c r="P69">
        <f ca="1">IF(AND(ISNUMBER($P$285),$B$226=1),$P$285,HLOOKUP(INDIRECT(ADDRESS(2,COLUMN())),OFFSET($BN$2,0,0,ROW()-1,60),ROW()-1,FALSE))</f>
        <v>299.28100000000001</v>
      </c>
      <c r="Q69">
        <f ca="1">IF(AND(ISNUMBER($Q$285),$B$226=1),$Q$285,HLOOKUP(INDIRECT(ADDRESS(2,COLUMN())),OFFSET($BN$2,0,0,ROW()-1,60),ROW()-1,FALSE))</f>
        <v>289.23899999999998</v>
      </c>
      <c r="R69">
        <f ca="1">IF(AND(ISNUMBER($R$285),$B$226=1),$R$285,HLOOKUP(INDIRECT(ADDRESS(2,COLUMN())),OFFSET($BN$2,0,0,ROW()-1,60),ROW()-1,FALSE))</f>
        <v>264.23200000000003</v>
      </c>
      <c r="S69">
        <f ca="1">IF(AND(ISNUMBER($S$285),$B$226=1),$S$285,HLOOKUP(INDIRECT(ADDRESS(2,COLUMN())),OFFSET($BN$2,0,0,ROW()-1,60),ROW()-1,FALSE))</f>
        <v>282.56700000000001</v>
      </c>
      <c r="T69">
        <f ca="1">IF(AND(ISNUMBER($T$285),$B$226=1),$T$285,HLOOKUP(INDIRECT(ADDRESS(2,COLUMN())),OFFSET($BN$2,0,0,ROW()-1,60),ROW()-1,FALSE))</f>
        <v>267.50400000000002</v>
      </c>
      <c r="U69">
        <f ca="1">IF(AND(ISNUMBER($U$285),$B$226=1),$U$285,HLOOKUP(INDIRECT(ADDRESS(2,COLUMN())),OFFSET($BN$2,0,0,ROW()-1,60),ROW()-1,FALSE))</f>
        <v>255.65</v>
      </c>
      <c r="V69" t="str">
        <f ca="1">IF(AND(ISNUMBER($V$285),$B$226=1),$V$285,HLOOKUP(INDIRECT(ADDRESS(2,COLUMN())),OFFSET($BN$2,0,0,ROW()-1,60),ROW()-1,FALSE))</f>
        <v/>
      </c>
      <c r="W69" t="str">
        <f ca="1">IF(AND(ISNUMBER($W$285),$B$226=1),$W$285,HLOOKUP(INDIRECT(ADDRESS(2,COLUMN())),OFFSET($BN$2,0,0,ROW()-1,60),ROW()-1,FALSE))</f>
        <v/>
      </c>
      <c r="X69" t="str">
        <f ca="1">IF(AND(ISNUMBER($X$285),$B$226=1),$X$285,HLOOKUP(INDIRECT(ADDRESS(2,COLUMN())),OFFSET($BN$2,0,0,ROW()-1,60),ROW()-1,FALSE))</f>
        <v/>
      </c>
      <c r="Y69" t="str">
        <f ca="1">IF(AND(ISNUMBER($Y$285),$B$226=1),$Y$285,HLOOKUP(INDIRECT(ADDRESS(2,COLUMN())),OFFSET($BN$2,0,0,ROW()-1,60),ROW()-1,FALSE))</f>
        <v/>
      </c>
      <c r="Z69" t="str">
        <f ca="1">IF(AND(ISNUMBER($Z$285),$B$226=1),$Z$285,HLOOKUP(INDIRECT(ADDRESS(2,COLUMN())),OFFSET($BN$2,0,0,ROW()-1,60),ROW()-1,FALSE))</f>
        <v/>
      </c>
      <c r="AA69" t="str">
        <f ca="1">IF(AND(ISNUMBER($AA$285),$B$226=1),$AA$285,HLOOKUP(INDIRECT(ADDRESS(2,COLUMN())),OFFSET($BN$2,0,0,ROW()-1,60),ROW()-1,FALSE))</f>
        <v/>
      </c>
      <c r="AB69" t="str">
        <f ca="1">IF(AND(ISNUMBER($AB$285),$B$226=1),$AB$285,HLOOKUP(INDIRECT(ADDRESS(2,COLUMN())),OFFSET($BN$2,0,0,ROW()-1,60),ROW()-1,FALSE))</f>
        <v/>
      </c>
      <c r="AC69" t="str">
        <f ca="1">IF(AND(ISNUMBER($AC$285),$B$226=1),$AC$285,HLOOKUP(INDIRECT(ADDRESS(2,COLUMN())),OFFSET($BN$2,0,0,ROW()-1,60),ROW()-1,FALSE))</f>
        <v/>
      </c>
      <c r="AD69" t="str">
        <f ca="1">IF(AND(ISNUMBER($AD$285),$B$226=1),$AD$285,HLOOKUP(INDIRECT(ADDRESS(2,COLUMN())),OFFSET($BN$2,0,0,ROW()-1,60),ROW()-1,FALSE))</f>
        <v/>
      </c>
      <c r="AE69" t="str">
        <f ca="1">IF(AND(ISNUMBER($AE$285),$B$226=1),$AE$285,HLOOKUP(INDIRECT(ADDRESS(2,COLUMN())),OFFSET($BN$2,0,0,ROW()-1,60),ROW()-1,FALSE))</f>
        <v/>
      </c>
      <c r="AF69" t="str">
        <f ca="1">IF(AND(ISNUMBER($AF$285),$B$226=1),$AF$285,HLOOKUP(INDIRECT(ADDRESS(2,COLUMN())),OFFSET($BN$2,0,0,ROW()-1,60),ROW()-1,FALSE))</f>
        <v/>
      </c>
      <c r="AG69" t="str">
        <f ca="1">IF(AND(ISNUMBER($AG$285),$B$226=1),$AG$285,HLOOKUP(INDIRECT(ADDRESS(2,COLUMN())),OFFSET($BN$2,0,0,ROW()-1,60),ROW()-1,FALSE))</f>
        <v/>
      </c>
      <c r="AH69" t="str">
        <f ca="1">IF(AND(ISNUMBER($AH$285),$B$226=1),$AH$285,HLOOKUP(INDIRECT(ADDRESS(2,COLUMN())),OFFSET($BN$2,0,0,ROW()-1,60),ROW()-1,FALSE))</f>
        <v/>
      </c>
      <c r="AI69" t="str">
        <f ca="1">IF(AND(ISNUMBER($AI$285),$B$226=1),$AI$285,HLOOKUP(INDIRECT(ADDRESS(2,COLUMN())),OFFSET($BN$2,0,0,ROW()-1,60),ROW()-1,FALSE))</f>
        <v/>
      </c>
      <c r="AJ69" t="str">
        <f ca="1">IF(AND(ISNUMBER($AJ$285),$B$226=1),$AJ$285,HLOOKUP(INDIRECT(ADDRESS(2,COLUMN())),OFFSET($BN$2,0,0,ROW()-1,60),ROW()-1,FALSE))</f>
        <v/>
      </c>
      <c r="AK69" t="str">
        <f ca="1">IF(AND(ISNUMBER($AK$285),$B$226=1),$AK$285,HLOOKUP(INDIRECT(ADDRESS(2,COLUMN())),OFFSET($BN$2,0,0,ROW()-1,60),ROW()-1,FALSE))</f>
        <v/>
      </c>
      <c r="AL69" t="str">
        <f ca="1">IF(AND(ISNUMBER($AL$285),$B$226=1),$AL$285,HLOOKUP(INDIRECT(ADDRESS(2,COLUMN())),OFFSET($BN$2,0,0,ROW()-1,60),ROW()-1,FALSE))</f>
        <v/>
      </c>
      <c r="AM69" t="str">
        <f ca="1">IF(AND(ISNUMBER($AM$285),$B$226=1),$AM$285,HLOOKUP(INDIRECT(ADDRESS(2,COLUMN())),OFFSET($BN$2,0,0,ROW()-1,60),ROW()-1,FALSE))</f>
        <v/>
      </c>
      <c r="AN69" t="str">
        <f ca="1">IF(AND(ISNUMBER($AN$285),$B$226=1),$AN$285,HLOOKUP(INDIRECT(ADDRESS(2,COLUMN())),OFFSET($BN$2,0,0,ROW()-1,60),ROW()-1,FALSE))</f>
        <v/>
      </c>
      <c r="AO69" t="str">
        <f ca="1">IF(AND(ISNUMBER($AO$285),$B$226=1),$AO$285,HLOOKUP(INDIRECT(ADDRESS(2,COLUMN())),OFFSET($BN$2,0,0,ROW()-1,60),ROW()-1,FALSE))</f>
        <v/>
      </c>
      <c r="AP69" t="str">
        <f ca="1">IF(AND(ISNUMBER($AP$285),$B$226=1),$AP$285,HLOOKUP(INDIRECT(ADDRESS(2,COLUMN())),OFFSET($BN$2,0,0,ROW()-1,60),ROW()-1,FALSE))</f>
        <v/>
      </c>
      <c r="AQ69" t="str">
        <f ca="1">IF(AND(ISNUMBER($AQ$285),$B$226=1),$AQ$285,HLOOKUP(INDIRECT(ADDRESS(2,COLUMN())),OFFSET($BN$2,0,0,ROW()-1,60),ROW()-1,FALSE))</f>
        <v/>
      </c>
      <c r="AR69" t="str">
        <f ca="1">IF(AND(ISNUMBER($AR$285),$B$226=1),$AR$285,HLOOKUP(INDIRECT(ADDRESS(2,COLUMN())),OFFSET($BN$2,0,0,ROW()-1,60),ROW()-1,FALSE))</f>
        <v/>
      </c>
      <c r="AS69" t="str">
        <f ca="1">IF(AND(ISNUMBER($AS$285),$B$226=1),$AS$285,HLOOKUP(INDIRECT(ADDRESS(2,COLUMN())),OFFSET($BN$2,0,0,ROW()-1,60),ROW()-1,FALSE))</f>
        <v/>
      </c>
      <c r="AT69" t="str">
        <f ca="1">IF(AND(ISNUMBER($AT$285),$B$226=1),$AT$285,HLOOKUP(INDIRECT(ADDRESS(2,COLUMN())),OFFSET($BN$2,0,0,ROW()-1,60),ROW()-1,FALSE))</f>
        <v/>
      </c>
      <c r="AU69" t="str">
        <f ca="1">IF(AND(ISNUMBER($AU$285),$B$226=1),$AU$285,HLOOKUP(INDIRECT(ADDRESS(2,COLUMN())),OFFSET($BN$2,0,0,ROW()-1,60),ROW()-1,FALSE))</f>
        <v/>
      </c>
      <c r="AV69" t="str">
        <f ca="1">IF(AND(ISNUMBER($AV$285),$B$226=1),$AV$285,HLOOKUP(INDIRECT(ADDRESS(2,COLUMN())),OFFSET($BN$2,0,0,ROW()-1,60),ROW()-1,FALSE))</f>
        <v/>
      </c>
      <c r="AW69" t="str">
        <f ca="1">IF(AND(ISNUMBER($AW$285),$B$226=1),$AW$285,HLOOKUP(INDIRECT(ADDRESS(2,COLUMN())),OFFSET($BN$2,0,0,ROW()-1,60),ROW()-1,FALSE))</f>
        <v/>
      </c>
      <c r="AX69" t="str">
        <f ca="1">IF(AND(ISNUMBER($AX$285),$B$226=1),$AX$285,HLOOKUP(INDIRECT(ADDRESS(2,COLUMN())),OFFSET($BN$2,0,0,ROW()-1,60),ROW()-1,FALSE))</f>
        <v/>
      </c>
      <c r="AY69" t="str">
        <f ca="1">IF(AND(ISNUMBER($AY$285),$B$226=1),$AY$285,HLOOKUP(INDIRECT(ADDRESS(2,COLUMN())),OFFSET($BN$2,0,0,ROW()-1,60),ROW()-1,FALSE))</f>
        <v/>
      </c>
      <c r="AZ69" t="str">
        <f ca="1">IF(AND(ISNUMBER($AZ$285),$B$226=1),$AZ$285,HLOOKUP(INDIRECT(ADDRESS(2,COLUMN())),OFFSET($BN$2,0,0,ROW()-1,60),ROW()-1,FALSE))</f>
        <v/>
      </c>
      <c r="BA69" t="str">
        <f ca="1">IF(AND(ISNUMBER($BA$285),$B$226=1),$BA$285,HLOOKUP(INDIRECT(ADDRESS(2,COLUMN())),OFFSET($BN$2,0,0,ROW()-1,60),ROW()-1,FALSE))</f>
        <v/>
      </c>
      <c r="BB69" t="str">
        <f ca="1">IF(AND(ISNUMBER($BB$285),$B$226=1),$BB$285,HLOOKUP(INDIRECT(ADDRESS(2,COLUMN())),OFFSET($BN$2,0,0,ROW()-1,60),ROW()-1,FALSE))</f>
        <v/>
      </c>
      <c r="BC69" t="str">
        <f ca="1">IF(AND(ISNUMBER($BC$285),$B$226=1),$BC$285,HLOOKUP(INDIRECT(ADDRESS(2,COLUMN())),OFFSET($BN$2,0,0,ROW()-1,60),ROW()-1,FALSE))</f>
        <v/>
      </c>
      <c r="BD69" t="str">
        <f ca="1">IF(AND(ISNUMBER($BD$285),$B$226=1),$BD$285,HLOOKUP(INDIRECT(ADDRESS(2,COLUMN())),OFFSET($BN$2,0,0,ROW()-1,60),ROW()-1,FALSE))</f>
        <v/>
      </c>
      <c r="BE69" t="str">
        <f ca="1">IF(AND(ISNUMBER($BE$285),$B$226=1),$BE$285,HLOOKUP(INDIRECT(ADDRESS(2,COLUMN())),OFFSET($BN$2,0,0,ROW()-1,60),ROW()-1,FALSE))</f>
        <v/>
      </c>
      <c r="BF69" t="str">
        <f ca="1">IF(AND(ISNUMBER($BF$285),$B$226=1),$BF$285,HLOOKUP(INDIRECT(ADDRESS(2,COLUMN())),OFFSET($BN$2,0,0,ROW()-1,60),ROW()-1,FALSE))</f>
        <v/>
      </c>
      <c r="BG69" t="str">
        <f ca="1">IF(AND(ISNUMBER($BG$285),$B$226=1),$BG$285,HLOOKUP(INDIRECT(ADDRESS(2,COLUMN())),OFFSET($BN$2,0,0,ROW()-1,60),ROW()-1,FALSE))</f>
        <v/>
      </c>
      <c r="BH69" t="str">
        <f ca="1">IF(AND(ISNUMBER($BH$285),$B$226=1),$BH$285,HLOOKUP(INDIRECT(ADDRESS(2,COLUMN())),OFFSET($BN$2,0,0,ROW()-1,60),ROW()-1,FALSE))</f>
        <v/>
      </c>
      <c r="BI69" t="str">
        <f ca="1">IF(AND(ISNUMBER($BI$285),$B$226=1),$BI$285,HLOOKUP(INDIRECT(ADDRESS(2,COLUMN())),OFFSET($BN$2,0,0,ROW()-1,60),ROW()-1,FALSE))</f>
        <v/>
      </c>
      <c r="BJ69" t="str">
        <f ca="1">IF(AND(ISNUMBER($BJ$285),$B$226=1),$BJ$285,HLOOKUP(INDIRECT(ADDRESS(2,COLUMN())),OFFSET($BN$2,0,0,ROW()-1,60),ROW()-1,FALSE))</f>
        <v/>
      </c>
      <c r="BK69" t="str">
        <f ca="1">IF(AND(ISNUMBER($BK$285),$B$226=1),$BK$285,HLOOKUP(INDIRECT(ADDRESS(2,COLUMN())),OFFSET($BN$2,0,0,ROW()-1,60),ROW()-1,FALSE))</f>
        <v/>
      </c>
      <c r="BL69" t="str">
        <f ca="1">IF(AND(ISNUMBER($BL$285),$B$226=1),$BL$285,HLOOKUP(INDIRECT(ADDRESS(2,COLUMN())),OFFSET($BN$2,0,0,ROW()-1,60),ROW()-1,FALSE))</f>
        <v/>
      </c>
      <c r="BM69" t="str">
        <f ca="1">IF(AND(ISNUMBER($BM$285),$B$226=1),$BM$285,HLOOKUP(INDIRECT(ADDRESS(2,COLUMN())),OFFSET($BN$2,0,0,ROW()-1,60),ROW()-1,FALSE))</f>
        <v/>
      </c>
      <c r="BN69" t="str">
        <f>""</f>
        <v/>
      </c>
      <c r="BO69">
        <f>362.197</f>
        <v>362.197</v>
      </c>
      <c r="BP69">
        <f>348.187</f>
        <v>348.18700000000001</v>
      </c>
      <c r="BQ69">
        <f>337.304</f>
        <v>337.30399999999997</v>
      </c>
      <c r="BR69">
        <f>333.477</f>
        <v>333.47699999999998</v>
      </c>
      <c r="BS69">
        <f>339.055</f>
        <v>339.05500000000001</v>
      </c>
      <c r="BT69">
        <f>323.668</f>
        <v>323.66800000000001</v>
      </c>
      <c r="BU69">
        <f>320.749</f>
        <v>320.74900000000002</v>
      </c>
      <c r="BV69">
        <f>311.543</f>
        <v>311.54300000000001</v>
      </c>
      <c r="BW69">
        <f>310.906</f>
        <v>310.90600000000001</v>
      </c>
      <c r="BX69">
        <f>299.281</f>
        <v>299.28100000000001</v>
      </c>
      <c r="BY69">
        <f>289.239</f>
        <v>289.23899999999998</v>
      </c>
      <c r="BZ69">
        <f>264.232</f>
        <v>264.23200000000003</v>
      </c>
      <c r="CA69">
        <f>282.567</f>
        <v>282.56700000000001</v>
      </c>
      <c r="CB69">
        <f>267.504</f>
        <v>267.50400000000002</v>
      </c>
      <c r="CC69">
        <f>255.65</f>
        <v>255.65</v>
      </c>
      <c r="CD69" t="str">
        <f>""</f>
        <v/>
      </c>
      <c r="CE69" t="str">
        <f>""</f>
        <v/>
      </c>
      <c r="CF69" t="str">
        <f>""</f>
        <v/>
      </c>
      <c r="CG69" t="str">
        <f>""</f>
        <v/>
      </c>
      <c r="CH69" t="str">
        <f>""</f>
        <v/>
      </c>
      <c r="CI69" t="str">
        <f>""</f>
        <v/>
      </c>
      <c r="CJ69" t="str">
        <f>""</f>
        <v/>
      </c>
      <c r="CK69" t="str">
        <f>""</f>
        <v/>
      </c>
      <c r="CL69" t="str">
        <f>""</f>
        <v/>
      </c>
      <c r="CM69" t="str">
        <f>""</f>
        <v/>
      </c>
      <c r="CN69" t="str">
        <f>""</f>
        <v/>
      </c>
      <c r="CO69" t="str">
        <f>""</f>
        <v/>
      </c>
      <c r="CP69" t="str">
        <f>""</f>
        <v/>
      </c>
      <c r="CQ69" t="str">
        <f>""</f>
        <v/>
      </c>
      <c r="CR69" t="str">
        <f>""</f>
        <v/>
      </c>
      <c r="CS69" t="str">
        <f>""</f>
        <v/>
      </c>
      <c r="CT69" t="str">
        <f>""</f>
        <v/>
      </c>
      <c r="CU69" t="str">
        <f>""</f>
        <v/>
      </c>
      <c r="CV69" t="str">
        <f>""</f>
        <v/>
      </c>
      <c r="CW69" t="str">
        <f>""</f>
        <v/>
      </c>
      <c r="CX69" t="str">
        <f>""</f>
        <v/>
      </c>
      <c r="CY69" t="str">
        <f>""</f>
        <v/>
      </c>
      <c r="CZ69" t="str">
        <f>""</f>
        <v/>
      </c>
      <c r="DA69" t="str">
        <f>""</f>
        <v/>
      </c>
      <c r="DB69" t="str">
        <f>""</f>
        <v/>
      </c>
      <c r="DC69" t="str">
        <f>""</f>
        <v/>
      </c>
      <c r="DD69" t="str">
        <f>""</f>
        <v/>
      </c>
      <c r="DE69" t="str">
        <f>""</f>
        <v/>
      </c>
      <c r="DF69" t="str">
        <f>""</f>
        <v/>
      </c>
      <c r="DG69" t="str">
        <f>""</f>
        <v/>
      </c>
      <c r="DH69" t="str">
        <f>""</f>
        <v/>
      </c>
      <c r="DI69" t="str">
        <f>""</f>
        <v/>
      </c>
      <c r="DJ69" t="str">
        <f>""</f>
        <v/>
      </c>
      <c r="DK69" t="str">
        <f>""</f>
        <v/>
      </c>
      <c r="DL69" t="str">
        <f>""</f>
        <v/>
      </c>
      <c r="DM69" t="str">
        <f>""</f>
        <v/>
      </c>
      <c r="DN69" t="str">
        <f>""</f>
        <v/>
      </c>
      <c r="DO69" t="str">
        <f>""</f>
        <v/>
      </c>
      <c r="DP69" t="str">
        <f>""</f>
        <v/>
      </c>
      <c r="DQ69" t="str">
        <f>""</f>
        <v/>
      </c>
      <c r="DR69" t="str">
        <f>""</f>
        <v/>
      </c>
      <c r="DS69" t="str">
        <f>""</f>
        <v/>
      </c>
      <c r="DT69" t="str">
        <f>""</f>
        <v/>
      </c>
      <c r="DU69" t="str">
        <f>""</f>
        <v/>
      </c>
    </row>
    <row r="70" spans="1:125">
      <c r="A70" t="str">
        <f>"    Camden Property Trust"</f>
        <v xml:space="preserve">    Camden Property Trust</v>
      </c>
      <c r="B70" t="str">
        <f>"CPT US Equity"</f>
        <v>CPT US Equity</v>
      </c>
      <c r="C70" t="str">
        <f t="shared" si="21"/>
        <v>IS972</v>
      </c>
      <c r="D70" t="str">
        <f t="shared" si="22"/>
        <v>IS_ADJUSTED_EBITDA_AS_REPORTED</v>
      </c>
      <c r="E70" t="str">
        <f t="shared" si="23"/>
        <v>动态</v>
      </c>
      <c r="F70" t="str">
        <f ca="1">IF(AND(ISNUMBER($F$286),$B$226=1),$F$286,HLOOKUP(INDIRECT(ADDRESS(2,COLUMN())),OFFSET($BN$2,0,0,ROW()-1,60),ROW()-1,FALSE))</f>
        <v/>
      </c>
      <c r="G70">
        <f ca="1">IF(AND(ISNUMBER($G$286),$B$226=1),$G$286,HLOOKUP(INDIRECT(ADDRESS(2,COLUMN())),OFFSET($BN$2,0,0,ROW()-1,60),ROW()-1,FALSE))</f>
        <v>132.91300000000001</v>
      </c>
      <c r="H70">
        <f ca="1">IF(AND(ISNUMBER($H$286),$B$226=1),$H$286,HLOOKUP(INDIRECT(ADDRESS(2,COLUMN())),OFFSET($BN$2,0,0,ROW()-1,60),ROW()-1,FALSE))</f>
        <v>122.956</v>
      </c>
      <c r="I70">
        <f ca="1">IF(AND(ISNUMBER($I$286),$B$226=1),$I$286,HLOOKUP(INDIRECT(ADDRESS(2,COLUMN())),OFFSET($BN$2,0,0,ROW()-1,60),ROW()-1,FALSE))</f>
        <v>125.553</v>
      </c>
      <c r="J70">
        <f ca="1">IF(AND(ISNUMBER($J$286),$B$226=1),$J$286,HLOOKUP(INDIRECT(ADDRESS(2,COLUMN())),OFFSET($BN$2,0,0,ROW()-1,60),ROW()-1,FALSE))</f>
        <v>121.65600000000001</v>
      </c>
      <c r="K70">
        <f ca="1">IF(AND(ISNUMBER($K$286),$B$226=1),$K$286,HLOOKUP(INDIRECT(ADDRESS(2,COLUMN())),OFFSET($BN$2,0,0,ROW()-1,60),ROW()-1,FALSE))</f>
        <v>126.396</v>
      </c>
      <c r="L70">
        <f ca="1">IF(AND(ISNUMBER($L$286),$B$226=1),$L$286,HLOOKUP(INDIRECT(ADDRESS(2,COLUMN())),OFFSET($BN$2,0,0,ROW()-1,60),ROW()-1,FALSE))</f>
        <v>125.14400000000001</v>
      </c>
      <c r="M70">
        <f ca="1">IF(AND(ISNUMBER($M$286),$B$226=1),$M$286,HLOOKUP(INDIRECT(ADDRESS(2,COLUMN())),OFFSET($BN$2,0,0,ROW()-1,60),ROW()-1,FALSE))</f>
        <v>126.639</v>
      </c>
      <c r="N70">
        <f ca="1">IF(AND(ISNUMBER($N$286),$B$226=1),$N$286,HLOOKUP(INDIRECT(ADDRESS(2,COLUMN())),OFFSET($BN$2,0,0,ROW()-1,60),ROW()-1,FALSE))</f>
        <v>131.523</v>
      </c>
      <c r="O70">
        <f ca="1">IF(AND(ISNUMBER($O$286),$B$226=1),$O$286,HLOOKUP(INDIRECT(ADDRESS(2,COLUMN())),OFFSET($BN$2,0,0,ROW()-1,60),ROW()-1,FALSE))</f>
        <v>131.18899999999999</v>
      </c>
      <c r="P70">
        <f ca="1">IF(AND(ISNUMBER($P$286),$B$226=1),$P$286,HLOOKUP(INDIRECT(ADDRESS(2,COLUMN())),OFFSET($BN$2,0,0,ROW()-1,60),ROW()-1,FALSE))</f>
        <v>126.187</v>
      </c>
      <c r="Q70">
        <f ca="1">IF(AND(ISNUMBER($Q$286),$B$226=1),$Q$286,HLOOKUP(INDIRECT(ADDRESS(2,COLUMN())),OFFSET($BN$2,0,0,ROW()-1,60),ROW()-1,FALSE))</f>
        <v>124.836</v>
      </c>
      <c r="R70" t="str">
        <f ca="1">IF(AND(ISNUMBER($R$286),$B$226=1),$R$286,HLOOKUP(INDIRECT(ADDRESS(2,COLUMN())),OFFSET($BN$2,0,0,ROW()-1,60),ROW()-1,FALSE))</f>
        <v/>
      </c>
      <c r="S70" t="str">
        <f ca="1">IF(AND(ISNUMBER($S$286),$B$226=1),$S$286,HLOOKUP(INDIRECT(ADDRESS(2,COLUMN())),OFFSET($BN$2,0,0,ROW()-1,60),ROW()-1,FALSE))</f>
        <v/>
      </c>
      <c r="T70" t="str">
        <f ca="1">IF(AND(ISNUMBER($T$286),$B$226=1),$T$286,HLOOKUP(INDIRECT(ADDRESS(2,COLUMN())),OFFSET($BN$2,0,0,ROW()-1,60),ROW()-1,FALSE))</f>
        <v/>
      </c>
      <c r="U70" t="str">
        <f ca="1">IF(AND(ISNUMBER($U$286),$B$226=1),$U$286,HLOOKUP(INDIRECT(ADDRESS(2,COLUMN())),OFFSET($BN$2,0,0,ROW()-1,60),ROW()-1,FALSE))</f>
        <v/>
      </c>
      <c r="V70" t="str">
        <f ca="1">IF(AND(ISNUMBER($V$286),$B$226=1),$V$286,HLOOKUP(INDIRECT(ADDRESS(2,COLUMN())),OFFSET($BN$2,0,0,ROW()-1,60),ROW()-1,FALSE))</f>
        <v/>
      </c>
      <c r="W70" t="str">
        <f ca="1">IF(AND(ISNUMBER($W$286),$B$226=1),$W$286,HLOOKUP(INDIRECT(ADDRESS(2,COLUMN())),OFFSET($BN$2,0,0,ROW()-1,60),ROW()-1,FALSE))</f>
        <v/>
      </c>
      <c r="X70" t="str">
        <f ca="1">IF(AND(ISNUMBER($X$286),$B$226=1),$X$286,HLOOKUP(INDIRECT(ADDRESS(2,COLUMN())),OFFSET($BN$2,0,0,ROW()-1,60),ROW()-1,FALSE))</f>
        <v/>
      </c>
      <c r="Y70" t="str">
        <f ca="1">IF(AND(ISNUMBER($Y$286),$B$226=1),$Y$286,HLOOKUP(INDIRECT(ADDRESS(2,COLUMN())),OFFSET($BN$2,0,0,ROW()-1,60),ROW()-1,FALSE))</f>
        <v/>
      </c>
      <c r="Z70" t="str">
        <f ca="1">IF(AND(ISNUMBER($Z$286),$B$226=1),$Z$286,HLOOKUP(INDIRECT(ADDRESS(2,COLUMN())),OFFSET($BN$2,0,0,ROW()-1,60),ROW()-1,FALSE))</f>
        <v/>
      </c>
      <c r="AA70" t="str">
        <f ca="1">IF(AND(ISNUMBER($AA$286),$B$226=1),$AA$286,HLOOKUP(INDIRECT(ADDRESS(2,COLUMN())),OFFSET($BN$2,0,0,ROW()-1,60),ROW()-1,FALSE))</f>
        <v/>
      </c>
      <c r="AB70" t="str">
        <f ca="1">IF(AND(ISNUMBER($AB$286),$B$226=1),$AB$286,HLOOKUP(INDIRECT(ADDRESS(2,COLUMN())),OFFSET($BN$2,0,0,ROW()-1,60),ROW()-1,FALSE))</f>
        <v/>
      </c>
      <c r="AC70" t="str">
        <f ca="1">IF(AND(ISNUMBER($AC$286),$B$226=1),$AC$286,HLOOKUP(INDIRECT(ADDRESS(2,COLUMN())),OFFSET($BN$2,0,0,ROW()-1,60),ROW()-1,FALSE))</f>
        <v/>
      </c>
      <c r="AD70" t="str">
        <f ca="1">IF(AND(ISNUMBER($AD$286),$B$226=1),$AD$286,HLOOKUP(INDIRECT(ADDRESS(2,COLUMN())),OFFSET($BN$2,0,0,ROW()-1,60),ROW()-1,FALSE))</f>
        <v/>
      </c>
      <c r="AE70" t="str">
        <f ca="1">IF(AND(ISNUMBER($AE$286),$B$226=1),$AE$286,HLOOKUP(INDIRECT(ADDRESS(2,COLUMN())),OFFSET($BN$2,0,0,ROW()-1,60),ROW()-1,FALSE))</f>
        <v/>
      </c>
      <c r="AF70" t="str">
        <f ca="1">IF(AND(ISNUMBER($AF$286),$B$226=1),$AF$286,HLOOKUP(INDIRECT(ADDRESS(2,COLUMN())),OFFSET($BN$2,0,0,ROW()-1,60),ROW()-1,FALSE))</f>
        <v/>
      </c>
      <c r="AG70" t="str">
        <f ca="1">IF(AND(ISNUMBER($AG$286),$B$226=1),$AG$286,HLOOKUP(INDIRECT(ADDRESS(2,COLUMN())),OFFSET($BN$2,0,0,ROW()-1,60),ROW()-1,FALSE))</f>
        <v/>
      </c>
      <c r="AH70" t="str">
        <f ca="1">IF(AND(ISNUMBER($AH$286),$B$226=1),$AH$286,HLOOKUP(INDIRECT(ADDRESS(2,COLUMN())),OFFSET($BN$2,0,0,ROW()-1,60),ROW()-1,FALSE))</f>
        <v/>
      </c>
      <c r="AI70" t="str">
        <f ca="1">IF(AND(ISNUMBER($AI$286),$B$226=1),$AI$286,HLOOKUP(INDIRECT(ADDRESS(2,COLUMN())),OFFSET($BN$2,0,0,ROW()-1,60),ROW()-1,FALSE))</f>
        <v/>
      </c>
      <c r="AJ70" t="str">
        <f ca="1">IF(AND(ISNUMBER($AJ$286),$B$226=1),$AJ$286,HLOOKUP(INDIRECT(ADDRESS(2,COLUMN())),OFFSET($BN$2,0,0,ROW()-1,60),ROW()-1,FALSE))</f>
        <v/>
      </c>
      <c r="AK70" t="str">
        <f ca="1">IF(AND(ISNUMBER($AK$286),$B$226=1),$AK$286,HLOOKUP(INDIRECT(ADDRESS(2,COLUMN())),OFFSET($BN$2,0,0,ROW()-1,60),ROW()-1,FALSE))</f>
        <v/>
      </c>
      <c r="AL70" t="str">
        <f ca="1">IF(AND(ISNUMBER($AL$286),$B$226=1),$AL$286,HLOOKUP(INDIRECT(ADDRESS(2,COLUMN())),OFFSET($BN$2,0,0,ROW()-1,60),ROW()-1,FALSE))</f>
        <v/>
      </c>
      <c r="AM70" t="str">
        <f ca="1">IF(AND(ISNUMBER($AM$286),$B$226=1),$AM$286,HLOOKUP(INDIRECT(ADDRESS(2,COLUMN())),OFFSET($BN$2,0,0,ROW()-1,60),ROW()-1,FALSE))</f>
        <v/>
      </c>
      <c r="AN70" t="str">
        <f ca="1">IF(AND(ISNUMBER($AN$286),$B$226=1),$AN$286,HLOOKUP(INDIRECT(ADDRESS(2,COLUMN())),OFFSET($BN$2,0,0,ROW()-1,60),ROW()-1,FALSE))</f>
        <v/>
      </c>
      <c r="AO70" t="str">
        <f ca="1">IF(AND(ISNUMBER($AO$286),$B$226=1),$AO$286,HLOOKUP(INDIRECT(ADDRESS(2,COLUMN())),OFFSET($BN$2,0,0,ROW()-1,60),ROW()-1,FALSE))</f>
        <v/>
      </c>
      <c r="AP70" t="str">
        <f ca="1">IF(AND(ISNUMBER($AP$286),$B$226=1),$AP$286,HLOOKUP(INDIRECT(ADDRESS(2,COLUMN())),OFFSET($BN$2,0,0,ROW()-1,60),ROW()-1,FALSE))</f>
        <v/>
      </c>
      <c r="AQ70" t="str">
        <f ca="1">IF(AND(ISNUMBER($AQ$286),$B$226=1),$AQ$286,HLOOKUP(INDIRECT(ADDRESS(2,COLUMN())),OFFSET($BN$2,0,0,ROW()-1,60),ROW()-1,FALSE))</f>
        <v/>
      </c>
      <c r="AR70" t="str">
        <f ca="1">IF(AND(ISNUMBER($AR$286),$B$226=1),$AR$286,HLOOKUP(INDIRECT(ADDRESS(2,COLUMN())),OFFSET($BN$2,0,0,ROW()-1,60),ROW()-1,FALSE))</f>
        <v/>
      </c>
      <c r="AS70" t="str">
        <f ca="1">IF(AND(ISNUMBER($AS$286),$B$226=1),$AS$286,HLOOKUP(INDIRECT(ADDRESS(2,COLUMN())),OFFSET($BN$2,0,0,ROW()-1,60),ROW()-1,FALSE))</f>
        <v/>
      </c>
      <c r="AT70" t="str">
        <f ca="1">IF(AND(ISNUMBER($AT$286),$B$226=1),$AT$286,HLOOKUP(INDIRECT(ADDRESS(2,COLUMN())),OFFSET($BN$2,0,0,ROW()-1,60),ROW()-1,FALSE))</f>
        <v/>
      </c>
      <c r="AU70" t="str">
        <f ca="1">IF(AND(ISNUMBER($AU$286),$B$226=1),$AU$286,HLOOKUP(INDIRECT(ADDRESS(2,COLUMN())),OFFSET($BN$2,0,0,ROW()-1,60),ROW()-1,FALSE))</f>
        <v/>
      </c>
      <c r="AV70" t="str">
        <f ca="1">IF(AND(ISNUMBER($AV$286),$B$226=1),$AV$286,HLOOKUP(INDIRECT(ADDRESS(2,COLUMN())),OFFSET($BN$2,0,0,ROW()-1,60),ROW()-1,FALSE))</f>
        <v/>
      </c>
      <c r="AW70" t="str">
        <f ca="1">IF(AND(ISNUMBER($AW$286),$B$226=1),$AW$286,HLOOKUP(INDIRECT(ADDRESS(2,COLUMN())),OFFSET($BN$2,0,0,ROW()-1,60),ROW()-1,FALSE))</f>
        <v/>
      </c>
      <c r="AX70" t="str">
        <f ca="1">IF(AND(ISNUMBER($AX$286),$B$226=1),$AX$286,HLOOKUP(INDIRECT(ADDRESS(2,COLUMN())),OFFSET($BN$2,0,0,ROW()-1,60),ROW()-1,FALSE))</f>
        <v/>
      </c>
      <c r="AY70" t="str">
        <f ca="1">IF(AND(ISNUMBER($AY$286),$B$226=1),$AY$286,HLOOKUP(INDIRECT(ADDRESS(2,COLUMN())),OFFSET($BN$2,0,0,ROW()-1,60),ROW()-1,FALSE))</f>
        <v/>
      </c>
      <c r="AZ70" t="str">
        <f ca="1">IF(AND(ISNUMBER($AZ$286),$B$226=1),$AZ$286,HLOOKUP(INDIRECT(ADDRESS(2,COLUMN())),OFFSET($BN$2,0,0,ROW()-1,60),ROW()-1,FALSE))</f>
        <v/>
      </c>
      <c r="BA70" t="str">
        <f ca="1">IF(AND(ISNUMBER($BA$286),$B$226=1),$BA$286,HLOOKUP(INDIRECT(ADDRESS(2,COLUMN())),OFFSET($BN$2,0,0,ROW()-1,60),ROW()-1,FALSE))</f>
        <v/>
      </c>
      <c r="BB70" t="str">
        <f ca="1">IF(AND(ISNUMBER($BB$286),$B$226=1),$BB$286,HLOOKUP(INDIRECT(ADDRESS(2,COLUMN())),OFFSET($BN$2,0,0,ROW()-1,60),ROW()-1,FALSE))</f>
        <v/>
      </c>
      <c r="BC70" t="str">
        <f ca="1">IF(AND(ISNUMBER($BC$286),$B$226=1),$BC$286,HLOOKUP(INDIRECT(ADDRESS(2,COLUMN())),OFFSET($BN$2,0,0,ROW()-1,60),ROW()-1,FALSE))</f>
        <v/>
      </c>
      <c r="BD70" t="str">
        <f ca="1">IF(AND(ISNUMBER($BD$286),$B$226=1),$BD$286,HLOOKUP(INDIRECT(ADDRESS(2,COLUMN())),OFFSET($BN$2,0,0,ROW()-1,60),ROW()-1,FALSE))</f>
        <v/>
      </c>
      <c r="BE70" t="str">
        <f ca="1">IF(AND(ISNUMBER($BE$286),$B$226=1),$BE$286,HLOOKUP(INDIRECT(ADDRESS(2,COLUMN())),OFFSET($BN$2,0,0,ROW()-1,60),ROW()-1,FALSE))</f>
        <v/>
      </c>
      <c r="BF70" t="str">
        <f ca="1">IF(AND(ISNUMBER($BF$286),$B$226=1),$BF$286,HLOOKUP(INDIRECT(ADDRESS(2,COLUMN())),OFFSET($BN$2,0,0,ROW()-1,60),ROW()-1,FALSE))</f>
        <v/>
      </c>
      <c r="BG70" t="str">
        <f ca="1">IF(AND(ISNUMBER($BG$286),$B$226=1),$BG$286,HLOOKUP(INDIRECT(ADDRESS(2,COLUMN())),OFFSET($BN$2,0,0,ROW()-1,60),ROW()-1,FALSE))</f>
        <v/>
      </c>
      <c r="BH70" t="str">
        <f ca="1">IF(AND(ISNUMBER($BH$286),$B$226=1),$BH$286,HLOOKUP(INDIRECT(ADDRESS(2,COLUMN())),OFFSET($BN$2,0,0,ROW()-1,60),ROW()-1,FALSE))</f>
        <v/>
      </c>
      <c r="BI70" t="str">
        <f ca="1">IF(AND(ISNUMBER($BI$286),$B$226=1),$BI$286,HLOOKUP(INDIRECT(ADDRESS(2,COLUMN())),OFFSET($BN$2,0,0,ROW()-1,60),ROW()-1,FALSE))</f>
        <v/>
      </c>
      <c r="BJ70" t="str">
        <f ca="1">IF(AND(ISNUMBER($BJ$286),$B$226=1),$BJ$286,HLOOKUP(INDIRECT(ADDRESS(2,COLUMN())),OFFSET($BN$2,0,0,ROW()-1,60),ROW()-1,FALSE))</f>
        <v/>
      </c>
      <c r="BK70" t="str">
        <f ca="1">IF(AND(ISNUMBER($BK$286),$B$226=1),$BK$286,HLOOKUP(INDIRECT(ADDRESS(2,COLUMN())),OFFSET($BN$2,0,0,ROW()-1,60),ROW()-1,FALSE))</f>
        <v/>
      </c>
      <c r="BL70" t="str">
        <f ca="1">IF(AND(ISNUMBER($BL$286),$B$226=1),$BL$286,HLOOKUP(INDIRECT(ADDRESS(2,COLUMN())),OFFSET($BN$2,0,0,ROW()-1,60),ROW()-1,FALSE))</f>
        <v/>
      </c>
      <c r="BM70" t="str">
        <f ca="1">IF(AND(ISNUMBER($BM$286),$B$226=1),$BM$286,HLOOKUP(INDIRECT(ADDRESS(2,COLUMN())),OFFSET($BN$2,0,0,ROW()-1,60),ROW()-1,FALSE))</f>
        <v/>
      </c>
      <c r="BN70" t="str">
        <f>""</f>
        <v/>
      </c>
      <c r="BO70">
        <f>132.913</f>
        <v>132.91300000000001</v>
      </c>
      <c r="BP70">
        <f>122.956</f>
        <v>122.956</v>
      </c>
      <c r="BQ70">
        <f>125.553</f>
        <v>125.553</v>
      </c>
      <c r="BR70">
        <f>121.656</f>
        <v>121.65600000000001</v>
      </c>
      <c r="BS70">
        <f>126.396</f>
        <v>126.396</v>
      </c>
      <c r="BT70">
        <f>125.144</f>
        <v>125.14400000000001</v>
      </c>
      <c r="BU70">
        <f>126.639</f>
        <v>126.639</v>
      </c>
      <c r="BV70">
        <f>131.523</f>
        <v>131.523</v>
      </c>
      <c r="BW70">
        <f>131.189</f>
        <v>131.18899999999999</v>
      </c>
      <c r="BX70">
        <f>126.187</f>
        <v>126.187</v>
      </c>
      <c r="BY70">
        <f>124.836</f>
        <v>124.836</v>
      </c>
      <c r="BZ70" t="str">
        <f>""</f>
        <v/>
      </c>
      <c r="CA70" t="str">
        <f>""</f>
        <v/>
      </c>
      <c r="CB70" t="str">
        <f>""</f>
        <v/>
      </c>
      <c r="CC70" t="str">
        <f>""</f>
        <v/>
      </c>
      <c r="CD70" t="str">
        <f>""</f>
        <v/>
      </c>
      <c r="CE70" t="str">
        <f>""</f>
        <v/>
      </c>
      <c r="CF70" t="str">
        <f>""</f>
        <v/>
      </c>
      <c r="CG70" t="str">
        <f>""</f>
        <v/>
      </c>
      <c r="CH70" t="str">
        <f>""</f>
        <v/>
      </c>
      <c r="CI70" t="str">
        <f>""</f>
        <v/>
      </c>
      <c r="CJ70" t="str">
        <f>""</f>
        <v/>
      </c>
      <c r="CK70" t="str">
        <f>""</f>
        <v/>
      </c>
      <c r="CL70" t="str">
        <f>""</f>
        <v/>
      </c>
      <c r="CM70" t="str">
        <f>""</f>
        <v/>
      </c>
      <c r="CN70" t="str">
        <f>""</f>
        <v/>
      </c>
      <c r="CO70" t="str">
        <f>""</f>
        <v/>
      </c>
      <c r="CP70" t="str">
        <f>""</f>
        <v/>
      </c>
      <c r="CQ70" t="str">
        <f>""</f>
        <v/>
      </c>
      <c r="CR70" t="str">
        <f>""</f>
        <v/>
      </c>
      <c r="CS70" t="str">
        <f>""</f>
        <v/>
      </c>
      <c r="CT70" t="str">
        <f>""</f>
        <v/>
      </c>
      <c r="CU70" t="str">
        <f>""</f>
        <v/>
      </c>
      <c r="CV70" t="str">
        <f>""</f>
        <v/>
      </c>
      <c r="CW70" t="str">
        <f>""</f>
        <v/>
      </c>
      <c r="CX70" t="str">
        <f>""</f>
        <v/>
      </c>
      <c r="CY70" t="str">
        <f>""</f>
        <v/>
      </c>
      <c r="CZ70" t="str">
        <f>""</f>
        <v/>
      </c>
      <c r="DA70" t="str">
        <f>""</f>
        <v/>
      </c>
      <c r="DB70" t="str">
        <f>""</f>
        <v/>
      </c>
      <c r="DC70" t="str">
        <f>""</f>
        <v/>
      </c>
      <c r="DD70" t="str">
        <f>""</f>
        <v/>
      </c>
      <c r="DE70" t="str">
        <f>""</f>
        <v/>
      </c>
      <c r="DF70" t="str">
        <f>""</f>
        <v/>
      </c>
      <c r="DG70" t="str">
        <f>""</f>
        <v/>
      </c>
      <c r="DH70" t="str">
        <f>""</f>
        <v/>
      </c>
      <c r="DI70" t="str">
        <f>""</f>
        <v/>
      </c>
      <c r="DJ70" t="str">
        <f>""</f>
        <v/>
      </c>
      <c r="DK70" t="str">
        <f>""</f>
        <v/>
      </c>
      <c r="DL70" t="str">
        <f>""</f>
        <v/>
      </c>
      <c r="DM70" t="str">
        <f>""</f>
        <v/>
      </c>
      <c r="DN70" t="str">
        <f>""</f>
        <v/>
      </c>
      <c r="DO70" t="str">
        <f>""</f>
        <v/>
      </c>
      <c r="DP70" t="str">
        <f>""</f>
        <v/>
      </c>
      <c r="DQ70" t="str">
        <f>""</f>
        <v/>
      </c>
      <c r="DR70" t="str">
        <f>""</f>
        <v/>
      </c>
      <c r="DS70" t="str">
        <f>""</f>
        <v/>
      </c>
      <c r="DT70" t="str">
        <f>""</f>
        <v/>
      </c>
      <c r="DU70" t="str">
        <f>""</f>
        <v/>
      </c>
    </row>
    <row r="71" spans="1:125">
      <c r="A71" t="str">
        <f>"    Education Realty Trust Inc"</f>
        <v xml:space="preserve">    Education Realty Trust Inc</v>
      </c>
      <c r="B71" t="str">
        <f>"EDR US Equity"</f>
        <v>EDR US Equity</v>
      </c>
      <c r="C71" t="str">
        <f t="shared" si="21"/>
        <v>IS972</v>
      </c>
      <c r="D71" t="str">
        <f t="shared" si="22"/>
        <v>IS_ADJUSTED_EBITDA_AS_REPORTED</v>
      </c>
      <c r="E71" t="str">
        <f t="shared" si="23"/>
        <v>动态</v>
      </c>
      <c r="F71" t="str">
        <f ca="1">IF(AND(ISNUMBER($F$287),$B$226=1),$F$287,HLOOKUP(INDIRECT(ADDRESS(2,COLUMN())),OFFSET($BN$2,0,0,ROW()-1,60),ROW()-1,FALSE))</f>
        <v/>
      </c>
      <c r="G71">
        <f ca="1">IF(AND(ISNUMBER($G$287),$B$226=1),$G$287,HLOOKUP(INDIRECT(ADDRESS(2,COLUMN())),OFFSET($BN$2,0,0,ROW()-1,60),ROW()-1,FALSE))</f>
        <v>50.853999999999999</v>
      </c>
      <c r="H71">
        <f ca="1">IF(AND(ISNUMBER($H$287),$B$226=1),$H$287,HLOOKUP(INDIRECT(ADDRESS(2,COLUMN())),OFFSET($BN$2,0,0,ROW()-1,60),ROW()-1,FALSE))</f>
        <v>25.547999999999998</v>
      </c>
      <c r="I71">
        <f ca="1">IF(AND(ISNUMBER($I$287),$B$226=1),$I$287,HLOOKUP(INDIRECT(ADDRESS(2,COLUMN())),OFFSET($BN$2,0,0,ROW()-1,60),ROW()-1,FALSE))</f>
        <v>34.450000000000003</v>
      </c>
      <c r="J71">
        <f ca="1">IF(AND(ISNUMBER($J$287),$B$226=1),$J$287,HLOOKUP(INDIRECT(ADDRESS(2,COLUMN())),OFFSET($BN$2,0,0,ROW()-1,60),ROW()-1,FALSE))</f>
        <v>46.234999999999999</v>
      </c>
      <c r="K71">
        <f ca="1">IF(AND(ISNUMBER($K$287),$B$226=1),$K$287,HLOOKUP(INDIRECT(ADDRESS(2,COLUMN())),OFFSET($BN$2,0,0,ROW()-1,60),ROW()-1,FALSE))</f>
        <v>46.911000000000001</v>
      </c>
      <c r="L71">
        <f ca="1">IF(AND(ISNUMBER($L$287),$B$226=1),$L$287,HLOOKUP(INDIRECT(ADDRESS(2,COLUMN())),OFFSET($BN$2,0,0,ROW()-1,60),ROW()-1,FALSE))</f>
        <v>23.344999999999999</v>
      </c>
      <c r="M71">
        <f ca="1">IF(AND(ISNUMBER($M$287),$B$226=1),$M$287,HLOOKUP(INDIRECT(ADDRESS(2,COLUMN())),OFFSET($BN$2,0,0,ROW()-1,60),ROW()-1,FALSE))</f>
        <v>30.056000000000001</v>
      </c>
      <c r="N71">
        <f ca="1">IF(AND(ISNUMBER($N$287),$B$226=1),$N$287,HLOOKUP(INDIRECT(ADDRESS(2,COLUMN())),OFFSET($BN$2,0,0,ROW()-1,60),ROW()-1,FALSE))</f>
        <v>38.734999999999999</v>
      </c>
      <c r="O71">
        <f ca="1">IF(AND(ISNUMBER($O$287),$B$226=1),$O$287,HLOOKUP(INDIRECT(ADDRESS(2,COLUMN())),OFFSET($BN$2,0,0,ROW()-1,60),ROW()-1,FALSE))</f>
        <v>39.615000000000002</v>
      </c>
      <c r="P71">
        <f ca="1">IF(AND(ISNUMBER($P$287),$B$226=1),$P$287,HLOOKUP(INDIRECT(ADDRESS(2,COLUMN())),OFFSET($BN$2,0,0,ROW()-1,60),ROW()-1,FALSE))</f>
        <v>21.216000000000001</v>
      </c>
      <c r="Q71">
        <f ca="1">IF(AND(ISNUMBER($Q$287),$B$226=1),$Q$287,HLOOKUP(INDIRECT(ADDRESS(2,COLUMN())),OFFSET($BN$2,0,0,ROW()-1,60),ROW()-1,FALSE))</f>
        <v>25.942</v>
      </c>
      <c r="R71">
        <f ca="1">IF(AND(ISNUMBER($R$287),$B$226=1),$R$287,HLOOKUP(INDIRECT(ADDRESS(2,COLUMN())),OFFSET($BN$2,0,0,ROW()-1,60),ROW()-1,FALSE))</f>
        <v>30.710999999999999</v>
      </c>
      <c r="S71">
        <f ca="1">IF(AND(ISNUMBER($S$287),$B$226=1),$S$287,HLOOKUP(INDIRECT(ADDRESS(2,COLUMN())),OFFSET($BN$2,0,0,ROW()-1,60),ROW()-1,FALSE))</f>
        <v>34.418999999999997</v>
      </c>
      <c r="T71">
        <f ca="1">IF(AND(ISNUMBER($T$287),$B$226=1),$T$287,HLOOKUP(INDIRECT(ADDRESS(2,COLUMN())),OFFSET($BN$2,0,0,ROW()-1,60),ROW()-1,FALSE))</f>
        <v>22.414999999999999</v>
      </c>
      <c r="U71">
        <f ca="1">IF(AND(ISNUMBER($U$287),$B$226=1),$U$287,HLOOKUP(INDIRECT(ADDRESS(2,COLUMN())),OFFSET($BN$2,0,0,ROW()-1,60),ROW()-1,FALSE))</f>
        <v>21.800999999999998</v>
      </c>
      <c r="V71">
        <f ca="1">IF(AND(ISNUMBER($V$287),$B$226=1),$V$287,HLOOKUP(INDIRECT(ADDRESS(2,COLUMN())),OFFSET($BN$2,0,0,ROW()-1,60),ROW()-1,FALSE))</f>
        <v>25.195</v>
      </c>
      <c r="W71">
        <f ca="1">IF(AND(ISNUMBER($W$287),$B$226=1),$W$287,HLOOKUP(INDIRECT(ADDRESS(2,COLUMN())),OFFSET($BN$2,0,0,ROW()-1,60),ROW()-1,FALSE))</f>
        <v>29.111999999999998</v>
      </c>
      <c r="X71">
        <f ca="1">IF(AND(ISNUMBER($X$287),$B$226=1),$X$287,HLOOKUP(INDIRECT(ADDRESS(2,COLUMN())),OFFSET($BN$2,0,0,ROW()-1,60),ROW()-1,FALSE))</f>
        <v>13.276999999999999</v>
      </c>
      <c r="Y71">
        <f ca="1">IF(AND(ISNUMBER($Y$287),$B$226=1),$Y$287,HLOOKUP(INDIRECT(ADDRESS(2,COLUMN())),OFFSET($BN$2,0,0,ROW()-1,60),ROW()-1,FALSE))</f>
        <v>17.84</v>
      </c>
      <c r="Z71">
        <f ca="1">IF(AND(ISNUMBER($Z$287),$B$226=1),$Z$287,HLOOKUP(INDIRECT(ADDRESS(2,COLUMN())),OFFSET($BN$2,0,0,ROW()-1,60),ROW()-1,FALSE))</f>
        <v>20.044</v>
      </c>
      <c r="AA71">
        <f ca="1">IF(AND(ISNUMBER($AA$287),$B$226=1),$AA$287,HLOOKUP(INDIRECT(ADDRESS(2,COLUMN())),OFFSET($BN$2,0,0,ROW()-1,60),ROW()-1,FALSE))</f>
        <v>21.687999999999999</v>
      </c>
      <c r="AB71">
        <f ca="1">IF(AND(ISNUMBER($AB$287),$B$226=1),$AB$287,HLOOKUP(INDIRECT(ADDRESS(2,COLUMN())),OFFSET($BN$2,0,0,ROW()-1,60),ROW()-1,FALSE))</f>
        <v>8.2769999999999992</v>
      </c>
      <c r="AC71">
        <f ca="1">IF(AND(ISNUMBER($AC$287),$B$226=1),$AC$287,HLOOKUP(INDIRECT(ADDRESS(2,COLUMN())),OFFSET($BN$2,0,0,ROW()-1,60),ROW()-1,FALSE))</f>
        <v>14.599</v>
      </c>
      <c r="AD71">
        <f ca="1">IF(AND(ISNUMBER($AD$287),$B$226=1),$AD$287,HLOOKUP(INDIRECT(ADDRESS(2,COLUMN())),OFFSET($BN$2,0,0,ROW()-1,60),ROW()-1,FALSE))</f>
        <v>16.451000000000001</v>
      </c>
      <c r="AE71">
        <f ca="1">IF(AND(ISNUMBER($AE$287),$B$226=1),$AE$287,HLOOKUP(INDIRECT(ADDRESS(2,COLUMN())),OFFSET($BN$2,0,0,ROW()-1,60),ROW()-1,FALSE))</f>
        <v>16.838000000000001</v>
      </c>
      <c r="AF71">
        <f ca="1">IF(AND(ISNUMBER($AF$287),$B$226=1),$AF$287,HLOOKUP(INDIRECT(ADDRESS(2,COLUMN())),OFFSET($BN$2,0,0,ROW()-1,60),ROW()-1,FALSE))</f>
        <v>6.1180000000000003</v>
      </c>
      <c r="AG71" t="str">
        <f ca="1">IF(AND(ISNUMBER($AG$287),$B$226=1),$AG$287,HLOOKUP(INDIRECT(ADDRESS(2,COLUMN())),OFFSET($BN$2,0,0,ROW()-1,60),ROW()-1,FALSE))</f>
        <v/>
      </c>
      <c r="AH71" t="str">
        <f ca="1">IF(AND(ISNUMBER($AH$287),$B$226=1),$AH$287,HLOOKUP(INDIRECT(ADDRESS(2,COLUMN())),OFFSET($BN$2,0,0,ROW()-1,60),ROW()-1,FALSE))</f>
        <v/>
      </c>
      <c r="AI71" t="str">
        <f ca="1">IF(AND(ISNUMBER($AI$287),$B$226=1),$AI$287,HLOOKUP(INDIRECT(ADDRESS(2,COLUMN())),OFFSET($BN$2,0,0,ROW()-1,60),ROW()-1,FALSE))</f>
        <v/>
      </c>
      <c r="AJ71" t="str">
        <f ca="1">IF(AND(ISNUMBER($AJ$287),$B$226=1),$AJ$287,HLOOKUP(INDIRECT(ADDRESS(2,COLUMN())),OFFSET($BN$2,0,0,ROW()-1,60),ROW()-1,FALSE))</f>
        <v/>
      </c>
      <c r="AK71" t="str">
        <f ca="1">IF(AND(ISNUMBER($AK$287),$B$226=1),$AK$287,HLOOKUP(INDIRECT(ADDRESS(2,COLUMN())),OFFSET($BN$2,0,0,ROW()-1,60),ROW()-1,FALSE))</f>
        <v/>
      </c>
      <c r="AL71" t="str">
        <f ca="1">IF(AND(ISNUMBER($AL$287),$B$226=1),$AL$287,HLOOKUP(INDIRECT(ADDRESS(2,COLUMN())),OFFSET($BN$2,0,0,ROW()-1,60),ROW()-1,FALSE))</f>
        <v/>
      </c>
      <c r="AM71" t="str">
        <f ca="1">IF(AND(ISNUMBER($AM$287),$B$226=1),$AM$287,HLOOKUP(INDIRECT(ADDRESS(2,COLUMN())),OFFSET($BN$2,0,0,ROW()-1,60),ROW()-1,FALSE))</f>
        <v/>
      </c>
      <c r="AN71" t="str">
        <f ca="1">IF(AND(ISNUMBER($AN$287),$B$226=1),$AN$287,HLOOKUP(INDIRECT(ADDRESS(2,COLUMN())),OFFSET($BN$2,0,0,ROW()-1,60),ROW()-1,FALSE))</f>
        <v/>
      </c>
      <c r="AO71" t="str">
        <f ca="1">IF(AND(ISNUMBER($AO$287),$B$226=1),$AO$287,HLOOKUP(INDIRECT(ADDRESS(2,COLUMN())),OFFSET($BN$2,0,0,ROW()-1,60),ROW()-1,FALSE))</f>
        <v/>
      </c>
      <c r="AP71" t="str">
        <f ca="1">IF(AND(ISNUMBER($AP$287),$B$226=1),$AP$287,HLOOKUP(INDIRECT(ADDRESS(2,COLUMN())),OFFSET($BN$2,0,0,ROW()-1,60),ROW()-1,FALSE))</f>
        <v/>
      </c>
      <c r="AQ71" t="str">
        <f ca="1">IF(AND(ISNUMBER($AQ$287),$B$226=1),$AQ$287,HLOOKUP(INDIRECT(ADDRESS(2,COLUMN())),OFFSET($BN$2,0,0,ROW()-1,60),ROW()-1,FALSE))</f>
        <v/>
      </c>
      <c r="AR71" t="str">
        <f ca="1">IF(AND(ISNUMBER($AR$287),$B$226=1),$AR$287,HLOOKUP(INDIRECT(ADDRESS(2,COLUMN())),OFFSET($BN$2,0,0,ROW()-1,60),ROW()-1,FALSE))</f>
        <v/>
      </c>
      <c r="AS71" t="str">
        <f ca="1">IF(AND(ISNUMBER($AS$287),$B$226=1),$AS$287,HLOOKUP(INDIRECT(ADDRESS(2,COLUMN())),OFFSET($BN$2,0,0,ROW()-1,60),ROW()-1,FALSE))</f>
        <v/>
      </c>
      <c r="AT71" t="str">
        <f ca="1">IF(AND(ISNUMBER($AT$287),$B$226=1),$AT$287,HLOOKUP(INDIRECT(ADDRESS(2,COLUMN())),OFFSET($BN$2,0,0,ROW()-1,60),ROW()-1,FALSE))</f>
        <v/>
      </c>
      <c r="AU71" t="str">
        <f ca="1">IF(AND(ISNUMBER($AU$287),$B$226=1),$AU$287,HLOOKUP(INDIRECT(ADDRESS(2,COLUMN())),OFFSET($BN$2,0,0,ROW()-1,60),ROW()-1,FALSE))</f>
        <v/>
      </c>
      <c r="AV71" t="str">
        <f ca="1">IF(AND(ISNUMBER($AV$287),$B$226=1),$AV$287,HLOOKUP(INDIRECT(ADDRESS(2,COLUMN())),OFFSET($BN$2,0,0,ROW()-1,60),ROW()-1,FALSE))</f>
        <v/>
      </c>
      <c r="AW71" t="str">
        <f ca="1">IF(AND(ISNUMBER($AW$287),$B$226=1),$AW$287,HLOOKUP(INDIRECT(ADDRESS(2,COLUMN())),OFFSET($BN$2,0,0,ROW()-1,60),ROW()-1,FALSE))</f>
        <v/>
      </c>
      <c r="AX71" t="str">
        <f ca="1">IF(AND(ISNUMBER($AX$287),$B$226=1),$AX$287,HLOOKUP(INDIRECT(ADDRESS(2,COLUMN())),OFFSET($BN$2,0,0,ROW()-1,60),ROW()-1,FALSE))</f>
        <v/>
      </c>
      <c r="AY71" t="str">
        <f ca="1">IF(AND(ISNUMBER($AY$287),$B$226=1),$AY$287,HLOOKUP(INDIRECT(ADDRESS(2,COLUMN())),OFFSET($BN$2,0,0,ROW()-1,60),ROW()-1,FALSE))</f>
        <v/>
      </c>
      <c r="AZ71" t="str">
        <f ca="1">IF(AND(ISNUMBER($AZ$287),$B$226=1),$AZ$287,HLOOKUP(INDIRECT(ADDRESS(2,COLUMN())),OFFSET($BN$2,0,0,ROW()-1,60),ROW()-1,FALSE))</f>
        <v/>
      </c>
      <c r="BA71" t="str">
        <f ca="1">IF(AND(ISNUMBER($BA$287),$B$226=1),$BA$287,HLOOKUP(INDIRECT(ADDRESS(2,COLUMN())),OFFSET($BN$2,0,0,ROW()-1,60),ROW()-1,FALSE))</f>
        <v/>
      </c>
      <c r="BB71" t="str">
        <f ca="1">IF(AND(ISNUMBER($BB$287),$B$226=1),$BB$287,HLOOKUP(INDIRECT(ADDRESS(2,COLUMN())),OFFSET($BN$2,0,0,ROW()-1,60),ROW()-1,FALSE))</f>
        <v/>
      </c>
      <c r="BC71" t="str">
        <f ca="1">IF(AND(ISNUMBER($BC$287),$B$226=1),$BC$287,HLOOKUP(INDIRECT(ADDRESS(2,COLUMN())),OFFSET($BN$2,0,0,ROW()-1,60),ROW()-1,FALSE))</f>
        <v/>
      </c>
      <c r="BD71" t="str">
        <f ca="1">IF(AND(ISNUMBER($BD$287),$B$226=1),$BD$287,HLOOKUP(INDIRECT(ADDRESS(2,COLUMN())),OFFSET($BN$2,0,0,ROW()-1,60),ROW()-1,FALSE))</f>
        <v/>
      </c>
      <c r="BE71" t="str">
        <f ca="1">IF(AND(ISNUMBER($BE$287),$B$226=1),$BE$287,HLOOKUP(INDIRECT(ADDRESS(2,COLUMN())),OFFSET($BN$2,0,0,ROW()-1,60),ROW()-1,FALSE))</f>
        <v/>
      </c>
      <c r="BF71" t="str">
        <f ca="1">IF(AND(ISNUMBER($BF$287),$B$226=1),$BF$287,HLOOKUP(INDIRECT(ADDRESS(2,COLUMN())),OFFSET($BN$2,0,0,ROW()-1,60),ROW()-1,FALSE))</f>
        <v/>
      </c>
      <c r="BG71" t="str">
        <f ca="1">IF(AND(ISNUMBER($BG$287),$B$226=1),$BG$287,HLOOKUP(INDIRECT(ADDRESS(2,COLUMN())),OFFSET($BN$2,0,0,ROW()-1,60),ROW()-1,FALSE))</f>
        <v/>
      </c>
      <c r="BH71" t="str">
        <f ca="1">IF(AND(ISNUMBER($BH$287),$B$226=1),$BH$287,HLOOKUP(INDIRECT(ADDRESS(2,COLUMN())),OFFSET($BN$2,0,0,ROW()-1,60),ROW()-1,FALSE))</f>
        <v/>
      </c>
      <c r="BI71" t="str">
        <f ca="1">IF(AND(ISNUMBER($BI$287),$B$226=1),$BI$287,HLOOKUP(INDIRECT(ADDRESS(2,COLUMN())),OFFSET($BN$2,0,0,ROW()-1,60),ROW()-1,FALSE))</f>
        <v/>
      </c>
      <c r="BJ71" t="str">
        <f ca="1">IF(AND(ISNUMBER($BJ$287),$B$226=1),$BJ$287,HLOOKUP(INDIRECT(ADDRESS(2,COLUMN())),OFFSET($BN$2,0,0,ROW()-1,60),ROW()-1,FALSE))</f>
        <v/>
      </c>
      <c r="BK71" t="str">
        <f ca="1">IF(AND(ISNUMBER($BK$287),$B$226=1),$BK$287,HLOOKUP(INDIRECT(ADDRESS(2,COLUMN())),OFFSET($BN$2,0,0,ROW()-1,60),ROW()-1,FALSE))</f>
        <v/>
      </c>
      <c r="BL71" t="str">
        <f ca="1">IF(AND(ISNUMBER($BL$287),$B$226=1),$BL$287,HLOOKUP(INDIRECT(ADDRESS(2,COLUMN())),OFFSET($BN$2,0,0,ROW()-1,60),ROW()-1,FALSE))</f>
        <v/>
      </c>
      <c r="BM71" t="str">
        <f ca="1">IF(AND(ISNUMBER($BM$287),$B$226=1),$BM$287,HLOOKUP(INDIRECT(ADDRESS(2,COLUMN())),OFFSET($BN$2,0,0,ROW()-1,60),ROW()-1,FALSE))</f>
        <v/>
      </c>
      <c r="BN71" t="str">
        <f>""</f>
        <v/>
      </c>
      <c r="BO71">
        <f>50.854</f>
        <v>50.853999999999999</v>
      </c>
      <c r="BP71">
        <f>25.548</f>
        <v>25.547999999999998</v>
      </c>
      <c r="BQ71">
        <f>34.45</f>
        <v>34.450000000000003</v>
      </c>
      <c r="BR71">
        <f>46.235</f>
        <v>46.234999999999999</v>
      </c>
      <c r="BS71">
        <f>46.911</f>
        <v>46.911000000000001</v>
      </c>
      <c r="BT71">
        <f>23.345</f>
        <v>23.344999999999999</v>
      </c>
      <c r="BU71">
        <f>30.056</f>
        <v>30.056000000000001</v>
      </c>
      <c r="BV71">
        <f>38.735</f>
        <v>38.734999999999999</v>
      </c>
      <c r="BW71">
        <f>39.615</f>
        <v>39.615000000000002</v>
      </c>
      <c r="BX71">
        <f>21.216</f>
        <v>21.216000000000001</v>
      </c>
      <c r="BY71">
        <f>25.942</f>
        <v>25.942</v>
      </c>
      <c r="BZ71">
        <f>30.711</f>
        <v>30.710999999999999</v>
      </c>
      <c r="CA71">
        <f>34.419</f>
        <v>34.418999999999997</v>
      </c>
      <c r="CB71">
        <f>22.415</f>
        <v>22.414999999999999</v>
      </c>
      <c r="CC71">
        <f>21.801</f>
        <v>21.800999999999998</v>
      </c>
      <c r="CD71">
        <f>25.195</f>
        <v>25.195</v>
      </c>
      <c r="CE71">
        <f>29.112</f>
        <v>29.111999999999998</v>
      </c>
      <c r="CF71">
        <f>13.277</f>
        <v>13.276999999999999</v>
      </c>
      <c r="CG71">
        <f>17.84</f>
        <v>17.84</v>
      </c>
      <c r="CH71">
        <f>20.044</f>
        <v>20.044</v>
      </c>
      <c r="CI71">
        <f>21.688</f>
        <v>21.687999999999999</v>
      </c>
      <c r="CJ71">
        <f>8.277</f>
        <v>8.2769999999999992</v>
      </c>
      <c r="CK71">
        <f>14.599</f>
        <v>14.599</v>
      </c>
      <c r="CL71">
        <f>16.451</f>
        <v>16.451000000000001</v>
      </c>
      <c r="CM71">
        <f>16.838</f>
        <v>16.838000000000001</v>
      </c>
      <c r="CN71">
        <f>6.118</f>
        <v>6.1180000000000003</v>
      </c>
      <c r="CO71" t="str">
        <f>""</f>
        <v/>
      </c>
      <c r="CP71" t="str">
        <f>""</f>
        <v/>
      </c>
      <c r="CQ71" t="str">
        <f>""</f>
        <v/>
      </c>
      <c r="CR71" t="str">
        <f>""</f>
        <v/>
      </c>
      <c r="CS71" t="str">
        <f>""</f>
        <v/>
      </c>
      <c r="CT71" t="str">
        <f>""</f>
        <v/>
      </c>
      <c r="CU71" t="str">
        <f>""</f>
        <v/>
      </c>
      <c r="CV71" t="str">
        <f>""</f>
        <v/>
      </c>
      <c r="CW71" t="str">
        <f>""</f>
        <v/>
      </c>
      <c r="CX71" t="str">
        <f>""</f>
        <v/>
      </c>
      <c r="CY71" t="str">
        <f>""</f>
        <v/>
      </c>
      <c r="CZ71" t="str">
        <f>""</f>
        <v/>
      </c>
      <c r="DA71" t="str">
        <f>""</f>
        <v/>
      </c>
      <c r="DB71" t="str">
        <f>""</f>
        <v/>
      </c>
      <c r="DC71" t="str">
        <f>""</f>
        <v/>
      </c>
      <c r="DD71" t="str">
        <f>""</f>
        <v/>
      </c>
      <c r="DE71" t="str">
        <f>""</f>
        <v/>
      </c>
      <c r="DF71" t="str">
        <f>""</f>
        <v/>
      </c>
      <c r="DG71" t="str">
        <f>""</f>
        <v/>
      </c>
      <c r="DH71" t="str">
        <f>""</f>
        <v/>
      </c>
      <c r="DI71" t="str">
        <f>""</f>
        <v/>
      </c>
      <c r="DJ71" t="str">
        <f>""</f>
        <v/>
      </c>
      <c r="DK71" t="str">
        <f>""</f>
        <v/>
      </c>
      <c r="DL71" t="str">
        <f>""</f>
        <v/>
      </c>
      <c r="DM71" t="str">
        <f>""</f>
        <v/>
      </c>
      <c r="DN71" t="str">
        <f>""</f>
        <v/>
      </c>
      <c r="DO71" t="str">
        <f>""</f>
        <v/>
      </c>
      <c r="DP71" t="str">
        <f>""</f>
        <v/>
      </c>
      <c r="DQ71" t="str">
        <f>""</f>
        <v/>
      </c>
      <c r="DR71" t="str">
        <f>""</f>
        <v/>
      </c>
      <c r="DS71" t="str">
        <f>""</f>
        <v/>
      </c>
      <c r="DT71" t="str">
        <f>""</f>
        <v/>
      </c>
      <c r="DU71" t="str">
        <f>""</f>
        <v/>
      </c>
    </row>
    <row r="72" spans="1:125">
      <c r="A72" t="str">
        <f>"    Equity Residential"</f>
        <v xml:space="preserve">    Equity Residential</v>
      </c>
      <c r="B72" t="str">
        <f>"EQR US Equity"</f>
        <v>EQR US Equity</v>
      </c>
      <c r="C72" t="str">
        <f t="shared" si="21"/>
        <v>IS972</v>
      </c>
      <c r="D72" t="str">
        <f t="shared" si="22"/>
        <v>IS_ADJUSTED_EBITDA_AS_REPORTED</v>
      </c>
      <c r="E72" t="str">
        <f t="shared" si="23"/>
        <v>动态</v>
      </c>
      <c r="F72" t="str">
        <f ca="1">IF(AND(ISNUMBER($F$288),$B$226=1),$F$288,HLOOKUP(INDIRECT(ADDRESS(2,COLUMN())),OFFSET($BN$2,0,0,ROW()-1,60),ROW()-1,FALSE))</f>
        <v/>
      </c>
      <c r="G72">
        <f ca="1">IF(AND(ISNUMBER($G$288),$B$226=1),$G$288,HLOOKUP(INDIRECT(ADDRESS(2,COLUMN())),OFFSET($BN$2,0,0,ROW()-1,60),ROW()-1,FALSE))</f>
        <v>417.245</v>
      </c>
      <c r="H72">
        <f ca="1">IF(AND(ISNUMBER($H$288),$B$226=1),$H$288,HLOOKUP(INDIRECT(ADDRESS(2,COLUMN())),OFFSET($BN$2,0,0,ROW()-1,60),ROW()-1,FALSE))</f>
        <v>402.18099999999998</v>
      </c>
      <c r="I72">
        <f ca="1">IF(AND(ISNUMBER($I$288),$B$226=1),$I$288,HLOOKUP(INDIRECT(ADDRESS(2,COLUMN())),OFFSET($BN$2,0,0,ROW()-1,60),ROW()-1,FALSE))</f>
        <v>390.59800000000001</v>
      </c>
      <c r="J72">
        <f ca="1">IF(AND(ISNUMBER($J$288),$B$226=1),$J$288,HLOOKUP(INDIRECT(ADDRESS(2,COLUMN())),OFFSET($BN$2,0,0,ROW()-1,60),ROW()-1,FALSE))</f>
        <v>383.57400000000001</v>
      </c>
      <c r="K72">
        <f ca="1">IF(AND(ISNUMBER($K$288),$B$226=1),$K$288,HLOOKUP(INDIRECT(ADDRESS(2,COLUMN())),OFFSET($BN$2,0,0,ROW()-1,60),ROW()-1,FALSE))</f>
        <v>402.34699999999998</v>
      </c>
      <c r="L72">
        <f ca="1">IF(AND(ISNUMBER($L$288),$B$226=1),$L$288,HLOOKUP(INDIRECT(ADDRESS(2,COLUMN())),OFFSET($BN$2,0,0,ROW()-1,60),ROW()-1,FALSE))</f>
        <v>389.625</v>
      </c>
      <c r="M72">
        <f ca="1">IF(AND(ISNUMBER($M$288),$B$226=1),$M$288,HLOOKUP(INDIRECT(ADDRESS(2,COLUMN())),OFFSET($BN$2,0,0,ROW()-1,60),ROW()-1,FALSE))</f>
        <v>382.83600000000001</v>
      </c>
      <c r="N72">
        <f ca="1">IF(AND(ISNUMBER($N$288),$B$226=1),$N$288,HLOOKUP(INDIRECT(ADDRESS(2,COLUMN())),OFFSET($BN$2,0,0,ROW()-1,60),ROW()-1,FALSE))</f>
        <v>392.137</v>
      </c>
      <c r="O72">
        <f ca="1">IF(AND(ISNUMBER($O$288),$B$226=1),$O$288,HLOOKUP(INDIRECT(ADDRESS(2,COLUMN())),OFFSET($BN$2,0,0,ROW()-1,60),ROW()-1,FALSE))</f>
        <v>470.15800000000002</v>
      </c>
      <c r="P72">
        <f ca="1">IF(AND(ISNUMBER($P$288),$B$226=1),$P$288,HLOOKUP(INDIRECT(ADDRESS(2,COLUMN())),OFFSET($BN$2,0,0,ROW()-1,60),ROW()-1,FALSE))</f>
        <v>458.42899999999997</v>
      </c>
      <c r="Q72">
        <f ca="1">IF(AND(ISNUMBER($Q$288),$B$226=1),$Q$288,HLOOKUP(INDIRECT(ADDRESS(2,COLUMN())),OFFSET($BN$2,0,0,ROW()-1,60),ROW()-1,FALSE))</f>
        <v>442.69499999999999</v>
      </c>
      <c r="R72">
        <f ca="1">IF(AND(ISNUMBER($R$288),$B$226=1),$R$288,HLOOKUP(INDIRECT(ADDRESS(2,COLUMN())),OFFSET($BN$2,0,0,ROW()-1,60),ROW()-1,FALSE))</f>
        <v>415.19</v>
      </c>
      <c r="S72">
        <f ca="1">IF(AND(ISNUMBER($S$288),$B$226=1),$S$288,HLOOKUP(INDIRECT(ADDRESS(2,COLUMN())),OFFSET($BN$2,0,0,ROW()-1,60),ROW()-1,FALSE))</f>
        <v>443.78199999999998</v>
      </c>
      <c r="T72">
        <f ca="1">IF(AND(ISNUMBER($T$288),$B$226=1),$T$288,HLOOKUP(INDIRECT(ADDRESS(2,COLUMN())),OFFSET($BN$2,0,0,ROW()-1,60),ROW()-1,FALSE))</f>
        <v>433.57900000000001</v>
      </c>
      <c r="U72">
        <f ca="1">IF(AND(ISNUMBER($U$288),$B$226=1),$U$288,HLOOKUP(INDIRECT(ADDRESS(2,COLUMN())),OFFSET($BN$2,0,0,ROW()-1,60),ROW()-1,FALSE))</f>
        <v>418.49200000000002</v>
      </c>
      <c r="V72">
        <f ca="1">IF(AND(ISNUMBER($V$288),$B$226=1),$V$288,HLOOKUP(INDIRECT(ADDRESS(2,COLUMN())),OFFSET($BN$2,0,0,ROW()-1,60),ROW()-1,FALSE))</f>
        <v>385.346</v>
      </c>
      <c r="W72">
        <f ca="1">IF(AND(ISNUMBER($W$288),$B$226=1),$W$288,HLOOKUP(INDIRECT(ADDRESS(2,COLUMN())),OFFSET($BN$2,0,0,ROW()-1,60),ROW()-1,FALSE))</f>
        <v>405.50799999999998</v>
      </c>
      <c r="X72" t="str">
        <f ca="1">IF(AND(ISNUMBER($X$288),$B$226=1),$X$288,HLOOKUP(INDIRECT(ADDRESS(2,COLUMN())),OFFSET($BN$2,0,0,ROW()-1,60),ROW()-1,FALSE))</f>
        <v/>
      </c>
      <c r="Y72" t="str">
        <f ca="1">IF(AND(ISNUMBER($Y$288),$B$226=1),$Y$288,HLOOKUP(INDIRECT(ADDRESS(2,COLUMN())),OFFSET($BN$2,0,0,ROW()-1,60),ROW()-1,FALSE))</f>
        <v/>
      </c>
      <c r="Z72" t="str">
        <f ca="1">IF(AND(ISNUMBER($Z$288),$B$226=1),$Z$288,HLOOKUP(INDIRECT(ADDRESS(2,COLUMN())),OFFSET($BN$2,0,0,ROW()-1,60),ROW()-1,FALSE))</f>
        <v/>
      </c>
      <c r="AA72" t="str">
        <f ca="1">IF(AND(ISNUMBER($AA$288),$B$226=1),$AA$288,HLOOKUP(INDIRECT(ADDRESS(2,COLUMN())),OFFSET($BN$2,0,0,ROW()-1,60),ROW()-1,FALSE))</f>
        <v/>
      </c>
      <c r="AB72" t="str">
        <f ca="1">IF(AND(ISNUMBER($AB$288),$B$226=1),$AB$288,HLOOKUP(INDIRECT(ADDRESS(2,COLUMN())),OFFSET($BN$2,0,0,ROW()-1,60),ROW()-1,FALSE))</f>
        <v/>
      </c>
      <c r="AC72" t="str">
        <f ca="1">IF(AND(ISNUMBER($AC$288),$B$226=1),$AC$288,HLOOKUP(INDIRECT(ADDRESS(2,COLUMN())),OFFSET($BN$2,0,0,ROW()-1,60),ROW()-1,FALSE))</f>
        <v/>
      </c>
      <c r="AD72" t="str">
        <f ca="1">IF(AND(ISNUMBER($AD$288),$B$226=1),$AD$288,HLOOKUP(INDIRECT(ADDRESS(2,COLUMN())),OFFSET($BN$2,0,0,ROW()-1,60),ROW()-1,FALSE))</f>
        <v/>
      </c>
      <c r="AE72" t="str">
        <f ca="1">IF(AND(ISNUMBER($AE$288),$B$226=1),$AE$288,HLOOKUP(INDIRECT(ADDRESS(2,COLUMN())),OFFSET($BN$2,0,0,ROW()-1,60),ROW()-1,FALSE))</f>
        <v/>
      </c>
      <c r="AF72" t="str">
        <f ca="1">IF(AND(ISNUMBER($AF$288),$B$226=1),$AF$288,HLOOKUP(INDIRECT(ADDRESS(2,COLUMN())),OFFSET($BN$2,0,0,ROW()-1,60),ROW()-1,FALSE))</f>
        <v/>
      </c>
      <c r="AG72" t="str">
        <f ca="1">IF(AND(ISNUMBER($AG$288),$B$226=1),$AG$288,HLOOKUP(INDIRECT(ADDRESS(2,COLUMN())),OFFSET($BN$2,0,0,ROW()-1,60),ROW()-1,FALSE))</f>
        <v/>
      </c>
      <c r="AH72" t="str">
        <f ca="1">IF(AND(ISNUMBER($AH$288),$B$226=1),$AH$288,HLOOKUP(INDIRECT(ADDRESS(2,COLUMN())),OFFSET($BN$2,0,0,ROW()-1,60),ROW()-1,FALSE))</f>
        <v/>
      </c>
      <c r="AI72" t="str">
        <f ca="1">IF(AND(ISNUMBER($AI$288),$B$226=1),$AI$288,HLOOKUP(INDIRECT(ADDRESS(2,COLUMN())),OFFSET($BN$2,0,0,ROW()-1,60),ROW()-1,FALSE))</f>
        <v/>
      </c>
      <c r="AJ72" t="str">
        <f ca="1">IF(AND(ISNUMBER($AJ$288),$B$226=1),$AJ$288,HLOOKUP(INDIRECT(ADDRESS(2,COLUMN())),OFFSET($BN$2,0,0,ROW()-1,60),ROW()-1,FALSE))</f>
        <v/>
      </c>
      <c r="AK72" t="str">
        <f ca="1">IF(AND(ISNUMBER($AK$288),$B$226=1),$AK$288,HLOOKUP(INDIRECT(ADDRESS(2,COLUMN())),OFFSET($BN$2,0,0,ROW()-1,60),ROW()-1,FALSE))</f>
        <v/>
      </c>
      <c r="AL72" t="str">
        <f ca="1">IF(AND(ISNUMBER($AL$288),$B$226=1),$AL$288,HLOOKUP(INDIRECT(ADDRESS(2,COLUMN())),OFFSET($BN$2,0,0,ROW()-1,60),ROW()-1,FALSE))</f>
        <v/>
      </c>
      <c r="AM72" t="str">
        <f ca="1">IF(AND(ISNUMBER($AM$288),$B$226=1),$AM$288,HLOOKUP(INDIRECT(ADDRESS(2,COLUMN())),OFFSET($BN$2,0,0,ROW()-1,60),ROW()-1,FALSE))</f>
        <v/>
      </c>
      <c r="AN72" t="str">
        <f ca="1">IF(AND(ISNUMBER($AN$288),$B$226=1),$AN$288,HLOOKUP(INDIRECT(ADDRESS(2,COLUMN())),OFFSET($BN$2,0,0,ROW()-1,60),ROW()-1,FALSE))</f>
        <v/>
      </c>
      <c r="AO72" t="str">
        <f ca="1">IF(AND(ISNUMBER($AO$288),$B$226=1),$AO$288,HLOOKUP(INDIRECT(ADDRESS(2,COLUMN())),OFFSET($BN$2,0,0,ROW()-1,60),ROW()-1,FALSE))</f>
        <v/>
      </c>
      <c r="AP72" t="str">
        <f ca="1">IF(AND(ISNUMBER($AP$288),$B$226=1),$AP$288,HLOOKUP(INDIRECT(ADDRESS(2,COLUMN())),OFFSET($BN$2,0,0,ROW()-1,60),ROW()-1,FALSE))</f>
        <v/>
      </c>
      <c r="AQ72" t="str">
        <f ca="1">IF(AND(ISNUMBER($AQ$288),$B$226=1),$AQ$288,HLOOKUP(INDIRECT(ADDRESS(2,COLUMN())),OFFSET($BN$2,0,0,ROW()-1,60),ROW()-1,FALSE))</f>
        <v/>
      </c>
      <c r="AR72" t="str">
        <f ca="1">IF(AND(ISNUMBER($AR$288),$B$226=1),$AR$288,HLOOKUP(INDIRECT(ADDRESS(2,COLUMN())),OFFSET($BN$2,0,0,ROW()-1,60),ROW()-1,FALSE))</f>
        <v/>
      </c>
      <c r="AS72" t="str">
        <f ca="1">IF(AND(ISNUMBER($AS$288),$B$226=1),$AS$288,HLOOKUP(INDIRECT(ADDRESS(2,COLUMN())),OFFSET($BN$2,0,0,ROW()-1,60),ROW()-1,FALSE))</f>
        <v/>
      </c>
      <c r="AT72" t="str">
        <f ca="1">IF(AND(ISNUMBER($AT$288),$B$226=1),$AT$288,HLOOKUP(INDIRECT(ADDRESS(2,COLUMN())),OFFSET($BN$2,0,0,ROW()-1,60),ROW()-1,FALSE))</f>
        <v/>
      </c>
      <c r="AU72" t="str">
        <f ca="1">IF(AND(ISNUMBER($AU$288),$B$226=1),$AU$288,HLOOKUP(INDIRECT(ADDRESS(2,COLUMN())),OFFSET($BN$2,0,0,ROW()-1,60),ROW()-1,FALSE))</f>
        <v/>
      </c>
      <c r="AV72" t="str">
        <f ca="1">IF(AND(ISNUMBER($AV$288),$B$226=1),$AV$288,HLOOKUP(INDIRECT(ADDRESS(2,COLUMN())),OFFSET($BN$2,0,0,ROW()-1,60),ROW()-1,FALSE))</f>
        <v/>
      </c>
      <c r="AW72" t="str">
        <f ca="1">IF(AND(ISNUMBER($AW$288),$B$226=1),$AW$288,HLOOKUP(INDIRECT(ADDRESS(2,COLUMN())),OFFSET($BN$2,0,0,ROW()-1,60),ROW()-1,FALSE))</f>
        <v/>
      </c>
      <c r="AX72" t="str">
        <f ca="1">IF(AND(ISNUMBER($AX$288),$B$226=1),$AX$288,HLOOKUP(INDIRECT(ADDRESS(2,COLUMN())),OFFSET($BN$2,0,0,ROW()-1,60),ROW()-1,FALSE))</f>
        <v/>
      </c>
      <c r="AY72" t="str">
        <f ca="1">IF(AND(ISNUMBER($AY$288),$B$226=1),$AY$288,HLOOKUP(INDIRECT(ADDRESS(2,COLUMN())),OFFSET($BN$2,0,0,ROW()-1,60),ROW()-1,FALSE))</f>
        <v/>
      </c>
      <c r="AZ72" t="str">
        <f ca="1">IF(AND(ISNUMBER($AZ$288),$B$226=1),$AZ$288,HLOOKUP(INDIRECT(ADDRESS(2,COLUMN())),OFFSET($BN$2,0,0,ROW()-1,60),ROW()-1,FALSE))</f>
        <v/>
      </c>
      <c r="BA72" t="str">
        <f ca="1">IF(AND(ISNUMBER($BA$288),$B$226=1),$BA$288,HLOOKUP(INDIRECT(ADDRESS(2,COLUMN())),OFFSET($BN$2,0,0,ROW()-1,60),ROW()-1,FALSE))</f>
        <v/>
      </c>
      <c r="BB72" t="str">
        <f ca="1">IF(AND(ISNUMBER($BB$288),$B$226=1),$BB$288,HLOOKUP(INDIRECT(ADDRESS(2,COLUMN())),OFFSET($BN$2,0,0,ROW()-1,60),ROW()-1,FALSE))</f>
        <v/>
      </c>
      <c r="BC72" t="str">
        <f ca="1">IF(AND(ISNUMBER($BC$288),$B$226=1),$BC$288,HLOOKUP(INDIRECT(ADDRESS(2,COLUMN())),OFFSET($BN$2,0,0,ROW()-1,60),ROW()-1,FALSE))</f>
        <v/>
      </c>
      <c r="BD72" t="str">
        <f ca="1">IF(AND(ISNUMBER($BD$288),$B$226=1),$BD$288,HLOOKUP(INDIRECT(ADDRESS(2,COLUMN())),OFFSET($BN$2,0,0,ROW()-1,60),ROW()-1,FALSE))</f>
        <v/>
      </c>
      <c r="BE72" t="str">
        <f ca="1">IF(AND(ISNUMBER($BE$288),$B$226=1),$BE$288,HLOOKUP(INDIRECT(ADDRESS(2,COLUMN())),OFFSET($BN$2,0,0,ROW()-1,60),ROW()-1,FALSE))</f>
        <v/>
      </c>
      <c r="BF72" t="str">
        <f ca="1">IF(AND(ISNUMBER($BF$288),$B$226=1),$BF$288,HLOOKUP(INDIRECT(ADDRESS(2,COLUMN())),OFFSET($BN$2,0,0,ROW()-1,60),ROW()-1,FALSE))</f>
        <v/>
      </c>
      <c r="BG72" t="str">
        <f ca="1">IF(AND(ISNUMBER($BG$288),$B$226=1),$BG$288,HLOOKUP(INDIRECT(ADDRESS(2,COLUMN())),OFFSET($BN$2,0,0,ROW()-1,60),ROW()-1,FALSE))</f>
        <v/>
      </c>
      <c r="BH72" t="str">
        <f ca="1">IF(AND(ISNUMBER($BH$288),$B$226=1),$BH$288,HLOOKUP(INDIRECT(ADDRESS(2,COLUMN())),OFFSET($BN$2,0,0,ROW()-1,60),ROW()-1,FALSE))</f>
        <v/>
      </c>
      <c r="BI72" t="str">
        <f ca="1">IF(AND(ISNUMBER($BI$288),$B$226=1),$BI$288,HLOOKUP(INDIRECT(ADDRESS(2,COLUMN())),OFFSET($BN$2,0,0,ROW()-1,60),ROW()-1,FALSE))</f>
        <v/>
      </c>
      <c r="BJ72" t="str">
        <f ca="1">IF(AND(ISNUMBER($BJ$288),$B$226=1),$BJ$288,HLOOKUP(INDIRECT(ADDRESS(2,COLUMN())),OFFSET($BN$2,0,0,ROW()-1,60),ROW()-1,FALSE))</f>
        <v/>
      </c>
      <c r="BK72" t="str">
        <f ca="1">IF(AND(ISNUMBER($BK$288),$B$226=1),$BK$288,HLOOKUP(INDIRECT(ADDRESS(2,COLUMN())),OFFSET($BN$2,0,0,ROW()-1,60),ROW()-1,FALSE))</f>
        <v/>
      </c>
      <c r="BL72" t="str">
        <f ca="1">IF(AND(ISNUMBER($BL$288),$B$226=1),$BL$288,HLOOKUP(INDIRECT(ADDRESS(2,COLUMN())),OFFSET($BN$2,0,0,ROW()-1,60),ROW()-1,FALSE))</f>
        <v/>
      </c>
      <c r="BM72" t="str">
        <f ca="1">IF(AND(ISNUMBER($BM$288),$B$226=1),$BM$288,HLOOKUP(INDIRECT(ADDRESS(2,COLUMN())),OFFSET($BN$2,0,0,ROW()-1,60),ROW()-1,FALSE))</f>
        <v/>
      </c>
      <c r="BN72" t="str">
        <f>""</f>
        <v/>
      </c>
      <c r="BO72">
        <f>417.245</f>
        <v>417.245</v>
      </c>
      <c r="BP72">
        <f>402.181</f>
        <v>402.18099999999998</v>
      </c>
      <c r="BQ72">
        <f>390.598</f>
        <v>390.59800000000001</v>
      </c>
      <c r="BR72">
        <f>383.574</f>
        <v>383.57400000000001</v>
      </c>
      <c r="BS72">
        <f>402.347</f>
        <v>402.34699999999998</v>
      </c>
      <c r="BT72">
        <f>389.625</f>
        <v>389.625</v>
      </c>
      <c r="BU72">
        <f>382.836</f>
        <v>382.83600000000001</v>
      </c>
      <c r="BV72">
        <f>392.137</f>
        <v>392.137</v>
      </c>
      <c r="BW72">
        <f>470.158</f>
        <v>470.15800000000002</v>
      </c>
      <c r="BX72">
        <f>458.429</f>
        <v>458.42899999999997</v>
      </c>
      <c r="BY72">
        <f>442.695</f>
        <v>442.69499999999999</v>
      </c>
      <c r="BZ72">
        <f>415.19</f>
        <v>415.19</v>
      </c>
      <c r="CA72">
        <f>443.782</f>
        <v>443.78199999999998</v>
      </c>
      <c r="CB72">
        <f>433.579</f>
        <v>433.57900000000001</v>
      </c>
      <c r="CC72">
        <f>418.492</f>
        <v>418.49200000000002</v>
      </c>
      <c r="CD72">
        <f>385.346</f>
        <v>385.346</v>
      </c>
      <c r="CE72">
        <f>405.508</f>
        <v>405.50799999999998</v>
      </c>
      <c r="CF72" t="str">
        <f>""</f>
        <v/>
      </c>
      <c r="CG72" t="str">
        <f>""</f>
        <v/>
      </c>
      <c r="CH72" t="str">
        <f>""</f>
        <v/>
      </c>
      <c r="CI72" t="str">
        <f>""</f>
        <v/>
      </c>
      <c r="CJ72" t="str">
        <f>""</f>
        <v/>
      </c>
      <c r="CK72" t="str">
        <f>""</f>
        <v/>
      </c>
      <c r="CL72" t="str">
        <f>""</f>
        <v/>
      </c>
      <c r="CM72" t="str">
        <f>""</f>
        <v/>
      </c>
      <c r="CN72" t="str">
        <f>""</f>
        <v/>
      </c>
      <c r="CO72" t="str">
        <f>""</f>
        <v/>
      </c>
      <c r="CP72" t="str">
        <f>""</f>
        <v/>
      </c>
      <c r="CQ72" t="str">
        <f>""</f>
        <v/>
      </c>
      <c r="CR72" t="str">
        <f>""</f>
        <v/>
      </c>
      <c r="CS72" t="str">
        <f>""</f>
        <v/>
      </c>
      <c r="CT72" t="str">
        <f>""</f>
        <v/>
      </c>
      <c r="CU72" t="str">
        <f>""</f>
        <v/>
      </c>
      <c r="CV72" t="str">
        <f>""</f>
        <v/>
      </c>
      <c r="CW72" t="str">
        <f>""</f>
        <v/>
      </c>
      <c r="CX72" t="str">
        <f>""</f>
        <v/>
      </c>
      <c r="CY72" t="str">
        <f>""</f>
        <v/>
      </c>
      <c r="CZ72" t="str">
        <f>""</f>
        <v/>
      </c>
      <c r="DA72" t="str">
        <f>""</f>
        <v/>
      </c>
      <c r="DB72" t="str">
        <f>""</f>
        <v/>
      </c>
      <c r="DC72" t="str">
        <f>""</f>
        <v/>
      </c>
      <c r="DD72" t="str">
        <f>""</f>
        <v/>
      </c>
      <c r="DE72" t="str">
        <f>""</f>
        <v/>
      </c>
      <c r="DF72" t="str">
        <f>""</f>
        <v/>
      </c>
      <c r="DG72" t="str">
        <f>""</f>
        <v/>
      </c>
      <c r="DH72" t="str">
        <f>""</f>
        <v/>
      </c>
      <c r="DI72" t="str">
        <f>""</f>
        <v/>
      </c>
      <c r="DJ72" t="str">
        <f>""</f>
        <v/>
      </c>
      <c r="DK72" t="str">
        <f>""</f>
        <v/>
      </c>
      <c r="DL72" t="str">
        <f>""</f>
        <v/>
      </c>
      <c r="DM72" t="str">
        <f>""</f>
        <v/>
      </c>
      <c r="DN72" t="str">
        <f>""</f>
        <v/>
      </c>
      <c r="DO72" t="str">
        <f>""</f>
        <v/>
      </c>
      <c r="DP72" t="str">
        <f>""</f>
        <v/>
      </c>
      <c r="DQ72" t="str">
        <f>""</f>
        <v/>
      </c>
      <c r="DR72" t="str">
        <f>""</f>
        <v/>
      </c>
      <c r="DS72" t="str">
        <f>""</f>
        <v/>
      </c>
      <c r="DT72" t="str">
        <f>""</f>
        <v/>
      </c>
      <c r="DU72" t="str">
        <f>""</f>
        <v/>
      </c>
    </row>
    <row r="73" spans="1:125">
      <c r="A73" t="str">
        <f>"    Essex Property Trust Inc"</f>
        <v xml:space="preserve">    Essex Property Trust Inc</v>
      </c>
      <c r="B73" t="str">
        <f>"ESS US Equity"</f>
        <v>ESS US Equity</v>
      </c>
      <c r="C73" t="str">
        <f t="shared" si="21"/>
        <v>IS972</v>
      </c>
      <c r="D73" t="str">
        <f t="shared" si="22"/>
        <v>IS_ADJUSTED_EBITDA_AS_REPORTED</v>
      </c>
      <c r="E73" t="str">
        <f t="shared" si="23"/>
        <v>动态</v>
      </c>
      <c r="F73" t="str">
        <f ca="1">IF(AND(ISNUMBER($F$289),$B$226=1),$F$289,HLOOKUP(INDIRECT(ADDRESS(2,COLUMN())),OFFSET($BN$2,0,0,ROW()-1,60),ROW()-1,FALSE))</f>
        <v/>
      </c>
      <c r="G73">
        <f ca="1">IF(AND(ISNUMBER($G$289),$B$226=1),$G$289,HLOOKUP(INDIRECT(ADDRESS(2,COLUMN())),OFFSET($BN$2,0,0,ROW()-1,60),ROW()-1,FALSE))</f>
        <v>242.423</v>
      </c>
      <c r="H73">
        <f ca="1">IF(AND(ISNUMBER($H$289),$B$226=1),$H$289,HLOOKUP(INDIRECT(ADDRESS(2,COLUMN())),OFFSET($BN$2,0,0,ROW()-1,60),ROW()-1,FALSE))</f>
        <v>242.51</v>
      </c>
      <c r="I73">
        <f ca="1">IF(AND(ISNUMBER($I$289),$B$226=1),$I$289,HLOOKUP(INDIRECT(ADDRESS(2,COLUMN())),OFFSET($BN$2,0,0,ROW()-1,60),ROW()-1,FALSE))</f>
        <v>223.99</v>
      </c>
      <c r="J73">
        <f ca="1">IF(AND(ISNUMBER($J$289),$B$226=1),$J$289,HLOOKUP(INDIRECT(ADDRESS(2,COLUMN())),OFFSET($BN$2,0,0,ROW()-1,60),ROW()-1,FALSE))</f>
        <v>236.07</v>
      </c>
      <c r="K73">
        <f ca="1">IF(AND(ISNUMBER($K$289),$B$226=1),$K$289,HLOOKUP(INDIRECT(ADDRESS(2,COLUMN())),OFFSET($BN$2,0,0,ROW()-1,60),ROW()-1,FALSE))</f>
        <v>227.59800000000001</v>
      </c>
      <c r="L73">
        <f ca="1">IF(AND(ISNUMBER($L$289),$B$226=1),$L$289,HLOOKUP(INDIRECT(ADDRESS(2,COLUMN())),OFFSET($BN$2,0,0,ROW()-1,60),ROW()-1,FALSE))</f>
        <v>228.34399999999999</v>
      </c>
      <c r="M73" t="str">
        <f ca="1">IF(AND(ISNUMBER($M$289),$B$226=1),$M$289,HLOOKUP(INDIRECT(ADDRESS(2,COLUMN())),OFFSET($BN$2,0,0,ROW()-1,60),ROW()-1,FALSE))</f>
        <v/>
      </c>
      <c r="N73" t="str">
        <f ca="1">IF(AND(ISNUMBER($N$289),$B$226=1),$N$289,HLOOKUP(INDIRECT(ADDRESS(2,COLUMN())),OFFSET($BN$2,0,0,ROW()-1,60),ROW()-1,FALSE))</f>
        <v/>
      </c>
      <c r="O73" t="str">
        <f ca="1">IF(AND(ISNUMBER($O$289),$B$226=1),$O$289,HLOOKUP(INDIRECT(ADDRESS(2,COLUMN())),OFFSET($BN$2,0,0,ROW()-1,60),ROW()-1,FALSE))</f>
        <v/>
      </c>
      <c r="P73" t="str">
        <f ca="1">IF(AND(ISNUMBER($P$289),$B$226=1),$P$289,HLOOKUP(INDIRECT(ADDRESS(2,COLUMN())),OFFSET($BN$2,0,0,ROW()-1,60),ROW()-1,FALSE))</f>
        <v/>
      </c>
      <c r="Q73" t="str">
        <f ca="1">IF(AND(ISNUMBER($Q$289),$B$226=1),$Q$289,HLOOKUP(INDIRECT(ADDRESS(2,COLUMN())),OFFSET($BN$2,0,0,ROW()-1,60),ROW()-1,FALSE))</f>
        <v/>
      </c>
      <c r="R73" t="str">
        <f ca="1">IF(AND(ISNUMBER($R$289),$B$226=1),$R$289,HLOOKUP(INDIRECT(ADDRESS(2,COLUMN())),OFFSET($BN$2,0,0,ROW()-1,60),ROW()-1,FALSE))</f>
        <v/>
      </c>
      <c r="S73" t="str">
        <f ca="1">IF(AND(ISNUMBER($S$289),$B$226=1),$S$289,HLOOKUP(INDIRECT(ADDRESS(2,COLUMN())),OFFSET($BN$2,0,0,ROW()-1,60),ROW()-1,FALSE))</f>
        <v/>
      </c>
      <c r="T73" t="str">
        <f ca="1">IF(AND(ISNUMBER($T$289),$B$226=1),$T$289,HLOOKUP(INDIRECT(ADDRESS(2,COLUMN())),OFFSET($BN$2,0,0,ROW()-1,60),ROW()-1,FALSE))</f>
        <v/>
      </c>
      <c r="U73" t="str">
        <f ca="1">IF(AND(ISNUMBER($U$289),$B$226=1),$U$289,HLOOKUP(INDIRECT(ADDRESS(2,COLUMN())),OFFSET($BN$2,0,0,ROW()-1,60),ROW()-1,FALSE))</f>
        <v/>
      </c>
      <c r="V73" t="str">
        <f ca="1">IF(AND(ISNUMBER($V$289),$B$226=1),$V$289,HLOOKUP(INDIRECT(ADDRESS(2,COLUMN())),OFFSET($BN$2,0,0,ROW()-1,60),ROW()-1,FALSE))</f>
        <v/>
      </c>
      <c r="W73" t="str">
        <f ca="1">IF(AND(ISNUMBER($W$289),$B$226=1),$W$289,HLOOKUP(INDIRECT(ADDRESS(2,COLUMN())),OFFSET($BN$2,0,0,ROW()-1,60),ROW()-1,FALSE))</f>
        <v/>
      </c>
      <c r="X73" t="str">
        <f ca="1">IF(AND(ISNUMBER($X$289),$B$226=1),$X$289,HLOOKUP(INDIRECT(ADDRESS(2,COLUMN())),OFFSET($BN$2,0,0,ROW()-1,60),ROW()-1,FALSE))</f>
        <v/>
      </c>
      <c r="Y73" t="str">
        <f ca="1">IF(AND(ISNUMBER($Y$289),$B$226=1),$Y$289,HLOOKUP(INDIRECT(ADDRESS(2,COLUMN())),OFFSET($BN$2,0,0,ROW()-1,60),ROW()-1,FALSE))</f>
        <v/>
      </c>
      <c r="Z73" t="str">
        <f ca="1">IF(AND(ISNUMBER($Z$289),$B$226=1),$Z$289,HLOOKUP(INDIRECT(ADDRESS(2,COLUMN())),OFFSET($BN$2,0,0,ROW()-1,60),ROW()-1,FALSE))</f>
        <v/>
      </c>
      <c r="AA73" t="str">
        <f ca="1">IF(AND(ISNUMBER($AA$289),$B$226=1),$AA$289,HLOOKUP(INDIRECT(ADDRESS(2,COLUMN())),OFFSET($BN$2,0,0,ROW()-1,60),ROW()-1,FALSE))</f>
        <v/>
      </c>
      <c r="AB73" t="str">
        <f ca="1">IF(AND(ISNUMBER($AB$289),$B$226=1),$AB$289,HLOOKUP(INDIRECT(ADDRESS(2,COLUMN())),OFFSET($BN$2,0,0,ROW()-1,60),ROW()-1,FALSE))</f>
        <v/>
      </c>
      <c r="AC73" t="str">
        <f ca="1">IF(AND(ISNUMBER($AC$289),$B$226=1),$AC$289,HLOOKUP(INDIRECT(ADDRESS(2,COLUMN())),OFFSET($BN$2,0,0,ROW()-1,60),ROW()-1,FALSE))</f>
        <v/>
      </c>
      <c r="AD73" t="str">
        <f ca="1">IF(AND(ISNUMBER($AD$289),$B$226=1),$AD$289,HLOOKUP(INDIRECT(ADDRESS(2,COLUMN())),OFFSET($BN$2,0,0,ROW()-1,60),ROW()-1,FALSE))</f>
        <v/>
      </c>
      <c r="AE73" t="str">
        <f ca="1">IF(AND(ISNUMBER($AE$289),$B$226=1),$AE$289,HLOOKUP(INDIRECT(ADDRESS(2,COLUMN())),OFFSET($BN$2,0,0,ROW()-1,60),ROW()-1,FALSE))</f>
        <v/>
      </c>
      <c r="AF73" t="str">
        <f ca="1">IF(AND(ISNUMBER($AF$289),$B$226=1),$AF$289,HLOOKUP(INDIRECT(ADDRESS(2,COLUMN())),OFFSET($BN$2,0,0,ROW()-1,60),ROW()-1,FALSE))</f>
        <v/>
      </c>
      <c r="AG73" t="str">
        <f ca="1">IF(AND(ISNUMBER($AG$289),$B$226=1),$AG$289,HLOOKUP(INDIRECT(ADDRESS(2,COLUMN())),OFFSET($BN$2,0,0,ROW()-1,60),ROW()-1,FALSE))</f>
        <v/>
      </c>
      <c r="AH73" t="str">
        <f ca="1">IF(AND(ISNUMBER($AH$289),$B$226=1),$AH$289,HLOOKUP(INDIRECT(ADDRESS(2,COLUMN())),OFFSET($BN$2,0,0,ROW()-1,60),ROW()-1,FALSE))</f>
        <v/>
      </c>
      <c r="AI73" t="str">
        <f ca="1">IF(AND(ISNUMBER($AI$289),$B$226=1),$AI$289,HLOOKUP(INDIRECT(ADDRESS(2,COLUMN())),OFFSET($BN$2,0,0,ROW()-1,60),ROW()-1,FALSE))</f>
        <v/>
      </c>
      <c r="AJ73" t="str">
        <f ca="1">IF(AND(ISNUMBER($AJ$289),$B$226=1),$AJ$289,HLOOKUP(INDIRECT(ADDRESS(2,COLUMN())),OFFSET($BN$2,0,0,ROW()-1,60),ROW()-1,FALSE))</f>
        <v/>
      </c>
      <c r="AK73" t="str">
        <f ca="1">IF(AND(ISNUMBER($AK$289),$B$226=1),$AK$289,HLOOKUP(INDIRECT(ADDRESS(2,COLUMN())),OFFSET($BN$2,0,0,ROW()-1,60),ROW()-1,FALSE))</f>
        <v/>
      </c>
      <c r="AL73" t="str">
        <f ca="1">IF(AND(ISNUMBER($AL$289),$B$226=1),$AL$289,HLOOKUP(INDIRECT(ADDRESS(2,COLUMN())),OFFSET($BN$2,0,0,ROW()-1,60),ROW()-1,FALSE))</f>
        <v/>
      </c>
      <c r="AM73" t="str">
        <f ca="1">IF(AND(ISNUMBER($AM$289),$B$226=1),$AM$289,HLOOKUP(INDIRECT(ADDRESS(2,COLUMN())),OFFSET($BN$2,0,0,ROW()-1,60),ROW()-1,FALSE))</f>
        <v/>
      </c>
      <c r="AN73" t="str">
        <f ca="1">IF(AND(ISNUMBER($AN$289),$B$226=1),$AN$289,HLOOKUP(INDIRECT(ADDRESS(2,COLUMN())),OFFSET($BN$2,0,0,ROW()-1,60),ROW()-1,FALSE))</f>
        <v/>
      </c>
      <c r="AO73" t="str">
        <f ca="1">IF(AND(ISNUMBER($AO$289),$B$226=1),$AO$289,HLOOKUP(INDIRECT(ADDRESS(2,COLUMN())),OFFSET($BN$2,0,0,ROW()-1,60),ROW()-1,FALSE))</f>
        <v/>
      </c>
      <c r="AP73" t="str">
        <f ca="1">IF(AND(ISNUMBER($AP$289),$B$226=1),$AP$289,HLOOKUP(INDIRECT(ADDRESS(2,COLUMN())),OFFSET($BN$2,0,0,ROW()-1,60),ROW()-1,FALSE))</f>
        <v/>
      </c>
      <c r="AQ73" t="str">
        <f ca="1">IF(AND(ISNUMBER($AQ$289),$B$226=1),$AQ$289,HLOOKUP(INDIRECT(ADDRESS(2,COLUMN())),OFFSET($BN$2,0,0,ROW()-1,60),ROW()-1,FALSE))</f>
        <v/>
      </c>
      <c r="AR73" t="str">
        <f ca="1">IF(AND(ISNUMBER($AR$289),$B$226=1),$AR$289,HLOOKUP(INDIRECT(ADDRESS(2,COLUMN())),OFFSET($BN$2,0,0,ROW()-1,60),ROW()-1,FALSE))</f>
        <v/>
      </c>
      <c r="AS73" t="str">
        <f ca="1">IF(AND(ISNUMBER($AS$289),$B$226=1),$AS$289,HLOOKUP(INDIRECT(ADDRESS(2,COLUMN())),OFFSET($BN$2,0,0,ROW()-1,60),ROW()-1,FALSE))</f>
        <v/>
      </c>
      <c r="AT73" t="str">
        <f ca="1">IF(AND(ISNUMBER($AT$289),$B$226=1),$AT$289,HLOOKUP(INDIRECT(ADDRESS(2,COLUMN())),OFFSET($BN$2,0,0,ROW()-1,60),ROW()-1,FALSE))</f>
        <v/>
      </c>
      <c r="AU73" t="str">
        <f ca="1">IF(AND(ISNUMBER($AU$289),$B$226=1),$AU$289,HLOOKUP(INDIRECT(ADDRESS(2,COLUMN())),OFFSET($BN$2,0,0,ROW()-1,60),ROW()-1,FALSE))</f>
        <v/>
      </c>
      <c r="AV73" t="str">
        <f ca="1">IF(AND(ISNUMBER($AV$289),$B$226=1),$AV$289,HLOOKUP(INDIRECT(ADDRESS(2,COLUMN())),OFFSET($BN$2,0,0,ROW()-1,60),ROW()-1,FALSE))</f>
        <v/>
      </c>
      <c r="AW73" t="str">
        <f ca="1">IF(AND(ISNUMBER($AW$289),$B$226=1),$AW$289,HLOOKUP(INDIRECT(ADDRESS(2,COLUMN())),OFFSET($BN$2,0,0,ROW()-1,60),ROW()-1,FALSE))</f>
        <v/>
      </c>
      <c r="AX73" t="str">
        <f ca="1">IF(AND(ISNUMBER($AX$289),$B$226=1),$AX$289,HLOOKUP(INDIRECT(ADDRESS(2,COLUMN())),OFFSET($BN$2,0,0,ROW()-1,60),ROW()-1,FALSE))</f>
        <v/>
      </c>
      <c r="AY73" t="str">
        <f ca="1">IF(AND(ISNUMBER($AY$289),$B$226=1),$AY$289,HLOOKUP(INDIRECT(ADDRESS(2,COLUMN())),OFFSET($BN$2,0,0,ROW()-1,60),ROW()-1,FALSE))</f>
        <v/>
      </c>
      <c r="AZ73" t="str">
        <f ca="1">IF(AND(ISNUMBER($AZ$289),$B$226=1),$AZ$289,HLOOKUP(INDIRECT(ADDRESS(2,COLUMN())),OFFSET($BN$2,0,0,ROW()-1,60),ROW()-1,FALSE))</f>
        <v/>
      </c>
      <c r="BA73" t="str">
        <f ca="1">IF(AND(ISNUMBER($BA$289),$B$226=1),$BA$289,HLOOKUP(INDIRECT(ADDRESS(2,COLUMN())),OFFSET($BN$2,0,0,ROW()-1,60),ROW()-1,FALSE))</f>
        <v/>
      </c>
      <c r="BB73" t="str">
        <f ca="1">IF(AND(ISNUMBER($BB$289),$B$226=1),$BB$289,HLOOKUP(INDIRECT(ADDRESS(2,COLUMN())),OFFSET($BN$2,0,0,ROW()-1,60),ROW()-1,FALSE))</f>
        <v/>
      </c>
      <c r="BC73" t="str">
        <f ca="1">IF(AND(ISNUMBER($BC$289),$B$226=1),$BC$289,HLOOKUP(INDIRECT(ADDRESS(2,COLUMN())),OFFSET($BN$2,0,0,ROW()-1,60),ROW()-1,FALSE))</f>
        <v/>
      </c>
      <c r="BD73" t="str">
        <f ca="1">IF(AND(ISNUMBER($BD$289),$B$226=1),$BD$289,HLOOKUP(INDIRECT(ADDRESS(2,COLUMN())),OFFSET($BN$2,0,0,ROW()-1,60),ROW()-1,FALSE))</f>
        <v/>
      </c>
      <c r="BE73" t="str">
        <f ca="1">IF(AND(ISNUMBER($BE$289),$B$226=1),$BE$289,HLOOKUP(INDIRECT(ADDRESS(2,COLUMN())),OFFSET($BN$2,0,0,ROW()-1,60),ROW()-1,FALSE))</f>
        <v/>
      </c>
      <c r="BF73" t="str">
        <f ca="1">IF(AND(ISNUMBER($BF$289),$B$226=1),$BF$289,HLOOKUP(INDIRECT(ADDRESS(2,COLUMN())),OFFSET($BN$2,0,0,ROW()-1,60),ROW()-1,FALSE))</f>
        <v/>
      </c>
      <c r="BG73" t="str">
        <f ca="1">IF(AND(ISNUMBER($BG$289),$B$226=1),$BG$289,HLOOKUP(INDIRECT(ADDRESS(2,COLUMN())),OFFSET($BN$2,0,0,ROW()-1,60),ROW()-1,FALSE))</f>
        <v/>
      </c>
      <c r="BH73" t="str">
        <f ca="1">IF(AND(ISNUMBER($BH$289),$B$226=1),$BH$289,HLOOKUP(INDIRECT(ADDRESS(2,COLUMN())),OFFSET($BN$2,0,0,ROW()-1,60),ROW()-1,FALSE))</f>
        <v/>
      </c>
      <c r="BI73" t="str">
        <f ca="1">IF(AND(ISNUMBER($BI$289),$B$226=1),$BI$289,HLOOKUP(INDIRECT(ADDRESS(2,COLUMN())),OFFSET($BN$2,0,0,ROW()-1,60),ROW()-1,FALSE))</f>
        <v/>
      </c>
      <c r="BJ73" t="str">
        <f ca="1">IF(AND(ISNUMBER($BJ$289),$B$226=1),$BJ$289,HLOOKUP(INDIRECT(ADDRESS(2,COLUMN())),OFFSET($BN$2,0,0,ROW()-1,60),ROW()-1,FALSE))</f>
        <v/>
      </c>
      <c r="BK73" t="str">
        <f ca="1">IF(AND(ISNUMBER($BK$289),$B$226=1),$BK$289,HLOOKUP(INDIRECT(ADDRESS(2,COLUMN())),OFFSET($BN$2,0,0,ROW()-1,60),ROW()-1,FALSE))</f>
        <v/>
      </c>
      <c r="BL73" t="str">
        <f ca="1">IF(AND(ISNUMBER($BL$289),$B$226=1),$BL$289,HLOOKUP(INDIRECT(ADDRESS(2,COLUMN())),OFFSET($BN$2,0,0,ROW()-1,60),ROW()-1,FALSE))</f>
        <v/>
      </c>
      <c r="BM73" t="str">
        <f ca="1">IF(AND(ISNUMBER($BM$289),$B$226=1),$BM$289,HLOOKUP(INDIRECT(ADDRESS(2,COLUMN())),OFFSET($BN$2,0,0,ROW()-1,60),ROW()-1,FALSE))</f>
        <v/>
      </c>
      <c r="BN73" t="str">
        <f>""</f>
        <v/>
      </c>
      <c r="BO73">
        <f>242.423</f>
        <v>242.423</v>
      </c>
      <c r="BP73">
        <f>242.51</f>
        <v>242.51</v>
      </c>
      <c r="BQ73">
        <f>223.99</f>
        <v>223.99</v>
      </c>
      <c r="BR73">
        <f>236.07</f>
        <v>236.07</v>
      </c>
      <c r="BS73">
        <f>227.598</f>
        <v>227.59800000000001</v>
      </c>
      <c r="BT73">
        <f>228.344</f>
        <v>228.34399999999999</v>
      </c>
      <c r="BU73" t="str">
        <f>""</f>
        <v/>
      </c>
      <c r="BV73" t="str">
        <f>""</f>
        <v/>
      </c>
      <c r="BW73" t="str">
        <f>""</f>
        <v/>
      </c>
      <c r="BX73" t="str">
        <f>""</f>
        <v/>
      </c>
      <c r="BY73" t="str">
        <f>""</f>
        <v/>
      </c>
      <c r="BZ73" t="str">
        <f>""</f>
        <v/>
      </c>
      <c r="CA73" t="str">
        <f>""</f>
        <v/>
      </c>
      <c r="CB73" t="str">
        <f>""</f>
        <v/>
      </c>
      <c r="CC73" t="str">
        <f>""</f>
        <v/>
      </c>
      <c r="CD73" t="str">
        <f>""</f>
        <v/>
      </c>
      <c r="CE73" t="str">
        <f>""</f>
        <v/>
      </c>
      <c r="CF73" t="str">
        <f>""</f>
        <v/>
      </c>
      <c r="CG73" t="str">
        <f>""</f>
        <v/>
      </c>
      <c r="CH73" t="str">
        <f>""</f>
        <v/>
      </c>
      <c r="CI73" t="str">
        <f>""</f>
        <v/>
      </c>
      <c r="CJ73" t="str">
        <f>""</f>
        <v/>
      </c>
      <c r="CK73" t="str">
        <f>""</f>
        <v/>
      </c>
      <c r="CL73" t="str">
        <f>""</f>
        <v/>
      </c>
      <c r="CM73" t="str">
        <f>""</f>
        <v/>
      </c>
      <c r="CN73" t="str">
        <f>""</f>
        <v/>
      </c>
      <c r="CO73" t="str">
        <f>""</f>
        <v/>
      </c>
      <c r="CP73" t="str">
        <f>""</f>
        <v/>
      </c>
      <c r="CQ73" t="str">
        <f>""</f>
        <v/>
      </c>
      <c r="CR73" t="str">
        <f>""</f>
        <v/>
      </c>
      <c r="CS73" t="str">
        <f>""</f>
        <v/>
      </c>
      <c r="CT73" t="str">
        <f>""</f>
        <v/>
      </c>
      <c r="CU73" t="str">
        <f>""</f>
        <v/>
      </c>
      <c r="CV73" t="str">
        <f>""</f>
        <v/>
      </c>
      <c r="CW73" t="str">
        <f>""</f>
        <v/>
      </c>
      <c r="CX73" t="str">
        <f>""</f>
        <v/>
      </c>
      <c r="CY73" t="str">
        <f>""</f>
        <v/>
      </c>
      <c r="CZ73" t="str">
        <f>""</f>
        <v/>
      </c>
      <c r="DA73" t="str">
        <f>""</f>
        <v/>
      </c>
      <c r="DB73" t="str">
        <f>""</f>
        <v/>
      </c>
      <c r="DC73" t="str">
        <f>""</f>
        <v/>
      </c>
      <c r="DD73" t="str">
        <f>""</f>
        <v/>
      </c>
      <c r="DE73" t="str">
        <f>""</f>
        <v/>
      </c>
      <c r="DF73" t="str">
        <f>""</f>
        <v/>
      </c>
      <c r="DG73" t="str">
        <f>""</f>
        <v/>
      </c>
      <c r="DH73" t="str">
        <f>""</f>
        <v/>
      </c>
      <c r="DI73" t="str">
        <f>""</f>
        <v/>
      </c>
      <c r="DJ73" t="str">
        <f>""</f>
        <v/>
      </c>
      <c r="DK73" t="str">
        <f>""</f>
        <v/>
      </c>
      <c r="DL73" t="str">
        <f>""</f>
        <v/>
      </c>
      <c r="DM73" t="str">
        <f>""</f>
        <v/>
      </c>
      <c r="DN73" t="str">
        <f>""</f>
        <v/>
      </c>
      <c r="DO73" t="str">
        <f>""</f>
        <v/>
      </c>
      <c r="DP73" t="str">
        <f>""</f>
        <v/>
      </c>
      <c r="DQ73" t="str">
        <f>""</f>
        <v/>
      </c>
      <c r="DR73" t="str">
        <f>""</f>
        <v/>
      </c>
      <c r="DS73" t="str">
        <f>""</f>
        <v/>
      </c>
      <c r="DT73" t="str">
        <f>""</f>
        <v/>
      </c>
      <c r="DU73" t="str">
        <f>""</f>
        <v/>
      </c>
    </row>
    <row r="74" spans="1:125">
      <c r="A74" t="str">
        <f>"    Mid-America Apartment Communit"</f>
        <v xml:space="preserve">    Mid-America Apartment Communit</v>
      </c>
      <c r="B74" t="str">
        <f>"MAA US Equity"</f>
        <v>MAA US Equity</v>
      </c>
      <c r="C74" t="str">
        <f t="shared" si="21"/>
        <v>IS972</v>
      </c>
      <c r="D74" t="str">
        <f t="shared" si="22"/>
        <v>IS_ADJUSTED_EBITDA_AS_REPORTED</v>
      </c>
      <c r="E74" t="str">
        <f t="shared" si="23"/>
        <v>动态</v>
      </c>
      <c r="F74" t="str">
        <f ca="1">IF(AND(ISNUMBER($F$290),$B$226=1),$F$290,HLOOKUP(INDIRECT(ADDRESS(2,COLUMN())),OFFSET($BN$2,0,0,ROW()-1,60),ROW()-1,FALSE))</f>
        <v/>
      </c>
      <c r="G74">
        <f ca="1">IF(AND(ISNUMBER($G$290),$B$226=1),$G$290,HLOOKUP(INDIRECT(ADDRESS(2,COLUMN())),OFFSET($BN$2,0,0,ROW()-1,60),ROW()-1,FALSE))</f>
        <v>225.149</v>
      </c>
      <c r="H74">
        <f ca="1">IF(AND(ISNUMBER($H$290),$B$226=1),$H$290,HLOOKUP(INDIRECT(ADDRESS(2,COLUMN())),OFFSET($BN$2,0,0,ROW()-1,60),ROW()-1,FALSE))</f>
        <v>221.36699999999999</v>
      </c>
      <c r="I74">
        <f ca="1">IF(AND(ISNUMBER($I$290),$B$226=1),$I$290,HLOOKUP(INDIRECT(ADDRESS(2,COLUMN())),OFFSET($BN$2,0,0,ROW()-1,60),ROW()-1,FALSE))</f>
        <v>217.52199999999999</v>
      </c>
      <c r="J74">
        <f ca="1">IF(AND(ISNUMBER($J$290),$B$226=1),$J$290,HLOOKUP(INDIRECT(ADDRESS(2,COLUMN())),OFFSET($BN$2,0,0,ROW()-1,60),ROW()-1,FALSE))</f>
        <v>216.85</v>
      </c>
      <c r="K74">
        <f ca="1">IF(AND(ISNUMBER($K$290),$B$226=1),$K$290,HLOOKUP(INDIRECT(ADDRESS(2,COLUMN())),OFFSET($BN$2,0,0,ROW()-1,60),ROW()-1,FALSE))</f>
        <v>177.44900000000001</v>
      </c>
      <c r="L74">
        <f ca="1">IF(AND(ISNUMBER($L$290),$B$226=1),$L$290,HLOOKUP(INDIRECT(ADDRESS(2,COLUMN())),OFFSET($BN$2,0,0,ROW()-1,60),ROW()-1,FALSE))</f>
        <v>155.74700000000001</v>
      </c>
      <c r="M74">
        <f ca="1">IF(AND(ISNUMBER($M$290),$B$226=1),$M$290,HLOOKUP(INDIRECT(ADDRESS(2,COLUMN())),OFFSET($BN$2,0,0,ROW()-1,60),ROW()-1,FALSE))</f>
        <v>154.01900000000001</v>
      </c>
      <c r="N74">
        <f ca="1">IF(AND(ISNUMBER($N$290),$B$226=1),$N$290,HLOOKUP(INDIRECT(ADDRESS(2,COLUMN())),OFFSET($BN$2,0,0,ROW()-1,60),ROW()-1,FALSE))</f>
        <v>152.58000000000001</v>
      </c>
      <c r="O74">
        <f ca="1">IF(AND(ISNUMBER($O$290),$B$226=1),$O$290,HLOOKUP(INDIRECT(ADDRESS(2,COLUMN())),OFFSET($BN$2,0,0,ROW()-1,60),ROW()-1,FALSE))</f>
        <v>151.29400000000001</v>
      </c>
      <c r="P74">
        <f ca="1">IF(AND(ISNUMBER($P$290),$B$226=1),$P$290,HLOOKUP(INDIRECT(ADDRESS(2,COLUMN())),OFFSET($BN$2,0,0,ROW()-1,60),ROW()-1,FALSE))</f>
        <v>146.71199999999999</v>
      </c>
      <c r="Q74">
        <f ca="1">IF(AND(ISNUMBER($Q$290),$B$226=1),$Q$290,HLOOKUP(INDIRECT(ADDRESS(2,COLUMN())),OFFSET($BN$2,0,0,ROW()-1,60),ROW()-1,FALSE))</f>
        <v>144.398</v>
      </c>
      <c r="R74">
        <f ca="1">IF(AND(ISNUMBER($R$290),$B$226=1),$R$290,HLOOKUP(INDIRECT(ADDRESS(2,COLUMN())),OFFSET($BN$2,0,0,ROW()-1,60),ROW()-1,FALSE))</f>
        <v>142.64099999999999</v>
      </c>
      <c r="S74">
        <f ca="1">IF(AND(ISNUMBER($S$290),$B$226=1),$S$290,HLOOKUP(INDIRECT(ADDRESS(2,COLUMN())),OFFSET($BN$2,0,0,ROW()-1,60),ROW()-1,FALSE))</f>
        <v>143.047</v>
      </c>
      <c r="T74">
        <f ca="1">IF(AND(ISNUMBER($T$290),$B$226=1),$T$290,HLOOKUP(INDIRECT(ADDRESS(2,COLUMN())),OFFSET($BN$2,0,0,ROW()-1,60),ROW()-1,FALSE))</f>
        <v>137.30199999999999</v>
      </c>
      <c r="U74">
        <f ca="1">IF(AND(ISNUMBER($U$290),$B$226=1),$U$290,HLOOKUP(INDIRECT(ADDRESS(2,COLUMN())),OFFSET($BN$2,0,0,ROW()-1,60),ROW()-1,FALSE))</f>
        <v>133.01599999999999</v>
      </c>
      <c r="V74">
        <f ca="1">IF(AND(ISNUMBER($V$290),$B$226=1),$V$290,HLOOKUP(INDIRECT(ADDRESS(2,COLUMN())),OFFSET($BN$2,0,0,ROW()-1,60),ROW()-1,FALSE))</f>
        <v>135.36500000000001</v>
      </c>
      <c r="W74">
        <f ca="1">IF(AND(ISNUMBER($W$290),$B$226=1),$W$290,HLOOKUP(INDIRECT(ADDRESS(2,COLUMN())),OFFSET($BN$2,0,0,ROW()-1,60),ROW()-1,FALSE))</f>
        <v>133.934</v>
      </c>
      <c r="X74">
        <f ca="1">IF(AND(ISNUMBER($X$290),$B$226=1),$X$290,HLOOKUP(INDIRECT(ADDRESS(2,COLUMN())),OFFSET($BN$2,0,0,ROW()-1,60),ROW()-1,FALSE))</f>
        <v>72.159000000000006</v>
      </c>
      <c r="Y74">
        <f ca="1">IF(AND(ISNUMBER($Y$290),$B$226=1),$Y$290,HLOOKUP(INDIRECT(ADDRESS(2,COLUMN())),OFFSET($BN$2,0,0,ROW()-1,60),ROW()-1,FALSE))</f>
        <v>73.108999999999995</v>
      </c>
      <c r="Z74">
        <f ca="1">IF(AND(ISNUMBER($Z$290),$B$226=1),$Z$290,HLOOKUP(INDIRECT(ADDRESS(2,COLUMN())),OFFSET($BN$2,0,0,ROW()-1,60),ROW()-1,FALSE))</f>
        <v>72.173000000000002</v>
      </c>
      <c r="AA74" t="str">
        <f ca="1">IF(AND(ISNUMBER($AA$290),$B$226=1),$AA$290,HLOOKUP(INDIRECT(ADDRESS(2,COLUMN())),OFFSET($BN$2,0,0,ROW()-1,60),ROW()-1,FALSE))</f>
        <v/>
      </c>
      <c r="AB74" t="str">
        <f ca="1">IF(AND(ISNUMBER($AB$290),$B$226=1),$AB$290,HLOOKUP(INDIRECT(ADDRESS(2,COLUMN())),OFFSET($BN$2,0,0,ROW()-1,60),ROW()-1,FALSE))</f>
        <v/>
      </c>
      <c r="AC74" t="str">
        <f ca="1">IF(AND(ISNUMBER($AC$290),$B$226=1),$AC$290,HLOOKUP(INDIRECT(ADDRESS(2,COLUMN())),OFFSET($BN$2,0,0,ROW()-1,60),ROW()-1,FALSE))</f>
        <v/>
      </c>
      <c r="AD74" t="str">
        <f ca="1">IF(AND(ISNUMBER($AD$290),$B$226=1),$AD$290,HLOOKUP(INDIRECT(ADDRESS(2,COLUMN())),OFFSET($BN$2,0,0,ROW()-1,60),ROW()-1,FALSE))</f>
        <v/>
      </c>
      <c r="AE74" t="str">
        <f ca="1">IF(AND(ISNUMBER($AE$290),$B$226=1),$AE$290,HLOOKUP(INDIRECT(ADDRESS(2,COLUMN())),OFFSET($BN$2,0,0,ROW()-1,60),ROW()-1,FALSE))</f>
        <v/>
      </c>
      <c r="AF74" t="str">
        <f ca="1">IF(AND(ISNUMBER($AF$290),$B$226=1),$AF$290,HLOOKUP(INDIRECT(ADDRESS(2,COLUMN())),OFFSET($BN$2,0,0,ROW()-1,60),ROW()-1,FALSE))</f>
        <v/>
      </c>
      <c r="AG74" t="str">
        <f ca="1">IF(AND(ISNUMBER($AG$290),$B$226=1),$AG$290,HLOOKUP(INDIRECT(ADDRESS(2,COLUMN())),OFFSET($BN$2,0,0,ROW()-1,60),ROW()-1,FALSE))</f>
        <v/>
      </c>
      <c r="AH74" t="str">
        <f ca="1">IF(AND(ISNUMBER($AH$290),$B$226=1),$AH$290,HLOOKUP(INDIRECT(ADDRESS(2,COLUMN())),OFFSET($BN$2,0,0,ROW()-1,60),ROW()-1,FALSE))</f>
        <v/>
      </c>
      <c r="AI74" t="str">
        <f ca="1">IF(AND(ISNUMBER($AI$290),$B$226=1),$AI$290,HLOOKUP(INDIRECT(ADDRESS(2,COLUMN())),OFFSET($BN$2,0,0,ROW()-1,60),ROW()-1,FALSE))</f>
        <v/>
      </c>
      <c r="AJ74" t="str">
        <f ca="1">IF(AND(ISNUMBER($AJ$290),$B$226=1),$AJ$290,HLOOKUP(INDIRECT(ADDRESS(2,COLUMN())),OFFSET($BN$2,0,0,ROW()-1,60),ROW()-1,FALSE))</f>
        <v/>
      </c>
      <c r="AK74" t="str">
        <f ca="1">IF(AND(ISNUMBER($AK$290),$B$226=1),$AK$290,HLOOKUP(INDIRECT(ADDRESS(2,COLUMN())),OFFSET($BN$2,0,0,ROW()-1,60),ROW()-1,FALSE))</f>
        <v/>
      </c>
      <c r="AL74" t="str">
        <f ca="1">IF(AND(ISNUMBER($AL$290),$B$226=1),$AL$290,HLOOKUP(INDIRECT(ADDRESS(2,COLUMN())),OFFSET($BN$2,0,0,ROW()-1,60),ROW()-1,FALSE))</f>
        <v/>
      </c>
      <c r="AM74" t="str">
        <f ca="1">IF(AND(ISNUMBER($AM$290),$B$226=1),$AM$290,HLOOKUP(INDIRECT(ADDRESS(2,COLUMN())),OFFSET($BN$2,0,0,ROW()-1,60),ROW()-1,FALSE))</f>
        <v/>
      </c>
      <c r="AN74" t="str">
        <f ca="1">IF(AND(ISNUMBER($AN$290),$B$226=1),$AN$290,HLOOKUP(INDIRECT(ADDRESS(2,COLUMN())),OFFSET($BN$2,0,0,ROW()-1,60),ROW()-1,FALSE))</f>
        <v/>
      </c>
      <c r="AO74" t="str">
        <f ca="1">IF(AND(ISNUMBER($AO$290),$B$226=1),$AO$290,HLOOKUP(INDIRECT(ADDRESS(2,COLUMN())),OFFSET($BN$2,0,0,ROW()-1,60),ROW()-1,FALSE))</f>
        <v/>
      </c>
      <c r="AP74" t="str">
        <f ca="1">IF(AND(ISNUMBER($AP$290),$B$226=1),$AP$290,HLOOKUP(INDIRECT(ADDRESS(2,COLUMN())),OFFSET($BN$2,0,0,ROW()-1,60),ROW()-1,FALSE))</f>
        <v/>
      </c>
      <c r="AQ74" t="str">
        <f ca="1">IF(AND(ISNUMBER($AQ$290),$B$226=1),$AQ$290,HLOOKUP(INDIRECT(ADDRESS(2,COLUMN())),OFFSET($BN$2,0,0,ROW()-1,60),ROW()-1,FALSE))</f>
        <v/>
      </c>
      <c r="AR74" t="str">
        <f ca="1">IF(AND(ISNUMBER($AR$290),$B$226=1),$AR$290,HLOOKUP(INDIRECT(ADDRESS(2,COLUMN())),OFFSET($BN$2,0,0,ROW()-1,60),ROW()-1,FALSE))</f>
        <v/>
      </c>
      <c r="AS74" t="str">
        <f ca="1">IF(AND(ISNUMBER($AS$290),$B$226=1),$AS$290,HLOOKUP(INDIRECT(ADDRESS(2,COLUMN())),OFFSET($BN$2,0,0,ROW()-1,60),ROW()-1,FALSE))</f>
        <v/>
      </c>
      <c r="AT74" t="str">
        <f ca="1">IF(AND(ISNUMBER($AT$290),$B$226=1),$AT$290,HLOOKUP(INDIRECT(ADDRESS(2,COLUMN())),OFFSET($BN$2,0,0,ROW()-1,60),ROW()-1,FALSE))</f>
        <v/>
      </c>
      <c r="AU74" t="str">
        <f ca="1">IF(AND(ISNUMBER($AU$290),$B$226=1),$AU$290,HLOOKUP(INDIRECT(ADDRESS(2,COLUMN())),OFFSET($BN$2,0,0,ROW()-1,60),ROW()-1,FALSE))</f>
        <v/>
      </c>
      <c r="AV74" t="str">
        <f ca="1">IF(AND(ISNUMBER($AV$290),$B$226=1),$AV$290,HLOOKUP(INDIRECT(ADDRESS(2,COLUMN())),OFFSET($BN$2,0,0,ROW()-1,60),ROW()-1,FALSE))</f>
        <v/>
      </c>
      <c r="AW74" t="str">
        <f ca="1">IF(AND(ISNUMBER($AW$290),$B$226=1),$AW$290,HLOOKUP(INDIRECT(ADDRESS(2,COLUMN())),OFFSET($BN$2,0,0,ROW()-1,60),ROW()-1,FALSE))</f>
        <v/>
      </c>
      <c r="AX74" t="str">
        <f ca="1">IF(AND(ISNUMBER($AX$290),$B$226=1),$AX$290,HLOOKUP(INDIRECT(ADDRESS(2,COLUMN())),OFFSET($BN$2,0,0,ROW()-1,60),ROW()-1,FALSE))</f>
        <v/>
      </c>
      <c r="AY74" t="str">
        <f ca="1">IF(AND(ISNUMBER($AY$290),$B$226=1),$AY$290,HLOOKUP(INDIRECT(ADDRESS(2,COLUMN())),OFFSET($BN$2,0,0,ROW()-1,60),ROW()-1,FALSE))</f>
        <v/>
      </c>
      <c r="AZ74" t="str">
        <f ca="1">IF(AND(ISNUMBER($AZ$290),$B$226=1),$AZ$290,HLOOKUP(INDIRECT(ADDRESS(2,COLUMN())),OFFSET($BN$2,0,0,ROW()-1,60),ROW()-1,FALSE))</f>
        <v/>
      </c>
      <c r="BA74" t="str">
        <f ca="1">IF(AND(ISNUMBER($BA$290),$B$226=1),$BA$290,HLOOKUP(INDIRECT(ADDRESS(2,COLUMN())),OFFSET($BN$2,0,0,ROW()-1,60),ROW()-1,FALSE))</f>
        <v/>
      </c>
      <c r="BB74" t="str">
        <f ca="1">IF(AND(ISNUMBER($BB$290),$B$226=1),$BB$290,HLOOKUP(INDIRECT(ADDRESS(2,COLUMN())),OFFSET($BN$2,0,0,ROW()-1,60),ROW()-1,FALSE))</f>
        <v/>
      </c>
      <c r="BC74" t="str">
        <f ca="1">IF(AND(ISNUMBER($BC$290),$B$226=1),$BC$290,HLOOKUP(INDIRECT(ADDRESS(2,COLUMN())),OFFSET($BN$2,0,0,ROW()-1,60),ROW()-1,FALSE))</f>
        <v/>
      </c>
      <c r="BD74" t="str">
        <f ca="1">IF(AND(ISNUMBER($BD$290),$B$226=1),$BD$290,HLOOKUP(INDIRECT(ADDRESS(2,COLUMN())),OFFSET($BN$2,0,0,ROW()-1,60),ROW()-1,FALSE))</f>
        <v/>
      </c>
      <c r="BE74" t="str">
        <f ca="1">IF(AND(ISNUMBER($BE$290),$B$226=1),$BE$290,HLOOKUP(INDIRECT(ADDRESS(2,COLUMN())),OFFSET($BN$2,0,0,ROW()-1,60),ROW()-1,FALSE))</f>
        <v/>
      </c>
      <c r="BF74" t="str">
        <f ca="1">IF(AND(ISNUMBER($BF$290),$B$226=1),$BF$290,HLOOKUP(INDIRECT(ADDRESS(2,COLUMN())),OFFSET($BN$2,0,0,ROW()-1,60),ROW()-1,FALSE))</f>
        <v/>
      </c>
      <c r="BG74" t="str">
        <f ca="1">IF(AND(ISNUMBER($BG$290),$B$226=1),$BG$290,HLOOKUP(INDIRECT(ADDRESS(2,COLUMN())),OFFSET($BN$2,0,0,ROW()-1,60),ROW()-1,FALSE))</f>
        <v/>
      </c>
      <c r="BH74" t="str">
        <f ca="1">IF(AND(ISNUMBER($BH$290),$B$226=1),$BH$290,HLOOKUP(INDIRECT(ADDRESS(2,COLUMN())),OFFSET($BN$2,0,0,ROW()-1,60),ROW()-1,FALSE))</f>
        <v/>
      </c>
      <c r="BI74" t="str">
        <f ca="1">IF(AND(ISNUMBER($BI$290),$B$226=1),$BI$290,HLOOKUP(INDIRECT(ADDRESS(2,COLUMN())),OFFSET($BN$2,0,0,ROW()-1,60),ROW()-1,FALSE))</f>
        <v/>
      </c>
      <c r="BJ74" t="str">
        <f ca="1">IF(AND(ISNUMBER($BJ$290),$B$226=1),$BJ$290,HLOOKUP(INDIRECT(ADDRESS(2,COLUMN())),OFFSET($BN$2,0,0,ROW()-1,60),ROW()-1,FALSE))</f>
        <v/>
      </c>
      <c r="BK74" t="str">
        <f ca="1">IF(AND(ISNUMBER($BK$290),$B$226=1),$BK$290,HLOOKUP(INDIRECT(ADDRESS(2,COLUMN())),OFFSET($BN$2,0,0,ROW()-1,60),ROW()-1,FALSE))</f>
        <v/>
      </c>
      <c r="BL74" t="str">
        <f ca="1">IF(AND(ISNUMBER($BL$290),$B$226=1),$BL$290,HLOOKUP(INDIRECT(ADDRESS(2,COLUMN())),OFFSET($BN$2,0,0,ROW()-1,60),ROW()-1,FALSE))</f>
        <v/>
      </c>
      <c r="BM74" t="str">
        <f ca="1">IF(AND(ISNUMBER($BM$290),$B$226=1),$BM$290,HLOOKUP(INDIRECT(ADDRESS(2,COLUMN())),OFFSET($BN$2,0,0,ROW()-1,60),ROW()-1,FALSE))</f>
        <v/>
      </c>
      <c r="BN74" t="str">
        <f>""</f>
        <v/>
      </c>
      <c r="BO74">
        <f>225.149</f>
        <v>225.149</v>
      </c>
      <c r="BP74">
        <f>221.367</f>
        <v>221.36699999999999</v>
      </c>
      <c r="BQ74">
        <f>217.522</f>
        <v>217.52199999999999</v>
      </c>
      <c r="BR74">
        <f>216.85</f>
        <v>216.85</v>
      </c>
      <c r="BS74">
        <f>177.449</f>
        <v>177.44900000000001</v>
      </c>
      <c r="BT74">
        <f>155.747</f>
        <v>155.74700000000001</v>
      </c>
      <c r="BU74">
        <f>154.019</f>
        <v>154.01900000000001</v>
      </c>
      <c r="BV74">
        <f>152.58</f>
        <v>152.58000000000001</v>
      </c>
      <c r="BW74">
        <f>151.294</f>
        <v>151.29400000000001</v>
      </c>
      <c r="BX74">
        <f>146.712</f>
        <v>146.71199999999999</v>
      </c>
      <c r="BY74">
        <f>144.398</f>
        <v>144.398</v>
      </c>
      <c r="BZ74">
        <f>142.641</f>
        <v>142.64099999999999</v>
      </c>
      <c r="CA74">
        <f>143.047</f>
        <v>143.047</v>
      </c>
      <c r="CB74">
        <f>137.302</f>
        <v>137.30199999999999</v>
      </c>
      <c r="CC74">
        <f>133.016</f>
        <v>133.01599999999999</v>
      </c>
      <c r="CD74">
        <f>135.365</f>
        <v>135.36500000000001</v>
      </c>
      <c r="CE74">
        <f>133.934</f>
        <v>133.934</v>
      </c>
      <c r="CF74">
        <f>72.159</f>
        <v>72.159000000000006</v>
      </c>
      <c r="CG74">
        <f>73.109</f>
        <v>73.108999999999995</v>
      </c>
      <c r="CH74">
        <f>72.173</f>
        <v>72.173000000000002</v>
      </c>
      <c r="CI74" t="str">
        <f>""</f>
        <v/>
      </c>
      <c r="CJ74" t="str">
        <f>""</f>
        <v/>
      </c>
      <c r="CK74" t="str">
        <f>""</f>
        <v/>
      </c>
      <c r="CL74" t="str">
        <f>""</f>
        <v/>
      </c>
      <c r="CM74" t="str">
        <f>""</f>
        <v/>
      </c>
      <c r="CN74" t="str">
        <f>""</f>
        <v/>
      </c>
      <c r="CO74" t="str">
        <f>""</f>
        <v/>
      </c>
      <c r="CP74" t="str">
        <f>""</f>
        <v/>
      </c>
      <c r="CQ74" t="str">
        <f>""</f>
        <v/>
      </c>
      <c r="CR74" t="str">
        <f>""</f>
        <v/>
      </c>
      <c r="CS74" t="str">
        <f>""</f>
        <v/>
      </c>
      <c r="CT74" t="str">
        <f>""</f>
        <v/>
      </c>
      <c r="CU74" t="str">
        <f>""</f>
        <v/>
      </c>
      <c r="CV74" t="str">
        <f>""</f>
        <v/>
      </c>
      <c r="CW74" t="str">
        <f>""</f>
        <v/>
      </c>
      <c r="CX74" t="str">
        <f>""</f>
        <v/>
      </c>
      <c r="CY74" t="str">
        <f>""</f>
        <v/>
      </c>
      <c r="CZ74" t="str">
        <f>""</f>
        <v/>
      </c>
      <c r="DA74" t="str">
        <f>""</f>
        <v/>
      </c>
      <c r="DB74" t="str">
        <f>""</f>
        <v/>
      </c>
      <c r="DC74" t="str">
        <f>""</f>
        <v/>
      </c>
      <c r="DD74" t="str">
        <f>""</f>
        <v/>
      </c>
      <c r="DE74" t="str">
        <f>""</f>
        <v/>
      </c>
      <c r="DF74" t="str">
        <f>""</f>
        <v/>
      </c>
      <c r="DG74" t="str">
        <f>""</f>
        <v/>
      </c>
      <c r="DH74" t="str">
        <f>""</f>
        <v/>
      </c>
      <c r="DI74" t="str">
        <f>""</f>
        <v/>
      </c>
      <c r="DJ74" t="str">
        <f>""</f>
        <v/>
      </c>
      <c r="DK74" t="str">
        <f>""</f>
        <v/>
      </c>
      <c r="DL74" t="str">
        <f>""</f>
        <v/>
      </c>
      <c r="DM74" t="str">
        <f>""</f>
        <v/>
      </c>
      <c r="DN74" t="str">
        <f>""</f>
        <v/>
      </c>
      <c r="DO74" t="str">
        <f>""</f>
        <v/>
      </c>
      <c r="DP74" t="str">
        <f>""</f>
        <v/>
      </c>
      <c r="DQ74" t="str">
        <f>""</f>
        <v/>
      </c>
      <c r="DR74" t="str">
        <f>""</f>
        <v/>
      </c>
      <c r="DS74" t="str">
        <f>""</f>
        <v/>
      </c>
      <c r="DT74" t="str">
        <f>""</f>
        <v/>
      </c>
      <c r="DU74" t="str">
        <f>""</f>
        <v/>
      </c>
    </row>
    <row r="75" spans="1:125">
      <c r="A75" t="str">
        <f>"    UDR Inc"</f>
        <v xml:space="preserve">    UDR Inc</v>
      </c>
      <c r="B75" t="str">
        <f>"UDR US Equity"</f>
        <v>UDR US Equity</v>
      </c>
      <c r="C75" t="str">
        <f t="shared" si="21"/>
        <v>IS972</v>
      </c>
      <c r="D75" t="str">
        <f t="shared" si="22"/>
        <v>IS_ADJUSTED_EBITDA_AS_REPORTED</v>
      </c>
      <c r="E75" t="str">
        <f t="shared" si="23"/>
        <v>动态</v>
      </c>
      <c r="F75" t="str">
        <f ca="1">IF(AND(ISNUMBER($F$291),$B$226=1),$F$291,HLOOKUP(INDIRECT(ADDRESS(2,COLUMN())),OFFSET($BN$2,0,0,ROW()-1,60),ROW()-1,FALSE))</f>
        <v/>
      </c>
      <c r="G75">
        <f ca="1">IF(AND(ISNUMBER($G$291),$B$226=1),$G$291,HLOOKUP(INDIRECT(ADDRESS(2,COLUMN())),OFFSET($BN$2,0,0,ROW()-1,60),ROW()-1,FALSE))</f>
        <v>173.126</v>
      </c>
      <c r="H75">
        <f ca="1">IF(AND(ISNUMBER($H$291),$B$226=1),$H$291,HLOOKUP(INDIRECT(ADDRESS(2,COLUMN())),OFFSET($BN$2,0,0,ROW()-1,60),ROW()-1,FALSE))</f>
        <v>171.411</v>
      </c>
      <c r="I75">
        <f ca="1">IF(AND(ISNUMBER($I$291),$B$226=1),$I$291,HLOOKUP(INDIRECT(ADDRESS(2,COLUMN())),OFFSET($BN$2,0,0,ROW()-1,60),ROW()-1,FALSE))</f>
        <v>170.999</v>
      </c>
      <c r="J75">
        <f ca="1">IF(AND(ISNUMBER($J$291),$B$226=1),$J$291,HLOOKUP(INDIRECT(ADDRESS(2,COLUMN())),OFFSET($BN$2,0,0,ROW()-1,60),ROW()-1,FALSE))</f>
        <v>165.005</v>
      </c>
      <c r="K75">
        <f ca="1">IF(AND(ISNUMBER($K$291),$B$226=1),$K$291,HLOOKUP(INDIRECT(ADDRESS(2,COLUMN())),OFFSET($BN$2,0,0,ROW()-1,60),ROW()-1,FALSE))</f>
        <v>166.12100000000001</v>
      </c>
      <c r="L75">
        <f ca="1">IF(AND(ISNUMBER($L$291),$B$226=1),$L$291,HLOOKUP(INDIRECT(ADDRESS(2,COLUMN())),OFFSET($BN$2,0,0,ROW()-1,60),ROW()-1,FALSE))</f>
        <v>165.95599999999999</v>
      </c>
      <c r="M75">
        <f ca="1">IF(AND(ISNUMBER($M$291),$B$226=1),$M$291,HLOOKUP(INDIRECT(ADDRESS(2,COLUMN())),OFFSET($BN$2,0,0,ROW()-1,60),ROW()-1,FALSE))</f>
        <v>163.904</v>
      </c>
      <c r="N75">
        <f ca="1">IF(AND(ISNUMBER($N$291),$B$226=1),$N$291,HLOOKUP(INDIRECT(ADDRESS(2,COLUMN())),OFFSET($BN$2,0,0,ROW()-1,60),ROW()-1,FALSE))</f>
        <v>157.92599999999999</v>
      </c>
      <c r="O75">
        <f ca="1">IF(AND(ISNUMBER($O$291),$B$226=1),$O$291,HLOOKUP(INDIRECT(ADDRESS(2,COLUMN())),OFFSET($BN$2,0,0,ROW()-1,60),ROW()-1,FALSE))</f>
        <v>156.922</v>
      </c>
      <c r="P75">
        <f ca="1">IF(AND(ISNUMBER($P$291),$B$226=1),$P$291,HLOOKUP(INDIRECT(ADDRESS(2,COLUMN())),OFFSET($BN$2,0,0,ROW()-1,60),ROW()-1,FALSE))</f>
        <v>146.71299999999999</v>
      </c>
      <c r="Q75">
        <f ca="1">IF(AND(ISNUMBER($Q$291),$B$226=1),$Q$291,HLOOKUP(INDIRECT(ADDRESS(2,COLUMN())),OFFSET($BN$2,0,0,ROW()-1,60),ROW()-1,FALSE))</f>
        <v>144.56700000000001</v>
      </c>
      <c r="R75">
        <f ca="1">IF(AND(ISNUMBER($R$291),$B$226=1),$R$291,HLOOKUP(INDIRECT(ADDRESS(2,COLUMN())),OFFSET($BN$2,0,0,ROW()-1,60),ROW()-1,FALSE))</f>
        <v>137.53100000000001</v>
      </c>
      <c r="S75">
        <f ca="1">IF(AND(ISNUMBER($S$291),$B$226=1),$S$291,HLOOKUP(INDIRECT(ADDRESS(2,COLUMN())),OFFSET($BN$2,0,0,ROW()-1,60),ROW()-1,FALSE))</f>
        <v>138.22499999999999</v>
      </c>
      <c r="T75">
        <f ca="1">IF(AND(ISNUMBER($T$291),$B$226=1),$T$291,HLOOKUP(INDIRECT(ADDRESS(2,COLUMN())),OFFSET($BN$2,0,0,ROW()-1,60),ROW()-1,FALSE))</f>
        <v>133.923</v>
      </c>
      <c r="U75">
        <f ca="1">IF(AND(ISNUMBER($U$291),$B$226=1),$U$291,HLOOKUP(INDIRECT(ADDRESS(2,COLUMN())),OFFSET($BN$2,0,0,ROW()-1,60),ROW()-1,FALSE))</f>
        <v>132.768</v>
      </c>
      <c r="V75">
        <f ca="1">IF(AND(ISNUMBER($V$291),$B$226=1),$V$291,HLOOKUP(INDIRECT(ADDRESS(2,COLUMN())),OFFSET($BN$2,0,0,ROW()-1,60),ROW()-1,FALSE))</f>
        <v>125.155</v>
      </c>
      <c r="W75">
        <f ca="1">IF(AND(ISNUMBER($W$291),$B$226=1),$W$291,HLOOKUP(INDIRECT(ADDRESS(2,COLUMN())),OFFSET($BN$2,0,0,ROW()-1,60),ROW()-1,FALSE))</f>
        <v>124.875</v>
      </c>
      <c r="X75">
        <f ca="1">IF(AND(ISNUMBER($X$291),$B$226=1),$X$291,HLOOKUP(INDIRECT(ADDRESS(2,COLUMN())),OFFSET($BN$2,0,0,ROW()-1,60),ROW()-1,FALSE))</f>
        <v>123.377</v>
      </c>
      <c r="Y75">
        <f ca="1">IF(AND(ISNUMBER($Y$291),$B$226=1),$Y$291,HLOOKUP(INDIRECT(ADDRESS(2,COLUMN())),OFFSET($BN$2,0,0,ROW()-1,60),ROW()-1,FALSE))</f>
        <v>122.696</v>
      </c>
      <c r="Z75">
        <f ca="1">IF(AND(ISNUMBER($Z$291),$B$226=1),$Z$291,HLOOKUP(INDIRECT(ADDRESS(2,COLUMN())),OFFSET($BN$2,0,0,ROW()-1,60),ROW()-1,FALSE))</f>
        <v>119.458</v>
      </c>
      <c r="AA75">
        <f ca="1">IF(AND(ISNUMBER($AA$291),$B$226=1),$AA$291,HLOOKUP(INDIRECT(ADDRESS(2,COLUMN())),OFFSET($BN$2,0,0,ROW()-1,60),ROW()-1,FALSE))</f>
        <v>120.66200000000001</v>
      </c>
      <c r="AB75" t="str">
        <f ca="1">IF(AND(ISNUMBER($AB$291),$B$226=1),$AB$291,HLOOKUP(INDIRECT(ADDRESS(2,COLUMN())),OFFSET($BN$2,0,0,ROW()-1,60),ROW()-1,FALSE))</f>
        <v/>
      </c>
      <c r="AC75" t="str">
        <f ca="1">IF(AND(ISNUMBER($AC$291),$B$226=1),$AC$291,HLOOKUP(INDIRECT(ADDRESS(2,COLUMN())),OFFSET($BN$2,0,0,ROW()-1,60),ROW()-1,FALSE))</f>
        <v/>
      </c>
      <c r="AD75" t="str">
        <f ca="1">IF(AND(ISNUMBER($AD$291),$B$226=1),$AD$291,HLOOKUP(INDIRECT(ADDRESS(2,COLUMN())),OFFSET($BN$2,0,0,ROW()-1,60),ROW()-1,FALSE))</f>
        <v/>
      </c>
      <c r="AE75" t="str">
        <f ca="1">IF(AND(ISNUMBER($AE$291),$B$226=1),$AE$291,HLOOKUP(INDIRECT(ADDRESS(2,COLUMN())),OFFSET($BN$2,0,0,ROW()-1,60),ROW()-1,FALSE))</f>
        <v/>
      </c>
      <c r="AF75" t="str">
        <f ca="1">IF(AND(ISNUMBER($AF$291),$B$226=1),$AF$291,HLOOKUP(INDIRECT(ADDRESS(2,COLUMN())),OFFSET($BN$2,0,0,ROW()-1,60),ROW()-1,FALSE))</f>
        <v/>
      </c>
      <c r="AG75" t="str">
        <f ca="1">IF(AND(ISNUMBER($AG$291),$B$226=1),$AG$291,HLOOKUP(INDIRECT(ADDRESS(2,COLUMN())),OFFSET($BN$2,0,0,ROW()-1,60),ROW()-1,FALSE))</f>
        <v/>
      </c>
      <c r="AH75" t="str">
        <f ca="1">IF(AND(ISNUMBER($AH$291),$B$226=1),$AH$291,HLOOKUP(INDIRECT(ADDRESS(2,COLUMN())),OFFSET($BN$2,0,0,ROW()-1,60),ROW()-1,FALSE))</f>
        <v/>
      </c>
      <c r="AI75" t="str">
        <f ca="1">IF(AND(ISNUMBER($AI$291),$B$226=1),$AI$291,HLOOKUP(INDIRECT(ADDRESS(2,COLUMN())),OFFSET($BN$2,0,0,ROW()-1,60),ROW()-1,FALSE))</f>
        <v/>
      </c>
      <c r="AJ75" t="str">
        <f ca="1">IF(AND(ISNUMBER($AJ$291),$B$226=1),$AJ$291,HLOOKUP(INDIRECT(ADDRESS(2,COLUMN())),OFFSET($BN$2,0,0,ROW()-1,60),ROW()-1,FALSE))</f>
        <v/>
      </c>
      <c r="AK75" t="str">
        <f ca="1">IF(AND(ISNUMBER($AK$291),$B$226=1),$AK$291,HLOOKUP(INDIRECT(ADDRESS(2,COLUMN())),OFFSET($BN$2,0,0,ROW()-1,60),ROW()-1,FALSE))</f>
        <v/>
      </c>
      <c r="AL75" t="str">
        <f ca="1">IF(AND(ISNUMBER($AL$291),$B$226=1),$AL$291,HLOOKUP(INDIRECT(ADDRESS(2,COLUMN())),OFFSET($BN$2,0,0,ROW()-1,60),ROW()-1,FALSE))</f>
        <v/>
      </c>
      <c r="AM75" t="str">
        <f ca="1">IF(AND(ISNUMBER($AM$291),$B$226=1),$AM$291,HLOOKUP(INDIRECT(ADDRESS(2,COLUMN())),OFFSET($BN$2,0,0,ROW()-1,60),ROW()-1,FALSE))</f>
        <v/>
      </c>
      <c r="AN75" t="str">
        <f ca="1">IF(AND(ISNUMBER($AN$291),$B$226=1),$AN$291,HLOOKUP(INDIRECT(ADDRESS(2,COLUMN())),OFFSET($BN$2,0,0,ROW()-1,60),ROW()-1,FALSE))</f>
        <v/>
      </c>
      <c r="AO75" t="str">
        <f ca="1">IF(AND(ISNUMBER($AO$291),$B$226=1),$AO$291,HLOOKUP(INDIRECT(ADDRESS(2,COLUMN())),OFFSET($BN$2,0,0,ROW()-1,60),ROW()-1,FALSE))</f>
        <v/>
      </c>
      <c r="AP75" t="str">
        <f ca="1">IF(AND(ISNUMBER($AP$291),$B$226=1),$AP$291,HLOOKUP(INDIRECT(ADDRESS(2,COLUMN())),OFFSET($BN$2,0,0,ROW()-1,60),ROW()-1,FALSE))</f>
        <v/>
      </c>
      <c r="AQ75" t="str">
        <f ca="1">IF(AND(ISNUMBER($AQ$291),$B$226=1),$AQ$291,HLOOKUP(INDIRECT(ADDRESS(2,COLUMN())),OFFSET($BN$2,0,0,ROW()-1,60),ROW()-1,FALSE))</f>
        <v/>
      </c>
      <c r="AR75" t="str">
        <f ca="1">IF(AND(ISNUMBER($AR$291),$B$226=1),$AR$291,HLOOKUP(INDIRECT(ADDRESS(2,COLUMN())),OFFSET($BN$2,0,0,ROW()-1,60),ROW()-1,FALSE))</f>
        <v/>
      </c>
      <c r="AS75" t="str">
        <f ca="1">IF(AND(ISNUMBER($AS$291),$B$226=1),$AS$291,HLOOKUP(INDIRECT(ADDRESS(2,COLUMN())),OFFSET($BN$2,0,0,ROW()-1,60),ROW()-1,FALSE))</f>
        <v/>
      </c>
      <c r="AT75" t="str">
        <f ca="1">IF(AND(ISNUMBER($AT$291),$B$226=1),$AT$291,HLOOKUP(INDIRECT(ADDRESS(2,COLUMN())),OFFSET($BN$2,0,0,ROW()-1,60),ROW()-1,FALSE))</f>
        <v/>
      </c>
      <c r="AU75" t="str">
        <f ca="1">IF(AND(ISNUMBER($AU$291),$B$226=1),$AU$291,HLOOKUP(INDIRECT(ADDRESS(2,COLUMN())),OFFSET($BN$2,0,0,ROW()-1,60),ROW()-1,FALSE))</f>
        <v/>
      </c>
      <c r="AV75" t="str">
        <f ca="1">IF(AND(ISNUMBER($AV$291),$B$226=1),$AV$291,HLOOKUP(INDIRECT(ADDRESS(2,COLUMN())),OFFSET($BN$2,0,0,ROW()-1,60),ROW()-1,FALSE))</f>
        <v/>
      </c>
      <c r="AW75" t="str">
        <f ca="1">IF(AND(ISNUMBER($AW$291),$B$226=1),$AW$291,HLOOKUP(INDIRECT(ADDRESS(2,COLUMN())),OFFSET($BN$2,0,0,ROW()-1,60),ROW()-1,FALSE))</f>
        <v/>
      </c>
      <c r="AX75" t="str">
        <f ca="1">IF(AND(ISNUMBER($AX$291),$B$226=1),$AX$291,HLOOKUP(INDIRECT(ADDRESS(2,COLUMN())),OFFSET($BN$2,0,0,ROW()-1,60),ROW()-1,FALSE))</f>
        <v/>
      </c>
      <c r="AY75" t="str">
        <f ca="1">IF(AND(ISNUMBER($AY$291),$B$226=1),$AY$291,HLOOKUP(INDIRECT(ADDRESS(2,COLUMN())),OFFSET($BN$2,0,0,ROW()-1,60),ROW()-1,FALSE))</f>
        <v/>
      </c>
      <c r="AZ75" t="str">
        <f ca="1">IF(AND(ISNUMBER($AZ$291),$B$226=1),$AZ$291,HLOOKUP(INDIRECT(ADDRESS(2,COLUMN())),OFFSET($BN$2,0,0,ROW()-1,60),ROW()-1,FALSE))</f>
        <v/>
      </c>
      <c r="BA75" t="str">
        <f ca="1">IF(AND(ISNUMBER($BA$291),$B$226=1),$BA$291,HLOOKUP(INDIRECT(ADDRESS(2,COLUMN())),OFFSET($BN$2,0,0,ROW()-1,60),ROW()-1,FALSE))</f>
        <v/>
      </c>
      <c r="BB75" t="str">
        <f ca="1">IF(AND(ISNUMBER($BB$291),$B$226=1),$BB$291,HLOOKUP(INDIRECT(ADDRESS(2,COLUMN())),OFFSET($BN$2,0,0,ROW()-1,60),ROW()-1,FALSE))</f>
        <v/>
      </c>
      <c r="BC75" t="str">
        <f ca="1">IF(AND(ISNUMBER($BC$291),$B$226=1),$BC$291,HLOOKUP(INDIRECT(ADDRESS(2,COLUMN())),OFFSET($BN$2,0,0,ROW()-1,60),ROW()-1,FALSE))</f>
        <v/>
      </c>
      <c r="BD75" t="str">
        <f ca="1">IF(AND(ISNUMBER($BD$291),$B$226=1),$BD$291,HLOOKUP(INDIRECT(ADDRESS(2,COLUMN())),OFFSET($BN$2,0,0,ROW()-1,60),ROW()-1,FALSE))</f>
        <v/>
      </c>
      <c r="BE75" t="str">
        <f ca="1">IF(AND(ISNUMBER($BE$291),$B$226=1),$BE$291,HLOOKUP(INDIRECT(ADDRESS(2,COLUMN())),OFFSET($BN$2,0,0,ROW()-1,60),ROW()-1,FALSE))</f>
        <v/>
      </c>
      <c r="BF75" t="str">
        <f ca="1">IF(AND(ISNUMBER($BF$291),$B$226=1),$BF$291,HLOOKUP(INDIRECT(ADDRESS(2,COLUMN())),OFFSET($BN$2,0,0,ROW()-1,60),ROW()-1,FALSE))</f>
        <v/>
      </c>
      <c r="BG75" t="str">
        <f ca="1">IF(AND(ISNUMBER($BG$291),$B$226=1),$BG$291,HLOOKUP(INDIRECT(ADDRESS(2,COLUMN())),OFFSET($BN$2,0,0,ROW()-1,60),ROW()-1,FALSE))</f>
        <v/>
      </c>
      <c r="BH75" t="str">
        <f ca="1">IF(AND(ISNUMBER($BH$291),$B$226=1),$BH$291,HLOOKUP(INDIRECT(ADDRESS(2,COLUMN())),OFFSET($BN$2,0,0,ROW()-1,60),ROW()-1,FALSE))</f>
        <v/>
      </c>
      <c r="BI75" t="str">
        <f ca="1">IF(AND(ISNUMBER($BI$291),$B$226=1),$BI$291,HLOOKUP(INDIRECT(ADDRESS(2,COLUMN())),OFFSET($BN$2,0,0,ROW()-1,60),ROW()-1,FALSE))</f>
        <v/>
      </c>
      <c r="BJ75" t="str">
        <f ca="1">IF(AND(ISNUMBER($BJ$291),$B$226=1),$BJ$291,HLOOKUP(INDIRECT(ADDRESS(2,COLUMN())),OFFSET($BN$2,0,0,ROW()-1,60),ROW()-1,FALSE))</f>
        <v/>
      </c>
      <c r="BK75" t="str">
        <f ca="1">IF(AND(ISNUMBER($BK$291),$B$226=1),$BK$291,HLOOKUP(INDIRECT(ADDRESS(2,COLUMN())),OFFSET($BN$2,0,0,ROW()-1,60),ROW()-1,FALSE))</f>
        <v/>
      </c>
      <c r="BL75" t="str">
        <f ca="1">IF(AND(ISNUMBER($BL$291),$B$226=1),$BL$291,HLOOKUP(INDIRECT(ADDRESS(2,COLUMN())),OFFSET($BN$2,0,0,ROW()-1,60),ROW()-1,FALSE))</f>
        <v/>
      </c>
      <c r="BM75" t="str">
        <f ca="1">IF(AND(ISNUMBER($BM$291),$B$226=1),$BM$291,HLOOKUP(INDIRECT(ADDRESS(2,COLUMN())),OFFSET($BN$2,0,0,ROW()-1,60),ROW()-1,FALSE))</f>
        <v/>
      </c>
      <c r="BN75" t="str">
        <f>""</f>
        <v/>
      </c>
      <c r="BO75">
        <f>173.126</f>
        <v>173.126</v>
      </c>
      <c r="BP75">
        <f>171.411</f>
        <v>171.411</v>
      </c>
      <c r="BQ75">
        <f>170.999</f>
        <v>170.999</v>
      </c>
      <c r="BR75">
        <f>165.005</f>
        <v>165.005</v>
      </c>
      <c r="BS75">
        <f>166.121</f>
        <v>166.12100000000001</v>
      </c>
      <c r="BT75">
        <f>165.956</f>
        <v>165.95599999999999</v>
      </c>
      <c r="BU75">
        <f>163.904</f>
        <v>163.904</v>
      </c>
      <c r="BV75">
        <f>157.926</f>
        <v>157.92599999999999</v>
      </c>
      <c r="BW75">
        <f>156.922</f>
        <v>156.922</v>
      </c>
      <c r="BX75">
        <f>146.713</f>
        <v>146.71299999999999</v>
      </c>
      <c r="BY75">
        <f>144.567</f>
        <v>144.56700000000001</v>
      </c>
      <c r="BZ75">
        <f>137.531</f>
        <v>137.53100000000001</v>
      </c>
      <c r="CA75">
        <f>138.225</f>
        <v>138.22499999999999</v>
      </c>
      <c r="CB75">
        <f>133.923</f>
        <v>133.923</v>
      </c>
      <c r="CC75">
        <f>132.768</f>
        <v>132.768</v>
      </c>
      <c r="CD75">
        <f>125.155</f>
        <v>125.155</v>
      </c>
      <c r="CE75">
        <f>124.875</f>
        <v>124.875</v>
      </c>
      <c r="CF75">
        <f>123.377</f>
        <v>123.377</v>
      </c>
      <c r="CG75">
        <f>122.696</f>
        <v>122.696</v>
      </c>
      <c r="CH75">
        <f>119.458</f>
        <v>119.458</v>
      </c>
      <c r="CI75">
        <f>120.662</f>
        <v>120.66200000000001</v>
      </c>
      <c r="CJ75" t="str">
        <f>""</f>
        <v/>
      </c>
      <c r="CK75" t="str">
        <f>""</f>
        <v/>
      </c>
      <c r="CL75" t="str">
        <f>""</f>
        <v/>
      </c>
      <c r="CM75" t="str">
        <f>""</f>
        <v/>
      </c>
      <c r="CN75" t="str">
        <f>""</f>
        <v/>
      </c>
      <c r="CO75" t="str">
        <f>""</f>
        <v/>
      </c>
      <c r="CP75" t="str">
        <f>""</f>
        <v/>
      </c>
      <c r="CQ75" t="str">
        <f>""</f>
        <v/>
      </c>
      <c r="CR75" t="str">
        <f>""</f>
        <v/>
      </c>
      <c r="CS75" t="str">
        <f>""</f>
        <v/>
      </c>
      <c r="CT75" t="str">
        <f>""</f>
        <v/>
      </c>
      <c r="CU75" t="str">
        <f>""</f>
        <v/>
      </c>
      <c r="CV75" t="str">
        <f>""</f>
        <v/>
      </c>
      <c r="CW75" t="str">
        <f>""</f>
        <v/>
      </c>
      <c r="CX75" t="str">
        <f>""</f>
        <v/>
      </c>
      <c r="CY75" t="str">
        <f>""</f>
        <v/>
      </c>
      <c r="CZ75" t="str">
        <f>""</f>
        <v/>
      </c>
      <c r="DA75" t="str">
        <f>""</f>
        <v/>
      </c>
      <c r="DB75" t="str">
        <f>""</f>
        <v/>
      </c>
      <c r="DC75" t="str">
        <f>""</f>
        <v/>
      </c>
      <c r="DD75" t="str">
        <f>""</f>
        <v/>
      </c>
      <c r="DE75" t="str">
        <f>""</f>
        <v/>
      </c>
      <c r="DF75" t="str">
        <f>""</f>
        <v/>
      </c>
      <c r="DG75" t="str">
        <f>""</f>
        <v/>
      </c>
      <c r="DH75" t="str">
        <f>""</f>
        <v/>
      </c>
      <c r="DI75" t="str">
        <f>""</f>
        <v/>
      </c>
      <c r="DJ75" t="str">
        <f>""</f>
        <v/>
      </c>
      <c r="DK75" t="str">
        <f>""</f>
        <v/>
      </c>
      <c r="DL75" t="str">
        <f>""</f>
        <v/>
      </c>
      <c r="DM75" t="str">
        <f>""</f>
        <v/>
      </c>
      <c r="DN75" t="str">
        <f>""</f>
        <v/>
      </c>
      <c r="DO75" t="str">
        <f>""</f>
        <v/>
      </c>
      <c r="DP75" t="str">
        <f>""</f>
        <v/>
      </c>
      <c r="DQ75" t="str">
        <f>""</f>
        <v/>
      </c>
      <c r="DR75" t="str">
        <f>""</f>
        <v/>
      </c>
      <c r="DS75" t="str">
        <f>""</f>
        <v/>
      </c>
      <c r="DT75" t="str">
        <f>""</f>
        <v/>
      </c>
      <c r="DU75" t="str">
        <f>""</f>
        <v/>
      </c>
    </row>
    <row r="76" spans="1:125">
      <c r="A76" t="str">
        <f>"营运现金流"</f>
        <v>营运现金流</v>
      </c>
      <c r="B76" t="str">
        <f>""</f>
        <v/>
      </c>
      <c r="E76" t="str">
        <f>"Median"</f>
        <v>Median</v>
      </c>
      <c r="F76" t="str">
        <f ca="1">IF(ISERROR(IF(MEDIAN($F$77:$F$84) = 0, "", MEDIAN($F$77:$F$84))), "", (IF(MEDIAN($F$77:$F$84) = 0, "", MEDIAN($F$77:$F$84))))</f>
        <v/>
      </c>
      <c r="G76">
        <f ca="1">IF(ISERROR(IF(MEDIAN($G$77:$G$84) = 0, "", MEDIAN($G$77:$G$84))), "", (IF(MEDIAN($G$77:$G$84) = 0, "", MEDIAN($G$77:$G$84))))</f>
        <v>157.1165</v>
      </c>
      <c r="H76">
        <f ca="1">IF(ISERROR(IF(MEDIAN($H$77:$H$84) = 0, "", MEDIAN($H$77:$H$84))), "", (IF(MEDIAN($H$77:$H$84) = 0, "", MEDIAN($H$77:$H$84))))</f>
        <v>156.65899999999999</v>
      </c>
      <c r="I76">
        <f ca="1">IF(ISERROR(IF(MEDIAN($I$77:$I$84) = 0, "", MEDIAN($I$77:$I$84))), "", (IF(MEDIAN($I$77:$I$84) = 0, "", MEDIAN($I$77:$I$84))))</f>
        <v>154.23099999999999</v>
      </c>
      <c r="J76">
        <f ca="1">IF(ISERROR(IF(MEDIAN($J$77:$J$84) = 0, "", MEDIAN($J$77:$J$84))), "", (IF(MEDIAN($J$77:$J$84) = 0, "", MEDIAN($J$77:$J$84))))</f>
        <v>153.08600000000001</v>
      </c>
      <c r="K76">
        <f ca="1">IF(ISERROR(IF(MEDIAN($K$77:$K$84) = 0, "", MEDIAN($K$77:$K$84))), "", (IF(MEDIAN($K$77:$K$84) = 0, "", MEDIAN($K$77:$K$84))))</f>
        <v>122.0155</v>
      </c>
      <c r="L76">
        <f ca="1">IF(ISERROR(IF(MEDIAN($L$77:$L$84) = 0, "", MEDIAN($L$77:$L$84))), "", (IF(MEDIAN($L$77:$L$84) = 0, "", MEDIAN($L$77:$L$84))))</f>
        <v>126.5975</v>
      </c>
      <c r="M76">
        <f ca="1">IF(ISERROR(IF(MEDIAN($M$77:$M$84) = 0, "", MEDIAN($M$77:$M$84))), "", (IF(MEDIAN($M$77:$M$84) = 0, "", MEDIAN($M$77:$M$84))))</f>
        <v>126.52550000000001</v>
      </c>
      <c r="N76">
        <f ca="1">IF(ISERROR(IF(MEDIAN($N$77:$N$84) = 0, "", MEDIAN($N$77:$N$84))), "", (IF(MEDIAN($N$77:$N$84) = 0, "", MEDIAN($N$77:$N$84))))</f>
        <v>122.64449999999999</v>
      </c>
      <c r="O76">
        <f ca="1">IF(ISERROR(IF(MEDIAN($O$77:$O$84) = 0, "", MEDIAN($O$77:$O$84))), "", (IF(MEDIAN($O$77:$O$84) = 0, "", MEDIAN($O$77:$O$84))))</f>
        <v>118.511</v>
      </c>
      <c r="P76">
        <f ca="1">IF(ISERROR(IF(MEDIAN($P$77:$P$84) = 0, "", MEDIAN($P$77:$P$84))), "", (IF(MEDIAN($P$77:$P$84) = 0, "", MEDIAN($P$77:$P$84))))</f>
        <v>114.10400000000001</v>
      </c>
      <c r="Q76">
        <f ca="1">IF(ISERROR(IF(MEDIAN($Q$77:$Q$84) = 0, "", MEDIAN($Q$77:$Q$84))), "", (IF(MEDIAN($Q$77:$Q$84) = 0, "", MEDIAN($Q$77:$Q$84))))</f>
        <v>110.8505</v>
      </c>
      <c r="R76">
        <f ca="1">IF(ISERROR(IF(MEDIAN($R$77:$R$84) = 0, "", MEDIAN($R$77:$R$84))), "", (IF(MEDIAN($R$77:$R$84) = 0, "", MEDIAN($R$77:$R$84))))</f>
        <v>111.43350000000001</v>
      </c>
      <c r="S76">
        <f ca="1">IF(ISERROR(IF(MEDIAN($S$77:$S$84) = 0, "", MEDIAN($S$77:$S$84))), "", (IF(MEDIAN($S$77:$S$84) = 0, "", MEDIAN($S$77:$S$84))))</f>
        <v>107.65</v>
      </c>
      <c r="T76">
        <f ca="1">IF(ISERROR(IF(MEDIAN($T$77:$T$84) = 0, "", MEDIAN($T$77:$T$84))), "", (IF(MEDIAN($T$77:$T$84) = 0, "", MEDIAN($T$77:$T$84))))</f>
        <v>103.837</v>
      </c>
      <c r="U76">
        <f ca="1">IF(ISERROR(IF(MEDIAN($U$77:$U$84) = 0, "", MEDIAN($U$77:$U$84))), "", (IF(MEDIAN($U$77:$U$84) = 0, "", MEDIAN($U$77:$U$84))))</f>
        <v>95.513000000000005</v>
      </c>
      <c r="V76">
        <f ca="1">IF(ISERROR(IF(MEDIAN($V$77:$V$84) = 0, "", MEDIAN($V$77:$V$84))), "", (IF(MEDIAN($V$77:$V$84) = 0, "", MEDIAN($V$77:$V$84))))</f>
        <v>94.935000000000002</v>
      </c>
      <c r="W76">
        <f ca="1">IF(ISERROR(IF(MEDIAN($W$77:$W$84) = 0, "", MEDIAN($W$77:$W$84))), "", (IF(MEDIAN($W$77:$W$84) = 0, "", MEDIAN($W$77:$W$84))))</f>
        <v>84.42</v>
      </c>
      <c r="X76">
        <f ca="1">IF(ISERROR(IF(MEDIAN($X$77:$X$84) = 0, "", MEDIAN($X$77:$X$84))), "", (IF(MEDIAN($X$77:$X$84) = 0, "", MEDIAN($X$77:$X$84))))</f>
        <v>84.472999999999999</v>
      </c>
      <c r="Y76">
        <f ca="1">IF(ISERROR(IF(MEDIAN($Y$77:$Y$84) = 0, "", MEDIAN($Y$77:$Y$84))), "", (IF(MEDIAN($Y$77:$Y$84) = 0, "", MEDIAN($Y$77:$Y$84))))</f>
        <v>83.527000000000001</v>
      </c>
      <c r="Z76">
        <f ca="1">IF(ISERROR(IF(MEDIAN($Z$77:$Z$84) = 0, "", MEDIAN($Z$77:$Z$84))), "", (IF(MEDIAN($Z$77:$Z$84) = 0, "", MEDIAN($Z$77:$Z$84))))</f>
        <v>78.235500000000002</v>
      </c>
      <c r="AA76">
        <f ca="1">IF(ISERROR(IF(MEDIAN($AA$77:$AA$84) = 0, "", MEDIAN($AA$77:$AA$84))), "", (IF(MEDIAN($AA$77:$AA$84) = 0, "", MEDIAN($AA$77:$AA$84))))</f>
        <v>73.5565</v>
      </c>
      <c r="AB76">
        <f ca="1">IF(ISERROR(IF(MEDIAN($AB$77:$AB$84) = 0, "", MEDIAN($AB$77:$AB$84))), "", (IF(MEDIAN($AB$77:$AB$84) = 0, "", MEDIAN($AB$77:$AB$84))))</f>
        <v>72.745000000000005</v>
      </c>
      <c r="AC76">
        <f ca="1">IF(ISERROR(IF(MEDIAN($AC$77:$AC$84) = 0, "", MEDIAN($AC$77:$AC$84))), "", (IF(MEDIAN($AC$77:$AC$84) = 0, "", MEDIAN($AC$77:$AC$84))))</f>
        <v>69.574999999999989</v>
      </c>
      <c r="AD76">
        <f ca="1">IF(ISERROR(IF(MEDIAN($AD$77:$AD$84) = 0, "", MEDIAN($AD$77:$AD$84))), "", (IF(MEDIAN($AD$77:$AD$84) = 0, "", MEDIAN($AD$77:$AD$84))))</f>
        <v>63.923500000000004</v>
      </c>
      <c r="AE76">
        <f ca="1">IF(ISERROR(IF(MEDIAN($AE$77:$AE$84) = 0, "", MEDIAN($AE$77:$AE$84))), "", (IF(MEDIAN($AE$77:$AE$84) = 0, "", MEDIAN($AE$77:$AE$84))))</f>
        <v>59.9</v>
      </c>
      <c r="AF76">
        <f ca="1">IF(ISERROR(IF(MEDIAN($AF$77:$AF$84) = 0, "", MEDIAN($AF$77:$AF$84))), "", (IF(MEDIAN($AF$77:$AF$84) = 0, "", MEDIAN($AF$77:$AF$84))))</f>
        <v>54.665000000000006</v>
      </c>
      <c r="AG76">
        <f ca="1">IF(ISERROR(IF(MEDIAN($AG$77:$AG$84) = 0, "", MEDIAN($AG$77:$AG$84))), "", (IF(MEDIAN($AG$77:$AG$84) = 0, "", MEDIAN($AG$77:$AG$84))))</f>
        <v>40.714500000000001</v>
      </c>
      <c r="AH76">
        <f ca="1">IF(ISERROR(IF(MEDIAN($AH$77:$AH$84) = 0, "", MEDIAN($AH$77:$AH$84))), "", (IF(MEDIAN($AH$77:$AH$84) = 0, "", MEDIAN($AH$77:$AH$84))))</f>
        <v>51.316000000000003</v>
      </c>
      <c r="AI76">
        <f ca="1">IF(ISERROR(IF(MEDIAN($AI$77:$AI$84) = 0, "", MEDIAN($AI$77:$AI$84))), "", (IF(MEDIAN($AI$77:$AI$84) = 0, "", MEDIAN($AI$77:$AI$84))))</f>
        <v>48.242000000000004</v>
      </c>
      <c r="AJ76">
        <f ca="1">IF(ISERROR(IF(MEDIAN($AJ$77:$AJ$84) = 0, "", MEDIAN($AJ$77:$AJ$84))), "", (IF(MEDIAN($AJ$77:$AJ$84) = 0, "", MEDIAN($AJ$77:$AJ$84))))</f>
        <v>43.304000000000002</v>
      </c>
      <c r="AK76">
        <f ca="1">IF(ISERROR(IF(MEDIAN($AK$77:$AK$84) = 0, "", MEDIAN($AK$77:$AK$84))), "", (IF(MEDIAN($AK$77:$AK$84) = 0, "", MEDIAN($AK$77:$AK$84))))</f>
        <v>44.156500000000001</v>
      </c>
      <c r="AL76">
        <f ca="1">IF(ISERROR(IF(MEDIAN($AL$77:$AL$84) = 0, "", MEDIAN($AL$77:$AL$84))), "", (IF(MEDIAN($AL$77:$AL$84) = 0, "", MEDIAN($AL$77:$AL$84))))</f>
        <v>45.797499999999999</v>
      </c>
      <c r="AM76">
        <f ca="1">IF(ISERROR(IF(MEDIAN($AM$77:$AM$84) = 0, "", MEDIAN($AM$77:$AM$84))), "", (IF(MEDIAN($AM$77:$AM$84) = 0, "", MEDIAN($AM$77:$AM$84))))</f>
        <v>32.243499999999997</v>
      </c>
      <c r="AN76">
        <f ca="1">IF(ISERROR(IF(MEDIAN($AN$77:$AN$84) = 0, "", MEDIAN($AN$77:$AN$84))), "", (IF(MEDIAN($AN$77:$AN$84) = 0, "", MEDIAN($AN$77:$AN$84))))</f>
        <v>38.451999999999998</v>
      </c>
      <c r="AO76">
        <f ca="1">IF(ISERROR(IF(MEDIAN($AO$77:$AO$84) = 0, "", MEDIAN($AO$77:$AO$84))), "", (IF(MEDIAN($AO$77:$AO$84) = 0, "", MEDIAN($AO$77:$AO$84))))</f>
        <v>44.287500000000001</v>
      </c>
      <c r="AP76">
        <f ca="1">IF(ISERROR(IF(MEDIAN($AP$77:$AP$84) = 0, "", MEDIAN($AP$77:$AP$84))), "", (IF(MEDIAN($AP$77:$AP$84) = 0, "", MEDIAN($AP$77:$AP$84))))</f>
        <v>53.292500000000004</v>
      </c>
      <c r="AQ76">
        <f ca="1">IF(ISERROR(IF(MEDIAN($AQ$77:$AQ$84) = 0, "", MEDIAN($AQ$77:$AQ$84))), "", (IF(MEDIAN($AQ$77:$AQ$84) = 0, "", MEDIAN($AQ$77:$AQ$84))))</f>
        <v>25.532499999999999</v>
      </c>
      <c r="AR76">
        <f ca="1">IF(ISERROR(IF(MEDIAN($AR$77:$AR$84) = 0, "", MEDIAN($AR$77:$AR$84))), "", (IF(MEDIAN($AR$77:$AR$84) = 0, "", MEDIAN($AR$77:$AR$84))))</f>
        <v>44.546500000000002</v>
      </c>
      <c r="AS76">
        <f ca="1">IF(ISERROR(IF(MEDIAN($AS$77:$AS$84) = 0, "", MEDIAN($AS$77:$AS$84))), "", (IF(MEDIAN($AS$77:$AS$84) = 0, "", MEDIAN($AS$77:$AS$84))))</f>
        <v>42.435500000000005</v>
      </c>
      <c r="AT76">
        <f ca="1">IF(ISERROR(IF(MEDIAN($AT$77:$AT$84) = 0, "", MEDIAN($AT$77:$AT$84))), "", (IF(MEDIAN($AT$77:$AT$84) = 0, "", MEDIAN($AT$77:$AT$84))))</f>
        <v>48.578000000000003</v>
      </c>
      <c r="AU76">
        <f ca="1">IF(ISERROR(IF(MEDIAN($AU$77:$AU$84) = 0, "", MEDIAN($AU$77:$AU$84))), "", (IF(MEDIAN($AU$77:$AU$84) = 0, "", MEDIAN($AU$77:$AU$84))))</f>
        <v>45.918999999999997</v>
      </c>
      <c r="AV76">
        <f ca="1">IF(ISERROR(IF(MEDIAN($AV$77:$AV$84) = 0, "", MEDIAN($AV$77:$AV$84))), "", (IF(MEDIAN($AV$77:$AV$84) = 0, "", MEDIAN($AV$77:$AV$84))))</f>
        <v>46.802500000000002</v>
      </c>
      <c r="AW76">
        <f ca="1">IF(ISERROR(IF(MEDIAN($AW$77:$AW$84) = 0, "", MEDIAN($AW$77:$AW$84))), "", (IF(MEDIAN($AW$77:$AW$84) = 0, "", MEDIAN($AW$77:$AW$84))))</f>
        <v>47.154499999999999</v>
      </c>
      <c r="AX76">
        <f ca="1">IF(ISERROR(IF(MEDIAN($AX$77:$AX$84) = 0, "", MEDIAN($AX$77:$AX$84))), "", (IF(MEDIAN($AX$77:$AX$84) = 0, "", MEDIAN($AX$77:$AX$84))))</f>
        <v>50.652999999999999</v>
      </c>
      <c r="AY76">
        <f ca="1">IF(ISERROR(IF(MEDIAN($AY$77:$AY$84) = 0, "", MEDIAN($AY$77:$AY$84))), "", (IF(MEDIAN($AY$77:$AY$84) = 0, "", MEDIAN($AY$77:$AY$84))))</f>
        <v>43.159499999999994</v>
      </c>
      <c r="AZ76">
        <f ca="1">IF(ISERROR(IF(MEDIAN($AZ$77:$AZ$84) = 0, "", MEDIAN($AZ$77:$AZ$84))), "", (IF(MEDIAN($AZ$77:$AZ$84) = 0, "", MEDIAN($AZ$77:$AZ$84))))</f>
        <v>46.078499999999998</v>
      </c>
      <c r="BA76">
        <f ca="1">IF(ISERROR(IF(MEDIAN($BA$77:$BA$84) = 0, "", MEDIAN($BA$77:$BA$84))), "", (IF(MEDIAN($BA$77:$BA$84) = 0, "", MEDIAN($BA$77:$BA$84))))</f>
        <v>45.277500000000003</v>
      </c>
      <c r="BB76">
        <f ca="1">IF(ISERROR(IF(MEDIAN($BB$77:$BB$84) = 0, "", MEDIAN($BB$77:$BB$84))), "", (IF(MEDIAN($BB$77:$BB$84) = 0, "", MEDIAN($BB$77:$BB$84))))</f>
        <v>40.378</v>
      </c>
      <c r="BC76">
        <f ca="1">IF(ISERROR(IF(MEDIAN($BC$77:$BC$84) = 0, "", MEDIAN($BC$77:$BC$84))), "", (IF(MEDIAN($BC$77:$BC$84) = 0, "", MEDIAN($BC$77:$BC$84))))</f>
        <v>35.439</v>
      </c>
      <c r="BD76">
        <f ca="1">IF(ISERROR(IF(MEDIAN($BD$77:$BD$84) = 0, "", MEDIAN($BD$77:$BD$84))), "", (IF(MEDIAN($BD$77:$BD$84) = 0, "", MEDIAN($BD$77:$BD$84))))</f>
        <v>37.018500000000003</v>
      </c>
      <c r="BE76">
        <f ca="1">IF(ISERROR(IF(MEDIAN($BE$77:$BE$84) = 0, "", MEDIAN($BE$77:$BE$84))), "", (IF(MEDIAN($BE$77:$BE$84) = 0, "", MEDIAN($BE$77:$BE$84))))</f>
        <v>47.103000000000002</v>
      </c>
      <c r="BF76">
        <f ca="1">IF(ISERROR(IF(MEDIAN($BF$77:$BF$84) = 0, "", MEDIAN($BF$77:$BF$84))), "", (IF(MEDIAN($BF$77:$BF$84) = 0, "", MEDIAN($BF$77:$BF$84))))</f>
        <v>45.96</v>
      </c>
      <c r="BG76">
        <f ca="1">IF(ISERROR(IF(MEDIAN($BG$77:$BG$84) = 0, "", MEDIAN($BG$77:$BG$84))), "", (IF(MEDIAN($BG$77:$BG$84) = 0, "", MEDIAN($BG$77:$BG$84))))</f>
        <v>38.185000000000002</v>
      </c>
      <c r="BH76">
        <f ca="1">IF(ISERROR(IF(MEDIAN($BH$77:$BH$84) = 0, "", MEDIAN($BH$77:$BH$84))), "", (IF(MEDIAN($BH$77:$BH$84) = 0, "", MEDIAN($BH$77:$BH$84))))</f>
        <v>34.47</v>
      </c>
      <c r="BI76">
        <f ca="1">IF(ISERROR(IF(MEDIAN($BI$77:$BI$84) = 0, "", MEDIAN($BI$77:$BI$84))), "", (IF(MEDIAN($BI$77:$BI$84) = 0, "", MEDIAN($BI$77:$BI$84))))</f>
        <v>24.603999999999999</v>
      </c>
      <c r="BJ76">
        <f ca="1">IF(ISERROR(IF(MEDIAN($BJ$77:$BJ$84) = 0, "", MEDIAN($BJ$77:$BJ$84))), "", (IF(MEDIAN($BJ$77:$BJ$84) = 0, "", MEDIAN($BJ$77:$BJ$84))))</f>
        <v>36.785998999999997</v>
      </c>
      <c r="BK76">
        <f ca="1">IF(ISERROR(IF(MEDIAN($BK$77:$BK$84) = 0, "", MEDIAN($BK$77:$BK$84))), "", (IF(MEDIAN($BK$77:$BK$84) = 0, "", MEDIAN($BK$77:$BK$84))))</f>
        <v>36.337001800000003</v>
      </c>
      <c r="BL76">
        <f ca="1">IF(ISERROR(IF(MEDIAN($BL$77:$BL$84) = 0, "", MEDIAN($BL$77:$BL$84))), "", (IF(MEDIAN($BL$77:$BL$84) = 0, "", MEDIAN($BL$77:$BL$84))))</f>
        <v>42.553999500000003</v>
      </c>
      <c r="BM76">
        <f ca="1">IF(ISERROR(IF(MEDIAN($BM$77:$BM$84) = 0, "", MEDIAN($BM$77:$BM$84))), "", (IF(MEDIAN($BM$77:$BM$84) = 0, "", MEDIAN($BM$77:$BM$84))))</f>
        <v>42.409499499999995</v>
      </c>
      <c r="BN76" t="str">
        <f>""</f>
        <v/>
      </c>
      <c r="BO76">
        <f>157.1165</f>
        <v>157.1165</v>
      </c>
      <c r="BP76">
        <f>156.659</f>
        <v>156.65899999999999</v>
      </c>
      <c r="BQ76">
        <f>154.231</f>
        <v>154.23099999999999</v>
      </c>
      <c r="BR76">
        <f>153.086</f>
        <v>153.08600000000001</v>
      </c>
      <c r="BS76">
        <f>122.0155</f>
        <v>122.0155</v>
      </c>
      <c r="BT76">
        <f>126.5975</f>
        <v>126.5975</v>
      </c>
      <c r="BU76">
        <f>126.5255</f>
        <v>126.52549999999999</v>
      </c>
      <c r="BV76">
        <f>122.6445</f>
        <v>122.64449999999999</v>
      </c>
      <c r="BW76">
        <f>118.511</f>
        <v>118.511</v>
      </c>
      <c r="BX76">
        <f>114.104</f>
        <v>114.104</v>
      </c>
      <c r="BY76">
        <f>110.8505</f>
        <v>110.8505</v>
      </c>
      <c r="BZ76">
        <f>111.4335</f>
        <v>111.4335</v>
      </c>
      <c r="CA76">
        <f>107.65</f>
        <v>107.65</v>
      </c>
      <c r="CB76">
        <f>103.837</f>
        <v>103.837</v>
      </c>
      <c r="CC76">
        <f>95.513</f>
        <v>95.513000000000005</v>
      </c>
      <c r="CD76">
        <f>94.935</f>
        <v>94.935000000000002</v>
      </c>
      <c r="CE76">
        <f>84.42</f>
        <v>84.42</v>
      </c>
      <c r="CF76">
        <f>84.473</f>
        <v>84.472999999999999</v>
      </c>
      <c r="CG76">
        <f>83.527</f>
        <v>83.527000000000001</v>
      </c>
      <c r="CH76">
        <f>78.2355</f>
        <v>78.235500000000002</v>
      </c>
      <c r="CI76">
        <f>73.5565</f>
        <v>73.5565</v>
      </c>
      <c r="CJ76">
        <f>72.745</f>
        <v>72.745000000000005</v>
      </c>
      <c r="CK76">
        <f>69.575</f>
        <v>69.575000000000003</v>
      </c>
      <c r="CL76">
        <f>63.9235</f>
        <v>63.923499999999997</v>
      </c>
      <c r="CM76">
        <f>59.9</f>
        <v>59.9</v>
      </c>
      <c r="CN76">
        <f>54.665</f>
        <v>54.664999999999999</v>
      </c>
      <c r="CO76">
        <f>40.7145</f>
        <v>40.714500000000001</v>
      </c>
      <c r="CP76">
        <f>51.316</f>
        <v>51.316000000000003</v>
      </c>
      <c r="CQ76">
        <f>48.242</f>
        <v>48.241999999999997</v>
      </c>
      <c r="CR76">
        <f>43.304</f>
        <v>43.304000000000002</v>
      </c>
      <c r="CS76">
        <f>44.1565</f>
        <v>44.156500000000001</v>
      </c>
      <c r="CT76">
        <f>45.7975</f>
        <v>45.797499999999999</v>
      </c>
      <c r="CU76">
        <f>32.2435</f>
        <v>32.243499999999997</v>
      </c>
      <c r="CV76">
        <f>38.452</f>
        <v>38.451999999999998</v>
      </c>
      <c r="CW76">
        <f>44.2875</f>
        <v>44.287500000000001</v>
      </c>
      <c r="CX76">
        <f>53.2925</f>
        <v>53.292499999999997</v>
      </c>
      <c r="CY76">
        <f>25.5325</f>
        <v>25.532499999999999</v>
      </c>
      <c r="CZ76">
        <f>44.5465</f>
        <v>44.546500000000002</v>
      </c>
      <c r="DA76">
        <f>42.4355</f>
        <v>42.435499999999998</v>
      </c>
      <c r="DB76">
        <f>48.578</f>
        <v>48.578000000000003</v>
      </c>
      <c r="DC76">
        <f>45.919</f>
        <v>45.918999999999997</v>
      </c>
      <c r="DD76">
        <f>46.8025</f>
        <v>46.802500000000002</v>
      </c>
      <c r="DE76">
        <f>47.1545</f>
        <v>47.154499999999999</v>
      </c>
      <c r="DF76">
        <f>50.653</f>
        <v>50.652999999999999</v>
      </c>
      <c r="DG76">
        <f>43.1595</f>
        <v>43.159500000000001</v>
      </c>
      <c r="DH76">
        <f>46.0785</f>
        <v>46.078499999999998</v>
      </c>
      <c r="DI76">
        <f>45.2775</f>
        <v>45.277500000000003</v>
      </c>
      <c r="DJ76">
        <f>40.378</f>
        <v>40.378</v>
      </c>
      <c r="DK76">
        <f>35.439</f>
        <v>35.439</v>
      </c>
      <c r="DL76">
        <f>37.0185</f>
        <v>37.018500000000003</v>
      </c>
      <c r="DM76">
        <f>47.103</f>
        <v>47.103000000000002</v>
      </c>
      <c r="DN76">
        <f>45.96</f>
        <v>45.96</v>
      </c>
      <c r="DO76">
        <f>38.185</f>
        <v>38.185000000000002</v>
      </c>
      <c r="DP76">
        <f>34.47</f>
        <v>34.47</v>
      </c>
      <c r="DQ76">
        <f>24.604</f>
        <v>24.603999999999999</v>
      </c>
      <c r="DR76">
        <f>36.785999</f>
        <v>36.785998999999997</v>
      </c>
      <c r="DS76">
        <f>36.3370018</f>
        <v>36.337001800000003</v>
      </c>
      <c r="DT76">
        <f>42.5539995</f>
        <v>42.553999500000003</v>
      </c>
      <c r="DU76">
        <f>42.4094995</f>
        <v>42.409499500000003</v>
      </c>
    </row>
    <row r="77" spans="1:125">
      <c r="A77" t="str">
        <f>"    American Campus Communities In"</f>
        <v xml:space="preserve">    American Campus Communities In</v>
      </c>
      <c r="B77" t="str">
        <f>"ACC US Equity"</f>
        <v>ACC US Equity</v>
      </c>
      <c r="C77" t="str">
        <f t="shared" ref="C77:C84" si="24">"CF039"</f>
        <v>CF039</v>
      </c>
      <c r="D77" t="str">
        <f t="shared" ref="D77:D84" si="25">"CF_FFO"</f>
        <v>CF_FFO</v>
      </c>
      <c r="E77" t="str">
        <f t="shared" ref="E77:E84" si="26">"动态"</f>
        <v>动态</v>
      </c>
      <c r="F77" t="str">
        <f ca="1">IF(AND(ISNUMBER($F$292),$B$226=1),$F$292,HLOOKUP(INDIRECT(ADDRESS(2,COLUMN())),OFFSET($BN$2,0,0,ROW()-1,60),ROW()-1,FALSE))</f>
        <v/>
      </c>
      <c r="G77">
        <f ca="1">IF(AND(ISNUMBER($G$292),$B$226=1),$G$292,HLOOKUP(INDIRECT(ADDRESS(2,COLUMN())),OFFSET($BN$2,0,0,ROW()-1,60),ROW()-1,FALSE))</f>
        <v>103.90900000000001</v>
      </c>
      <c r="H77">
        <f ca="1">IF(AND(ISNUMBER($H$292),$B$226=1),$H$292,HLOOKUP(INDIRECT(ADDRESS(2,COLUMN())),OFFSET($BN$2,0,0,ROW()-1,60),ROW()-1,FALSE))</f>
        <v>58.975000000000001</v>
      </c>
      <c r="I77">
        <f ca="1">IF(AND(ISNUMBER($I$292),$B$226=1),$I$292,HLOOKUP(INDIRECT(ADDRESS(2,COLUMN())),OFFSET($BN$2,0,0,ROW()-1,60),ROW()-1,FALSE))</f>
        <v>68.507000000000005</v>
      </c>
      <c r="J77">
        <f ca="1">IF(AND(ISNUMBER($J$292),$B$226=1),$J$292,HLOOKUP(INDIRECT(ADDRESS(2,COLUMN())),OFFSET($BN$2,0,0,ROW()-1,60),ROW()-1,FALSE))</f>
        <v>85.966999999999999</v>
      </c>
      <c r="K77">
        <f ca="1">IF(AND(ISNUMBER($K$292),$B$226=1),$K$292,HLOOKUP(INDIRECT(ADDRESS(2,COLUMN())),OFFSET($BN$2,0,0,ROW()-1,60),ROW()-1,FALSE))</f>
        <v>77.954999999999998</v>
      </c>
      <c r="L77">
        <f ca="1">IF(AND(ISNUMBER($L$292),$B$226=1),$L$292,HLOOKUP(INDIRECT(ADDRESS(2,COLUMN())),OFFSET($BN$2,0,0,ROW()-1,60),ROW()-1,FALSE))</f>
        <v>61.146000000000001</v>
      </c>
      <c r="M77">
        <f ca="1">IF(AND(ISNUMBER($M$292),$B$226=1),$M$292,HLOOKUP(INDIRECT(ADDRESS(2,COLUMN())),OFFSET($BN$2,0,0,ROW()-1,60),ROW()-1,FALSE))</f>
        <v>71.650000000000006</v>
      </c>
      <c r="N77">
        <f ca="1">IF(AND(ISNUMBER($N$292),$B$226=1),$N$292,HLOOKUP(INDIRECT(ADDRESS(2,COLUMN())),OFFSET($BN$2,0,0,ROW()-1,60),ROW()-1,FALSE))</f>
        <v>81.846000000000004</v>
      </c>
      <c r="O77">
        <f ca="1">IF(AND(ISNUMBER($O$292),$B$226=1),$O$292,HLOOKUP(INDIRECT(ADDRESS(2,COLUMN())),OFFSET($BN$2,0,0,ROW()-1,60),ROW()-1,FALSE))</f>
        <v>82.626000000000005</v>
      </c>
      <c r="P77">
        <f ca="1">IF(AND(ISNUMBER($P$292),$B$226=1),$P$292,HLOOKUP(INDIRECT(ADDRESS(2,COLUMN())),OFFSET($BN$2,0,0,ROW()-1,60),ROW()-1,FALSE))</f>
        <v>48.603000000000002</v>
      </c>
      <c r="Q77">
        <f ca="1">IF(AND(ISNUMBER($Q$292),$B$226=1),$Q$292,HLOOKUP(INDIRECT(ADDRESS(2,COLUMN())),OFFSET($BN$2,0,0,ROW()-1,60),ROW()-1,FALSE))</f>
        <v>63.113</v>
      </c>
      <c r="R77">
        <f ca="1">IF(AND(ISNUMBER($R$292),$B$226=1),$R$292,HLOOKUP(INDIRECT(ADDRESS(2,COLUMN())),OFFSET($BN$2,0,0,ROW()-1,60),ROW()-1,FALSE))</f>
        <v>77.039000000000001</v>
      </c>
      <c r="S77">
        <f ca="1">IF(AND(ISNUMBER($S$292),$B$226=1),$S$292,HLOOKUP(INDIRECT(ADDRESS(2,COLUMN())),OFFSET($BN$2,0,0,ROW()-1,60),ROW()-1,FALSE))</f>
        <v>78.135000000000005</v>
      </c>
      <c r="T77">
        <f ca="1">IF(AND(ISNUMBER($T$292),$B$226=1),$T$292,HLOOKUP(INDIRECT(ADDRESS(2,COLUMN())),OFFSET($BN$2,0,0,ROW()-1,60),ROW()-1,FALSE))</f>
        <v>45.688000000000002</v>
      </c>
      <c r="U77">
        <f ca="1">IF(AND(ISNUMBER($U$292),$B$226=1),$U$292,HLOOKUP(INDIRECT(ADDRESS(2,COLUMN())),OFFSET($BN$2,0,0,ROW()-1,60),ROW()-1,FALSE))</f>
        <v>61.615000000000002</v>
      </c>
      <c r="V77">
        <f ca="1">IF(AND(ISNUMBER($V$292),$B$226=1),$V$292,HLOOKUP(INDIRECT(ADDRESS(2,COLUMN())),OFFSET($BN$2,0,0,ROW()-1,60),ROW()-1,FALSE))</f>
        <v>73.792000000000002</v>
      </c>
      <c r="W77">
        <f ca="1">IF(AND(ISNUMBER($W$292),$B$226=1),$W$292,HLOOKUP(INDIRECT(ADDRESS(2,COLUMN())),OFFSET($BN$2,0,0,ROW()-1,60),ROW()-1,FALSE))</f>
        <v>72.816000000000003</v>
      </c>
      <c r="X77">
        <f ca="1">IF(AND(ISNUMBER($X$292),$B$226=1),$X$292,HLOOKUP(INDIRECT(ADDRESS(2,COLUMN())),OFFSET($BN$2,0,0,ROW()-1,60),ROW()-1,FALSE))</f>
        <v>39.905999999999999</v>
      </c>
      <c r="Y77">
        <f ca="1">IF(AND(ISNUMBER($Y$292),$B$226=1),$Y$292,HLOOKUP(INDIRECT(ADDRESS(2,COLUMN())),OFFSET($BN$2,0,0,ROW()-1,60),ROW()-1,FALSE))</f>
        <v>55.552999999999997</v>
      </c>
      <c r="Z77">
        <f ca="1">IF(AND(ISNUMBER($Z$292),$B$226=1),$Z$292,HLOOKUP(INDIRECT(ADDRESS(2,COLUMN())),OFFSET($BN$2,0,0,ROW()-1,60),ROW()-1,FALSE))</f>
        <v>68.501999999999995</v>
      </c>
      <c r="AA77">
        <f ca="1">IF(AND(ISNUMBER($AA$292),$B$226=1),$AA$292,HLOOKUP(INDIRECT(ADDRESS(2,COLUMN())),OFFSET($BN$2,0,0,ROW()-1,60),ROW()-1,FALSE))</f>
        <v>58.472999999999999</v>
      </c>
      <c r="AB77">
        <f ca="1">IF(AND(ISNUMBER($AB$292),$B$226=1),$AB$292,HLOOKUP(INDIRECT(ADDRESS(2,COLUMN())),OFFSET($BN$2,0,0,ROW()-1,60),ROW()-1,FALSE))</f>
        <v>28.878</v>
      </c>
      <c r="AC77">
        <f ca="1">IF(AND(ISNUMBER($AC$292),$B$226=1),$AC$292,HLOOKUP(INDIRECT(ADDRESS(2,COLUMN())),OFFSET($BN$2,0,0,ROW()-1,60),ROW()-1,FALSE))</f>
        <v>36.606999999999999</v>
      </c>
      <c r="AD77">
        <f ca="1">IF(AND(ISNUMBER($AD$292),$B$226=1),$AD$292,HLOOKUP(INDIRECT(ADDRESS(2,COLUMN())),OFFSET($BN$2,0,0,ROW()-1,60),ROW()-1,FALSE))</f>
        <v>44.396999999999998</v>
      </c>
      <c r="AE77">
        <f ca="1">IF(AND(ISNUMBER($AE$292),$B$226=1),$AE$292,HLOOKUP(INDIRECT(ADDRESS(2,COLUMN())),OFFSET($BN$2,0,0,ROW()-1,60),ROW()-1,FALSE))</f>
        <v>39.390999999999998</v>
      </c>
      <c r="AF77">
        <f ca="1">IF(AND(ISNUMBER($AF$292),$B$226=1),$AF$292,HLOOKUP(INDIRECT(ADDRESS(2,COLUMN())),OFFSET($BN$2,0,0,ROW()-1,60),ROW()-1,FALSE))</f>
        <v>23.725000000000001</v>
      </c>
      <c r="AG77">
        <f ca="1">IF(AND(ISNUMBER($AG$292),$B$226=1),$AG$292,HLOOKUP(INDIRECT(ADDRESS(2,COLUMN())),OFFSET($BN$2,0,0,ROW()-1,60),ROW()-1,FALSE))</f>
        <v>29.367999999999999</v>
      </c>
      <c r="AH77">
        <f ca="1">IF(AND(ISNUMBER($AH$292),$B$226=1),$AH$292,HLOOKUP(INDIRECT(ADDRESS(2,COLUMN())),OFFSET($BN$2,0,0,ROW()-1,60),ROW()-1,FALSE))</f>
        <v>39.802999999999997</v>
      </c>
      <c r="AI77">
        <f ca="1">IF(AND(ISNUMBER($AI$292),$B$226=1),$AI$292,HLOOKUP(INDIRECT(ADDRESS(2,COLUMN())),OFFSET($BN$2,0,0,ROW()-1,60),ROW()-1,FALSE))</f>
        <v>35.366999999999997</v>
      </c>
      <c r="AJ77">
        <f ca="1">IF(AND(ISNUMBER($AJ$292),$B$226=1),$AJ$292,HLOOKUP(INDIRECT(ADDRESS(2,COLUMN())),OFFSET($BN$2,0,0,ROW()-1,60),ROW()-1,FALSE))</f>
        <v>23.614999999999998</v>
      </c>
      <c r="AK77">
        <f ca="1">IF(AND(ISNUMBER($AK$292),$B$226=1),$AK$292,HLOOKUP(INDIRECT(ADDRESS(2,COLUMN())),OFFSET($BN$2,0,0,ROW()-1,60),ROW()-1,FALSE))</f>
        <v>18.68</v>
      </c>
      <c r="AL77">
        <f ca="1">IF(AND(ISNUMBER($AL$292),$B$226=1),$AL$292,HLOOKUP(INDIRECT(ADDRESS(2,COLUMN())),OFFSET($BN$2,0,0,ROW()-1,60),ROW()-1,FALSE))</f>
        <v>19.635999999999999</v>
      </c>
      <c r="AM77">
        <f ca="1">IF(AND(ISNUMBER($AM$292),$B$226=1),$AM$292,HLOOKUP(INDIRECT(ADDRESS(2,COLUMN())),OFFSET($BN$2,0,0,ROW()-1,60),ROW()-1,FALSE))</f>
        <v>25.795999999999999</v>
      </c>
      <c r="AN77">
        <f ca="1">IF(AND(ISNUMBER($AN$292),$B$226=1),$AN$292,HLOOKUP(INDIRECT(ADDRESS(2,COLUMN())),OFFSET($BN$2,0,0,ROW()-1,60),ROW()-1,FALSE))</f>
        <v>13.101000000000001</v>
      </c>
      <c r="AO77">
        <f ca="1">IF(AND(ISNUMBER($AO$292),$B$226=1),$AO$292,HLOOKUP(INDIRECT(ADDRESS(2,COLUMN())),OFFSET($BN$2,0,0,ROW()-1,60),ROW()-1,FALSE))</f>
        <v>15.378</v>
      </c>
      <c r="AP77">
        <f ca="1">IF(AND(ISNUMBER($AP$292),$B$226=1),$AP$292,HLOOKUP(INDIRECT(ADDRESS(2,COLUMN())),OFFSET($BN$2,0,0,ROW()-1,60),ROW()-1,FALSE))</f>
        <v>20.756</v>
      </c>
      <c r="AQ77">
        <f ca="1">IF(AND(ISNUMBER($AQ$292),$B$226=1),$AQ$292,HLOOKUP(INDIRECT(ADDRESS(2,COLUMN())),OFFSET($BN$2,0,0,ROW()-1,60),ROW()-1,FALSE))</f>
        <v>16.821000000000002</v>
      </c>
      <c r="AR77">
        <f ca="1">IF(AND(ISNUMBER($AR$292),$B$226=1),$AR$292,HLOOKUP(INDIRECT(ADDRESS(2,COLUMN())),OFFSET($BN$2,0,0,ROW()-1,60),ROW()-1,FALSE))</f>
        <v>5.1120000000000001</v>
      </c>
      <c r="AS77">
        <f ca="1">IF(AND(ISNUMBER($AS$292),$B$226=1),$AS$292,HLOOKUP(INDIRECT(ADDRESS(2,COLUMN())),OFFSET($BN$2,0,0,ROW()-1,60),ROW()-1,FALSE))</f>
        <v>9.6739999999999995</v>
      </c>
      <c r="AT77">
        <f ca="1">IF(AND(ISNUMBER($AT$292),$B$226=1),$AT$292,HLOOKUP(INDIRECT(ADDRESS(2,COLUMN())),OFFSET($BN$2,0,0,ROW()-1,60),ROW()-1,FALSE))</f>
        <v>13.164999999999999</v>
      </c>
      <c r="AU77">
        <f ca="1">IF(AND(ISNUMBER($AU$292),$B$226=1),$AU$292,HLOOKUP(INDIRECT(ADDRESS(2,COLUMN())),OFFSET($BN$2,0,0,ROW()-1,60),ROW()-1,FALSE))</f>
        <v>14.39</v>
      </c>
      <c r="AV77">
        <f ca="1">IF(AND(ISNUMBER($AV$292),$B$226=1),$AV$292,HLOOKUP(INDIRECT(ADDRESS(2,COLUMN())),OFFSET($BN$2,0,0,ROW()-1,60),ROW()-1,FALSE))</f>
        <v>5.2290000000000001</v>
      </c>
      <c r="AW77">
        <f ca="1">IF(AND(ISNUMBER($AW$292),$B$226=1),$AW$292,HLOOKUP(INDIRECT(ADDRESS(2,COLUMN())),OFFSET($BN$2,0,0,ROW()-1,60),ROW()-1,FALSE))</f>
        <v>6.8339999999999996</v>
      </c>
      <c r="AX77">
        <f ca="1">IF(AND(ISNUMBER($AX$292),$B$226=1),$AX$292,HLOOKUP(INDIRECT(ADDRESS(2,COLUMN())),OFFSET($BN$2,0,0,ROW()-1,60),ROW()-1,FALSE))</f>
        <v>1.94</v>
      </c>
      <c r="AY77">
        <f ca="1">IF(AND(ISNUMBER($AY$292),$B$226=1),$AY$292,HLOOKUP(INDIRECT(ADDRESS(2,COLUMN())),OFFSET($BN$2,0,0,ROW()-1,60),ROW()-1,FALSE))</f>
        <v>12.25</v>
      </c>
      <c r="AZ77">
        <f ca="1">IF(AND(ISNUMBER($AZ$292),$B$226=1),$AZ$292,HLOOKUP(INDIRECT(ADDRESS(2,COLUMN())),OFFSET($BN$2,0,0,ROW()-1,60),ROW()-1,FALSE))</f>
        <v>4.9509999999999996</v>
      </c>
      <c r="BA77">
        <f ca="1">IF(AND(ISNUMBER($BA$292),$B$226=1),$BA$292,HLOOKUP(INDIRECT(ADDRESS(2,COLUMN())),OFFSET($BN$2,0,0,ROW()-1,60),ROW()-1,FALSE))</f>
        <v>4.7949999999999999</v>
      </c>
      <c r="BB77">
        <f ca="1">IF(AND(ISNUMBER($BB$292),$B$226=1),$BB$292,HLOOKUP(INDIRECT(ADDRESS(2,COLUMN())),OFFSET($BN$2,0,0,ROW()-1,60),ROW()-1,FALSE))</f>
        <v>8.9469999999999992</v>
      </c>
      <c r="BC77">
        <f ca="1">IF(AND(ISNUMBER($BC$292),$B$226=1),$BC$292,HLOOKUP(INDIRECT(ADDRESS(2,COLUMN())),OFFSET($BN$2,0,0,ROW()-1,60),ROW()-1,FALSE))</f>
        <v>6.5119999999999996</v>
      </c>
      <c r="BD77">
        <f ca="1">IF(AND(ISNUMBER($BD$292),$B$226=1),$BD$292,HLOOKUP(INDIRECT(ADDRESS(2,COLUMN())),OFFSET($BN$2,0,0,ROW()-1,60),ROW()-1,FALSE))</f>
        <v>3.5670000000000002</v>
      </c>
      <c r="BE77">
        <f ca="1">IF(AND(ISNUMBER($BE$292),$B$226=1),$BE$292,HLOOKUP(INDIRECT(ADDRESS(2,COLUMN())),OFFSET($BN$2,0,0,ROW()-1,60),ROW()-1,FALSE))</f>
        <v>2.54</v>
      </c>
      <c r="BF77">
        <f ca="1">IF(AND(ISNUMBER($BF$292),$B$226=1),$BF$292,HLOOKUP(INDIRECT(ADDRESS(2,COLUMN())),OFFSET($BN$2,0,0,ROW()-1,60),ROW()-1,FALSE))</f>
        <v>5.7220000000000004</v>
      </c>
      <c r="BG77">
        <f ca="1">IF(AND(ISNUMBER($BG$292),$B$226=1),$BG$292,HLOOKUP(INDIRECT(ADDRESS(2,COLUMN())),OFFSET($BN$2,0,0,ROW()-1,60),ROW()-1,FALSE))</f>
        <v>6.1609999999999996</v>
      </c>
      <c r="BH77">
        <f ca="1">IF(AND(ISNUMBER($BH$292),$B$226=1),$BH$292,HLOOKUP(INDIRECT(ADDRESS(2,COLUMN())),OFFSET($BN$2,0,0,ROW()-1,60),ROW()-1,FALSE))</f>
        <v>-2.641</v>
      </c>
      <c r="BI77">
        <f ca="1">IF(AND(ISNUMBER($BI$292),$B$226=1),$BI$292,HLOOKUP(INDIRECT(ADDRESS(2,COLUMN())),OFFSET($BN$2,0,0,ROW()-1,60),ROW()-1,FALSE))</f>
        <v>1.2649999860000001</v>
      </c>
      <c r="BJ77">
        <f ca="1">IF(AND(ISNUMBER($BJ$292),$B$226=1),$BJ$292,HLOOKUP(INDIRECT(ADDRESS(2,COLUMN())),OFFSET($BN$2,0,0,ROW()-1,60),ROW()-1,FALSE))</f>
        <v>3.7850000860000002</v>
      </c>
      <c r="BK77" t="str">
        <f ca="1">IF(AND(ISNUMBER($BK$292),$B$226=1),$BK$292,HLOOKUP(INDIRECT(ADDRESS(2,COLUMN())),OFFSET($BN$2,0,0,ROW()-1,60),ROW()-1,FALSE))</f>
        <v/>
      </c>
      <c r="BL77" t="str">
        <f ca="1">IF(AND(ISNUMBER($BL$292),$B$226=1),$BL$292,HLOOKUP(INDIRECT(ADDRESS(2,COLUMN())),OFFSET($BN$2,0,0,ROW()-1,60),ROW()-1,FALSE))</f>
        <v/>
      </c>
      <c r="BM77" t="str">
        <f ca="1">IF(AND(ISNUMBER($BM$292),$B$226=1),$BM$292,HLOOKUP(INDIRECT(ADDRESS(2,COLUMN())),OFFSET($BN$2,0,0,ROW()-1,60),ROW()-1,FALSE))</f>
        <v/>
      </c>
      <c r="BN77" t="str">
        <f>""</f>
        <v/>
      </c>
      <c r="BO77">
        <f>103.909</f>
        <v>103.90900000000001</v>
      </c>
      <c r="BP77">
        <f>58.975</f>
        <v>58.975000000000001</v>
      </c>
      <c r="BQ77">
        <f>68.507</f>
        <v>68.507000000000005</v>
      </c>
      <c r="BR77">
        <f>85.967</f>
        <v>85.966999999999999</v>
      </c>
      <c r="BS77">
        <f>77.955</f>
        <v>77.954999999999998</v>
      </c>
      <c r="BT77">
        <f>61.146</f>
        <v>61.146000000000001</v>
      </c>
      <c r="BU77">
        <f>71.65</f>
        <v>71.650000000000006</v>
      </c>
      <c r="BV77">
        <f>81.846</f>
        <v>81.846000000000004</v>
      </c>
      <c r="BW77">
        <f>82.626</f>
        <v>82.626000000000005</v>
      </c>
      <c r="BX77">
        <f>48.603</f>
        <v>48.603000000000002</v>
      </c>
      <c r="BY77">
        <f>63.113</f>
        <v>63.113</v>
      </c>
      <c r="BZ77">
        <f>77.039</f>
        <v>77.039000000000001</v>
      </c>
      <c r="CA77">
        <f>78.135</f>
        <v>78.135000000000005</v>
      </c>
      <c r="CB77">
        <f>45.688</f>
        <v>45.688000000000002</v>
      </c>
      <c r="CC77">
        <f>61.615</f>
        <v>61.615000000000002</v>
      </c>
      <c r="CD77">
        <f>73.792</f>
        <v>73.792000000000002</v>
      </c>
      <c r="CE77">
        <f>72.816</f>
        <v>72.816000000000003</v>
      </c>
      <c r="CF77">
        <f>39.906</f>
        <v>39.905999999999999</v>
      </c>
      <c r="CG77">
        <f>55.553</f>
        <v>55.552999999999997</v>
      </c>
      <c r="CH77">
        <f>68.502</f>
        <v>68.501999999999995</v>
      </c>
      <c r="CI77">
        <f>58.473</f>
        <v>58.472999999999999</v>
      </c>
      <c r="CJ77">
        <f>28.878</f>
        <v>28.878</v>
      </c>
      <c r="CK77">
        <f>36.607</f>
        <v>36.606999999999999</v>
      </c>
      <c r="CL77">
        <f>44.397</f>
        <v>44.396999999999998</v>
      </c>
      <c r="CM77">
        <f>39.391</f>
        <v>39.390999999999998</v>
      </c>
      <c r="CN77">
        <f>23.725</f>
        <v>23.725000000000001</v>
      </c>
      <c r="CO77">
        <f>29.368</f>
        <v>29.367999999999999</v>
      </c>
      <c r="CP77">
        <f>39.803</f>
        <v>39.802999999999997</v>
      </c>
      <c r="CQ77">
        <f>35.367</f>
        <v>35.366999999999997</v>
      </c>
      <c r="CR77">
        <f>23.615</f>
        <v>23.614999999999998</v>
      </c>
      <c r="CS77">
        <f>18.68</f>
        <v>18.68</v>
      </c>
      <c r="CT77">
        <f>19.636</f>
        <v>19.635999999999999</v>
      </c>
      <c r="CU77">
        <f>25.796</f>
        <v>25.795999999999999</v>
      </c>
      <c r="CV77">
        <f>13.101</f>
        <v>13.101000000000001</v>
      </c>
      <c r="CW77">
        <f>15.378</f>
        <v>15.378</v>
      </c>
      <c r="CX77">
        <f>20.756</f>
        <v>20.756</v>
      </c>
      <c r="CY77">
        <f>16.821</f>
        <v>16.821000000000002</v>
      </c>
      <c r="CZ77">
        <f>5.112</f>
        <v>5.1120000000000001</v>
      </c>
      <c r="DA77">
        <f>9.674</f>
        <v>9.6739999999999995</v>
      </c>
      <c r="DB77">
        <f>13.165</f>
        <v>13.164999999999999</v>
      </c>
      <c r="DC77">
        <f>14.39</f>
        <v>14.39</v>
      </c>
      <c r="DD77">
        <f>5.229</f>
        <v>5.2290000000000001</v>
      </c>
      <c r="DE77">
        <f>6.834</f>
        <v>6.8339999999999996</v>
      </c>
      <c r="DF77">
        <f>1.94</f>
        <v>1.94</v>
      </c>
      <c r="DG77">
        <f>12.25</f>
        <v>12.25</v>
      </c>
      <c r="DH77">
        <f>4.951</f>
        <v>4.9509999999999996</v>
      </c>
      <c r="DI77">
        <f>4.795</f>
        <v>4.7949999999999999</v>
      </c>
      <c r="DJ77">
        <f>8.947</f>
        <v>8.9469999999999992</v>
      </c>
      <c r="DK77">
        <f>6.512</f>
        <v>6.5119999999999996</v>
      </c>
      <c r="DL77">
        <f>3.567</f>
        <v>3.5670000000000002</v>
      </c>
      <c r="DM77">
        <f>2.54</f>
        <v>2.54</v>
      </c>
      <c r="DN77">
        <f>5.722</f>
        <v>5.7220000000000004</v>
      </c>
      <c r="DO77">
        <f>6.161</f>
        <v>6.1609999999999996</v>
      </c>
      <c r="DP77">
        <f>-2.641</f>
        <v>-2.641</v>
      </c>
      <c r="DQ77">
        <f>1.264999986</f>
        <v>1.2649999860000001</v>
      </c>
      <c r="DR77">
        <f>3.785000086</f>
        <v>3.7850000860000002</v>
      </c>
      <c r="DS77" t="str">
        <f>""</f>
        <v/>
      </c>
      <c r="DT77" t="str">
        <f>""</f>
        <v/>
      </c>
      <c r="DU77" t="str">
        <f>""</f>
        <v/>
      </c>
    </row>
    <row r="78" spans="1:125">
      <c r="A78" t="str">
        <f>"    AvalonBay Communities Inc"</f>
        <v xml:space="preserve">    AvalonBay Communities Inc</v>
      </c>
      <c r="B78" t="str">
        <f>"AVB US Equity"</f>
        <v>AVB US Equity</v>
      </c>
      <c r="C78" t="str">
        <f t="shared" si="24"/>
        <v>CF039</v>
      </c>
      <c r="D78" t="str">
        <f t="shared" si="25"/>
        <v>CF_FFO</v>
      </c>
      <c r="E78" t="str">
        <f t="shared" si="26"/>
        <v>动态</v>
      </c>
      <c r="F78" t="str">
        <f ca="1">IF(AND(ISNUMBER($F$293),$B$226=1),$F$293,HLOOKUP(INDIRECT(ADDRESS(2,COLUMN())),OFFSET($BN$2,0,0,ROW()-1,60),ROW()-1,FALSE))</f>
        <v/>
      </c>
      <c r="G78">
        <f ca="1">IF(AND(ISNUMBER($G$293),$B$226=1),$G$293,HLOOKUP(INDIRECT(ADDRESS(2,COLUMN())),OFFSET($BN$2,0,0,ROW()-1,60),ROW()-1,FALSE))</f>
        <v>301.20800000000003</v>
      </c>
      <c r="H78">
        <f ca="1">IF(AND(ISNUMBER($H$293),$B$226=1),$H$293,HLOOKUP(INDIRECT(ADDRESS(2,COLUMN())),OFFSET($BN$2,0,0,ROW()-1,60),ROW()-1,FALSE))</f>
        <v>323.517</v>
      </c>
      <c r="I78">
        <f ca="1">IF(AND(ISNUMBER($I$293),$B$226=1),$I$293,HLOOKUP(INDIRECT(ADDRESS(2,COLUMN())),OFFSET($BN$2,0,0,ROW()-1,60),ROW()-1,FALSE))</f>
        <v>262.29599999999999</v>
      </c>
      <c r="J78">
        <f ca="1">IF(AND(ISNUMBER($J$293),$B$226=1),$J$293,HLOOKUP(INDIRECT(ADDRESS(2,COLUMN())),OFFSET($BN$2,0,0,ROW()-1,60),ROW()-1,FALSE))</f>
        <v>280.197</v>
      </c>
      <c r="K78">
        <f ca="1">IF(AND(ISNUMBER($K$293),$B$226=1),$K$293,HLOOKUP(INDIRECT(ADDRESS(2,COLUMN())),OFFSET($BN$2,0,0,ROW()-1,60),ROW()-1,FALSE))</f>
        <v>288.08</v>
      </c>
      <c r="L78">
        <f ca="1">IF(AND(ISNUMBER($L$293),$B$226=1),$L$293,HLOOKUP(INDIRECT(ADDRESS(2,COLUMN())),OFFSET($BN$2,0,0,ROW()-1,60),ROW()-1,FALSE))</f>
        <v>289.51499999999999</v>
      </c>
      <c r="M78">
        <f ca="1">IF(AND(ISNUMBER($M$293),$B$226=1),$M$293,HLOOKUP(INDIRECT(ADDRESS(2,COLUMN())),OFFSET($BN$2,0,0,ROW()-1,60),ROW()-1,FALSE))</f>
        <v>273.58</v>
      </c>
      <c r="N78">
        <f ca="1">IF(AND(ISNUMBER($N$293),$B$226=1),$N$293,HLOOKUP(INDIRECT(ADDRESS(2,COLUMN())),OFFSET($BN$2,0,0,ROW()-1,60),ROW()-1,FALSE))</f>
        <v>284.58699999999999</v>
      </c>
      <c r="O78">
        <f ca="1">IF(AND(ISNUMBER($O$293),$B$226=1),$O$293,HLOOKUP(INDIRECT(ADDRESS(2,COLUMN())),OFFSET($BN$2,0,0,ROW()-1,60),ROW()-1,FALSE))</f>
        <v>270.15499999999997</v>
      </c>
      <c r="P78">
        <f ca="1">IF(AND(ISNUMBER($P$293),$B$226=1),$P$293,HLOOKUP(INDIRECT(ADDRESS(2,COLUMN())),OFFSET($BN$2,0,0,ROW()-1,60),ROW()-1,FALSE))</f>
        <v>271.87900000000002</v>
      </c>
      <c r="Q78">
        <f ca="1">IF(AND(ISNUMBER($Q$293),$B$226=1),$Q$293,HLOOKUP(INDIRECT(ADDRESS(2,COLUMN())),OFFSET($BN$2,0,0,ROW()-1,60),ROW()-1,FALSE))</f>
        <v>290.47399999999999</v>
      </c>
      <c r="R78">
        <f ca="1">IF(AND(ISNUMBER($R$293),$B$226=1),$R$293,HLOOKUP(INDIRECT(ADDRESS(2,COLUMN())),OFFSET($BN$2,0,0,ROW()-1,60),ROW()-1,FALSE))</f>
        <v>250.577</v>
      </c>
      <c r="S78">
        <f ca="1">IF(AND(ISNUMBER($S$293),$B$226=1),$S$293,HLOOKUP(INDIRECT(ADDRESS(2,COLUMN())),OFFSET($BN$2,0,0,ROW()-1,60),ROW()-1,FALSE))</f>
        <v>233.48400000000001</v>
      </c>
      <c r="T78">
        <f ca="1">IF(AND(ISNUMBER($T$293),$B$226=1),$T$293,HLOOKUP(INDIRECT(ADDRESS(2,COLUMN())),OFFSET($BN$2,0,0,ROW()-1,60),ROW()-1,FALSE))</f>
        <v>282.221</v>
      </c>
      <c r="U78">
        <f ca="1">IF(AND(ISNUMBER($U$293),$B$226=1),$U$293,HLOOKUP(INDIRECT(ADDRESS(2,COLUMN())),OFFSET($BN$2,0,0,ROW()-1,60),ROW()-1,FALSE))</f>
        <v>222.48599999999999</v>
      </c>
      <c r="V78">
        <f ca="1">IF(AND(ISNUMBER($V$293),$B$226=1),$V$293,HLOOKUP(INDIRECT(ADDRESS(2,COLUMN())),OFFSET($BN$2,0,0,ROW()-1,60),ROW()-1,FALSE))</f>
        <v>212.845</v>
      </c>
      <c r="W78">
        <f ca="1">IF(AND(ISNUMBER($W$293),$B$226=1),$W$293,HLOOKUP(INDIRECT(ADDRESS(2,COLUMN())),OFFSET($BN$2,0,0,ROW()-1,60),ROW()-1,FALSE))</f>
        <v>195.34399999999999</v>
      </c>
      <c r="X78">
        <f ca="1">IF(AND(ISNUMBER($X$293),$B$226=1),$X$293,HLOOKUP(INDIRECT(ADDRESS(2,COLUMN())),OFFSET($BN$2,0,0,ROW()-1,60),ROW()-1,FALSE))</f>
        <v>153.36099999999999</v>
      </c>
      <c r="Y78">
        <f ca="1">IF(AND(ISNUMBER($Y$293),$B$226=1),$Y$293,HLOOKUP(INDIRECT(ADDRESS(2,COLUMN())),OFFSET($BN$2,0,0,ROW()-1,60),ROW()-1,FALSE))</f>
        <v>200.57400000000001</v>
      </c>
      <c r="Z78">
        <f ca="1">IF(AND(ISNUMBER($Z$293),$B$226=1),$Z$293,HLOOKUP(INDIRECT(ADDRESS(2,COLUMN())),OFFSET($BN$2,0,0,ROW()-1,60),ROW()-1,FALSE))</f>
        <v>93.536000000000001</v>
      </c>
      <c r="AA78">
        <f ca="1">IF(AND(ISNUMBER($AA$293),$B$226=1),$AA$293,HLOOKUP(INDIRECT(ADDRESS(2,COLUMN())),OFFSET($BN$2,0,0,ROW()-1,60),ROW()-1,FALSE))</f>
        <v>130.63499999999999</v>
      </c>
      <c r="AB78">
        <f ca="1">IF(AND(ISNUMBER($AB$293),$B$226=1),$AB$293,HLOOKUP(INDIRECT(ADDRESS(2,COLUMN())),OFFSET($BN$2,0,0,ROW()-1,60),ROW()-1,FALSE))</f>
        <v>140.24799999999999</v>
      </c>
      <c r="AC78">
        <f ca="1">IF(AND(ISNUMBER($AC$293),$B$226=1),$AC$293,HLOOKUP(INDIRECT(ADDRESS(2,COLUMN())),OFFSET($BN$2,0,0,ROW()-1,60),ROW()-1,FALSE))</f>
        <v>128.19300000000001</v>
      </c>
      <c r="AD78">
        <f ca="1">IF(AND(ISNUMBER($AD$293),$B$226=1),$AD$293,HLOOKUP(INDIRECT(ADDRESS(2,COLUMN())),OFFSET($BN$2,0,0,ROW()-1,60),ROW()-1,FALSE))</f>
        <v>121.971</v>
      </c>
      <c r="AE78">
        <f ca="1">IF(AND(ISNUMBER($AE$293),$B$226=1),$AE$293,HLOOKUP(INDIRECT(ADDRESS(2,COLUMN())),OFFSET($BN$2,0,0,ROW()-1,60),ROW()-1,FALSE))</f>
        <v>113.41</v>
      </c>
      <c r="AF78">
        <f ca="1">IF(AND(ISNUMBER($AF$293),$B$226=1),$AF$293,HLOOKUP(INDIRECT(ADDRESS(2,COLUMN())),OFFSET($BN$2,0,0,ROW()-1,60),ROW()-1,FALSE))</f>
        <v>107.587</v>
      </c>
      <c r="AG78">
        <f ca="1">IF(AND(ISNUMBER($AG$293),$B$226=1),$AG$293,HLOOKUP(INDIRECT(ADDRESS(2,COLUMN())),OFFSET($BN$2,0,0,ROW()-1,60),ROW()-1,FALSE))</f>
        <v>99.944999999999993</v>
      </c>
      <c r="AH78">
        <f ca="1">IF(AND(ISNUMBER($AH$293),$B$226=1),$AH$293,HLOOKUP(INDIRECT(ADDRESS(2,COLUMN())),OFFSET($BN$2,0,0,ROW()-1,60),ROW()-1,FALSE))</f>
        <v>93.542000000000002</v>
      </c>
      <c r="AI78">
        <f ca="1">IF(AND(ISNUMBER($AI$293),$B$226=1),$AI$293,HLOOKUP(INDIRECT(ADDRESS(2,COLUMN())),OFFSET($BN$2,0,0,ROW()-1,60),ROW()-1,FALSE))</f>
        <v>86.828999999999994</v>
      </c>
      <c r="AJ78">
        <f ca="1">IF(AND(ISNUMBER($AJ$293),$B$226=1),$AJ$293,HLOOKUP(INDIRECT(ADDRESS(2,COLUMN())),OFFSET($BN$2,0,0,ROW()-1,60),ROW()-1,FALSE))</f>
        <v>84.462000000000003</v>
      </c>
      <c r="AK78">
        <f ca="1">IF(AND(ISNUMBER($AK$293),$B$226=1),$AK$293,HLOOKUP(INDIRECT(ADDRESS(2,COLUMN())),OFFSET($BN$2,0,0,ROW()-1,60),ROW()-1,FALSE))</f>
        <v>87.802999999999997</v>
      </c>
      <c r="AL78">
        <f ca="1">IF(AND(ISNUMBER($AL$293),$B$226=1),$AL$293,HLOOKUP(INDIRECT(ADDRESS(2,COLUMN())),OFFSET($BN$2,0,0,ROW()-1,60),ROW()-1,FALSE))</f>
        <v>79.257000000000005</v>
      </c>
      <c r="AM78">
        <f ca="1">IF(AND(ISNUMBER($AM$293),$B$226=1),$AM$293,HLOOKUP(INDIRECT(ADDRESS(2,COLUMN())),OFFSET($BN$2,0,0,ROW()-1,60),ROW()-1,FALSE))</f>
        <v>52.715000000000003</v>
      </c>
      <c r="AN78">
        <f ca="1">IF(AND(ISNUMBER($AN$293),$B$226=1),$AN$293,HLOOKUP(INDIRECT(ADDRESS(2,COLUMN())),OFFSET($BN$2,0,0,ROW()-1,60),ROW()-1,FALSE))</f>
        <v>87.736999999999995</v>
      </c>
      <c r="AO78">
        <f ca="1">IF(AND(ISNUMBER($AO$293),$B$226=1),$AO$293,HLOOKUP(INDIRECT(ADDRESS(2,COLUMN())),OFFSET($BN$2,0,0,ROW()-1,60),ROW()-1,FALSE))</f>
        <v>71.813999999999993</v>
      </c>
      <c r="AP78">
        <f ca="1">IF(AND(ISNUMBER($AP$293),$B$226=1),$AP$293,HLOOKUP(INDIRECT(ADDRESS(2,COLUMN())),OFFSET($BN$2,0,0,ROW()-1,60),ROW()-1,FALSE))</f>
        <v>100.97499999999999</v>
      </c>
      <c r="AQ78">
        <f ca="1">IF(AND(ISNUMBER($AQ$293),$B$226=1),$AQ$293,HLOOKUP(INDIRECT(ADDRESS(2,COLUMN())),OFFSET($BN$2,0,0,ROW()-1,60),ROW()-1,FALSE))</f>
        <v>22.963000000000001</v>
      </c>
      <c r="AR78">
        <f ca="1">IF(AND(ISNUMBER($AR$293),$B$226=1),$AR$293,HLOOKUP(INDIRECT(ADDRESS(2,COLUMN())),OFFSET($BN$2,0,0,ROW()-1,60),ROW()-1,FALSE))</f>
        <v>99.015000000000001</v>
      </c>
      <c r="AS78">
        <f ca="1">IF(AND(ISNUMBER($AS$293),$B$226=1),$AS$293,HLOOKUP(INDIRECT(ADDRESS(2,COLUMN())),OFFSET($BN$2,0,0,ROW()-1,60),ROW()-1,FALSE))</f>
        <v>97.852000000000004</v>
      </c>
      <c r="AT78">
        <f ca="1">IF(AND(ISNUMBER($AT$293),$B$226=1),$AT$293,HLOOKUP(INDIRECT(ADDRESS(2,COLUMN())),OFFSET($BN$2,0,0,ROW()-1,60),ROW()-1,FALSE))</f>
        <v>96.117000000000004</v>
      </c>
      <c r="AU78">
        <f ca="1">IF(AND(ISNUMBER($AU$293),$B$226=1),$AU$293,HLOOKUP(INDIRECT(ADDRESS(2,COLUMN())),OFFSET($BN$2,0,0,ROW()-1,60),ROW()-1,FALSE))</f>
        <v>89.596999999999994</v>
      </c>
      <c r="AV78">
        <f ca="1">IF(AND(ISNUMBER($AV$293),$B$226=1),$AV$293,HLOOKUP(INDIRECT(ADDRESS(2,COLUMN())),OFFSET($BN$2,0,0,ROW()-1,60),ROW()-1,FALSE))</f>
        <v>95.302000000000007</v>
      </c>
      <c r="AW78">
        <f ca="1">IF(AND(ISNUMBER($AW$293),$B$226=1),$AW$293,HLOOKUP(INDIRECT(ADDRESS(2,COLUMN())),OFFSET($BN$2,0,0,ROW()-1,60),ROW()-1,FALSE))</f>
        <v>94.040999999999997</v>
      </c>
      <c r="AX78">
        <f ca="1">IF(AND(ISNUMBER($AX$293),$B$226=1),$AX$293,HLOOKUP(INDIRECT(ADDRESS(2,COLUMN())),OFFSET($BN$2,0,0,ROW()-1,60),ROW()-1,FALSE))</f>
        <v>89.117999999999995</v>
      </c>
      <c r="AY78">
        <f ca="1">IF(AND(ISNUMBER($AY$293),$B$226=1),$AY$293,HLOOKUP(INDIRECT(ADDRESS(2,COLUMN())),OFFSET($BN$2,0,0,ROW()-1,60),ROW()-1,FALSE))</f>
        <v>79.894000000000005</v>
      </c>
      <c r="AZ78">
        <f ca="1">IF(AND(ISNUMBER($AZ$293),$B$226=1),$AZ$293,HLOOKUP(INDIRECT(ADDRESS(2,COLUMN())),OFFSET($BN$2,0,0,ROW()-1,60),ROW()-1,FALSE))</f>
        <v>81.260999999999996</v>
      </c>
      <c r="BA78">
        <f ca="1">IF(AND(ISNUMBER($BA$293),$B$226=1),$BA$293,HLOOKUP(INDIRECT(ADDRESS(2,COLUMN())),OFFSET($BN$2,0,0,ROW()-1,60),ROW()-1,FALSE))</f>
        <v>74.855000000000004</v>
      </c>
      <c r="BB78">
        <f ca="1">IF(AND(ISNUMBER($BB$293),$B$226=1),$BB$293,HLOOKUP(INDIRECT(ADDRESS(2,COLUMN())),OFFSET($BN$2,0,0,ROW()-1,60),ROW()-1,FALSE))</f>
        <v>84.188999999999993</v>
      </c>
      <c r="BC78">
        <f ca="1">IF(AND(ISNUMBER($BC$293),$B$226=1),$BC$293,HLOOKUP(INDIRECT(ADDRESS(2,COLUMN())),OFFSET($BN$2,0,0,ROW()-1,60),ROW()-1,FALSE))</f>
        <v>70.108000000000004</v>
      </c>
      <c r="BD78">
        <f ca="1">IF(AND(ISNUMBER($BD$293),$B$226=1),$BD$293,HLOOKUP(INDIRECT(ADDRESS(2,COLUMN())),OFFSET($BN$2,0,0,ROW()-1,60),ROW()-1,FALSE))</f>
        <v>68.090999999999994</v>
      </c>
      <c r="BE78">
        <f ca="1">IF(AND(ISNUMBER($BE$293),$B$226=1),$BE$293,HLOOKUP(INDIRECT(ADDRESS(2,COLUMN())),OFFSET($BN$2,0,0,ROW()-1,60),ROW()-1,FALSE))</f>
        <v>72.325000000000003</v>
      </c>
      <c r="BF78">
        <f ca="1">IF(AND(ISNUMBER($BF$293),$B$226=1),$BF$293,HLOOKUP(INDIRECT(ADDRESS(2,COLUMN())),OFFSET($BN$2,0,0,ROW()-1,60),ROW()-1,FALSE))</f>
        <v>71.248999999999995</v>
      </c>
      <c r="BG78">
        <f ca="1">IF(AND(ISNUMBER($BG$293),$B$226=1),$BG$293,HLOOKUP(INDIRECT(ADDRESS(2,COLUMN())),OFFSET($BN$2,0,0,ROW()-1,60),ROW()-1,FALSE))</f>
        <v>64.817999999999998</v>
      </c>
      <c r="BH78">
        <f ca="1">IF(AND(ISNUMBER($BH$293),$B$226=1),$BH$293,HLOOKUP(INDIRECT(ADDRESS(2,COLUMN())),OFFSET($BN$2,0,0,ROW()-1,60),ROW()-1,FALSE))</f>
        <v>63.600999999999999</v>
      </c>
      <c r="BI78">
        <f ca="1">IF(AND(ISNUMBER($BI$293),$B$226=1),$BI$293,HLOOKUP(INDIRECT(ADDRESS(2,COLUMN())),OFFSET($BN$2,0,0,ROW()-1,60),ROW()-1,FALSE))</f>
        <v>60.45</v>
      </c>
      <c r="BJ78">
        <f ca="1">IF(AND(ISNUMBER($BJ$293),$B$226=1),$BJ$293,HLOOKUP(INDIRECT(ADDRESS(2,COLUMN())),OFFSET($BN$2,0,0,ROW()-1,60),ROW()-1,FALSE))</f>
        <v>57.378</v>
      </c>
      <c r="BK78">
        <f ca="1">IF(AND(ISNUMBER($BK$293),$B$226=1),$BK$293,HLOOKUP(INDIRECT(ADDRESS(2,COLUMN())),OFFSET($BN$2,0,0,ROW()-1,60),ROW()-1,FALSE))</f>
        <v>58.4640007</v>
      </c>
      <c r="BL78">
        <f ca="1">IF(AND(ISNUMBER($BL$293),$B$226=1),$BL$293,HLOOKUP(INDIRECT(ADDRESS(2,COLUMN())),OFFSET($BN$2,0,0,ROW()-1,60),ROW()-1,FALSE))</f>
        <v>56.158000000000001</v>
      </c>
      <c r="BM78">
        <f ca="1">IF(AND(ISNUMBER($BM$293),$B$226=1),$BM$293,HLOOKUP(INDIRECT(ADDRESS(2,COLUMN())),OFFSET($BN$2,0,0,ROW()-1,60),ROW()-1,FALSE))</f>
        <v>57.152999999999999</v>
      </c>
      <c r="BN78" t="str">
        <f>""</f>
        <v/>
      </c>
      <c r="BO78">
        <f>301.208</f>
        <v>301.20800000000003</v>
      </c>
      <c r="BP78">
        <f>323.517</f>
        <v>323.517</v>
      </c>
      <c r="BQ78">
        <f>262.296</f>
        <v>262.29599999999999</v>
      </c>
      <c r="BR78">
        <f>280.197</f>
        <v>280.197</v>
      </c>
      <c r="BS78">
        <f>288.08</f>
        <v>288.08</v>
      </c>
      <c r="BT78">
        <f>289.515</f>
        <v>289.51499999999999</v>
      </c>
      <c r="BU78">
        <f>273.58</f>
        <v>273.58</v>
      </c>
      <c r="BV78">
        <f>284.587</f>
        <v>284.58699999999999</v>
      </c>
      <c r="BW78">
        <f>270.155</f>
        <v>270.15499999999997</v>
      </c>
      <c r="BX78">
        <f>271.879</f>
        <v>271.87900000000002</v>
      </c>
      <c r="BY78">
        <f>290.474</f>
        <v>290.47399999999999</v>
      </c>
      <c r="BZ78">
        <f>250.577</f>
        <v>250.577</v>
      </c>
      <c r="CA78">
        <f>233.484</f>
        <v>233.48400000000001</v>
      </c>
      <c r="CB78">
        <f>282.221</f>
        <v>282.221</v>
      </c>
      <c r="CC78">
        <f>222.486</f>
        <v>222.48599999999999</v>
      </c>
      <c r="CD78">
        <f>212.845</f>
        <v>212.845</v>
      </c>
      <c r="CE78">
        <f>195.344</f>
        <v>195.34399999999999</v>
      </c>
      <c r="CF78">
        <f>153.361</f>
        <v>153.36099999999999</v>
      </c>
      <c r="CG78">
        <f>200.574</f>
        <v>200.57400000000001</v>
      </c>
      <c r="CH78">
        <f>93.536</f>
        <v>93.536000000000001</v>
      </c>
      <c r="CI78">
        <f>130.635</f>
        <v>130.63499999999999</v>
      </c>
      <c r="CJ78">
        <f>140.248</f>
        <v>140.24799999999999</v>
      </c>
      <c r="CK78">
        <f>128.193</f>
        <v>128.19300000000001</v>
      </c>
      <c r="CL78">
        <f>121.971</f>
        <v>121.971</v>
      </c>
      <c r="CM78">
        <f>113.41</f>
        <v>113.41</v>
      </c>
      <c r="CN78">
        <f>107.587</f>
        <v>107.587</v>
      </c>
      <c r="CO78">
        <f>99.945</f>
        <v>99.944999999999993</v>
      </c>
      <c r="CP78">
        <f>93.542</f>
        <v>93.542000000000002</v>
      </c>
      <c r="CQ78">
        <f>86.829</f>
        <v>86.828999999999994</v>
      </c>
      <c r="CR78">
        <f>84.462</f>
        <v>84.462000000000003</v>
      </c>
      <c r="CS78">
        <f>87.803</f>
        <v>87.802999999999997</v>
      </c>
      <c r="CT78">
        <f>79.257</f>
        <v>79.257000000000005</v>
      </c>
      <c r="CU78">
        <f>52.715</f>
        <v>52.715000000000003</v>
      </c>
      <c r="CV78">
        <f>87.737</f>
        <v>87.736999999999995</v>
      </c>
      <c r="CW78">
        <f>71.814</f>
        <v>71.813999999999993</v>
      </c>
      <c r="CX78">
        <f>100.975</f>
        <v>100.97499999999999</v>
      </c>
      <c r="CY78">
        <f>22.963</f>
        <v>22.963000000000001</v>
      </c>
      <c r="CZ78">
        <f>99.015</f>
        <v>99.015000000000001</v>
      </c>
      <c r="DA78">
        <f>97.852</f>
        <v>97.852000000000004</v>
      </c>
      <c r="DB78">
        <f>96.117</f>
        <v>96.117000000000004</v>
      </c>
      <c r="DC78">
        <f>89.597</f>
        <v>89.596999999999994</v>
      </c>
      <c r="DD78">
        <f>95.302</f>
        <v>95.302000000000007</v>
      </c>
      <c r="DE78">
        <f>94.041</f>
        <v>94.040999999999997</v>
      </c>
      <c r="DF78">
        <f>89.118</f>
        <v>89.117999999999995</v>
      </c>
      <c r="DG78">
        <f>79.894</f>
        <v>79.894000000000005</v>
      </c>
      <c r="DH78">
        <f>81.261</f>
        <v>81.260999999999996</v>
      </c>
      <c r="DI78">
        <f>74.855</f>
        <v>74.855000000000004</v>
      </c>
      <c r="DJ78">
        <f>84.189</f>
        <v>84.188999999999993</v>
      </c>
      <c r="DK78">
        <f>70.108</f>
        <v>70.108000000000004</v>
      </c>
      <c r="DL78">
        <f>68.091</f>
        <v>68.090999999999994</v>
      </c>
      <c r="DM78">
        <f>72.325</f>
        <v>72.325000000000003</v>
      </c>
      <c r="DN78">
        <f>71.249</f>
        <v>71.248999999999995</v>
      </c>
      <c r="DO78">
        <f>64.818</f>
        <v>64.817999999999998</v>
      </c>
      <c r="DP78">
        <f>63.601</f>
        <v>63.600999999999999</v>
      </c>
      <c r="DQ78">
        <f>60.45</f>
        <v>60.45</v>
      </c>
      <c r="DR78">
        <f>57.378</f>
        <v>57.378</v>
      </c>
      <c r="DS78">
        <f>58.4640007</f>
        <v>58.4640007</v>
      </c>
      <c r="DT78">
        <f>56.158</f>
        <v>56.158000000000001</v>
      </c>
      <c r="DU78">
        <f>57.153</f>
        <v>57.152999999999999</v>
      </c>
    </row>
    <row r="79" spans="1:125">
      <c r="A79" t="str">
        <f>"    Camden Property Trust"</f>
        <v xml:space="preserve">    Camden Property Trust</v>
      </c>
      <c r="B79" t="str">
        <f>"CPT US Equity"</f>
        <v>CPT US Equity</v>
      </c>
      <c r="C79" t="str">
        <f t="shared" si="24"/>
        <v>CF039</v>
      </c>
      <c r="D79" t="str">
        <f t="shared" si="25"/>
        <v>CF_FFO</v>
      </c>
      <c r="E79" t="str">
        <f t="shared" si="26"/>
        <v>动态</v>
      </c>
      <c r="F79" t="str">
        <f ca="1">IF(AND(ISNUMBER($F$294),$B$226=1),$F$294,HLOOKUP(INDIRECT(ADDRESS(2,COLUMN())),OFFSET($BN$2,0,0,ROW()-1,60),ROW()-1,FALSE))</f>
        <v/>
      </c>
      <c r="G79">
        <f ca="1">IF(AND(ISNUMBER($G$294),$B$226=1),$G$294,HLOOKUP(INDIRECT(ADDRESS(2,COLUMN())),OFFSET($BN$2,0,0,ROW()-1,60),ROW()-1,FALSE))</f>
        <v>114.55200000000001</v>
      </c>
      <c r="H79">
        <f ca="1">IF(AND(ISNUMBER($H$294),$B$226=1),$H$294,HLOOKUP(INDIRECT(ADDRESS(2,COLUMN())),OFFSET($BN$2,0,0,ROW()-1,60),ROW()-1,FALSE))</f>
        <v>103.187</v>
      </c>
      <c r="I79">
        <f ca="1">IF(AND(ISNUMBER($I$294),$B$226=1),$I$294,HLOOKUP(INDIRECT(ADDRESS(2,COLUMN())),OFFSET($BN$2,0,0,ROW()-1,60),ROW()-1,FALSE))</f>
        <v>105.97799999999999</v>
      </c>
      <c r="J79">
        <f ca="1">IF(AND(ISNUMBER($J$294),$B$226=1),$J$294,HLOOKUP(INDIRECT(ADDRESS(2,COLUMN())),OFFSET($BN$2,0,0,ROW()-1,60),ROW()-1,FALSE))</f>
        <v>100.355</v>
      </c>
      <c r="K79">
        <f ca="1">IF(AND(ISNUMBER($K$294),$B$226=1),$K$294,HLOOKUP(INDIRECT(ADDRESS(2,COLUMN())),OFFSET($BN$2,0,0,ROW()-1,60),ROW()-1,FALSE))</f>
        <v>105.544</v>
      </c>
      <c r="L79">
        <f ca="1">IF(AND(ISNUMBER($L$294),$B$226=1),$L$294,HLOOKUP(INDIRECT(ADDRESS(2,COLUMN())),OFFSET($BN$2,0,0,ROW()-1,60),ROW()-1,FALSE))</f>
        <v>104.232</v>
      </c>
      <c r="M79">
        <f ca="1">IF(AND(ISNUMBER($M$294),$B$226=1),$M$294,HLOOKUP(INDIRECT(ADDRESS(2,COLUMN())),OFFSET($BN$2,0,0,ROW()-1,60),ROW()-1,FALSE))</f>
        <v>105.578</v>
      </c>
      <c r="N79">
        <f ca="1">IF(AND(ISNUMBER($N$294),$B$226=1),$N$294,HLOOKUP(INDIRECT(ADDRESS(2,COLUMN())),OFFSET($BN$2,0,0,ROW()-1,60),ROW()-1,FALSE))</f>
        <v>110.11</v>
      </c>
      <c r="O79">
        <f ca="1">IF(AND(ISNUMBER($O$294),$B$226=1),$O$294,HLOOKUP(INDIRECT(ADDRESS(2,COLUMN())),OFFSET($BN$2,0,0,ROW()-1,60),ROW()-1,FALSE))</f>
        <v>109.58199999999999</v>
      </c>
      <c r="P79">
        <f ca="1">IF(AND(ISNUMBER($P$294),$B$226=1),$P$294,HLOOKUP(INDIRECT(ADDRESS(2,COLUMN())),OFFSET($BN$2,0,0,ROW()-1,60),ROW()-1,FALSE))</f>
        <v>104.346</v>
      </c>
      <c r="Q79">
        <f ca="1">IF(AND(ISNUMBER($Q$294),$B$226=1),$Q$294,HLOOKUP(INDIRECT(ADDRESS(2,COLUMN())),OFFSET($BN$2,0,0,ROW()-1,60),ROW()-1,FALSE))</f>
        <v>102.041</v>
      </c>
      <c r="R79">
        <f ca="1">IF(AND(ISNUMBER($R$294),$B$226=1),$R$294,HLOOKUP(INDIRECT(ADDRESS(2,COLUMN())),OFFSET($BN$2,0,0,ROW()-1,60),ROW()-1,FALSE))</f>
        <v>98.528000000000006</v>
      </c>
      <c r="S79">
        <f ca="1">IF(AND(ISNUMBER($S$294),$B$226=1),$S$294,HLOOKUP(INDIRECT(ADDRESS(2,COLUMN())),OFFSET($BN$2,0,0,ROW()-1,60),ROW()-1,FALSE))</f>
        <v>90.332999999999998</v>
      </c>
      <c r="T79">
        <f ca="1">IF(AND(ISNUMBER($T$294),$B$226=1),$T$294,HLOOKUP(INDIRECT(ADDRESS(2,COLUMN())),OFFSET($BN$2,0,0,ROW()-1,60),ROW()-1,FALSE))</f>
        <v>98.712000000000003</v>
      </c>
      <c r="U79">
        <f ca="1">IF(AND(ISNUMBER($U$294),$B$226=1),$U$294,HLOOKUP(INDIRECT(ADDRESS(2,COLUMN())),OFFSET($BN$2,0,0,ROW()-1,60),ROW()-1,FALSE))</f>
        <v>94.165999999999997</v>
      </c>
      <c r="V79">
        <f ca="1">IF(AND(ISNUMBER($V$294),$B$226=1),$V$294,HLOOKUP(INDIRECT(ADDRESS(2,COLUMN())),OFFSET($BN$2,0,0,ROW()-1,60),ROW()-1,FALSE))</f>
        <v>94.831999999999994</v>
      </c>
      <c r="W79">
        <f ca="1">IF(AND(ISNUMBER($W$294),$B$226=1),$W$294,HLOOKUP(INDIRECT(ADDRESS(2,COLUMN())),OFFSET($BN$2,0,0,ROW()-1,60),ROW()-1,FALSE))</f>
        <v>96.914000000000001</v>
      </c>
      <c r="X79">
        <f ca="1">IF(AND(ISNUMBER($X$294),$B$226=1),$X$294,HLOOKUP(INDIRECT(ADDRESS(2,COLUMN())),OFFSET($BN$2,0,0,ROW()-1,60),ROW()-1,FALSE))</f>
        <v>93.33</v>
      </c>
      <c r="Y79">
        <f ca="1">IF(AND(ISNUMBER($Y$294),$B$226=1),$Y$294,HLOOKUP(INDIRECT(ADDRESS(2,COLUMN())),OFFSET($BN$2,0,0,ROW()-1,60),ROW()-1,FALSE))</f>
        <v>91.445999999999998</v>
      </c>
      <c r="Z79">
        <f ca="1">IF(AND(ISNUMBER($Z$294),$B$226=1),$Z$294,HLOOKUP(INDIRECT(ADDRESS(2,COLUMN())),OFFSET($BN$2,0,0,ROW()-1,60),ROW()-1,FALSE))</f>
        <v>86.631</v>
      </c>
      <c r="AA79">
        <f ca="1">IF(AND(ISNUMBER($AA$294),$B$226=1),$AA$294,HLOOKUP(INDIRECT(ADDRESS(2,COLUMN())),OFFSET($BN$2,0,0,ROW()-1,60),ROW()-1,FALSE))</f>
        <v>85.927999999999997</v>
      </c>
      <c r="AB79">
        <f ca="1">IF(AND(ISNUMBER($AB$294),$B$226=1),$AB$294,HLOOKUP(INDIRECT(ADDRESS(2,COLUMN())),OFFSET($BN$2,0,0,ROW()-1,60),ROW()-1,FALSE))</f>
        <v>82.113</v>
      </c>
      <c r="AC79">
        <f ca="1">IF(AND(ISNUMBER($AC$294),$B$226=1),$AC$294,HLOOKUP(INDIRECT(ADDRESS(2,COLUMN())),OFFSET($BN$2,0,0,ROW()-1,60),ROW()-1,FALSE))</f>
        <v>76.706999999999994</v>
      </c>
      <c r="AD79">
        <f ca="1">IF(AND(ISNUMBER($AD$294),$B$226=1),$AD$294,HLOOKUP(INDIRECT(ADDRESS(2,COLUMN())),OFFSET($BN$2,0,0,ROW()-1,60),ROW()-1,FALSE))</f>
        <v>68.588999999999999</v>
      </c>
      <c r="AE79">
        <f ca="1">IF(AND(ISNUMBER($AE$294),$B$226=1),$AE$294,HLOOKUP(INDIRECT(ADDRESS(2,COLUMN())),OFFSET($BN$2,0,0,ROW()-1,60),ROW()-1,FALSE))</f>
        <v>64.263999999999996</v>
      </c>
      <c r="AF79">
        <f ca="1">IF(AND(ISNUMBER($AF$294),$B$226=1),$AF$294,HLOOKUP(INDIRECT(ADDRESS(2,COLUMN())),OFFSET($BN$2,0,0,ROW()-1,60),ROW()-1,FALSE))</f>
        <v>58.807000000000002</v>
      </c>
      <c r="AG79">
        <f ca="1">IF(AND(ISNUMBER($AG$294),$B$226=1),$AG$294,HLOOKUP(INDIRECT(ADDRESS(2,COLUMN())),OFFSET($BN$2,0,0,ROW()-1,60),ROW()-1,FALSE))</f>
        <v>30.350999999999999</v>
      </c>
      <c r="AH79">
        <f ca="1">IF(AND(ISNUMBER($AH$294),$B$226=1),$AH$294,HLOOKUP(INDIRECT(ADDRESS(2,COLUMN())),OFFSET($BN$2,0,0,ROW()-1,60),ROW()-1,FALSE))</f>
        <v>54.113</v>
      </c>
      <c r="AI79">
        <f ca="1">IF(AND(ISNUMBER($AI$294),$B$226=1),$AI$294,HLOOKUP(INDIRECT(ADDRESS(2,COLUMN())),OFFSET($BN$2,0,0,ROW()-1,60),ROW()-1,FALSE))</f>
        <v>53.948</v>
      </c>
      <c r="AJ79">
        <f ca="1">IF(AND(ISNUMBER($AJ$294),$B$226=1),$AJ$294,HLOOKUP(INDIRECT(ADDRESS(2,COLUMN())),OFFSET($BN$2,0,0,ROW()-1,60),ROW()-1,FALSE))</f>
        <v>46.68</v>
      </c>
      <c r="AK79">
        <f ca="1">IF(AND(ISNUMBER($AK$294),$B$226=1),$AK$294,HLOOKUP(INDIRECT(ADDRESS(2,COLUMN())),OFFSET($BN$2,0,0,ROW()-1,60),ROW()-1,FALSE))</f>
        <v>46.698999999999998</v>
      </c>
      <c r="AL79">
        <f ca="1">IF(AND(ISNUMBER($AL$294),$B$226=1),$AL$294,HLOOKUP(INDIRECT(ADDRESS(2,COLUMN())),OFFSET($BN$2,0,0,ROW()-1,60),ROW()-1,FALSE))</f>
        <v>46.981999999999999</v>
      </c>
      <c r="AM79">
        <f ca="1">IF(AND(ISNUMBER($AM$294),$B$226=1),$AM$294,HLOOKUP(INDIRECT(ADDRESS(2,COLUMN())),OFFSET($BN$2,0,0,ROW()-1,60),ROW()-1,FALSE))</f>
        <v>-36.319000000000003</v>
      </c>
      <c r="AN79">
        <f ca="1">IF(AND(ISNUMBER($AN$294),$B$226=1),$AN$294,HLOOKUP(INDIRECT(ADDRESS(2,COLUMN())),OFFSET($BN$2,0,0,ROW()-1,60),ROW()-1,FALSE))</f>
        <v>48.112000000000002</v>
      </c>
      <c r="AO79">
        <f ca="1">IF(AND(ISNUMBER($AO$294),$B$226=1),$AO$294,HLOOKUP(INDIRECT(ADDRESS(2,COLUMN())),OFFSET($BN$2,0,0,ROW()-1,60),ROW()-1,FALSE))</f>
        <v>46.573</v>
      </c>
      <c r="AP79">
        <f ca="1">IF(AND(ISNUMBER($AP$294),$B$226=1),$AP$294,HLOOKUP(INDIRECT(ADDRESS(2,COLUMN())),OFFSET($BN$2,0,0,ROW()-1,60),ROW()-1,FALSE))</f>
        <v>51.581000000000003</v>
      </c>
      <c r="AQ79">
        <f ca="1">IF(AND(ISNUMBER($AQ$294),$B$226=1),$AQ$294,HLOOKUP(INDIRECT(ADDRESS(2,COLUMN())),OFFSET($BN$2,0,0,ROW()-1,60),ROW()-1,FALSE))</f>
        <v>10.103999999999999</v>
      </c>
      <c r="AR79">
        <f ca="1">IF(AND(ISNUMBER($AR$294),$B$226=1),$AR$294,HLOOKUP(INDIRECT(ADDRESS(2,COLUMN())),OFFSET($BN$2,0,0,ROW()-1,60),ROW()-1,FALSE))</f>
        <v>52.283000000000001</v>
      </c>
      <c r="AS79">
        <f ca="1">IF(AND(ISNUMBER($AS$294),$B$226=1),$AS$294,HLOOKUP(INDIRECT(ADDRESS(2,COLUMN())),OFFSET($BN$2,0,0,ROW()-1,60),ROW()-1,FALSE))</f>
        <v>54.868000000000002</v>
      </c>
      <c r="AT79">
        <f ca="1">IF(AND(ISNUMBER($AT$294),$B$226=1),$AT$294,HLOOKUP(INDIRECT(ADDRESS(2,COLUMN())),OFFSET($BN$2,0,0,ROW()-1,60),ROW()-1,FALSE))</f>
        <v>52.33</v>
      </c>
      <c r="AU79">
        <f ca="1">IF(AND(ISNUMBER($AU$294),$B$226=1),$AU$294,HLOOKUP(INDIRECT(ADDRESS(2,COLUMN())),OFFSET($BN$2,0,0,ROW()-1,60),ROW()-1,FALSE))</f>
        <v>57.139000000000003</v>
      </c>
      <c r="AV79">
        <f ca="1">IF(AND(ISNUMBER($AV$294),$B$226=1),$AV$294,HLOOKUP(INDIRECT(ADDRESS(2,COLUMN())),OFFSET($BN$2,0,0,ROW()-1,60),ROW()-1,FALSE))</f>
        <v>56.283000000000001</v>
      </c>
      <c r="AW79">
        <f ca="1">IF(AND(ISNUMBER($AW$294),$B$226=1),$AW$294,HLOOKUP(INDIRECT(ADDRESS(2,COLUMN())),OFFSET($BN$2,0,0,ROW()-1,60),ROW()-1,FALSE))</f>
        <v>57.811999999999998</v>
      </c>
      <c r="AX79">
        <f ca="1">IF(AND(ISNUMBER($AX$294),$B$226=1),$AX$294,HLOOKUP(INDIRECT(ADDRESS(2,COLUMN())),OFFSET($BN$2,0,0,ROW()-1,60),ROW()-1,FALSE))</f>
        <v>55.918999999999997</v>
      </c>
      <c r="AY79">
        <f ca="1">IF(AND(ISNUMBER($AY$294),$B$226=1),$AY$294,HLOOKUP(INDIRECT(ADDRESS(2,COLUMN())),OFFSET($BN$2,0,0,ROW()-1,60),ROW()-1,FALSE))</f>
        <v>54.723999999999997</v>
      </c>
      <c r="AZ79">
        <f ca="1">IF(AND(ISNUMBER($AZ$294),$B$226=1),$AZ$294,HLOOKUP(INDIRECT(ADDRESS(2,COLUMN())),OFFSET($BN$2,0,0,ROW()-1,60),ROW()-1,FALSE))</f>
        <v>77.823999999999998</v>
      </c>
      <c r="BA79">
        <f ca="1">IF(AND(ISNUMBER($BA$294),$B$226=1),$BA$294,HLOOKUP(INDIRECT(ADDRESS(2,COLUMN())),OFFSET($BN$2,0,0,ROW()-1,60),ROW()-1,FALSE))</f>
        <v>53.402999999999999</v>
      </c>
      <c r="BB79">
        <f ca="1">IF(AND(ISNUMBER($BB$294),$B$226=1),$BB$294,HLOOKUP(INDIRECT(ADDRESS(2,COLUMN())),OFFSET($BN$2,0,0,ROW()-1,60),ROW()-1,FALSE))</f>
        <v>51.838999999999999</v>
      </c>
      <c r="BC79">
        <f ca="1">IF(AND(ISNUMBER($BC$294),$B$226=1),$BC$294,HLOOKUP(INDIRECT(ADDRESS(2,COLUMN())),OFFSET($BN$2,0,0,ROW()-1,60),ROW()-1,FALSE))</f>
        <v>49.378</v>
      </c>
      <c r="BD79">
        <f ca="1">IF(AND(ISNUMBER($BD$294),$B$226=1),$BD$294,HLOOKUP(INDIRECT(ADDRESS(2,COLUMN())),OFFSET($BN$2,0,0,ROW()-1,60),ROW()-1,FALSE))</f>
        <v>44.371000000000002</v>
      </c>
      <c r="BE79">
        <f ca="1">IF(AND(ISNUMBER($BE$294),$B$226=1),$BE$294,HLOOKUP(INDIRECT(ADDRESS(2,COLUMN())),OFFSET($BN$2,0,0,ROW()-1,60),ROW()-1,FALSE))</f>
        <v>47.103000000000002</v>
      </c>
      <c r="BF79">
        <f ca="1">IF(AND(ISNUMBER($BF$294),$B$226=1),$BF$294,HLOOKUP(INDIRECT(ADDRESS(2,COLUMN())),OFFSET($BN$2,0,0,ROW()-1,60),ROW()-1,FALSE))</f>
        <v>54.438000000000002</v>
      </c>
      <c r="BG79">
        <f ca="1">IF(AND(ISNUMBER($BG$294),$B$226=1),$BG$294,HLOOKUP(INDIRECT(ADDRESS(2,COLUMN())),OFFSET($BN$2,0,0,ROW()-1,60),ROW()-1,FALSE))</f>
        <v>38.185000000000002</v>
      </c>
      <c r="BH79">
        <f ca="1">IF(AND(ISNUMBER($BH$294),$B$226=1),$BH$294,HLOOKUP(INDIRECT(ADDRESS(2,COLUMN())),OFFSET($BN$2,0,0,ROW()-1,60),ROW()-1,FALSE))</f>
        <v>33.624000000000002</v>
      </c>
      <c r="BI79">
        <f ca="1">IF(AND(ISNUMBER($BI$294),$B$226=1),$BI$294,HLOOKUP(INDIRECT(ADDRESS(2,COLUMN())),OFFSET($BN$2,0,0,ROW()-1,60),ROW()-1,FALSE))</f>
        <v>35.074001000000003</v>
      </c>
      <c r="BJ79">
        <f ca="1">IF(AND(ISNUMBER($BJ$294),$B$226=1),$BJ$294,HLOOKUP(INDIRECT(ADDRESS(2,COLUMN())),OFFSET($BN$2,0,0,ROW()-1,60),ROW()-1,FALSE))</f>
        <v>36.785998999999997</v>
      </c>
      <c r="BK79">
        <f ca="1">IF(AND(ISNUMBER($BK$294),$B$226=1),$BK$294,HLOOKUP(INDIRECT(ADDRESS(2,COLUMN())),OFFSET($BN$2,0,0,ROW()-1,60),ROW()-1,FALSE))</f>
        <v>36.337001800000003</v>
      </c>
      <c r="BL79">
        <f ca="1">IF(AND(ISNUMBER($BL$294),$B$226=1),$BL$294,HLOOKUP(INDIRECT(ADDRESS(2,COLUMN())),OFFSET($BN$2,0,0,ROW()-1,60),ROW()-1,FALSE))</f>
        <v>32.814999</v>
      </c>
      <c r="BM79">
        <f ca="1">IF(AND(ISNUMBER($BM$294),$B$226=1),$BM$294,HLOOKUP(INDIRECT(ADDRESS(2,COLUMN())),OFFSET($BN$2,0,0,ROW()-1,60),ROW()-1,FALSE))</f>
        <v>32.396999000000001</v>
      </c>
      <c r="BN79" t="str">
        <f>""</f>
        <v/>
      </c>
      <c r="BO79">
        <f>114.552</f>
        <v>114.55200000000001</v>
      </c>
      <c r="BP79">
        <f>103.187</f>
        <v>103.187</v>
      </c>
      <c r="BQ79">
        <f>105.978</f>
        <v>105.97799999999999</v>
      </c>
      <c r="BR79">
        <f>100.355</f>
        <v>100.355</v>
      </c>
      <c r="BS79">
        <f>105.544</f>
        <v>105.544</v>
      </c>
      <c r="BT79">
        <f>104.232</f>
        <v>104.232</v>
      </c>
      <c r="BU79">
        <f>105.578</f>
        <v>105.578</v>
      </c>
      <c r="BV79">
        <f>110.11</f>
        <v>110.11</v>
      </c>
      <c r="BW79">
        <f>109.582</f>
        <v>109.58199999999999</v>
      </c>
      <c r="BX79">
        <f>104.346</f>
        <v>104.346</v>
      </c>
      <c r="BY79">
        <f>102.041</f>
        <v>102.041</v>
      </c>
      <c r="BZ79">
        <f>98.528</f>
        <v>98.528000000000006</v>
      </c>
      <c r="CA79">
        <f>90.333</f>
        <v>90.332999999999998</v>
      </c>
      <c r="CB79">
        <f>98.712</f>
        <v>98.712000000000003</v>
      </c>
      <c r="CC79">
        <f>94.166</f>
        <v>94.165999999999997</v>
      </c>
      <c r="CD79">
        <f>94.832</f>
        <v>94.831999999999994</v>
      </c>
      <c r="CE79">
        <f>96.914</f>
        <v>96.914000000000001</v>
      </c>
      <c r="CF79">
        <f>93.33</f>
        <v>93.33</v>
      </c>
      <c r="CG79">
        <f>91.446</f>
        <v>91.445999999999998</v>
      </c>
      <c r="CH79">
        <f>86.631</f>
        <v>86.631</v>
      </c>
      <c r="CI79">
        <f>85.928</f>
        <v>85.927999999999997</v>
      </c>
      <c r="CJ79">
        <f>82.113</f>
        <v>82.113</v>
      </c>
      <c r="CK79">
        <f>76.707</f>
        <v>76.706999999999994</v>
      </c>
      <c r="CL79">
        <f>68.589</f>
        <v>68.588999999999999</v>
      </c>
      <c r="CM79">
        <f>64.264</f>
        <v>64.263999999999996</v>
      </c>
      <c r="CN79">
        <f>58.807</f>
        <v>58.807000000000002</v>
      </c>
      <c r="CO79">
        <f>30.351</f>
        <v>30.350999999999999</v>
      </c>
      <c r="CP79">
        <f>54.113</f>
        <v>54.113</v>
      </c>
      <c r="CQ79">
        <f>53.948</f>
        <v>53.948</v>
      </c>
      <c r="CR79">
        <f>46.68</f>
        <v>46.68</v>
      </c>
      <c r="CS79">
        <f>46.699</f>
        <v>46.698999999999998</v>
      </c>
      <c r="CT79">
        <f>46.982</f>
        <v>46.981999999999999</v>
      </c>
      <c r="CU79">
        <f>-36.319</f>
        <v>-36.319000000000003</v>
      </c>
      <c r="CV79">
        <f>48.112</f>
        <v>48.112000000000002</v>
      </c>
      <c r="CW79">
        <f>46.573</f>
        <v>46.573</v>
      </c>
      <c r="CX79">
        <f>51.581</f>
        <v>51.581000000000003</v>
      </c>
      <c r="CY79">
        <f>10.104</f>
        <v>10.103999999999999</v>
      </c>
      <c r="CZ79">
        <f>52.283</f>
        <v>52.283000000000001</v>
      </c>
      <c r="DA79">
        <f>54.868</f>
        <v>54.868000000000002</v>
      </c>
      <c r="DB79">
        <f>52.33</f>
        <v>52.33</v>
      </c>
      <c r="DC79">
        <f>57.139</f>
        <v>57.139000000000003</v>
      </c>
      <c r="DD79">
        <f>56.283</f>
        <v>56.283000000000001</v>
      </c>
      <c r="DE79">
        <f>57.812</f>
        <v>57.811999999999998</v>
      </c>
      <c r="DF79">
        <f>55.919</f>
        <v>55.918999999999997</v>
      </c>
      <c r="DG79">
        <f>54.724</f>
        <v>54.723999999999997</v>
      </c>
      <c r="DH79">
        <f>77.824</f>
        <v>77.823999999999998</v>
      </c>
      <c r="DI79">
        <f>53.403</f>
        <v>53.402999999999999</v>
      </c>
      <c r="DJ79">
        <f>51.839</f>
        <v>51.838999999999999</v>
      </c>
      <c r="DK79">
        <f>49.378</f>
        <v>49.378</v>
      </c>
      <c r="DL79">
        <f>44.371</f>
        <v>44.371000000000002</v>
      </c>
      <c r="DM79">
        <f>47.103</f>
        <v>47.103000000000002</v>
      </c>
      <c r="DN79">
        <f>54.438</f>
        <v>54.438000000000002</v>
      </c>
      <c r="DO79">
        <f>38.185</f>
        <v>38.185000000000002</v>
      </c>
      <c r="DP79">
        <f>33.624</f>
        <v>33.624000000000002</v>
      </c>
      <c r="DQ79">
        <f>35.074001</f>
        <v>35.074001000000003</v>
      </c>
      <c r="DR79">
        <f>36.785999</f>
        <v>36.785998999999997</v>
      </c>
      <c r="DS79">
        <f>36.3370018</f>
        <v>36.337001800000003</v>
      </c>
      <c r="DT79">
        <f>32.814999</f>
        <v>32.814999</v>
      </c>
      <c r="DU79">
        <f>32.396999</f>
        <v>32.396999000000001</v>
      </c>
    </row>
    <row r="80" spans="1:125">
      <c r="A80" t="str">
        <f>"    Education Realty Trust Inc"</f>
        <v xml:space="preserve">    Education Realty Trust Inc</v>
      </c>
      <c r="B80" t="str">
        <f>"EDR US Equity"</f>
        <v>EDR US Equity</v>
      </c>
      <c r="C80" t="str">
        <f t="shared" si="24"/>
        <v>CF039</v>
      </c>
      <c r="D80" t="str">
        <f t="shared" si="25"/>
        <v>CF_FFO</v>
      </c>
      <c r="E80" t="str">
        <f t="shared" si="26"/>
        <v>动态</v>
      </c>
      <c r="F80" t="str">
        <f ca="1">IF(AND(ISNUMBER($F$295),$B$226=1),$F$295,HLOOKUP(INDIRECT(ADDRESS(2,COLUMN())),OFFSET($BN$2,0,0,ROW()-1,60),ROW()-1,FALSE))</f>
        <v/>
      </c>
      <c r="G80">
        <f ca="1">IF(AND(ISNUMBER($G$295),$B$226=1),$G$295,HLOOKUP(INDIRECT(ADDRESS(2,COLUMN())),OFFSET($BN$2,0,0,ROW()-1,60),ROW()-1,FALSE))</f>
        <v>48.399000000000001</v>
      </c>
      <c r="H80">
        <f ca="1">IF(AND(ISNUMBER($H$295),$B$226=1),$H$295,HLOOKUP(INDIRECT(ADDRESS(2,COLUMN())),OFFSET($BN$2,0,0,ROW()-1,60),ROW()-1,FALSE))</f>
        <v>22.192</v>
      </c>
      <c r="I80">
        <f ca="1">IF(AND(ISNUMBER($I$295),$B$226=1),$I$295,HLOOKUP(INDIRECT(ADDRESS(2,COLUMN())),OFFSET($BN$2,0,0,ROW()-1,60),ROW()-1,FALSE))</f>
        <v>29.866</v>
      </c>
      <c r="J80">
        <f ca="1">IF(AND(ISNUMBER($J$295),$B$226=1),$J$295,HLOOKUP(INDIRECT(ADDRESS(2,COLUMN())),OFFSET($BN$2,0,0,ROW()-1,60),ROW()-1,FALSE))</f>
        <v>42.295999999999999</v>
      </c>
      <c r="K80">
        <f ca="1">IF(AND(ISNUMBER($K$295),$B$226=1),$K$295,HLOOKUP(INDIRECT(ADDRESS(2,COLUMN())),OFFSET($BN$2,0,0,ROW()-1,60),ROW()-1,FALSE))</f>
        <v>39.692</v>
      </c>
      <c r="L80">
        <f ca="1">IF(AND(ISNUMBER($L$295),$B$226=1),$L$295,HLOOKUP(INDIRECT(ADDRESS(2,COLUMN())),OFFSET($BN$2,0,0,ROW()-1,60),ROW()-1,FALSE))</f>
        <v>18.664000000000001</v>
      </c>
      <c r="M80">
        <f ca="1">IF(AND(ISNUMBER($M$295),$B$226=1),$M$295,HLOOKUP(INDIRECT(ADDRESS(2,COLUMN())),OFFSET($BN$2,0,0,ROW()-1,60),ROW()-1,FALSE))</f>
        <v>24.835999999999999</v>
      </c>
      <c r="N80">
        <f ca="1">IF(AND(ISNUMBER($N$295),$B$226=1),$N$295,HLOOKUP(INDIRECT(ADDRESS(2,COLUMN())),OFFSET($BN$2,0,0,ROW()-1,60),ROW()-1,FALSE))</f>
        <v>22.780999999999999</v>
      </c>
      <c r="O80">
        <f ca="1">IF(AND(ISNUMBER($O$295),$B$226=1),$O$295,HLOOKUP(INDIRECT(ADDRESS(2,COLUMN())),OFFSET($BN$2,0,0,ROW()-1,60),ROW()-1,FALSE))</f>
        <v>31.074000000000002</v>
      </c>
      <c r="P80">
        <f ca="1">IF(AND(ISNUMBER($P$295),$B$226=1),$P$295,HLOOKUP(INDIRECT(ADDRESS(2,COLUMN())),OFFSET($BN$2,0,0,ROW()-1,60),ROW()-1,FALSE))</f>
        <v>13.141999999999999</v>
      </c>
      <c r="Q80">
        <f ca="1">IF(AND(ISNUMBER($Q$295),$B$226=1),$Q$295,HLOOKUP(INDIRECT(ADDRESS(2,COLUMN())),OFFSET($BN$2,0,0,ROW()-1,60),ROW()-1,FALSE))</f>
        <v>18.766999999999999</v>
      </c>
      <c r="R80">
        <f ca="1">IF(AND(ISNUMBER($R$295),$B$226=1),$R$295,HLOOKUP(INDIRECT(ADDRESS(2,COLUMN())),OFFSET($BN$2,0,0,ROW()-1,60),ROW()-1,FALSE))</f>
        <v>23.096</v>
      </c>
      <c r="S80">
        <f ca="1">IF(AND(ISNUMBER($S$295),$B$226=1),$S$295,HLOOKUP(INDIRECT(ADDRESS(2,COLUMN())),OFFSET($BN$2,0,0,ROW()-1,60),ROW()-1,FALSE))</f>
        <v>25.024999999999999</v>
      </c>
      <c r="T80">
        <f ca="1">IF(AND(ISNUMBER($T$295),$B$226=1),$T$295,HLOOKUP(INDIRECT(ADDRESS(2,COLUMN())),OFFSET($BN$2,0,0,ROW()-1,60),ROW()-1,FALSE))</f>
        <v>20.361999999999998</v>
      </c>
      <c r="U80">
        <f ca="1">IF(AND(ISNUMBER($U$295),$B$226=1),$U$295,HLOOKUP(INDIRECT(ADDRESS(2,COLUMN())),OFFSET($BN$2,0,0,ROW()-1,60),ROW()-1,FALSE))</f>
        <v>15.284000000000001</v>
      </c>
      <c r="V80">
        <f ca="1">IF(AND(ISNUMBER($V$295),$B$226=1),$V$295,HLOOKUP(INDIRECT(ADDRESS(2,COLUMN())),OFFSET($BN$2,0,0,ROW()-1,60),ROW()-1,FALSE))</f>
        <v>17.05</v>
      </c>
      <c r="W80">
        <f ca="1">IF(AND(ISNUMBER($W$295),$B$226=1),$W$295,HLOOKUP(INDIRECT(ADDRESS(2,COLUMN())),OFFSET($BN$2,0,0,ROW()-1,60),ROW()-1,FALSE))</f>
        <v>21.666</v>
      </c>
      <c r="X80">
        <f ca="1">IF(AND(ISNUMBER($X$295),$B$226=1),$X$295,HLOOKUP(INDIRECT(ADDRESS(2,COLUMN())),OFFSET($BN$2,0,0,ROW()-1,60),ROW()-1,FALSE))</f>
        <v>7.0609999999999999</v>
      </c>
      <c r="Y80">
        <f ca="1">IF(AND(ISNUMBER($Y$295),$B$226=1),$Y$295,HLOOKUP(INDIRECT(ADDRESS(2,COLUMN())),OFFSET($BN$2,0,0,ROW()-1,60),ROW()-1,FALSE))</f>
        <v>11.836</v>
      </c>
      <c r="Z80">
        <f ca="1">IF(AND(ISNUMBER($Z$295),$B$226=1),$Z$295,HLOOKUP(INDIRECT(ADDRESS(2,COLUMN())),OFFSET($BN$2,0,0,ROW()-1,60),ROW()-1,FALSE))</f>
        <v>14.609</v>
      </c>
      <c r="AA80">
        <f ca="1">IF(AND(ISNUMBER($AA$295),$B$226=1),$AA$295,HLOOKUP(INDIRECT(ADDRESS(2,COLUMN())),OFFSET($BN$2,0,0,ROW()-1,60),ROW()-1,FALSE))</f>
        <v>15.972</v>
      </c>
      <c r="AB80">
        <f ca="1">IF(AND(ISNUMBER($AB$295),$B$226=1),$AB$295,HLOOKUP(INDIRECT(ADDRESS(2,COLUMN())),OFFSET($BN$2,0,0,ROW()-1,60),ROW()-1,FALSE))</f>
        <v>4.1589999999999998</v>
      </c>
      <c r="AC80">
        <f ca="1">IF(AND(ISNUMBER($AC$295),$B$226=1),$AC$295,HLOOKUP(INDIRECT(ADDRESS(2,COLUMN())),OFFSET($BN$2,0,0,ROW()-1,60),ROW()-1,FALSE))</f>
        <v>9.8030000000000008</v>
      </c>
      <c r="AD80">
        <f ca="1">IF(AND(ISNUMBER($AD$295),$B$226=1),$AD$295,HLOOKUP(INDIRECT(ADDRESS(2,COLUMN())),OFFSET($BN$2,0,0,ROW()-1,60),ROW()-1,FALSE))</f>
        <v>10.846</v>
      </c>
      <c r="AE80">
        <f ca="1">IF(AND(ISNUMBER($AE$295),$B$226=1),$AE$295,HLOOKUP(INDIRECT(ADDRESS(2,COLUMN())),OFFSET($BN$2,0,0,ROW()-1,60),ROW()-1,FALSE))</f>
        <v>10.651</v>
      </c>
      <c r="AF80">
        <f ca="1">IF(AND(ISNUMBER($AF$295),$B$226=1),$AF$295,HLOOKUP(INDIRECT(ADDRESS(2,COLUMN())),OFFSET($BN$2,0,0,ROW()-1,60),ROW()-1,FALSE))</f>
        <v>0.5</v>
      </c>
      <c r="AG80">
        <f ca="1">IF(AND(ISNUMBER($AG$295),$B$226=1),$AG$295,HLOOKUP(INDIRECT(ADDRESS(2,COLUMN())),OFFSET($BN$2,0,0,ROW()-1,60),ROW()-1,FALSE))</f>
        <v>6.4</v>
      </c>
      <c r="AH80">
        <f ca="1">IF(AND(ISNUMBER($AH$295),$B$226=1),$AH$295,HLOOKUP(INDIRECT(ADDRESS(2,COLUMN())),OFFSET($BN$2,0,0,ROW()-1,60),ROW()-1,FALSE))</f>
        <v>6.9189999999999996</v>
      </c>
      <c r="AI80">
        <f ca="1">IF(AND(ISNUMBER($AI$295),$B$226=1),$AI$295,HLOOKUP(INDIRECT(ADDRESS(2,COLUMN())),OFFSET($BN$2,0,0,ROW()-1,60),ROW()-1,FALSE))</f>
        <v>5.5419999999999998</v>
      </c>
      <c r="AJ80">
        <f ca="1">IF(AND(ISNUMBER($AJ$295),$B$226=1),$AJ$295,HLOOKUP(INDIRECT(ADDRESS(2,COLUMN())),OFFSET($BN$2,0,0,ROW()-1,60),ROW()-1,FALSE))</f>
        <v>-32.597999999999999</v>
      </c>
      <c r="AK80">
        <f ca="1">IF(AND(ISNUMBER($AK$295),$B$226=1),$AK$295,HLOOKUP(INDIRECT(ADDRESS(2,COLUMN())),OFFSET($BN$2,0,0,ROW()-1,60),ROW()-1,FALSE))</f>
        <v>6.8949999999999996</v>
      </c>
      <c r="AL80">
        <f ca="1">IF(AND(ISNUMBER($AL$295),$B$226=1),$AL$295,HLOOKUP(INDIRECT(ADDRESS(2,COLUMN())),OFFSET($BN$2,0,0,ROW()-1,60),ROW()-1,FALSE))</f>
        <v>7.8150000000000004</v>
      </c>
      <c r="AM80">
        <f ca="1">IF(AND(ISNUMBER($AM$295),$B$226=1),$AM$295,HLOOKUP(INDIRECT(ADDRESS(2,COLUMN())),OFFSET($BN$2,0,0,ROW()-1,60),ROW()-1,FALSE))</f>
        <v>7.2930000000000001</v>
      </c>
      <c r="AN80">
        <f ca="1">IF(AND(ISNUMBER($AN$295),$B$226=1),$AN$295,HLOOKUP(INDIRECT(ADDRESS(2,COLUMN())),OFFSET($BN$2,0,0,ROW()-1,60),ROW()-1,FALSE))</f>
        <v>-0.39900000000000002</v>
      </c>
      <c r="AO80">
        <f ca="1">IF(AND(ISNUMBER($AO$295),$B$226=1),$AO$295,HLOOKUP(INDIRECT(ADDRESS(2,COLUMN())),OFFSET($BN$2,0,0,ROW()-1,60),ROW()-1,FALSE))</f>
        <v>7.2539999999999996</v>
      </c>
      <c r="AP80">
        <f ca="1">IF(AND(ISNUMBER($AP$295),$B$226=1),$AP$295,HLOOKUP(INDIRECT(ADDRESS(2,COLUMN())),OFFSET($BN$2,0,0,ROW()-1,60),ROW()-1,FALSE))</f>
        <v>7.7949999999999999</v>
      </c>
      <c r="AQ80">
        <f ca="1">IF(AND(ISNUMBER($AQ$295),$B$226=1),$AQ$295,HLOOKUP(INDIRECT(ADDRESS(2,COLUMN())),OFFSET($BN$2,0,0,ROW()-1,60),ROW()-1,FALSE))</f>
        <v>2.5819999999999999</v>
      </c>
      <c r="AR80">
        <f ca="1">IF(AND(ISNUMBER($AR$295),$B$226=1),$AR$295,HLOOKUP(INDIRECT(ADDRESS(2,COLUMN())),OFFSET($BN$2,0,0,ROW()-1,60),ROW()-1,FALSE))</f>
        <v>-0.51300000000000001</v>
      </c>
      <c r="AS80">
        <f ca="1">IF(AND(ISNUMBER($AS$295),$B$226=1),$AS$295,HLOOKUP(INDIRECT(ADDRESS(2,COLUMN())),OFFSET($BN$2,0,0,ROW()-1,60),ROW()-1,FALSE))</f>
        <v>10.609</v>
      </c>
      <c r="AT80">
        <f ca="1">IF(AND(ISNUMBER($AT$295),$B$226=1),$AT$295,HLOOKUP(INDIRECT(ADDRESS(2,COLUMN())),OFFSET($BN$2,0,0,ROW()-1,60),ROW()-1,FALSE))</f>
        <v>9.0739999999999998</v>
      </c>
      <c r="AU80">
        <f ca="1">IF(AND(ISNUMBER($AU$295),$B$226=1),$AU$295,HLOOKUP(INDIRECT(ADDRESS(2,COLUMN())),OFFSET($BN$2,0,0,ROW()-1,60),ROW()-1,FALSE))</f>
        <v>9.2149999999999999</v>
      </c>
      <c r="AV80">
        <f ca="1">IF(AND(ISNUMBER($AV$295),$B$226=1),$AV$295,HLOOKUP(INDIRECT(ADDRESS(2,COLUMN())),OFFSET($BN$2,0,0,ROW()-1,60),ROW()-1,FALSE))</f>
        <v>1.8340000000000001</v>
      </c>
      <c r="AW80">
        <f ca="1">IF(AND(ISNUMBER($AW$295),$B$226=1),$AW$295,HLOOKUP(INDIRECT(ADDRESS(2,COLUMN())),OFFSET($BN$2,0,0,ROW()-1,60),ROW()-1,FALSE))</f>
        <v>6.6550000000000002</v>
      </c>
      <c r="AX80">
        <f ca="1">IF(AND(ISNUMBER($AX$295),$B$226=1),$AX$295,HLOOKUP(INDIRECT(ADDRESS(2,COLUMN())),OFFSET($BN$2,0,0,ROW()-1,60),ROW()-1,FALSE))</f>
        <v>8.2100000000000009</v>
      </c>
      <c r="AY80">
        <f ca="1">IF(AND(ISNUMBER($AY$295),$B$226=1),$AY$295,HLOOKUP(INDIRECT(ADDRESS(2,COLUMN())),OFFSET($BN$2,0,0,ROW()-1,60),ROW()-1,FALSE))</f>
        <v>8.0310000000000006</v>
      </c>
      <c r="AZ80">
        <f ca="1">IF(AND(ISNUMBER($AZ$295),$B$226=1),$AZ$295,HLOOKUP(INDIRECT(ADDRESS(2,COLUMN())),OFFSET($BN$2,0,0,ROW()-1,60),ROW()-1,FALSE))</f>
        <v>0.442</v>
      </c>
      <c r="BA80">
        <f ca="1">IF(AND(ISNUMBER($BA$295),$B$226=1),$BA$295,HLOOKUP(INDIRECT(ADDRESS(2,COLUMN())),OFFSET($BN$2,0,0,ROW()-1,60),ROW()-1,FALSE))</f>
        <v>6.2789999999999999</v>
      </c>
      <c r="BB80">
        <f ca="1">IF(AND(ISNUMBER($BB$295),$B$226=1),$BB$295,HLOOKUP(INDIRECT(ADDRESS(2,COLUMN())),OFFSET($BN$2,0,0,ROW()-1,60),ROW()-1,FALSE))</f>
        <v>8.43</v>
      </c>
      <c r="BC80">
        <f ca="1">IF(AND(ISNUMBER($BC$295),$B$226=1),$BC$295,HLOOKUP(INDIRECT(ADDRESS(2,COLUMN())),OFFSET($BN$2,0,0,ROW()-1,60),ROW()-1,FALSE))</f>
        <v>7.4660000000000002</v>
      </c>
      <c r="BD80">
        <f ca="1">IF(AND(ISNUMBER($BD$295),$B$226=1),$BD$295,HLOOKUP(INDIRECT(ADDRESS(2,COLUMN())),OFFSET($BN$2,0,0,ROW()-1,60),ROW()-1,FALSE))</f>
        <v>0.97499999999999998</v>
      </c>
      <c r="BE80" t="str">
        <f ca="1">IF(AND(ISNUMBER($BE$295),$B$226=1),$BE$295,HLOOKUP(INDIRECT(ADDRESS(2,COLUMN())),OFFSET($BN$2,0,0,ROW()-1,60),ROW()-1,FALSE))</f>
        <v/>
      </c>
      <c r="BF80">
        <f ca="1">IF(AND(ISNUMBER($BF$295),$B$226=1),$BF$295,HLOOKUP(INDIRECT(ADDRESS(2,COLUMN())),OFFSET($BN$2,0,0,ROW()-1,60),ROW()-1,FALSE))</f>
        <v>-0.33600000000000002</v>
      </c>
      <c r="BG80" t="str">
        <f ca="1">IF(AND(ISNUMBER($BG$295),$B$226=1),$BG$295,HLOOKUP(INDIRECT(ADDRESS(2,COLUMN())),OFFSET($BN$2,0,0,ROW()-1,60),ROW()-1,FALSE))</f>
        <v/>
      </c>
      <c r="BH80" t="str">
        <f ca="1">IF(AND(ISNUMBER($BH$295),$B$226=1),$BH$295,HLOOKUP(INDIRECT(ADDRESS(2,COLUMN())),OFFSET($BN$2,0,0,ROW()-1,60),ROW()-1,FALSE))</f>
        <v/>
      </c>
      <c r="BI80" t="str">
        <f ca="1">IF(AND(ISNUMBER($BI$295),$B$226=1),$BI$295,HLOOKUP(INDIRECT(ADDRESS(2,COLUMN())),OFFSET($BN$2,0,0,ROW()-1,60),ROW()-1,FALSE))</f>
        <v/>
      </c>
      <c r="BJ80" t="str">
        <f ca="1">IF(AND(ISNUMBER($BJ$295),$B$226=1),$BJ$295,HLOOKUP(INDIRECT(ADDRESS(2,COLUMN())),OFFSET($BN$2,0,0,ROW()-1,60),ROW()-1,FALSE))</f>
        <v/>
      </c>
      <c r="BK80" t="str">
        <f ca="1">IF(AND(ISNUMBER($BK$295),$B$226=1),$BK$295,HLOOKUP(INDIRECT(ADDRESS(2,COLUMN())),OFFSET($BN$2,0,0,ROW()-1,60),ROW()-1,FALSE))</f>
        <v/>
      </c>
      <c r="BL80" t="str">
        <f ca="1">IF(AND(ISNUMBER($BL$295),$B$226=1),$BL$295,HLOOKUP(INDIRECT(ADDRESS(2,COLUMN())),OFFSET($BN$2,0,0,ROW()-1,60),ROW()-1,FALSE))</f>
        <v/>
      </c>
      <c r="BM80" t="str">
        <f ca="1">IF(AND(ISNUMBER($BM$295),$B$226=1),$BM$295,HLOOKUP(INDIRECT(ADDRESS(2,COLUMN())),OFFSET($BN$2,0,0,ROW()-1,60),ROW()-1,FALSE))</f>
        <v/>
      </c>
      <c r="BN80" t="str">
        <f>""</f>
        <v/>
      </c>
      <c r="BO80">
        <f>48.399</f>
        <v>48.399000000000001</v>
      </c>
      <c r="BP80">
        <f>22.192</f>
        <v>22.192</v>
      </c>
      <c r="BQ80">
        <f>29.866</f>
        <v>29.866</v>
      </c>
      <c r="BR80">
        <f>42.296</f>
        <v>42.295999999999999</v>
      </c>
      <c r="BS80">
        <f>39.692</f>
        <v>39.692</v>
      </c>
      <c r="BT80">
        <f>18.664</f>
        <v>18.664000000000001</v>
      </c>
      <c r="BU80">
        <f>24.836</f>
        <v>24.835999999999999</v>
      </c>
      <c r="BV80">
        <f>22.781</f>
        <v>22.780999999999999</v>
      </c>
      <c r="BW80">
        <f>31.074</f>
        <v>31.074000000000002</v>
      </c>
      <c r="BX80">
        <f>13.142</f>
        <v>13.141999999999999</v>
      </c>
      <c r="BY80">
        <f>18.767</f>
        <v>18.766999999999999</v>
      </c>
      <c r="BZ80">
        <f>23.096</f>
        <v>23.096</v>
      </c>
      <c r="CA80">
        <f>25.025</f>
        <v>25.024999999999999</v>
      </c>
      <c r="CB80">
        <f>20.362</f>
        <v>20.361999999999998</v>
      </c>
      <c r="CC80">
        <f>15.284</f>
        <v>15.284000000000001</v>
      </c>
      <c r="CD80">
        <f>17.05</f>
        <v>17.05</v>
      </c>
      <c r="CE80">
        <f>21.666</f>
        <v>21.666</v>
      </c>
      <c r="CF80">
        <f>7.061</f>
        <v>7.0609999999999999</v>
      </c>
      <c r="CG80">
        <f>11.836</f>
        <v>11.836</v>
      </c>
      <c r="CH80">
        <f>14.609</f>
        <v>14.609</v>
      </c>
      <c r="CI80">
        <f>15.972</f>
        <v>15.972</v>
      </c>
      <c r="CJ80">
        <f>4.159</f>
        <v>4.1589999999999998</v>
      </c>
      <c r="CK80">
        <f>9.803</f>
        <v>9.8030000000000008</v>
      </c>
      <c r="CL80">
        <f>10.846</f>
        <v>10.846</v>
      </c>
      <c r="CM80">
        <f>10.651</f>
        <v>10.651</v>
      </c>
      <c r="CN80">
        <f>0.5</f>
        <v>0.5</v>
      </c>
      <c r="CO80">
        <f>6.4</f>
        <v>6.4</v>
      </c>
      <c r="CP80">
        <f>6.919</f>
        <v>6.9189999999999996</v>
      </c>
      <c r="CQ80">
        <f>5.542</f>
        <v>5.5419999999999998</v>
      </c>
      <c r="CR80">
        <f>-32.598</f>
        <v>-32.597999999999999</v>
      </c>
      <c r="CS80">
        <f>6.895</f>
        <v>6.8949999999999996</v>
      </c>
      <c r="CT80">
        <f>7.815</f>
        <v>7.8150000000000004</v>
      </c>
      <c r="CU80">
        <f>7.293</f>
        <v>7.2930000000000001</v>
      </c>
      <c r="CV80">
        <f>-0.399</f>
        <v>-0.39900000000000002</v>
      </c>
      <c r="CW80">
        <f>7.254</f>
        <v>7.2539999999999996</v>
      </c>
      <c r="CX80">
        <f>7.795</f>
        <v>7.7949999999999999</v>
      </c>
      <c r="CY80">
        <f>2.582</f>
        <v>2.5819999999999999</v>
      </c>
      <c r="CZ80">
        <f>-0.513</f>
        <v>-0.51300000000000001</v>
      </c>
      <c r="DA80">
        <f>10.609</f>
        <v>10.609</v>
      </c>
      <c r="DB80">
        <f>9.074</f>
        <v>9.0739999999999998</v>
      </c>
      <c r="DC80">
        <f>9.215</f>
        <v>9.2149999999999999</v>
      </c>
      <c r="DD80">
        <f>1.834</f>
        <v>1.8340000000000001</v>
      </c>
      <c r="DE80">
        <f>6.655</f>
        <v>6.6550000000000002</v>
      </c>
      <c r="DF80">
        <f>8.21</f>
        <v>8.2100000000000009</v>
      </c>
      <c r="DG80">
        <f>8.031</f>
        <v>8.0310000000000006</v>
      </c>
      <c r="DH80">
        <f>0.442</f>
        <v>0.442</v>
      </c>
      <c r="DI80">
        <f>6.279</f>
        <v>6.2789999999999999</v>
      </c>
      <c r="DJ80">
        <f>8.43</f>
        <v>8.43</v>
      </c>
      <c r="DK80">
        <f>7.466</f>
        <v>7.4660000000000002</v>
      </c>
      <c r="DL80">
        <f>0.975</f>
        <v>0.97499999999999998</v>
      </c>
      <c r="DM80" t="str">
        <f>""</f>
        <v/>
      </c>
      <c r="DN80">
        <f>-0.336</f>
        <v>-0.33600000000000002</v>
      </c>
      <c r="DO80" t="str">
        <f>""</f>
        <v/>
      </c>
      <c r="DP80" t="str">
        <f>""</f>
        <v/>
      </c>
      <c r="DQ80" t="str">
        <f>""</f>
        <v/>
      </c>
      <c r="DR80" t="str">
        <f>""</f>
        <v/>
      </c>
      <c r="DS80" t="str">
        <f>""</f>
        <v/>
      </c>
      <c r="DT80" t="str">
        <f>""</f>
        <v/>
      </c>
      <c r="DU80" t="str">
        <f>""</f>
        <v/>
      </c>
    </row>
    <row r="81" spans="1:125">
      <c r="A81" t="str">
        <f>"    Equity Residential"</f>
        <v xml:space="preserve">    Equity Residential</v>
      </c>
      <c r="B81" t="str">
        <f>"EQR US Equity"</f>
        <v>EQR US Equity</v>
      </c>
      <c r="C81" t="str">
        <f t="shared" si="24"/>
        <v>CF039</v>
      </c>
      <c r="D81" t="str">
        <f t="shared" si="25"/>
        <v>CF_FFO</v>
      </c>
      <c r="E81" t="str">
        <f t="shared" si="26"/>
        <v>动态</v>
      </c>
      <c r="F81" t="str">
        <f ca="1">IF(AND(ISNUMBER($F$296),$B$226=1),$F$296,HLOOKUP(INDIRECT(ADDRESS(2,COLUMN())),OFFSET($BN$2,0,0,ROW()-1,60),ROW()-1,FALSE))</f>
        <v/>
      </c>
      <c r="G81">
        <f ca="1">IF(AND(ISNUMBER($G$296),$B$226=1),$G$296,HLOOKUP(INDIRECT(ADDRESS(2,COLUMN())),OFFSET($BN$2,0,0,ROW()-1,60),ROW()-1,FALSE))</f>
        <v>313.02199999999999</v>
      </c>
      <c r="H81">
        <f ca="1">IF(AND(ISNUMBER($H$296),$B$226=1),$H$296,HLOOKUP(INDIRECT(ADDRESS(2,COLUMN())),OFFSET($BN$2,0,0,ROW()-1,60),ROW()-1,FALSE))</f>
        <v>308.47800000000001</v>
      </c>
      <c r="I81">
        <f ca="1">IF(AND(ISNUMBER($I$296),$B$226=1),$I$296,HLOOKUP(INDIRECT(ADDRESS(2,COLUMN())),OFFSET($BN$2,0,0,ROW()-1,60),ROW()-1,FALSE))</f>
        <v>293.81900000000002</v>
      </c>
      <c r="J81">
        <f ca="1">IF(AND(ISNUMBER($J$296),$B$226=1),$J$296,HLOOKUP(INDIRECT(ADDRESS(2,COLUMN())),OFFSET($BN$2,0,0,ROW()-1,60),ROW()-1,FALSE))</f>
        <v>289.58499999999998</v>
      </c>
      <c r="K81">
        <f ca="1">IF(AND(ISNUMBER($K$296),$B$226=1),$K$296,HLOOKUP(INDIRECT(ADDRESS(2,COLUMN())),OFFSET($BN$2,0,0,ROW()-1,60),ROW()-1,FALSE))</f>
        <v>305.22800000000001</v>
      </c>
      <c r="L81">
        <f ca="1">IF(AND(ISNUMBER($L$296),$B$226=1),$L$296,HLOOKUP(INDIRECT(ADDRESS(2,COLUMN())),OFFSET($BN$2,0,0,ROW()-1,60),ROW()-1,FALSE))</f>
        <v>295.11</v>
      </c>
      <c r="M81">
        <f ca="1">IF(AND(ISNUMBER($M$296),$B$226=1),$M$296,HLOOKUP(INDIRECT(ADDRESS(2,COLUMN())),OFFSET($BN$2,0,0,ROW()-1,60),ROW()-1,FALSE))</f>
        <v>344.67599999999999</v>
      </c>
      <c r="N81">
        <f ca="1">IF(AND(ISNUMBER($N$296),$B$226=1),$N$296,HLOOKUP(INDIRECT(ADDRESS(2,COLUMN())),OFFSET($BN$2,0,0,ROW()-1,60),ROW()-1,FALSE))</f>
        <v>178.51599999999999</v>
      </c>
      <c r="O81">
        <f ca="1">IF(AND(ISNUMBER($O$296),$B$226=1),$O$296,HLOOKUP(INDIRECT(ADDRESS(2,COLUMN())),OFFSET($BN$2,0,0,ROW()-1,60),ROW()-1,FALSE))</f>
        <v>351.56400000000002</v>
      </c>
      <c r="P81">
        <f ca="1">IF(AND(ISNUMBER($P$296),$B$226=1),$P$296,HLOOKUP(INDIRECT(ADDRESS(2,COLUMN())),OFFSET($BN$2,0,0,ROW()-1,60),ROW()-1,FALSE))</f>
        <v>331.55900000000003</v>
      </c>
      <c r="Q81">
        <f ca="1">IF(AND(ISNUMBER($Q$296),$B$226=1),$Q$296,HLOOKUP(INDIRECT(ADDRESS(2,COLUMN())),OFFSET($BN$2,0,0,ROW()-1,60),ROW()-1,FALSE))</f>
        <v>341.30399999999997</v>
      </c>
      <c r="R81">
        <f ca="1">IF(AND(ISNUMBER($R$296),$B$226=1),$R$296,HLOOKUP(INDIRECT(ADDRESS(2,COLUMN())),OFFSET($BN$2,0,0,ROW()-1,60),ROW()-1,FALSE))</f>
        <v>299.35899999999998</v>
      </c>
      <c r="S81">
        <f ca="1">IF(AND(ISNUMBER($S$296),$B$226=1),$S$296,HLOOKUP(INDIRECT(ADDRESS(2,COLUMN())),OFFSET($BN$2,0,0,ROW()-1,60),ROW()-1,FALSE))</f>
        <v>328.69099999999997</v>
      </c>
      <c r="T81">
        <f ca="1">IF(AND(ISNUMBER($T$296),$B$226=1),$T$296,HLOOKUP(INDIRECT(ADDRESS(2,COLUMN())),OFFSET($BN$2,0,0,ROW()-1,60),ROW()-1,FALSE))</f>
        <v>305.81200000000001</v>
      </c>
      <c r="U81">
        <f ca="1">IF(AND(ISNUMBER($U$296),$B$226=1),$U$296,HLOOKUP(INDIRECT(ADDRESS(2,COLUMN())),OFFSET($BN$2,0,0,ROW()-1,60),ROW()-1,FALSE))</f>
        <v>290.77699999999999</v>
      </c>
      <c r="V81">
        <f ca="1">IF(AND(ISNUMBER($V$296),$B$226=1),$V$296,HLOOKUP(INDIRECT(ADDRESS(2,COLUMN())),OFFSET($BN$2,0,0,ROW()-1,60),ROW()-1,FALSE))</f>
        <v>265.63499999999999</v>
      </c>
      <c r="W81">
        <f ca="1">IF(AND(ISNUMBER($W$296),$B$226=1),$W$296,HLOOKUP(INDIRECT(ADDRESS(2,COLUMN())),OFFSET($BN$2,0,0,ROW()-1,60),ROW()-1,FALSE))</f>
        <v>251.42599999999999</v>
      </c>
      <c r="X81">
        <f ca="1">IF(AND(ISNUMBER($X$296),$B$226=1),$X$296,HLOOKUP(INDIRECT(ADDRESS(2,COLUMN())),OFFSET($BN$2,0,0,ROW()-1,60),ROW()-1,FALSE))</f>
        <v>267.27</v>
      </c>
      <c r="Y81">
        <f ca="1">IF(AND(ISNUMBER($Y$296),$B$226=1),$Y$296,HLOOKUP(INDIRECT(ADDRESS(2,COLUMN())),OFFSET($BN$2,0,0,ROW()-1,60),ROW()-1,FALSE))</f>
        <v>274.61700000000002</v>
      </c>
      <c r="Z81">
        <f ca="1">IF(AND(ISNUMBER($Z$296),$B$226=1),$Z$296,HLOOKUP(INDIRECT(ADDRESS(2,COLUMN())),OFFSET($BN$2,0,0,ROW()-1,60),ROW()-1,FALSE))</f>
        <v>79.108000000000004</v>
      </c>
      <c r="AA81">
        <f ca="1">IF(AND(ISNUMBER($AA$296),$B$226=1),$AA$296,HLOOKUP(INDIRECT(ADDRESS(2,COLUMN())),OFFSET($BN$2,0,0,ROW()-1,60),ROW()-1,FALSE))</f>
        <v>308.05200000000002</v>
      </c>
      <c r="AB81">
        <f ca="1">IF(AND(ISNUMBER($AB$296),$B$226=1),$AB$296,HLOOKUP(INDIRECT(ADDRESS(2,COLUMN())),OFFSET($BN$2,0,0,ROW()-1,60),ROW()-1,FALSE))</f>
        <v>292.31099999999998</v>
      </c>
      <c r="AC81">
        <f ca="1">IF(AND(ISNUMBER($AC$296),$B$226=1),$AC$296,HLOOKUP(INDIRECT(ADDRESS(2,COLUMN())),OFFSET($BN$2,0,0,ROW()-1,60),ROW()-1,FALSE))</f>
        <v>204.55600000000001</v>
      </c>
      <c r="AD81">
        <f ca="1">IF(AND(ISNUMBER($AD$296),$B$226=1),$AD$296,HLOOKUP(INDIRECT(ADDRESS(2,COLUMN())),OFFSET($BN$2,0,0,ROW()-1,60),ROW()-1,FALSE))</f>
        <v>188.298</v>
      </c>
      <c r="AE81">
        <f ca="1">IF(AND(ISNUMBER($AE$296),$B$226=1),$AE$296,HLOOKUP(INDIRECT(ADDRESS(2,COLUMN())),OFFSET($BN$2,0,0,ROW()-1,60),ROW()-1,FALSE))</f>
        <v>201.37200000000001</v>
      </c>
      <c r="AF81">
        <f ca="1">IF(AND(ISNUMBER($AF$296),$B$226=1),$AF$296,HLOOKUP(INDIRECT(ADDRESS(2,COLUMN())),OFFSET($BN$2,0,0,ROW()-1,60),ROW()-1,FALSE))</f>
        <v>196.59100000000001</v>
      </c>
      <c r="AG81">
        <f ca="1">IF(AND(ISNUMBER($AG$296),$B$226=1),$AG$296,HLOOKUP(INDIRECT(ADDRESS(2,COLUMN())),OFFSET($BN$2,0,0,ROW()-1,60),ROW()-1,FALSE))</f>
        <v>180.73400000000001</v>
      </c>
      <c r="AH81">
        <f ca="1">IF(AND(ISNUMBER($AH$296),$B$226=1),$AH$296,HLOOKUP(INDIRECT(ADDRESS(2,COLUMN())),OFFSET($BN$2,0,0,ROW()-1,60),ROW()-1,FALSE))</f>
        <v>173.45599999999999</v>
      </c>
      <c r="AI81">
        <f ca="1">IF(AND(ISNUMBER($AI$296),$B$226=1),$AI$296,HLOOKUP(INDIRECT(ADDRESS(2,COLUMN())),OFFSET($BN$2,0,0,ROW()-1,60),ROW()-1,FALSE))</f>
        <v>136.43</v>
      </c>
      <c r="AJ81">
        <f ca="1">IF(AND(ISNUMBER($AJ$296),$B$226=1),$AJ$296,HLOOKUP(INDIRECT(ADDRESS(2,COLUMN())),OFFSET($BN$2,0,0,ROW()-1,60),ROW()-1,FALSE))</f>
        <v>166.07900000000001</v>
      </c>
      <c r="AK81">
        <f ca="1">IF(AND(ISNUMBER($AK$296),$B$226=1),$AK$296,HLOOKUP(INDIRECT(ADDRESS(2,COLUMN())),OFFSET($BN$2,0,0,ROW()-1,60),ROW()-1,FALSE))</f>
        <v>174.86500000000001</v>
      </c>
      <c r="AL81">
        <f ca="1">IF(AND(ISNUMBER($AL$296),$B$226=1),$AL$296,HLOOKUP(INDIRECT(ADDRESS(2,COLUMN())),OFFSET($BN$2,0,0,ROW()-1,60),ROW()-1,FALSE))</f>
        <v>145.41200000000001</v>
      </c>
      <c r="AM81">
        <f ca="1">IF(AND(ISNUMBER($AM$296),$B$226=1),$AM$296,HLOOKUP(INDIRECT(ADDRESS(2,COLUMN())),OFFSET($BN$2,0,0,ROW()-1,60),ROW()-1,FALSE))</f>
        <v>126.791</v>
      </c>
      <c r="AN81">
        <f ca="1">IF(AND(ISNUMBER($AN$296),$B$226=1),$AN$296,HLOOKUP(INDIRECT(ADDRESS(2,COLUMN())),OFFSET($BN$2,0,0,ROW()-1,60),ROW()-1,FALSE))</f>
        <v>154.28200000000001</v>
      </c>
      <c r="AO81">
        <f ca="1">IF(AND(ISNUMBER($AO$296),$B$226=1),$AO$296,HLOOKUP(INDIRECT(ADDRESS(2,COLUMN())),OFFSET($BN$2,0,0,ROW()-1,60),ROW()-1,FALSE))</f>
        <v>168.49299999999999</v>
      </c>
      <c r="AP81">
        <f ca="1">IF(AND(ISNUMBER($AP$296),$B$226=1),$AP$296,HLOOKUP(INDIRECT(ADDRESS(2,COLUMN())),OFFSET($BN$2,0,0,ROW()-1,60),ROW()-1,FALSE))</f>
        <v>165.93899999999999</v>
      </c>
      <c r="AQ81">
        <f ca="1">IF(AND(ISNUMBER($AQ$296),$B$226=1),$AQ$296,HLOOKUP(INDIRECT(ADDRESS(2,COLUMN())),OFFSET($BN$2,0,0,ROW()-1,60),ROW()-1,FALSE))</f>
        <v>79.102000000000004</v>
      </c>
      <c r="AR81">
        <f ca="1">IF(AND(ISNUMBER($AR$296),$B$226=1),$AR$296,HLOOKUP(INDIRECT(ADDRESS(2,COLUMN())),OFFSET($BN$2,0,0,ROW()-1,60),ROW()-1,FALSE))</f>
        <v>186.428</v>
      </c>
      <c r="AS81">
        <f ca="1">IF(AND(ISNUMBER($AS$296),$B$226=1),$AS$296,HLOOKUP(INDIRECT(ADDRESS(2,COLUMN())),OFFSET($BN$2,0,0,ROW()-1,60),ROW()-1,FALSE))</f>
        <v>184.80699999999999</v>
      </c>
      <c r="AT81">
        <f ca="1">IF(AND(ISNUMBER($AT$296),$B$226=1),$AT$296,HLOOKUP(INDIRECT(ADDRESS(2,COLUMN())),OFFSET($BN$2,0,0,ROW()-1,60),ROW()-1,FALSE))</f>
        <v>168.035</v>
      </c>
      <c r="AU81">
        <f ca="1">IF(AND(ISNUMBER($AU$296),$B$226=1),$AU$296,HLOOKUP(INDIRECT(ADDRESS(2,COLUMN())),OFFSET($BN$2,0,0,ROW()-1,60),ROW()-1,FALSE))</f>
        <v>193.83500000000001</v>
      </c>
      <c r="AV81">
        <f ca="1">IF(AND(ISNUMBER($AV$296),$B$226=1),$AV$296,HLOOKUP(INDIRECT(ADDRESS(2,COLUMN())),OFFSET($BN$2,0,0,ROW()-1,60),ROW()-1,FALSE))</f>
        <v>172.196</v>
      </c>
      <c r="AW81">
        <f ca="1">IF(AND(ISNUMBER($AW$296),$B$226=1),$AW$296,HLOOKUP(INDIRECT(ADDRESS(2,COLUMN())),OFFSET($BN$2,0,0,ROW()-1,60),ROW()-1,FALSE))</f>
        <v>184.61699999999999</v>
      </c>
      <c r="AX81">
        <f ca="1">IF(AND(ISNUMBER($AX$296),$B$226=1),$AX$296,HLOOKUP(INDIRECT(ADDRESS(2,COLUMN())),OFFSET($BN$2,0,0,ROW()-1,60),ROW()-1,FALSE))</f>
        <v>173.01900000000001</v>
      </c>
      <c r="AY81">
        <f ca="1">IF(AND(ISNUMBER($AY$296),$B$226=1),$AY$296,HLOOKUP(INDIRECT(ADDRESS(2,COLUMN())),OFFSET($BN$2,0,0,ROW()-1,60),ROW()-1,FALSE))</f>
        <v>154.501</v>
      </c>
      <c r="AZ81">
        <f ca="1">IF(AND(ISNUMBER($AZ$296),$B$226=1),$AZ$296,HLOOKUP(INDIRECT(ADDRESS(2,COLUMN())),OFFSET($BN$2,0,0,ROW()-1,60),ROW()-1,FALSE))</f>
        <v>195.411</v>
      </c>
      <c r="BA81">
        <f ca="1">IF(AND(ISNUMBER($BA$296),$B$226=1),$BA$296,HLOOKUP(INDIRECT(ADDRESS(2,COLUMN())),OFFSET($BN$2,0,0,ROW()-1,60),ROW()-1,FALSE))</f>
        <v>191.98699999999999</v>
      </c>
      <c r="BB81">
        <f ca="1">IF(AND(ISNUMBER($BB$296),$B$226=1),$BB$296,HLOOKUP(INDIRECT(ADDRESS(2,COLUMN())),OFFSET($BN$2,0,0,ROW()-1,60),ROW()-1,FALSE))</f>
        <v>174.45400000000001</v>
      </c>
      <c r="BC81">
        <f ca="1">IF(AND(ISNUMBER($BC$296),$B$226=1),$BC$296,HLOOKUP(INDIRECT(ADDRESS(2,COLUMN())),OFFSET($BN$2,0,0,ROW()-1,60),ROW()-1,FALSE))</f>
        <v>206.12899999999999</v>
      </c>
      <c r="BD81">
        <f ca="1">IF(AND(ISNUMBER($BD$296),$B$226=1),$BD$296,HLOOKUP(INDIRECT(ADDRESS(2,COLUMN())),OFFSET($BN$2,0,0,ROW()-1,60),ROW()-1,FALSE))</f>
        <v>175.19200000000001</v>
      </c>
      <c r="BE81">
        <f ca="1">IF(AND(ISNUMBER($BE$296),$B$226=1),$BE$296,HLOOKUP(INDIRECT(ADDRESS(2,COLUMN())),OFFSET($BN$2,0,0,ROW()-1,60),ROW()-1,FALSE))</f>
        <v>173.488</v>
      </c>
      <c r="BF81">
        <f ca="1">IF(AND(ISNUMBER($BF$296),$B$226=1),$BF$296,HLOOKUP(INDIRECT(ADDRESS(2,COLUMN())),OFFSET($BN$2,0,0,ROW()-1,60),ROW()-1,FALSE))</f>
        <v>229.81700000000001</v>
      </c>
      <c r="BG81">
        <f ca="1">IF(AND(ISNUMBER($BG$296),$B$226=1),$BG$296,HLOOKUP(INDIRECT(ADDRESS(2,COLUMN())),OFFSET($BN$2,0,0,ROW()-1,60),ROW()-1,FALSE))</f>
        <v>174.291</v>
      </c>
      <c r="BH81">
        <f ca="1">IF(AND(ISNUMBER($BH$296),$B$226=1),$BH$296,HLOOKUP(INDIRECT(ADDRESS(2,COLUMN())),OFFSET($BN$2,0,0,ROW()-1,60),ROW()-1,FALSE))</f>
        <v>153.22499999999999</v>
      </c>
      <c r="BI81">
        <f ca="1">IF(AND(ISNUMBER($BI$296),$B$226=1),$BI$296,HLOOKUP(INDIRECT(ADDRESS(2,COLUMN())),OFFSET($BN$2,0,0,ROW()-1,60),ROW()-1,FALSE))</f>
        <v>14.465011000000001</v>
      </c>
      <c r="BJ81">
        <f ca="1">IF(AND(ISNUMBER($BJ$296),$B$226=1),$BJ$296,HLOOKUP(INDIRECT(ADDRESS(2,COLUMN())),OFFSET($BN$2,0,0,ROW()-1,60),ROW()-1,FALSE))</f>
        <v>156.10699500000001</v>
      </c>
      <c r="BK81" t="str">
        <f ca="1">IF(AND(ISNUMBER($BK$296),$B$226=1),$BK$296,HLOOKUP(INDIRECT(ADDRESS(2,COLUMN())),OFFSET($BN$2,0,0,ROW()-1,60),ROW()-1,FALSE))</f>
        <v/>
      </c>
      <c r="BL81">
        <f ca="1">IF(AND(ISNUMBER($BL$296),$B$226=1),$BL$296,HLOOKUP(INDIRECT(ADDRESS(2,COLUMN())),OFFSET($BN$2,0,0,ROW()-1,60),ROW()-1,FALSE))</f>
        <v>168.475998</v>
      </c>
      <c r="BM81">
        <f ca="1">IF(AND(ISNUMBER($BM$296),$B$226=1),$BM$296,HLOOKUP(INDIRECT(ADDRESS(2,COLUMN())),OFFSET($BN$2,0,0,ROW()-1,60),ROW()-1,FALSE))</f>
        <v>170.229004</v>
      </c>
      <c r="BN81" t="str">
        <f>""</f>
        <v/>
      </c>
      <c r="BO81">
        <f>313.022</f>
        <v>313.02199999999999</v>
      </c>
      <c r="BP81">
        <f>308.478</f>
        <v>308.47800000000001</v>
      </c>
      <c r="BQ81">
        <f>293.819</f>
        <v>293.81900000000002</v>
      </c>
      <c r="BR81">
        <f>289.585</f>
        <v>289.58499999999998</v>
      </c>
      <c r="BS81">
        <f>305.228</f>
        <v>305.22800000000001</v>
      </c>
      <c r="BT81">
        <f>295.11</f>
        <v>295.11</v>
      </c>
      <c r="BU81">
        <f>344.676</f>
        <v>344.67599999999999</v>
      </c>
      <c r="BV81">
        <f>178.516</f>
        <v>178.51599999999999</v>
      </c>
      <c r="BW81">
        <f>351.564</f>
        <v>351.56400000000002</v>
      </c>
      <c r="BX81">
        <f>331.559</f>
        <v>331.55900000000003</v>
      </c>
      <c r="BY81">
        <f>341.304</f>
        <v>341.30399999999997</v>
      </c>
      <c r="BZ81">
        <f>299.359</f>
        <v>299.35899999999998</v>
      </c>
      <c r="CA81">
        <f>328.691</f>
        <v>328.69099999999997</v>
      </c>
      <c r="CB81">
        <f>305.812</f>
        <v>305.81200000000001</v>
      </c>
      <c r="CC81">
        <f>290.777</f>
        <v>290.77699999999999</v>
      </c>
      <c r="CD81">
        <f>265.635</f>
        <v>265.63499999999999</v>
      </c>
      <c r="CE81">
        <f>251.426</f>
        <v>251.42599999999999</v>
      </c>
      <c r="CF81">
        <f>267.27</f>
        <v>267.27</v>
      </c>
      <c r="CG81">
        <f>274.617</f>
        <v>274.61700000000002</v>
      </c>
      <c r="CH81">
        <f>79.108</f>
        <v>79.108000000000004</v>
      </c>
      <c r="CI81">
        <f>308.052</f>
        <v>308.05200000000002</v>
      </c>
      <c r="CJ81">
        <f>292.311</f>
        <v>292.31099999999998</v>
      </c>
      <c r="CK81">
        <f>204.556</f>
        <v>204.55600000000001</v>
      </c>
      <c r="CL81">
        <f>188.298</f>
        <v>188.298</v>
      </c>
      <c r="CM81">
        <f>201.372</f>
        <v>201.37200000000001</v>
      </c>
      <c r="CN81">
        <f>196.591</f>
        <v>196.59100000000001</v>
      </c>
      <c r="CO81">
        <f>180.734</f>
        <v>180.73400000000001</v>
      </c>
      <c r="CP81">
        <f>173.456</f>
        <v>173.45599999999999</v>
      </c>
      <c r="CQ81">
        <f>136.43</f>
        <v>136.43</v>
      </c>
      <c r="CR81">
        <f>166.079</f>
        <v>166.07900000000001</v>
      </c>
      <c r="CS81">
        <f>174.865</f>
        <v>174.86500000000001</v>
      </c>
      <c r="CT81">
        <f>145.412</f>
        <v>145.41200000000001</v>
      </c>
      <c r="CU81">
        <f>126.791</f>
        <v>126.791</v>
      </c>
      <c r="CV81">
        <f>154.282</f>
        <v>154.28200000000001</v>
      </c>
      <c r="CW81">
        <f>168.493</f>
        <v>168.49299999999999</v>
      </c>
      <c r="CX81">
        <f>165.939</f>
        <v>165.93899999999999</v>
      </c>
      <c r="CY81">
        <f>79.102</f>
        <v>79.102000000000004</v>
      </c>
      <c r="CZ81">
        <f>186.428</f>
        <v>186.428</v>
      </c>
      <c r="DA81">
        <f>184.807</f>
        <v>184.80699999999999</v>
      </c>
      <c r="DB81">
        <f>168.035</f>
        <v>168.035</v>
      </c>
      <c r="DC81">
        <f>193.835</f>
        <v>193.83500000000001</v>
      </c>
      <c r="DD81">
        <f>172.196</f>
        <v>172.196</v>
      </c>
      <c r="DE81">
        <f>184.617</f>
        <v>184.61699999999999</v>
      </c>
      <c r="DF81">
        <f>173.019</f>
        <v>173.01900000000001</v>
      </c>
      <c r="DG81">
        <f>154.501</f>
        <v>154.501</v>
      </c>
      <c r="DH81">
        <f>195.411</f>
        <v>195.411</v>
      </c>
      <c r="DI81">
        <f>191.987</f>
        <v>191.98699999999999</v>
      </c>
      <c r="DJ81">
        <f>174.454</f>
        <v>174.45400000000001</v>
      </c>
      <c r="DK81">
        <f>206.129</f>
        <v>206.12899999999999</v>
      </c>
      <c r="DL81">
        <f>175.192</f>
        <v>175.19200000000001</v>
      </c>
      <c r="DM81">
        <f>173.488</f>
        <v>173.488</v>
      </c>
      <c r="DN81">
        <f>229.817</f>
        <v>229.81700000000001</v>
      </c>
      <c r="DO81">
        <f>174.291</f>
        <v>174.291</v>
      </c>
      <c r="DP81">
        <f>153.225</f>
        <v>153.22499999999999</v>
      </c>
      <c r="DQ81">
        <f>14.465011</f>
        <v>14.465011000000001</v>
      </c>
      <c r="DR81">
        <f>156.106995</f>
        <v>156.10699500000001</v>
      </c>
      <c r="DS81" t="str">
        <f>""</f>
        <v/>
      </c>
      <c r="DT81">
        <f>168.475998</f>
        <v>168.475998</v>
      </c>
      <c r="DU81">
        <f>170.229004</f>
        <v>170.229004</v>
      </c>
    </row>
    <row r="82" spans="1:125">
      <c r="A82" t="str">
        <f>"    Essex Property Trust Inc"</f>
        <v xml:space="preserve">    Essex Property Trust Inc</v>
      </c>
      <c r="B82" t="str">
        <f>"ESS US Equity"</f>
        <v>ESS US Equity</v>
      </c>
      <c r="C82" t="str">
        <f t="shared" si="24"/>
        <v>CF039</v>
      </c>
      <c r="D82" t="str">
        <f t="shared" si="25"/>
        <v>CF_FFO</v>
      </c>
      <c r="E82" t="str">
        <f t="shared" si="26"/>
        <v>动态</v>
      </c>
      <c r="F82" t="str">
        <f ca="1">IF(AND(ISNUMBER($F$297),$B$226=1),$F$297,HLOOKUP(INDIRECT(ADDRESS(2,COLUMN())),OFFSET($BN$2,0,0,ROW()-1,60),ROW()-1,FALSE))</f>
        <v/>
      </c>
      <c r="G82">
        <f ca="1">IF(AND(ISNUMBER($G$297),$B$226=1),$G$297,HLOOKUP(INDIRECT(ADDRESS(2,COLUMN())),OFFSET($BN$2,0,0,ROW()-1,60),ROW()-1,FALSE))</f>
        <v>205.34200000000001</v>
      </c>
      <c r="H82">
        <f ca="1">IF(AND(ISNUMBER($H$297),$B$226=1),$H$297,HLOOKUP(INDIRECT(ADDRESS(2,COLUMN())),OFFSET($BN$2,0,0,ROW()-1,60),ROW()-1,FALSE))</f>
        <v>203.41900000000001</v>
      </c>
      <c r="I82">
        <f ca="1">IF(AND(ISNUMBER($I$297),$B$226=1),$I$297,HLOOKUP(INDIRECT(ADDRESS(2,COLUMN())),OFFSET($BN$2,0,0,ROW()-1,60),ROW()-1,FALSE))</f>
        <v>202.56200000000001</v>
      </c>
      <c r="J82">
        <f ca="1">IF(AND(ISNUMBER($J$297),$B$226=1),$J$297,HLOOKUP(INDIRECT(ADDRESS(2,COLUMN())),OFFSET($BN$2,0,0,ROW()-1,60),ROW()-1,FALSE))</f>
        <v>200.786</v>
      </c>
      <c r="K82">
        <f ca="1">IF(AND(ISNUMBER($K$297),$B$226=1),$K$297,HLOOKUP(INDIRECT(ADDRESS(2,COLUMN())),OFFSET($BN$2,0,0,ROW()-1,60),ROW()-1,FALSE))</f>
        <v>193.477</v>
      </c>
      <c r="L82">
        <f ca="1">IF(AND(ISNUMBER($L$297),$B$226=1),$L$297,HLOOKUP(INDIRECT(ADDRESS(2,COLUMN())),OFFSET($BN$2,0,0,ROW()-1,60),ROW()-1,FALSE))</f>
        <v>191.10300000000001</v>
      </c>
      <c r="M82">
        <f ca="1">IF(AND(ISNUMBER($M$297),$B$226=1),$M$297,HLOOKUP(INDIRECT(ADDRESS(2,COLUMN())),OFFSET($BN$2,0,0,ROW()-1,60),ROW()-1,FALSE))</f>
        <v>190.97800000000001</v>
      </c>
      <c r="N82">
        <f ca="1">IF(AND(ISNUMBER($N$297),$B$226=1),$N$297,HLOOKUP(INDIRECT(ADDRESS(2,COLUMN())),OFFSET($BN$2,0,0,ROW()-1,60),ROW()-1,FALSE))</f>
        <v>179.08699999999999</v>
      </c>
      <c r="O82">
        <f ca="1">IF(AND(ISNUMBER($O$297),$B$226=1),$O$297,HLOOKUP(INDIRECT(ADDRESS(2,COLUMN())),OFFSET($BN$2,0,0,ROW()-1,60),ROW()-1,FALSE))</f>
        <v>171.566</v>
      </c>
      <c r="P82">
        <f ca="1">IF(AND(ISNUMBER($P$297),$B$226=1),$P$297,HLOOKUP(INDIRECT(ADDRESS(2,COLUMN())),OFFSET($BN$2,0,0,ROW()-1,60),ROW()-1,FALSE))</f>
        <v>170.898</v>
      </c>
      <c r="Q82">
        <f ca="1">IF(AND(ISNUMBER($Q$297),$B$226=1),$Q$297,HLOOKUP(INDIRECT(ADDRESS(2,COLUMN())),OFFSET($BN$2,0,0,ROW()-1,60),ROW()-1,FALSE))</f>
        <v>160.06899999999999</v>
      </c>
      <c r="R82">
        <f ca="1">IF(AND(ISNUMBER($R$297),$B$226=1),$R$297,HLOOKUP(INDIRECT(ADDRESS(2,COLUMN())),OFFSET($BN$2,0,0,ROW()-1,60),ROW()-1,FALSE))</f>
        <v>151.52699999999999</v>
      </c>
      <c r="S82">
        <f ca="1">IF(AND(ISNUMBER($S$297),$B$226=1),$S$297,HLOOKUP(INDIRECT(ADDRESS(2,COLUMN())),OFFSET($BN$2,0,0,ROW()-1,60),ROW()-1,FALSE))</f>
        <v>150.52799999999999</v>
      </c>
      <c r="T82">
        <f ca="1">IF(AND(ISNUMBER($T$297),$B$226=1),$T$297,HLOOKUP(INDIRECT(ADDRESS(2,COLUMN())),OFFSET($BN$2,0,0,ROW()-1,60),ROW()-1,FALSE))</f>
        <v>135.947</v>
      </c>
      <c r="U82">
        <f ca="1">IF(AND(ISNUMBER($U$297),$B$226=1),$U$297,HLOOKUP(INDIRECT(ADDRESS(2,COLUMN())),OFFSET($BN$2,0,0,ROW()-1,60),ROW()-1,FALSE))</f>
        <v>110.69</v>
      </c>
      <c r="V82">
        <f ca="1">IF(AND(ISNUMBER($V$297),$B$226=1),$V$297,HLOOKUP(INDIRECT(ADDRESS(2,COLUMN())),OFFSET($BN$2,0,0,ROW()-1,60),ROW()-1,FALSE))</f>
        <v>67.78</v>
      </c>
      <c r="W82">
        <f ca="1">IF(AND(ISNUMBER($W$297),$B$226=1),$W$297,HLOOKUP(INDIRECT(ADDRESS(2,COLUMN())),OFFSET($BN$2,0,0,ROW()-1,60),ROW()-1,FALSE))</f>
        <v>71.144999999999996</v>
      </c>
      <c r="X82">
        <f ca="1">IF(AND(ISNUMBER($X$297),$B$226=1),$X$297,HLOOKUP(INDIRECT(ADDRESS(2,COLUMN())),OFFSET($BN$2,0,0,ROW()-1,60),ROW()-1,FALSE))</f>
        <v>75.616</v>
      </c>
      <c r="Y82">
        <f ca="1">IF(AND(ISNUMBER($Y$297),$B$226=1),$Y$297,HLOOKUP(INDIRECT(ADDRESS(2,COLUMN())),OFFSET($BN$2,0,0,ROW()-1,60),ROW()-1,FALSE))</f>
        <v>75.608000000000004</v>
      </c>
      <c r="Z82">
        <f ca="1">IF(AND(ISNUMBER($Z$297),$B$226=1),$Z$297,HLOOKUP(INDIRECT(ADDRESS(2,COLUMN())),OFFSET($BN$2,0,0,ROW()-1,60),ROW()-1,FALSE))</f>
        <v>77.363</v>
      </c>
      <c r="AA82">
        <f ca="1">IF(AND(ISNUMBER($AA$297),$B$226=1),$AA$297,HLOOKUP(INDIRECT(ADDRESS(2,COLUMN())),OFFSET($BN$2,0,0,ROW()-1,60),ROW()-1,FALSE))</f>
        <v>65.525000000000006</v>
      </c>
      <c r="AB82">
        <f ca="1">IF(AND(ISNUMBER($AB$297),$B$226=1),$AB$297,HLOOKUP(INDIRECT(ADDRESS(2,COLUMN())),OFFSET($BN$2,0,0,ROW()-1,60),ROW()-1,FALSE))</f>
        <v>63.377000000000002</v>
      </c>
      <c r="AC82">
        <f ca="1">IF(AND(ISNUMBER($AC$297),$B$226=1),$AC$297,HLOOKUP(INDIRECT(ADDRESS(2,COLUMN())),OFFSET($BN$2,0,0,ROW()-1,60),ROW()-1,FALSE))</f>
        <v>62.442999999999998</v>
      </c>
      <c r="AD82">
        <f ca="1">IF(AND(ISNUMBER($AD$297),$B$226=1),$AD$297,HLOOKUP(INDIRECT(ADDRESS(2,COLUMN())),OFFSET($BN$2,0,0,ROW()-1,60),ROW()-1,FALSE))</f>
        <v>59.258000000000003</v>
      </c>
      <c r="AE82">
        <f ca="1">IF(AND(ISNUMBER($AE$297),$B$226=1),$AE$297,HLOOKUP(INDIRECT(ADDRESS(2,COLUMN())),OFFSET($BN$2,0,0,ROW()-1,60),ROW()-1,FALSE))</f>
        <v>55.536000000000001</v>
      </c>
      <c r="AF82">
        <f ca="1">IF(AND(ISNUMBER($AF$297),$B$226=1),$AF$297,HLOOKUP(INDIRECT(ADDRESS(2,COLUMN())),OFFSET($BN$2,0,0,ROW()-1,60),ROW()-1,FALSE))</f>
        <v>50.523000000000003</v>
      </c>
      <c r="AG82">
        <f ca="1">IF(AND(ISNUMBER($AG$297),$B$226=1),$AG$297,HLOOKUP(INDIRECT(ADDRESS(2,COLUMN())),OFFSET($BN$2,0,0,ROW()-1,60),ROW()-1,FALSE))</f>
        <v>45.253999999999998</v>
      </c>
      <c r="AH82">
        <f ca="1">IF(AND(ISNUMBER($AH$297),$B$226=1),$AH$297,HLOOKUP(INDIRECT(ADDRESS(2,COLUMN())),OFFSET($BN$2,0,0,ROW()-1,60),ROW()-1,FALSE))</f>
        <v>48.518999999999998</v>
      </c>
      <c r="AI82">
        <f ca="1">IF(AND(ISNUMBER($AI$297),$B$226=1),$AI$297,HLOOKUP(INDIRECT(ADDRESS(2,COLUMN())),OFFSET($BN$2,0,0,ROW()-1,60),ROW()-1,FALSE))</f>
        <v>43.042000000000002</v>
      </c>
      <c r="AJ82">
        <f ca="1">IF(AND(ISNUMBER($AJ$297),$B$226=1),$AJ$297,HLOOKUP(INDIRECT(ADDRESS(2,COLUMN())),OFFSET($BN$2,0,0,ROW()-1,60),ROW()-1,FALSE))</f>
        <v>39.927999999999997</v>
      </c>
      <c r="AK82">
        <f ca="1">IF(AND(ISNUMBER($AK$297),$B$226=1),$AK$297,HLOOKUP(INDIRECT(ADDRESS(2,COLUMN())),OFFSET($BN$2,0,0,ROW()-1,60),ROW()-1,FALSE))</f>
        <v>42.654000000000003</v>
      </c>
      <c r="AL82">
        <f ca="1">IF(AND(ISNUMBER($AL$297),$B$226=1),$AL$297,HLOOKUP(INDIRECT(ADDRESS(2,COLUMN())),OFFSET($BN$2,0,0,ROW()-1,60),ROW()-1,FALSE))</f>
        <v>45.743000000000002</v>
      </c>
      <c r="AM82">
        <f ca="1">IF(AND(ISNUMBER($AM$297),$B$226=1),$AM$297,HLOOKUP(INDIRECT(ADDRESS(2,COLUMN())),OFFSET($BN$2,0,0,ROW()-1,60),ROW()-1,FALSE))</f>
        <v>35.789000000000001</v>
      </c>
      <c r="AN82">
        <f ca="1">IF(AND(ISNUMBER($AN$297),$B$226=1),$AN$297,HLOOKUP(INDIRECT(ADDRESS(2,COLUMN())),OFFSET($BN$2,0,0,ROW()-1,60),ROW()-1,FALSE))</f>
        <v>50.787999999999997</v>
      </c>
      <c r="AO82">
        <f ca="1">IF(AND(ISNUMBER($AO$297),$B$226=1),$AO$297,HLOOKUP(INDIRECT(ADDRESS(2,COLUMN())),OFFSET($BN$2,0,0,ROW()-1,60),ROW()-1,FALSE))</f>
        <v>42.002000000000002</v>
      </c>
      <c r="AP82">
        <f ca="1">IF(AND(ISNUMBER($AP$297),$B$226=1),$AP$297,HLOOKUP(INDIRECT(ADDRESS(2,COLUMN())),OFFSET($BN$2,0,0,ROW()-1,60),ROW()-1,FALSE))</f>
        <v>71.807000000000002</v>
      </c>
      <c r="AQ82">
        <f ca="1">IF(AND(ISNUMBER($AQ$297),$B$226=1),$AQ$297,HLOOKUP(INDIRECT(ADDRESS(2,COLUMN())),OFFSET($BN$2,0,0,ROW()-1,60),ROW()-1,FALSE))</f>
        <v>43.627000000000002</v>
      </c>
      <c r="AR82">
        <f ca="1">IF(AND(ISNUMBER($AR$297),$B$226=1),$AR$297,HLOOKUP(INDIRECT(ADDRESS(2,COLUMN())),OFFSET($BN$2,0,0,ROW()-1,60),ROW()-1,FALSE))</f>
        <v>42.09</v>
      </c>
      <c r="AS82">
        <f ca="1">IF(AND(ISNUMBER($AS$297),$B$226=1),$AS$297,HLOOKUP(INDIRECT(ADDRESS(2,COLUMN())),OFFSET($BN$2,0,0,ROW()-1,60),ROW()-1,FALSE))</f>
        <v>39.234999999999999</v>
      </c>
      <c r="AT82">
        <f ca="1">IF(AND(ISNUMBER($AT$297),$B$226=1),$AT$297,HLOOKUP(INDIRECT(ADDRESS(2,COLUMN())),OFFSET($BN$2,0,0,ROW()-1,60),ROW()-1,FALSE))</f>
        <v>44.826000000000001</v>
      </c>
      <c r="AU82">
        <f ca="1">IF(AND(ISNUMBER($AU$297),$B$226=1),$AU$297,HLOOKUP(INDIRECT(ADDRESS(2,COLUMN())),OFFSET($BN$2,0,0,ROW()-1,60),ROW()-1,FALSE))</f>
        <v>34.698999999999998</v>
      </c>
      <c r="AV82">
        <f ca="1">IF(AND(ISNUMBER($AV$297),$B$226=1),$AV$297,HLOOKUP(INDIRECT(ADDRESS(2,COLUMN())),OFFSET($BN$2,0,0,ROW()-1,60),ROW()-1,FALSE))</f>
        <v>37.322000000000003</v>
      </c>
      <c r="AW82">
        <f ca="1">IF(AND(ISNUMBER($AW$297),$B$226=1),$AW$297,HLOOKUP(INDIRECT(ADDRESS(2,COLUMN())),OFFSET($BN$2,0,0,ROW()-1,60),ROW()-1,FALSE))</f>
        <v>36.497</v>
      </c>
      <c r="AX82">
        <f ca="1">IF(AND(ISNUMBER($AX$297),$B$226=1),$AX$297,HLOOKUP(INDIRECT(ADDRESS(2,COLUMN())),OFFSET($BN$2,0,0,ROW()-1,60),ROW()-1,FALSE))</f>
        <v>45.387</v>
      </c>
      <c r="AY82">
        <f ca="1">IF(AND(ISNUMBER($AY$297),$B$226=1),$AY$297,HLOOKUP(INDIRECT(ADDRESS(2,COLUMN())),OFFSET($BN$2,0,0,ROW()-1,60),ROW()-1,FALSE))</f>
        <v>31.594999999999999</v>
      </c>
      <c r="AZ82">
        <f ca="1">IF(AND(ISNUMBER($AZ$297),$B$226=1),$AZ$297,HLOOKUP(INDIRECT(ADDRESS(2,COLUMN())),OFFSET($BN$2,0,0,ROW()-1,60),ROW()-1,FALSE))</f>
        <v>32.854999999999997</v>
      </c>
      <c r="BA82">
        <f ca="1">IF(AND(ISNUMBER($BA$297),$B$226=1),$BA$297,HLOOKUP(INDIRECT(ADDRESS(2,COLUMN())),OFFSET($BN$2,0,0,ROW()-1,60),ROW()-1,FALSE))</f>
        <v>37.152000000000001</v>
      </c>
      <c r="BB82">
        <f ca="1">IF(AND(ISNUMBER($BB$297),$B$226=1),$BB$297,HLOOKUP(INDIRECT(ADDRESS(2,COLUMN())),OFFSET($BN$2,0,0,ROW()-1,60),ROW()-1,FALSE))</f>
        <v>28.917000000000002</v>
      </c>
      <c r="BC82">
        <f ca="1">IF(AND(ISNUMBER($BC$297),$B$226=1),$BC$297,HLOOKUP(INDIRECT(ADDRESS(2,COLUMN())),OFFSET($BN$2,0,0,ROW()-1,60),ROW()-1,FALSE))</f>
        <v>21.5</v>
      </c>
      <c r="BD82">
        <f ca="1">IF(AND(ISNUMBER($BD$297),$B$226=1),$BD$297,HLOOKUP(INDIRECT(ADDRESS(2,COLUMN())),OFFSET($BN$2,0,0,ROW()-1,60),ROW()-1,FALSE))</f>
        <v>29.666</v>
      </c>
      <c r="BE82">
        <f ca="1">IF(AND(ISNUMBER($BE$297),$B$226=1),$BE$297,HLOOKUP(INDIRECT(ADDRESS(2,COLUMN())),OFFSET($BN$2,0,0,ROW()-1,60),ROW()-1,FALSE))</f>
        <v>27.54</v>
      </c>
      <c r="BF82">
        <f ca="1">IF(AND(ISNUMBER($BF$297),$B$226=1),$BF$297,HLOOKUP(INDIRECT(ADDRESS(2,COLUMN())),OFFSET($BN$2,0,0,ROW()-1,60),ROW()-1,FALSE))</f>
        <v>32.832000000000001</v>
      </c>
      <c r="BG82">
        <f ca="1">IF(AND(ISNUMBER($BG$297),$B$226=1),$BG$297,HLOOKUP(INDIRECT(ADDRESS(2,COLUMN())),OFFSET($BN$2,0,0,ROW()-1,60),ROW()-1,FALSE))</f>
        <v>29.379999000000002</v>
      </c>
      <c r="BH82">
        <f ca="1">IF(AND(ISNUMBER($BH$297),$B$226=1),$BH$297,HLOOKUP(INDIRECT(ADDRESS(2,COLUMN())),OFFSET($BN$2,0,0,ROW()-1,60),ROW()-1,FALSE))</f>
        <v>34.47</v>
      </c>
      <c r="BI82">
        <f ca="1">IF(AND(ISNUMBER($BI$297),$B$226=1),$BI$297,HLOOKUP(INDIRECT(ADDRESS(2,COLUMN())),OFFSET($BN$2,0,0,ROW()-1,60),ROW()-1,FALSE))</f>
        <v>24.603999999999999</v>
      </c>
      <c r="BJ82">
        <f ca="1">IF(AND(ISNUMBER($BJ$297),$B$226=1),$BJ$297,HLOOKUP(INDIRECT(ADDRESS(2,COLUMN())),OFFSET($BN$2,0,0,ROW()-1,60),ROW()-1,FALSE))</f>
        <v>26.292000000000002</v>
      </c>
      <c r="BK82">
        <f ca="1">IF(AND(ISNUMBER($BK$297),$B$226=1),$BK$297,HLOOKUP(INDIRECT(ADDRESS(2,COLUMN())),OFFSET($BN$2,0,0,ROW()-1,60),ROW()-1,FALSE))</f>
        <v>23.608999000000001</v>
      </c>
      <c r="BL82">
        <f ca="1">IF(AND(ISNUMBER($BL$297),$B$226=1),$BL$297,HLOOKUP(INDIRECT(ADDRESS(2,COLUMN())),OFFSET($BN$2,0,0,ROW()-1,60),ROW()-1,FALSE))</f>
        <v>24.795999999999999</v>
      </c>
      <c r="BM82">
        <f ca="1">IF(AND(ISNUMBER($BM$297),$B$226=1),$BM$297,HLOOKUP(INDIRECT(ADDRESS(2,COLUMN())),OFFSET($BN$2,0,0,ROW()-1,60),ROW()-1,FALSE))</f>
        <v>24.768999000000001</v>
      </c>
      <c r="BN82" t="str">
        <f>""</f>
        <v/>
      </c>
      <c r="BO82">
        <f>205.342</f>
        <v>205.34200000000001</v>
      </c>
      <c r="BP82">
        <f>203.419</f>
        <v>203.41900000000001</v>
      </c>
      <c r="BQ82">
        <f>202.562</f>
        <v>202.56200000000001</v>
      </c>
      <c r="BR82">
        <f>200.786</f>
        <v>200.786</v>
      </c>
      <c r="BS82">
        <f>193.477</f>
        <v>193.477</v>
      </c>
      <c r="BT82">
        <f>191.103</f>
        <v>191.10300000000001</v>
      </c>
      <c r="BU82">
        <f>190.978</f>
        <v>190.97800000000001</v>
      </c>
      <c r="BV82">
        <f>179.087</f>
        <v>179.08699999999999</v>
      </c>
      <c r="BW82">
        <f>171.566</f>
        <v>171.566</v>
      </c>
      <c r="BX82">
        <f>170.898</f>
        <v>170.898</v>
      </c>
      <c r="BY82">
        <f>160.069</f>
        <v>160.06899999999999</v>
      </c>
      <c r="BZ82">
        <f>151.527</f>
        <v>151.52699999999999</v>
      </c>
      <c r="CA82">
        <f>150.528</f>
        <v>150.52799999999999</v>
      </c>
      <c r="CB82">
        <f>135.947</f>
        <v>135.947</v>
      </c>
      <c r="CC82">
        <f>110.69</f>
        <v>110.69</v>
      </c>
      <c r="CD82">
        <f>67.78</f>
        <v>67.78</v>
      </c>
      <c r="CE82">
        <f>71.145</f>
        <v>71.144999999999996</v>
      </c>
      <c r="CF82">
        <f>75.616</f>
        <v>75.616</v>
      </c>
      <c r="CG82">
        <f>75.608</f>
        <v>75.608000000000004</v>
      </c>
      <c r="CH82">
        <f>77.363</f>
        <v>77.363</v>
      </c>
      <c r="CI82">
        <f>65.525</f>
        <v>65.525000000000006</v>
      </c>
      <c r="CJ82">
        <f>63.377</f>
        <v>63.377000000000002</v>
      </c>
      <c r="CK82">
        <f>62.443</f>
        <v>62.442999999999998</v>
      </c>
      <c r="CL82">
        <f>59.258</f>
        <v>59.258000000000003</v>
      </c>
      <c r="CM82">
        <f>55.536</f>
        <v>55.536000000000001</v>
      </c>
      <c r="CN82">
        <f>50.523</f>
        <v>50.523000000000003</v>
      </c>
      <c r="CO82">
        <f>45.254</f>
        <v>45.253999999999998</v>
      </c>
      <c r="CP82">
        <f>48.519</f>
        <v>48.518999999999998</v>
      </c>
      <c r="CQ82">
        <f>43.042</f>
        <v>43.042000000000002</v>
      </c>
      <c r="CR82">
        <f>39.928</f>
        <v>39.927999999999997</v>
      </c>
      <c r="CS82">
        <f>42.654</f>
        <v>42.654000000000003</v>
      </c>
      <c r="CT82">
        <f>45.743</f>
        <v>45.743000000000002</v>
      </c>
      <c r="CU82">
        <f>35.789</f>
        <v>35.789000000000001</v>
      </c>
      <c r="CV82">
        <f>50.788</f>
        <v>50.787999999999997</v>
      </c>
      <c r="CW82">
        <f>42.002</f>
        <v>42.002000000000002</v>
      </c>
      <c r="CX82">
        <f>71.807</f>
        <v>71.807000000000002</v>
      </c>
      <c r="CY82">
        <f>43.627</f>
        <v>43.627000000000002</v>
      </c>
      <c r="CZ82">
        <f>42.09</f>
        <v>42.09</v>
      </c>
      <c r="DA82">
        <f>39.235</f>
        <v>39.234999999999999</v>
      </c>
      <c r="DB82">
        <f>44.826</f>
        <v>44.826000000000001</v>
      </c>
      <c r="DC82">
        <f>34.699</f>
        <v>34.698999999999998</v>
      </c>
      <c r="DD82">
        <f>37.322</f>
        <v>37.322000000000003</v>
      </c>
      <c r="DE82">
        <f>36.497</f>
        <v>36.497</v>
      </c>
      <c r="DF82">
        <f>45.387</f>
        <v>45.387</v>
      </c>
      <c r="DG82">
        <f>31.595</f>
        <v>31.594999999999999</v>
      </c>
      <c r="DH82">
        <f>32.855</f>
        <v>32.854999999999997</v>
      </c>
      <c r="DI82">
        <f>37.152</f>
        <v>37.152000000000001</v>
      </c>
      <c r="DJ82">
        <f>28.917</f>
        <v>28.917000000000002</v>
      </c>
      <c r="DK82">
        <f>21.5</f>
        <v>21.5</v>
      </c>
      <c r="DL82">
        <f>29.666</f>
        <v>29.666</v>
      </c>
      <c r="DM82">
        <f>27.54</f>
        <v>27.54</v>
      </c>
      <c r="DN82">
        <f>32.832</f>
        <v>32.832000000000001</v>
      </c>
      <c r="DO82">
        <f>29.379999</f>
        <v>29.379999000000002</v>
      </c>
      <c r="DP82">
        <f>34.47</f>
        <v>34.47</v>
      </c>
      <c r="DQ82">
        <f>24.604</f>
        <v>24.603999999999999</v>
      </c>
      <c r="DR82">
        <f>26.292</f>
        <v>26.292000000000002</v>
      </c>
      <c r="DS82">
        <f>23.608999</f>
        <v>23.608999000000001</v>
      </c>
      <c r="DT82">
        <f>24.796</f>
        <v>24.795999999999999</v>
      </c>
      <c r="DU82">
        <f>24.768999</f>
        <v>24.768999000000001</v>
      </c>
    </row>
    <row r="83" spans="1:125">
      <c r="A83" t="str">
        <f>"    Mid-America Apartment Communit"</f>
        <v xml:space="preserve">    Mid-America Apartment Communit</v>
      </c>
      <c r="B83" t="str">
        <f>"MAA US Equity"</f>
        <v>MAA US Equity</v>
      </c>
      <c r="C83" t="str">
        <f t="shared" si="24"/>
        <v>CF039</v>
      </c>
      <c r="D83" t="str">
        <f t="shared" si="25"/>
        <v>CF_FFO</v>
      </c>
      <c r="E83" t="str">
        <f t="shared" si="26"/>
        <v>动态</v>
      </c>
      <c r="F83" t="str">
        <f ca="1">IF(AND(ISNUMBER($F$298),$B$226=1),$F$298,HLOOKUP(INDIRECT(ADDRESS(2,COLUMN())),OFFSET($BN$2,0,0,ROW()-1,60),ROW()-1,FALSE))</f>
        <v/>
      </c>
      <c r="G83">
        <f ca="1">IF(AND(ISNUMBER($G$298),$B$226=1),$G$298,HLOOKUP(INDIRECT(ADDRESS(2,COLUMN())),OFFSET($BN$2,0,0,ROW()-1,60),ROW()-1,FALSE))</f>
        <v>177.19900000000001</v>
      </c>
      <c r="H83">
        <f ca="1">IF(AND(ISNUMBER($H$298),$B$226=1),$H$298,HLOOKUP(INDIRECT(ADDRESS(2,COLUMN())),OFFSET($BN$2,0,0,ROW()-1,60),ROW()-1,FALSE))</f>
        <v>176.22200000000001</v>
      </c>
      <c r="I83">
        <f ca="1">IF(AND(ISNUMBER($I$298),$B$226=1),$I$298,HLOOKUP(INDIRECT(ADDRESS(2,COLUMN())),OFFSET($BN$2,0,0,ROW()-1,60),ROW()-1,FALSE))</f>
        <v>174.453</v>
      </c>
      <c r="J83">
        <f ca="1">IF(AND(ISNUMBER($J$298),$B$226=1),$J$298,HLOOKUP(INDIRECT(ADDRESS(2,COLUMN())),OFFSET($BN$2,0,0,ROW()-1,60),ROW()-1,FALSE))</f>
        <v>171.68700000000001</v>
      </c>
      <c r="K83">
        <f ca="1">IF(AND(ISNUMBER($K$298),$B$226=1),$K$298,HLOOKUP(INDIRECT(ADDRESS(2,COLUMN())),OFFSET($BN$2,0,0,ROW()-1,60),ROW()-1,FALSE))</f>
        <v>104.176</v>
      </c>
      <c r="L83">
        <f ca="1">IF(AND(ISNUMBER($L$298),$B$226=1),$L$298,HLOOKUP(INDIRECT(ADDRESS(2,COLUMN())),OFFSET($BN$2,0,0,ROW()-1,60),ROW()-1,FALSE))</f>
        <v>117.262</v>
      </c>
      <c r="M83">
        <f ca="1">IF(AND(ISNUMBER($M$298),$B$226=1),$M$298,HLOOKUP(INDIRECT(ADDRESS(2,COLUMN())),OFFSET($BN$2,0,0,ROW()-1,60),ROW()-1,FALSE))</f>
        <v>122.566</v>
      </c>
      <c r="N83">
        <f ca="1">IF(AND(ISNUMBER($N$298),$B$226=1),$N$298,HLOOKUP(INDIRECT(ADDRESS(2,COLUMN())),OFFSET($BN$2,0,0,ROW()-1,60),ROW()-1,FALSE))</f>
        <v>119.381</v>
      </c>
      <c r="O83">
        <f ca="1">IF(AND(ISNUMBER($O$298),$B$226=1),$O$298,HLOOKUP(INDIRECT(ADDRESS(2,COLUMN())),OFFSET($BN$2,0,0,ROW()-1,60),ROW()-1,FALSE))</f>
        <v>118.568</v>
      </c>
      <c r="P83">
        <f ca="1">IF(AND(ISNUMBER($P$298),$B$226=1),$P$298,HLOOKUP(INDIRECT(ADDRESS(2,COLUMN())),OFFSET($BN$2,0,0,ROW()-1,60),ROW()-1,FALSE))</f>
        <v>114.54900000000001</v>
      </c>
      <c r="Q83">
        <f ca="1">IF(AND(ISNUMBER($Q$298),$B$226=1),$Q$298,HLOOKUP(INDIRECT(ADDRESS(2,COLUMN())),OFFSET($BN$2,0,0,ROW()-1,60),ROW()-1,FALSE))</f>
        <v>112.36</v>
      </c>
      <c r="R83">
        <f ca="1">IF(AND(ISNUMBER($R$298),$B$226=1),$R$298,HLOOKUP(INDIRECT(ADDRESS(2,COLUMN())),OFFSET($BN$2,0,0,ROW()-1,60),ROW()-1,FALSE))</f>
        <v>106.896</v>
      </c>
      <c r="S83">
        <f ca="1">IF(AND(ISNUMBER($S$298),$B$226=1),$S$298,HLOOKUP(INDIRECT(ADDRESS(2,COLUMN())),OFFSET($BN$2,0,0,ROW()-1,60),ROW()-1,FALSE))</f>
        <v>107.378</v>
      </c>
      <c r="T83">
        <f ca="1">IF(AND(ISNUMBER($T$298),$B$226=1),$T$298,HLOOKUP(INDIRECT(ADDRESS(2,COLUMN())),OFFSET($BN$2,0,0,ROW()-1,60),ROW()-1,FALSE))</f>
        <v>103.837</v>
      </c>
      <c r="U83">
        <f ca="1">IF(AND(ISNUMBER($U$298),$B$226=1),$U$298,HLOOKUP(INDIRECT(ADDRESS(2,COLUMN())),OFFSET($BN$2,0,0,ROW()-1,60),ROW()-1,FALSE))</f>
        <v>95.513000000000005</v>
      </c>
      <c r="V83">
        <f ca="1">IF(AND(ISNUMBER($V$298),$B$226=1),$V$298,HLOOKUP(INDIRECT(ADDRESS(2,COLUMN())),OFFSET($BN$2,0,0,ROW()-1,60),ROW()-1,FALSE))</f>
        <v>97.36</v>
      </c>
      <c r="W83">
        <f ca="1">IF(AND(ISNUMBER($W$298),$B$226=1),$W$298,HLOOKUP(INDIRECT(ADDRESS(2,COLUMN())),OFFSET($BN$2,0,0,ROW()-1,60),ROW()-1,FALSE))</f>
        <v>74.918999999999997</v>
      </c>
      <c r="X83">
        <f ca="1">IF(AND(ISNUMBER($X$298),$B$226=1),$X$298,HLOOKUP(INDIRECT(ADDRESS(2,COLUMN())),OFFSET($BN$2,0,0,ROW()-1,60),ROW()-1,FALSE))</f>
        <v>50.052</v>
      </c>
      <c r="Y83">
        <f ca="1">IF(AND(ISNUMBER($Y$298),$B$226=1),$Y$298,HLOOKUP(INDIRECT(ADDRESS(2,COLUMN())),OFFSET($BN$2,0,0,ROW()-1,60),ROW()-1,FALSE))</f>
        <v>50.835000000000001</v>
      </c>
      <c r="Z83">
        <f ca="1">IF(AND(ISNUMBER($Z$298),$B$226=1),$Z$298,HLOOKUP(INDIRECT(ADDRESS(2,COLUMN())),OFFSET($BN$2,0,0,ROW()-1,60),ROW()-1,FALSE))</f>
        <v>55.219000000000001</v>
      </c>
      <c r="AA83">
        <f ca="1">IF(AND(ISNUMBER($AA$298),$B$226=1),$AA$298,HLOOKUP(INDIRECT(ADDRESS(2,COLUMN())),OFFSET($BN$2,0,0,ROW()-1,60),ROW()-1,FALSE))</f>
        <v>53.408999999999999</v>
      </c>
      <c r="AB83">
        <f ca="1">IF(AND(ISNUMBER($AB$298),$B$226=1),$AB$298,HLOOKUP(INDIRECT(ADDRESS(2,COLUMN())),OFFSET($BN$2,0,0,ROW()-1,60),ROW()-1,FALSE))</f>
        <v>48.170999999999999</v>
      </c>
      <c r="AC83">
        <f ca="1">IF(AND(ISNUMBER($AC$298),$B$226=1),$AC$298,HLOOKUP(INDIRECT(ADDRESS(2,COLUMN())),OFFSET($BN$2,0,0,ROW()-1,60),ROW()-1,FALSE))</f>
        <v>48.283000000000001</v>
      </c>
      <c r="AD83">
        <f ca="1">IF(AND(ISNUMBER($AD$298),$B$226=1),$AD$298,HLOOKUP(INDIRECT(ADDRESS(2,COLUMN())),OFFSET($BN$2,0,0,ROW()-1,60),ROW()-1,FALSE))</f>
        <v>46.445999999999998</v>
      </c>
      <c r="AE83">
        <f ca="1">IF(AND(ISNUMBER($AE$298),$B$226=1),$AE$298,HLOOKUP(INDIRECT(ADDRESS(2,COLUMN())),OFFSET($BN$2,0,0,ROW()-1,60),ROW()-1,FALSE))</f>
        <v>43.09</v>
      </c>
      <c r="AF83">
        <f ca="1">IF(AND(ISNUMBER($AF$298),$B$226=1),$AF$298,HLOOKUP(INDIRECT(ADDRESS(2,COLUMN())),OFFSET($BN$2,0,0,ROW()-1,60),ROW()-1,FALSE))</f>
        <v>39.247999999999998</v>
      </c>
      <c r="AG83">
        <f ca="1">IF(AND(ISNUMBER($AG$298),$B$226=1),$AG$298,HLOOKUP(INDIRECT(ADDRESS(2,COLUMN())),OFFSET($BN$2,0,0,ROW()-1,60),ROW()-1,FALSE))</f>
        <v>36.174999999999997</v>
      </c>
      <c r="AH83">
        <f ca="1">IF(AND(ISNUMBER($AH$298),$B$226=1),$AH$298,HLOOKUP(INDIRECT(ADDRESS(2,COLUMN())),OFFSET($BN$2,0,0,ROW()-1,60),ROW()-1,FALSE))</f>
        <v>37.029000000000003</v>
      </c>
      <c r="AI83">
        <f ca="1">IF(AND(ISNUMBER($AI$298),$B$226=1),$AI$298,HLOOKUP(INDIRECT(ADDRESS(2,COLUMN())),OFFSET($BN$2,0,0,ROW()-1,60),ROW()-1,FALSE))</f>
        <v>34.622999999999998</v>
      </c>
      <c r="AJ83">
        <f ca="1">IF(AND(ISNUMBER($AJ$298),$B$226=1),$AJ$298,HLOOKUP(INDIRECT(ADDRESS(2,COLUMN())),OFFSET($BN$2,0,0,ROW()-1,60),ROW()-1,FALSE))</f>
        <v>29.88</v>
      </c>
      <c r="AK83">
        <f ca="1">IF(AND(ISNUMBER($AK$298),$B$226=1),$AK$298,HLOOKUP(INDIRECT(ADDRESS(2,COLUMN())),OFFSET($BN$2,0,0,ROW()-1,60),ROW()-1,FALSE))</f>
        <v>26.413</v>
      </c>
      <c r="AL83">
        <f ca="1">IF(AND(ISNUMBER($AL$298),$B$226=1),$AL$298,HLOOKUP(INDIRECT(ADDRESS(2,COLUMN())),OFFSET($BN$2,0,0,ROW()-1,60),ROW()-1,FALSE))</f>
        <v>31.077000000000002</v>
      </c>
      <c r="AM83">
        <f ca="1">IF(AND(ISNUMBER($AM$298),$B$226=1),$AM$298,HLOOKUP(INDIRECT(ADDRESS(2,COLUMN())),OFFSET($BN$2,0,0,ROW()-1,60),ROW()-1,FALSE))</f>
        <v>28.698</v>
      </c>
      <c r="AN83">
        <f ca="1">IF(AND(ISNUMBER($AN$298),$B$226=1),$AN$298,HLOOKUP(INDIRECT(ADDRESS(2,COLUMN())),OFFSET($BN$2,0,0,ROW()-1,60),ROW()-1,FALSE))</f>
        <v>27.417999999999999</v>
      </c>
      <c r="AO83">
        <f ca="1">IF(AND(ISNUMBER($AO$298),$B$226=1),$AO$298,HLOOKUP(INDIRECT(ADDRESS(2,COLUMN())),OFFSET($BN$2,0,0,ROW()-1,60),ROW()-1,FALSE))</f>
        <v>29.824000000000002</v>
      </c>
      <c r="AP83">
        <f ca="1">IF(AND(ISNUMBER($AP$298),$B$226=1),$AP$298,HLOOKUP(INDIRECT(ADDRESS(2,COLUMN())),OFFSET($BN$2,0,0,ROW()-1,60),ROW()-1,FALSE))</f>
        <v>30.725000000000001</v>
      </c>
      <c r="AQ83">
        <f ca="1">IF(AND(ISNUMBER($AQ$298),$B$226=1),$AQ$298,HLOOKUP(INDIRECT(ADDRESS(2,COLUMN())),OFFSET($BN$2,0,0,ROW()-1,60),ROW()-1,FALSE))</f>
        <v>28.102</v>
      </c>
      <c r="AR83">
        <f ca="1">IF(AND(ISNUMBER($AR$298),$B$226=1),$AR$298,HLOOKUP(INDIRECT(ADDRESS(2,COLUMN())),OFFSET($BN$2,0,0,ROW()-1,60),ROW()-1,FALSE))</f>
        <v>26.837</v>
      </c>
      <c r="AS83">
        <f ca="1">IF(AND(ISNUMBER($AS$298),$B$226=1),$AS$298,HLOOKUP(INDIRECT(ADDRESS(2,COLUMN())),OFFSET($BN$2,0,0,ROW()-1,60),ROW()-1,FALSE))</f>
        <v>27.827999999999999</v>
      </c>
      <c r="AT83">
        <f ca="1">IF(AND(ISNUMBER($AT$298),$B$226=1),$AT$298,HLOOKUP(INDIRECT(ADDRESS(2,COLUMN())),OFFSET($BN$2,0,0,ROW()-1,60),ROW()-1,FALSE))</f>
        <v>26.981999999999999</v>
      </c>
      <c r="AU83">
        <f ca="1">IF(AND(ISNUMBER($AU$298),$B$226=1),$AU$298,HLOOKUP(INDIRECT(ADDRESS(2,COLUMN())),OFFSET($BN$2,0,0,ROW()-1,60),ROW()-1,FALSE))</f>
        <v>22.036000000000001</v>
      </c>
      <c r="AV83">
        <f ca="1">IF(AND(ISNUMBER($AV$298),$B$226=1),$AV$298,HLOOKUP(INDIRECT(ADDRESS(2,COLUMN())),OFFSET($BN$2,0,0,ROW()-1,60),ROW()-1,FALSE))</f>
        <v>25.577999999999999</v>
      </c>
      <c r="AW83">
        <f ca="1">IF(AND(ISNUMBER($AW$298),$B$226=1),$AW$298,HLOOKUP(INDIRECT(ADDRESS(2,COLUMN())),OFFSET($BN$2,0,0,ROW()-1,60),ROW()-1,FALSE))</f>
        <v>23.396000000000001</v>
      </c>
      <c r="AX83">
        <f ca="1">IF(AND(ISNUMBER($AX$298),$B$226=1),$AX$298,HLOOKUP(INDIRECT(ADDRESS(2,COLUMN())),OFFSET($BN$2,0,0,ROW()-1,60),ROW()-1,FALSE))</f>
        <v>24.091999999999999</v>
      </c>
      <c r="AY83">
        <f ca="1">IF(AND(ISNUMBER($AY$298),$B$226=1),$AY$298,HLOOKUP(INDIRECT(ADDRESS(2,COLUMN())),OFFSET($BN$2,0,0,ROW()-1,60),ROW()-1,FALSE))</f>
        <v>22.567</v>
      </c>
      <c r="AZ83">
        <f ca="1">IF(AND(ISNUMBER($AZ$298),$B$226=1),$AZ$298,HLOOKUP(INDIRECT(ADDRESS(2,COLUMN())),OFFSET($BN$2,0,0,ROW()-1,60),ROW()-1,FALSE))</f>
        <v>21.972000000000001</v>
      </c>
      <c r="BA83">
        <f ca="1">IF(AND(ISNUMBER($BA$298),$B$226=1),$BA$298,HLOOKUP(INDIRECT(ADDRESS(2,COLUMN())),OFFSET($BN$2,0,0,ROW()-1,60),ROW()-1,FALSE))</f>
        <v>21.876999999999999</v>
      </c>
      <c r="BB83">
        <f ca="1">IF(AND(ISNUMBER($BB$298),$B$226=1),$BB$298,HLOOKUP(INDIRECT(ADDRESS(2,COLUMN())),OFFSET($BN$2,0,0,ROW()-1,60),ROW()-1,FALSE))</f>
        <v>20.780999999999999</v>
      </c>
      <c r="BC83">
        <f ca="1">IF(AND(ISNUMBER($BC$298),$B$226=1),$BC$298,HLOOKUP(INDIRECT(ADDRESS(2,COLUMN())),OFFSET($BN$2,0,0,ROW()-1,60),ROW()-1,FALSE))</f>
        <v>19.872</v>
      </c>
      <c r="BD83">
        <f ca="1">IF(AND(ISNUMBER($BD$298),$B$226=1),$BD$298,HLOOKUP(INDIRECT(ADDRESS(2,COLUMN())),OFFSET($BN$2,0,0,ROW()-1,60),ROW()-1,FALSE))</f>
        <v>18.298999999999999</v>
      </c>
      <c r="BE83">
        <f ca="1">IF(AND(ISNUMBER($BE$298),$B$226=1),$BE$298,HLOOKUP(INDIRECT(ADDRESS(2,COLUMN())),OFFSET($BN$2,0,0,ROW()-1,60),ROW()-1,FALSE))</f>
        <v>20.501999999999999</v>
      </c>
      <c r="BF83">
        <f ca="1">IF(AND(ISNUMBER($BF$298),$B$226=1),$BF$298,HLOOKUP(INDIRECT(ADDRESS(2,COLUMN())),OFFSET($BN$2,0,0,ROW()-1,60),ROW()-1,FALSE))</f>
        <v>37.481999999999999</v>
      </c>
      <c r="BG83">
        <f ca="1">IF(AND(ISNUMBER($BG$298),$B$226=1),$BG$298,HLOOKUP(INDIRECT(ADDRESS(2,COLUMN())),OFFSET($BN$2,0,0,ROW()-1,60),ROW()-1,FALSE))</f>
        <v>18.124001</v>
      </c>
      <c r="BH83">
        <f ca="1">IF(AND(ISNUMBER($BH$298),$B$226=1),$BH$298,HLOOKUP(INDIRECT(ADDRESS(2,COLUMN())),OFFSET($BN$2,0,0,ROW()-1,60),ROW()-1,FALSE))</f>
        <v>17.135000000000002</v>
      </c>
      <c r="BI83">
        <f ca="1">IF(AND(ISNUMBER($BI$298),$B$226=1),$BI$298,HLOOKUP(INDIRECT(ADDRESS(2,COLUMN())),OFFSET($BN$2,0,0,ROW()-1,60),ROW()-1,FALSE))</f>
        <v>17.274999999999999</v>
      </c>
      <c r="BJ83">
        <f ca="1">IF(AND(ISNUMBER($BJ$298),$B$226=1),$BJ$298,HLOOKUP(INDIRECT(ADDRESS(2,COLUMN())),OFFSET($BN$2,0,0,ROW()-1,60),ROW()-1,FALSE))</f>
        <v>17.490998999999999</v>
      </c>
      <c r="BK83">
        <f ca="1">IF(AND(ISNUMBER($BK$298),$B$226=1),$BK$298,HLOOKUP(INDIRECT(ADDRESS(2,COLUMN())),OFFSET($BN$2,0,0,ROW()-1,60),ROW()-1,FALSE))</f>
        <v>17.118999479999999</v>
      </c>
      <c r="BL83">
        <f ca="1">IF(AND(ISNUMBER($BL$298),$B$226=1),$BL$298,HLOOKUP(INDIRECT(ADDRESS(2,COLUMN())),OFFSET($BN$2,0,0,ROW()-1,60),ROW()-1,FALSE))</f>
        <v>8.6549999999999994</v>
      </c>
      <c r="BM83">
        <f ca="1">IF(AND(ISNUMBER($BM$298),$B$226=1),$BM$298,HLOOKUP(INDIRECT(ADDRESS(2,COLUMN())),OFFSET($BN$2,0,0,ROW()-1,60),ROW()-1,FALSE))</f>
        <v>15.069000000000001</v>
      </c>
      <c r="BN83" t="str">
        <f>""</f>
        <v/>
      </c>
      <c r="BO83">
        <f>177.199</f>
        <v>177.19900000000001</v>
      </c>
      <c r="BP83">
        <f>176.222</f>
        <v>176.22200000000001</v>
      </c>
      <c r="BQ83">
        <f>174.453</f>
        <v>174.453</v>
      </c>
      <c r="BR83">
        <f>171.687</f>
        <v>171.68700000000001</v>
      </c>
      <c r="BS83">
        <f>104.176</f>
        <v>104.176</v>
      </c>
      <c r="BT83">
        <f>117.262</f>
        <v>117.262</v>
      </c>
      <c r="BU83">
        <f>122.566</f>
        <v>122.566</v>
      </c>
      <c r="BV83">
        <f>119.381</f>
        <v>119.381</v>
      </c>
      <c r="BW83">
        <f>118.568</f>
        <v>118.568</v>
      </c>
      <c r="BX83">
        <f>114.549</f>
        <v>114.54900000000001</v>
      </c>
      <c r="BY83">
        <f>112.36</f>
        <v>112.36</v>
      </c>
      <c r="BZ83">
        <f>106.896</f>
        <v>106.896</v>
      </c>
      <c r="CA83">
        <f>107.378</f>
        <v>107.378</v>
      </c>
      <c r="CB83">
        <f>103.837</f>
        <v>103.837</v>
      </c>
      <c r="CC83">
        <f>95.513</f>
        <v>95.513000000000005</v>
      </c>
      <c r="CD83">
        <f>97.36</f>
        <v>97.36</v>
      </c>
      <c r="CE83">
        <f>74.919</f>
        <v>74.918999999999997</v>
      </c>
      <c r="CF83">
        <f>50.052</f>
        <v>50.052</v>
      </c>
      <c r="CG83">
        <f>50.835</f>
        <v>50.835000000000001</v>
      </c>
      <c r="CH83">
        <f>55.219</f>
        <v>55.219000000000001</v>
      </c>
      <c r="CI83">
        <f>53.409</f>
        <v>53.408999999999999</v>
      </c>
      <c r="CJ83">
        <f>48.171</f>
        <v>48.170999999999999</v>
      </c>
      <c r="CK83">
        <f>48.283</f>
        <v>48.283000000000001</v>
      </c>
      <c r="CL83">
        <f>46.446</f>
        <v>46.445999999999998</v>
      </c>
      <c r="CM83">
        <f>43.09</f>
        <v>43.09</v>
      </c>
      <c r="CN83">
        <f>39.248</f>
        <v>39.247999999999998</v>
      </c>
      <c r="CO83">
        <f>36.175</f>
        <v>36.174999999999997</v>
      </c>
      <c r="CP83">
        <f>37.029</f>
        <v>37.029000000000003</v>
      </c>
      <c r="CQ83">
        <f>34.623</f>
        <v>34.622999999999998</v>
      </c>
      <c r="CR83">
        <f>29.88</f>
        <v>29.88</v>
      </c>
      <c r="CS83">
        <f>26.413</f>
        <v>26.413</v>
      </c>
      <c r="CT83">
        <f>31.077</f>
        <v>31.077000000000002</v>
      </c>
      <c r="CU83">
        <f>28.698</f>
        <v>28.698</v>
      </c>
      <c r="CV83">
        <f>27.418</f>
        <v>27.417999999999999</v>
      </c>
      <c r="CW83">
        <f>29.824</f>
        <v>29.824000000000002</v>
      </c>
      <c r="CX83">
        <f>30.725</f>
        <v>30.725000000000001</v>
      </c>
      <c r="CY83">
        <f>28.102</f>
        <v>28.102</v>
      </c>
      <c r="CZ83">
        <f>26.837</f>
        <v>26.837</v>
      </c>
      <c r="DA83">
        <f>27.828</f>
        <v>27.827999999999999</v>
      </c>
      <c r="DB83">
        <f>26.982</f>
        <v>26.981999999999999</v>
      </c>
      <c r="DC83">
        <f>22.036</f>
        <v>22.036000000000001</v>
      </c>
      <c r="DD83">
        <f>25.578</f>
        <v>25.577999999999999</v>
      </c>
      <c r="DE83">
        <f>23.396</f>
        <v>23.396000000000001</v>
      </c>
      <c r="DF83">
        <f>24.092</f>
        <v>24.091999999999999</v>
      </c>
      <c r="DG83">
        <f>22.567</f>
        <v>22.567</v>
      </c>
      <c r="DH83">
        <f>21.972</f>
        <v>21.972000000000001</v>
      </c>
      <c r="DI83">
        <f>21.877</f>
        <v>21.876999999999999</v>
      </c>
      <c r="DJ83">
        <f>20.781</f>
        <v>20.780999999999999</v>
      </c>
      <c r="DK83">
        <f>19.872</f>
        <v>19.872</v>
      </c>
      <c r="DL83">
        <f>18.299</f>
        <v>18.298999999999999</v>
      </c>
      <c r="DM83">
        <f>20.502</f>
        <v>20.501999999999999</v>
      </c>
      <c r="DN83">
        <f>37.482</f>
        <v>37.481999999999999</v>
      </c>
      <c r="DO83">
        <f>18.124001</f>
        <v>18.124001</v>
      </c>
      <c r="DP83">
        <f>17.135</f>
        <v>17.135000000000002</v>
      </c>
      <c r="DQ83">
        <f>17.275</f>
        <v>17.274999999999999</v>
      </c>
      <c r="DR83">
        <f>17.490999</f>
        <v>17.490998999999999</v>
      </c>
      <c r="DS83">
        <f>17.11899948</f>
        <v>17.118999479999999</v>
      </c>
      <c r="DT83">
        <f>8.655</f>
        <v>8.6549999999999994</v>
      </c>
      <c r="DU83">
        <f>15.069</f>
        <v>15.069000000000001</v>
      </c>
    </row>
    <row r="84" spans="1:125">
      <c r="A84" t="str">
        <f>"    UDR Inc"</f>
        <v xml:space="preserve">    UDR Inc</v>
      </c>
      <c r="B84" t="str">
        <f>"UDR US Equity"</f>
        <v>UDR US Equity</v>
      </c>
      <c r="C84" t="str">
        <f t="shared" si="24"/>
        <v>CF039</v>
      </c>
      <c r="D84" t="str">
        <f t="shared" si="25"/>
        <v>CF_FFO</v>
      </c>
      <c r="E84" t="str">
        <f t="shared" si="26"/>
        <v>动态</v>
      </c>
      <c r="F84" t="str">
        <f ca="1">IF(AND(ISNUMBER($F$299),$B$226=1),$F$299,HLOOKUP(INDIRECT(ADDRESS(2,COLUMN())),OFFSET($BN$2,0,0,ROW()-1,60),ROW()-1,FALSE))</f>
        <v/>
      </c>
      <c r="G84">
        <f ca="1">IF(AND(ISNUMBER($G$299),$B$226=1),$G$299,HLOOKUP(INDIRECT(ADDRESS(2,COLUMN())),OFFSET($BN$2,0,0,ROW()-1,60),ROW()-1,FALSE))</f>
        <v>137.03399999999999</v>
      </c>
      <c r="H84">
        <f ca="1">IF(AND(ISNUMBER($H$299),$B$226=1),$H$299,HLOOKUP(INDIRECT(ADDRESS(2,COLUMN())),OFFSET($BN$2,0,0,ROW()-1,60),ROW()-1,FALSE))</f>
        <v>137.096</v>
      </c>
      <c r="I84">
        <f ca="1">IF(AND(ISNUMBER($I$299),$B$226=1),$I$299,HLOOKUP(INDIRECT(ADDRESS(2,COLUMN())),OFFSET($BN$2,0,0,ROW()-1,60),ROW()-1,FALSE))</f>
        <v>134.00899999999999</v>
      </c>
      <c r="J84">
        <f ca="1">IF(AND(ISNUMBER($J$299),$B$226=1),$J$299,HLOOKUP(INDIRECT(ADDRESS(2,COLUMN())),OFFSET($BN$2,0,0,ROW()-1,60),ROW()-1,FALSE))</f>
        <v>134.48500000000001</v>
      </c>
      <c r="K84">
        <f ca="1">IF(AND(ISNUMBER($K$299),$B$226=1),$K$299,HLOOKUP(INDIRECT(ADDRESS(2,COLUMN())),OFFSET($BN$2,0,0,ROW()-1,60),ROW()-1,FALSE))</f>
        <v>138.48699999999999</v>
      </c>
      <c r="L84">
        <f ca="1">IF(AND(ISNUMBER($L$299),$B$226=1),$L$299,HLOOKUP(INDIRECT(ADDRESS(2,COLUMN())),OFFSET($BN$2,0,0,ROW()-1,60),ROW()-1,FALSE))</f>
        <v>135.93299999999999</v>
      </c>
      <c r="M84">
        <f ca="1">IF(AND(ISNUMBER($M$299),$B$226=1),$M$299,HLOOKUP(INDIRECT(ADDRESS(2,COLUMN())),OFFSET($BN$2,0,0,ROW()-1,60),ROW()-1,FALSE))</f>
        <v>130.48500000000001</v>
      </c>
      <c r="N84">
        <f ca="1">IF(AND(ISNUMBER($N$299),$B$226=1),$N$299,HLOOKUP(INDIRECT(ADDRESS(2,COLUMN())),OFFSET($BN$2,0,0,ROW()-1,60),ROW()-1,FALSE))</f>
        <v>125.908</v>
      </c>
      <c r="O84">
        <f ca="1">IF(AND(ISNUMBER($O$299),$B$226=1),$O$299,HLOOKUP(INDIRECT(ADDRESS(2,COLUMN())),OFFSET($BN$2,0,0,ROW()-1,60),ROW()-1,FALSE))</f>
        <v>118.45399999999999</v>
      </c>
      <c r="P84">
        <f ca="1">IF(AND(ISNUMBER($P$299),$B$226=1),$P$299,HLOOKUP(INDIRECT(ADDRESS(2,COLUMN())),OFFSET($BN$2,0,0,ROW()-1,60),ROW()-1,FALSE))</f>
        <v>113.65900000000001</v>
      </c>
      <c r="Q84">
        <f ca="1">IF(AND(ISNUMBER($Q$299),$B$226=1),$Q$299,HLOOKUP(INDIRECT(ADDRESS(2,COLUMN())),OFFSET($BN$2,0,0,ROW()-1,60),ROW()-1,FALSE))</f>
        <v>109.34099999999999</v>
      </c>
      <c r="R84">
        <f ca="1">IF(AND(ISNUMBER($R$299),$B$226=1),$R$299,HLOOKUP(INDIRECT(ADDRESS(2,COLUMN())),OFFSET($BN$2,0,0,ROW()-1,60),ROW()-1,FALSE))</f>
        <v>115.971</v>
      </c>
      <c r="S84">
        <f ca="1">IF(AND(ISNUMBER($S$299),$B$226=1),$S$299,HLOOKUP(INDIRECT(ADDRESS(2,COLUMN())),OFFSET($BN$2,0,0,ROW()-1,60),ROW()-1,FALSE))</f>
        <v>107.922</v>
      </c>
      <c r="T84" t="str">
        <f ca="1">IF(AND(ISNUMBER($T$299),$B$226=1),$T$299,HLOOKUP(INDIRECT(ADDRESS(2,COLUMN())),OFFSET($BN$2,0,0,ROW()-1,60),ROW()-1,FALSE))</f>
        <v/>
      </c>
      <c r="U84" t="str">
        <f ca="1">IF(AND(ISNUMBER($U$299),$B$226=1),$U$299,HLOOKUP(INDIRECT(ADDRESS(2,COLUMN())),OFFSET($BN$2,0,0,ROW()-1,60),ROW()-1,FALSE))</f>
        <v/>
      </c>
      <c r="V84">
        <f ca="1">IF(AND(ISNUMBER($V$299),$B$226=1),$V$299,HLOOKUP(INDIRECT(ADDRESS(2,COLUMN())),OFFSET($BN$2,0,0,ROW()-1,60),ROW()-1,FALSE))</f>
        <v>95.037999999999997</v>
      </c>
      <c r="W84">
        <f ca="1">IF(AND(ISNUMBER($W$299),$B$226=1),$W$299,HLOOKUP(INDIRECT(ADDRESS(2,COLUMN())),OFFSET($BN$2,0,0,ROW()-1,60),ROW()-1,FALSE))</f>
        <v>93.921000000000006</v>
      </c>
      <c r="X84">
        <f ca="1">IF(AND(ISNUMBER($X$299),$B$226=1),$X$299,HLOOKUP(INDIRECT(ADDRESS(2,COLUMN())),OFFSET($BN$2,0,0,ROW()-1,60),ROW()-1,FALSE))</f>
        <v>98.015000000000001</v>
      </c>
      <c r="Y84">
        <f ca="1">IF(AND(ISNUMBER($Y$299),$B$226=1),$Y$299,HLOOKUP(INDIRECT(ADDRESS(2,COLUMN())),OFFSET($BN$2,0,0,ROW()-1,60),ROW()-1,FALSE))</f>
        <v>96.427999999999997</v>
      </c>
      <c r="Z84">
        <f ca="1">IF(AND(ISNUMBER($Z$299),$B$226=1),$Z$299,HLOOKUP(INDIRECT(ADDRESS(2,COLUMN())),OFFSET($BN$2,0,0,ROW()-1,60),ROW()-1,FALSE))</f>
        <v>92.138000000000005</v>
      </c>
      <c r="AA84">
        <f ca="1">IF(AND(ISNUMBER($AA$299),$B$226=1),$AA$299,HLOOKUP(INDIRECT(ADDRESS(2,COLUMN())),OFFSET($BN$2,0,0,ROW()-1,60),ROW()-1,FALSE))</f>
        <v>81.587999999999994</v>
      </c>
      <c r="AB84">
        <f ca="1">IF(AND(ISNUMBER($AB$299),$B$226=1),$AB$299,HLOOKUP(INDIRECT(ADDRESS(2,COLUMN())),OFFSET($BN$2,0,0,ROW()-1,60),ROW()-1,FALSE))</f>
        <v>86.531999999999996</v>
      </c>
      <c r="AC84">
        <f ca="1">IF(AND(ISNUMBER($AC$299),$B$226=1),$AC$299,HLOOKUP(INDIRECT(ADDRESS(2,COLUMN())),OFFSET($BN$2,0,0,ROW()-1,60),ROW()-1,FALSE))</f>
        <v>81.182000000000002</v>
      </c>
      <c r="AD84">
        <f ca="1">IF(AND(ISNUMBER($AD$299),$B$226=1),$AD$299,HLOOKUP(INDIRECT(ADDRESS(2,COLUMN())),OFFSET($BN$2,0,0,ROW()-1,60),ROW()-1,FALSE))</f>
        <v>83.52</v>
      </c>
      <c r="AE84">
        <f ca="1">IF(AND(ISNUMBER($AE$299),$B$226=1),$AE$299,HLOOKUP(INDIRECT(ADDRESS(2,COLUMN())),OFFSET($BN$2,0,0,ROW()-1,60),ROW()-1,FALSE))</f>
        <v>80.191999999999993</v>
      </c>
      <c r="AF84">
        <f ca="1">IF(AND(ISNUMBER($AF$299),$B$226=1),$AF$299,HLOOKUP(INDIRECT(ADDRESS(2,COLUMN())),OFFSET($BN$2,0,0,ROW()-1,60),ROW()-1,FALSE))</f>
        <v>72.983000000000004</v>
      </c>
      <c r="AG84">
        <f ca="1">IF(AND(ISNUMBER($AG$299),$B$226=1),$AG$299,HLOOKUP(INDIRECT(ADDRESS(2,COLUMN())),OFFSET($BN$2,0,0,ROW()-1,60),ROW()-1,FALSE))</f>
        <v>63.576000000000001</v>
      </c>
      <c r="AH84">
        <f ca="1">IF(AND(ISNUMBER($AH$299),$B$226=1),$AH$299,HLOOKUP(INDIRECT(ADDRESS(2,COLUMN())),OFFSET($BN$2,0,0,ROW()-1,60),ROW()-1,FALSE))</f>
        <v>55.898000000000003</v>
      </c>
      <c r="AI84">
        <f ca="1">IF(AND(ISNUMBER($AI$299),$B$226=1),$AI$299,HLOOKUP(INDIRECT(ADDRESS(2,COLUMN())),OFFSET($BN$2,0,0,ROW()-1,60),ROW()-1,FALSE))</f>
        <v>53.442</v>
      </c>
      <c r="AJ84">
        <f ca="1">IF(AND(ISNUMBER($AJ$299),$B$226=1),$AJ$299,HLOOKUP(INDIRECT(ADDRESS(2,COLUMN())),OFFSET($BN$2,0,0,ROW()-1,60),ROW()-1,FALSE))</f>
        <v>46.887</v>
      </c>
      <c r="AK84">
        <f ca="1">IF(AND(ISNUMBER($AK$299),$B$226=1),$AK$299,HLOOKUP(INDIRECT(ADDRESS(2,COLUMN())),OFFSET($BN$2,0,0,ROW()-1,60),ROW()-1,FALSE))</f>
        <v>45.658999999999999</v>
      </c>
      <c r="AL84">
        <f ca="1">IF(AND(ISNUMBER($AL$299),$B$226=1),$AL$299,HLOOKUP(INDIRECT(ADDRESS(2,COLUMN())),OFFSET($BN$2,0,0,ROW()-1,60),ROW()-1,FALSE))</f>
        <v>45.851999999999997</v>
      </c>
      <c r="AM84">
        <f ca="1">IF(AND(ISNUMBER($AM$299),$B$226=1),$AM$299,HLOOKUP(INDIRECT(ADDRESS(2,COLUMN())),OFFSET($BN$2,0,0,ROW()-1,60),ROW()-1,FALSE))</f>
        <v>44.55</v>
      </c>
      <c r="AN84">
        <f ca="1">IF(AND(ISNUMBER($AN$299),$B$226=1),$AN$299,HLOOKUP(INDIRECT(ADDRESS(2,COLUMN())),OFFSET($BN$2,0,0,ROW()-1,60),ROW()-1,FALSE))</f>
        <v>28.792000000000002</v>
      </c>
      <c r="AO84">
        <f ca="1">IF(AND(ISNUMBER($AO$299),$B$226=1),$AO$299,HLOOKUP(INDIRECT(ADDRESS(2,COLUMN())),OFFSET($BN$2,0,0,ROW()-1,60),ROW()-1,FALSE))</f>
        <v>53.65</v>
      </c>
      <c r="AP84">
        <f ca="1">IF(AND(ISNUMBER($AP$299),$B$226=1),$AP$299,HLOOKUP(INDIRECT(ADDRESS(2,COLUMN())),OFFSET($BN$2,0,0,ROW()-1,60),ROW()-1,FALSE))</f>
        <v>55.003999999999998</v>
      </c>
      <c r="AQ84">
        <f ca="1">IF(AND(ISNUMBER($AQ$299),$B$226=1),$AQ$299,HLOOKUP(INDIRECT(ADDRESS(2,COLUMN())),OFFSET($BN$2,0,0,ROW()-1,60),ROW()-1,FALSE))</f>
        <v>52.466999999999999</v>
      </c>
      <c r="AR84">
        <f ca="1">IF(AND(ISNUMBER($AR$299),$B$226=1),$AR$299,HLOOKUP(INDIRECT(ADDRESS(2,COLUMN())),OFFSET($BN$2,0,0,ROW()-1,60),ROW()-1,FALSE))</f>
        <v>47.003</v>
      </c>
      <c r="AS84">
        <f ca="1">IF(AND(ISNUMBER($AS$299),$B$226=1),$AS$299,HLOOKUP(INDIRECT(ADDRESS(2,COLUMN())),OFFSET($BN$2,0,0,ROW()-1,60),ROW()-1,FALSE))</f>
        <v>45.636000000000003</v>
      </c>
      <c r="AT84">
        <f ca="1">IF(AND(ISNUMBER($AT$299),$B$226=1),$AT$299,HLOOKUP(INDIRECT(ADDRESS(2,COLUMN())),OFFSET($BN$2,0,0,ROW()-1,60),ROW()-1,FALSE))</f>
        <v>56.051000000000002</v>
      </c>
      <c r="AU84">
        <f ca="1">IF(AND(ISNUMBER($AU$299),$B$226=1),$AU$299,HLOOKUP(INDIRECT(ADDRESS(2,COLUMN())),OFFSET($BN$2,0,0,ROW()-1,60),ROW()-1,FALSE))</f>
        <v>57.396999999999998</v>
      </c>
      <c r="AV84">
        <f ca="1">IF(AND(ISNUMBER($AV$299),$B$226=1),$AV$299,HLOOKUP(INDIRECT(ADDRESS(2,COLUMN())),OFFSET($BN$2,0,0,ROW()-1,60),ROW()-1,FALSE))</f>
        <v>67.757999999999996</v>
      </c>
      <c r="AW84">
        <f ca="1">IF(AND(ISNUMBER($AW$299),$B$226=1),$AW$299,HLOOKUP(INDIRECT(ADDRESS(2,COLUMN())),OFFSET($BN$2,0,0,ROW()-1,60),ROW()-1,FALSE))</f>
        <v>65.311000000000007</v>
      </c>
      <c r="AX84">
        <f ca="1">IF(AND(ISNUMBER($AX$299),$B$226=1),$AX$299,HLOOKUP(INDIRECT(ADDRESS(2,COLUMN())),OFFSET($BN$2,0,0,ROW()-1,60),ROW()-1,FALSE))</f>
        <v>56.942</v>
      </c>
      <c r="AY84">
        <f ca="1">IF(AND(ISNUMBER($AY$299),$B$226=1),$AY$299,HLOOKUP(INDIRECT(ADDRESS(2,COLUMN())),OFFSET($BN$2,0,0,ROW()-1,60),ROW()-1,FALSE))</f>
        <v>62.393999999999998</v>
      </c>
      <c r="AZ84">
        <f ca="1">IF(AND(ISNUMBER($AZ$299),$B$226=1),$AZ$299,HLOOKUP(INDIRECT(ADDRESS(2,COLUMN())),OFFSET($BN$2,0,0,ROW()-1,60),ROW()-1,FALSE))</f>
        <v>59.302</v>
      </c>
      <c r="BA84">
        <f ca="1">IF(AND(ISNUMBER($BA$299),$B$226=1),$BA$299,HLOOKUP(INDIRECT(ADDRESS(2,COLUMN())),OFFSET($BN$2,0,0,ROW()-1,60),ROW()-1,FALSE))</f>
        <v>61.289000000000001</v>
      </c>
      <c r="BB84">
        <f ca="1">IF(AND(ISNUMBER($BB$299),$B$226=1),$BB$299,HLOOKUP(INDIRECT(ADDRESS(2,COLUMN())),OFFSET($BN$2,0,0,ROW()-1,60),ROW()-1,FALSE))</f>
        <v>61.485999999999997</v>
      </c>
      <c r="BC84">
        <f ca="1">IF(AND(ISNUMBER($BC$299),$B$226=1),$BC$299,HLOOKUP(INDIRECT(ADDRESS(2,COLUMN())),OFFSET($BN$2,0,0,ROW()-1,60),ROW()-1,FALSE))</f>
        <v>68.453999999999994</v>
      </c>
      <c r="BD84">
        <f ca="1">IF(AND(ISNUMBER($BD$299),$B$226=1),$BD$299,HLOOKUP(INDIRECT(ADDRESS(2,COLUMN())),OFFSET($BN$2,0,0,ROW()-1,60),ROW()-1,FALSE))</f>
        <v>58.49</v>
      </c>
      <c r="BE84">
        <f ca="1">IF(AND(ISNUMBER($BE$299),$B$226=1),$BE$299,HLOOKUP(INDIRECT(ADDRESS(2,COLUMN())),OFFSET($BN$2,0,0,ROW()-1,60),ROW()-1,FALSE))</f>
        <v>57.557000000000002</v>
      </c>
      <c r="BF84">
        <f ca="1">IF(AND(ISNUMBER($BF$299),$B$226=1),$BF$299,HLOOKUP(INDIRECT(ADDRESS(2,COLUMN())),OFFSET($BN$2,0,0,ROW()-1,60),ROW()-1,FALSE))</f>
        <v>57.478999999999999</v>
      </c>
      <c r="BG84">
        <f ca="1">IF(AND(ISNUMBER($BG$299),$B$226=1),$BG$299,HLOOKUP(INDIRECT(ADDRESS(2,COLUMN())),OFFSET($BN$2,0,0,ROW()-1,60),ROW()-1,FALSE))</f>
        <v>56.335999999999999</v>
      </c>
      <c r="BH84">
        <f ca="1">IF(AND(ISNUMBER($BH$299),$B$226=1),$BH$299,HLOOKUP(INDIRECT(ADDRESS(2,COLUMN())),OFFSET($BN$2,0,0,ROW()-1,60),ROW()-1,FALSE))</f>
        <v>50.67</v>
      </c>
      <c r="BI84">
        <f ca="1">IF(AND(ISNUMBER($BI$299),$B$226=1),$BI$299,HLOOKUP(INDIRECT(ADDRESS(2,COLUMN())),OFFSET($BN$2,0,0,ROW()-1,60),ROW()-1,FALSE))</f>
        <v>56.576999999999998</v>
      </c>
      <c r="BJ84">
        <f ca="1">IF(AND(ISNUMBER($BJ$299),$B$226=1),$BJ$299,HLOOKUP(INDIRECT(ADDRESS(2,COLUMN())),OFFSET($BN$2,0,0,ROW()-1,60),ROW()-1,FALSE))</f>
        <v>54.77</v>
      </c>
      <c r="BK84">
        <f ca="1">IF(AND(ISNUMBER($BK$299),$B$226=1),$BK$299,HLOOKUP(INDIRECT(ADDRESS(2,COLUMN())),OFFSET($BN$2,0,0,ROW()-1,60),ROW()-1,FALSE))</f>
        <v>53.816000000000003</v>
      </c>
      <c r="BL84">
        <f ca="1">IF(AND(ISNUMBER($BL$299),$B$226=1),$BL$299,HLOOKUP(INDIRECT(ADDRESS(2,COLUMN())),OFFSET($BN$2,0,0,ROW()-1,60),ROW()-1,FALSE))</f>
        <v>52.292999999999999</v>
      </c>
      <c r="BM84">
        <f ca="1">IF(AND(ISNUMBER($BM$299),$B$226=1),$BM$299,HLOOKUP(INDIRECT(ADDRESS(2,COLUMN())),OFFSET($BN$2,0,0,ROW()-1,60),ROW()-1,FALSE))</f>
        <v>52.421999999999997</v>
      </c>
      <c r="BN84" t="str">
        <f>""</f>
        <v/>
      </c>
      <c r="BO84">
        <f>137.034</f>
        <v>137.03399999999999</v>
      </c>
      <c r="BP84">
        <f>137.096</f>
        <v>137.096</v>
      </c>
      <c r="BQ84">
        <f>134.009</f>
        <v>134.00899999999999</v>
      </c>
      <c r="BR84">
        <f>134.485</f>
        <v>134.48500000000001</v>
      </c>
      <c r="BS84">
        <f>138.487</f>
        <v>138.48699999999999</v>
      </c>
      <c r="BT84">
        <f>135.933</f>
        <v>135.93299999999999</v>
      </c>
      <c r="BU84">
        <f>130.485</f>
        <v>130.48500000000001</v>
      </c>
      <c r="BV84">
        <f>125.908</f>
        <v>125.908</v>
      </c>
      <c r="BW84">
        <f>118.454</f>
        <v>118.45399999999999</v>
      </c>
      <c r="BX84">
        <f>113.659</f>
        <v>113.65900000000001</v>
      </c>
      <c r="BY84">
        <f>109.341</f>
        <v>109.34099999999999</v>
      </c>
      <c r="BZ84">
        <f>115.971</f>
        <v>115.971</v>
      </c>
      <c r="CA84">
        <f>107.922</f>
        <v>107.922</v>
      </c>
      <c r="CB84" t="str">
        <f>""</f>
        <v/>
      </c>
      <c r="CC84" t="str">
        <f>""</f>
        <v/>
      </c>
      <c r="CD84">
        <f>95.038</f>
        <v>95.037999999999997</v>
      </c>
      <c r="CE84">
        <f>93.921</f>
        <v>93.921000000000006</v>
      </c>
      <c r="CF84">
        <f>98.015</f>
        <v>98.015000000000001</v>
      </c>
      <c r="CG84">
        <f>96.428</f>
        <v>96.427999999999997</v>
      </c>
      <c r="CH84">
        <f>92.138</f>
        <v>92.138000000000005</v>
      </c>
      <c r="CI84">
        <f>81.588</f>
        <v>81.587999999999994</v>
      </c>
      <c r="CJ84">
        <f>86.532</f>
        <v>86.531999999999996</v>
      </c>
      <c r="CK84">
        <f>81.182</f>
        <v>81.182000000000002</v>
      </c>
      <c r="CL84">
        <f>83.52</f>
        <v>83.52</v>
      </c>
      <c r="CM84">
        <f>80.192</f>
        <v>80.191999999999993</v>
      </c>
      <c r="CN84">
        <f>72.983</f>
        <v>72.983000000000004</v>
      </c>
      <c r="CO84">
        <f>63.576</f>
        <v>63.576000000000001</v>
      </c>
      <c r="CP84">
        <f>55.898</f>
        <v>55.898000000000003</v>
      </c>
      <c r="CQ84">
        <f>53.442</f>
        <v>53.442</v>
      </c>
      <c r="CR84">
        <f>46.887</f>
        <v>46.887</v>
      </c>
      <c r="CS84">
        <f>45.659</f>
        <v>45.658999999999999</v>
      </c>
      <c r="CT84">
        <f>45.852</f>
        <v>45.851999999999997</v>
      </c>
      <c r="CU84">
        <f>44.55</f>
        <v>44.55</v>
      </c>
      <c r="CV84">
        <f>28.792</f>
        <v>28.792000000000002</v>
      </c>
      <c r="CW84">
        <f>53.65</f>
        <v>53.65</v>
      </c>
      <c r="CX84">
        <f>55.004</f>
        <v>55.003999999999998</v>
      </c>
      <c r="CY84">
        <f>52.467</f>
        <v>52.466999999999999</v>
      </c>
      <c r="CZ84">
        <f>47.003</f>
        <v>47.003</v>
      </c>
      <c r="DA84">
        <f>45.636</f>
        <v>45.636000000000003</v>
      </c>
      <c r="DB84">
        <f>56.051</f>
        <v>56.051000000000002</v>
      </c>
      <c r="DC84">
        <f>57.397</f>
        <v>57.396999999999998</v>
      </c>
      <c r="DD84">
        <f>67.758</f>
        <v>67.757999999999996</v>
      </c>
      <c r="DE84">
        <f>65.311</f>
        <v>65.311000000000007</v>
      </c>
      <c r="DF84">
        <f>56.942</f>
        <v>56.942</v>
      </c>
      <c r="DG84">
        <f>62.394</f>
        <v>62.393999999999998</v>
      </c>
      <c r="DH84">
        <f>59.302</f>
        <v>59.302</v>
      </c>
      <c r="DI84">
        <f>61.289</f>
        <v>61.289000000000001</v>
      </c>
      <c r="DJ84">
        <f>61.486</f>
        <v>61.485999999999997</v>
      </c>
      <c r="DK84">
        <f>68.454</f>
        <v>68.453999999999994</v>
      </c>
      <c r="DL84">
        <f>58.49</f>
        <v>58.49</v>
      </c>
      <c r="DM84">
        <f>57.557</f>
        <v>57.557000000000002</v>
      </c>
      <c r="DN84">
        <f>57.479</f>
        <v>57.478999999999999</v>
      </c>
      <c r="DO84">
        <f>56.336</f>
        <v>56.335999999999999</v>
      </c>
      <c r="DP84">
        <f>50.67</f>
        <v>50.67</v>
      </c>
      <c r="DQ84">
        <f>56.577</f>
        <v>56.576999999999998</v>
      </c>
      <c r="DR84">
        <f>54.77</f>
        <v>54.77</v>
      </c>
      <c r="DS84">
        <f>53.816</f>
        <v>53.816000000000003</v>
      </c>
      <c r="DT84">
        <f>52.293</f>
        <v>52.292999999999999</v>
      </c>
      <c r="DU84">
        <f>52.422</f>
        <v>52.421999999999997</v>
      </c>
    </row>
    <row r="85" spans="1:125">
      <c r="A85" t="str">
        <f>"可分配资金"</f>
        <v>可分配资金</v>
      </c>
      <c r="B85" t="str">
        <f>""</f>
        <v/>
      </c>
      <c r="E85" t="str">
        <f>"Median"</f>
        <v>Median</v>
      </c>
      <c r="F85" t="str">
        <f ca="1">IF(ISERROR(IF(MEDIAN($F$86:$F$93) = 0, "", MEDIAN($F$86:$F$93))), "", (IF(MEDIAN($F$86:$F$93) = 0, "", MEDIAN($F$86:$F$93))))</f>
        <v/>
      </c>
      <c r="G85">
        <f ca="1">IF(ISERROR(IF(MEDIAN($G$86:$G$93) = 0, "", MEDIAN($G$86:$G$93))), "", (IF(MEDIAN($G$86:$G$93) = 0, "", MEDIAN($G$86:$G$93))))</f>
        <v>126.31049999999999</v>
      </c>
      <c r="H85">
        <f ca="1">IF(ISERROR(IF(MEDIAN($H$86:$H$93) = 0, "", MEDIAN($H$86:$H$93))), "", (IF(MEDIAN($H$86:$H$93) = 0, "", MEDIAN($H$86:$H$93))))</f>
        <v>126.94</v>
      </c>
      <c r="I85">
        <f ca="1">IF(ISERROR(IF(MEDIAN($I$86:$I$93) = 0, "", MEDIAN($I$86:$I$93))), "", (IF(MEDIAN($I$86:$I$93) = 0, "", MEDIAN($I$86:$I$93))))</f>
        <v>126.601</v>
      </c>
      <c r="J85">
        <f ca="1">IF(ISERROR(IF(MEDIAN($J$86:$J$93) = 0, "", MEDIAN($J$86:$J$93))), "", (IF(MEDIAN($J$86:$J$93) = 0, "", MEDIAN($J$86:$J$93))))</f>
        <v>136.214</v>
      </c>
      <c r="K85">
        <f ca="1">IF(ISERROR(IF(MEDIAN($K$86:$K$93) = 0, "", MEDIAN($K$86:$K$93))), "", (IF(MEDIAN($K$86:$K$93) = 0, "", MEDIAN($K$86:$K$93))))</f>
        <v>105.045</v>
      </c>
      <c r="L85">
        <f ca="1">IF(ISERROR(IF(MEDIAN($L$86:$L$93) = 0, "", MEDIAN($L$86:$L$93))), "", (IF(MEDIAN($L$86:$L$93) = 0, "", MEDIAN($L$86:$L$93))))</f>
        <v>102.9135</v>
      </c>
      <c r="M85">
        <f ca="1">IF(ISERROR(IF(MEDIAN($M$86:$M$93) = 0, "", MEDIAN($M$86:$M$93))), "", (IF(MEDIAN($M$86:$M$93) = 0, "", MEDIAN($M$86:$M$93))))</f>
        <v>105.79949999999999</v>
      </c>
      <c r="N85">
        <f ca="1">IF(ISERROR(IF(MEDIAN($N$86:$N$93) = 0, "", MEDIAN($N$86:$N$93))), "", (IF(MEDIAN($N$86:$N$93) = 0, "", MEDIAN($N$86:$N$93))))</f>
        <v>109.76349999999999</v>
      </c>
      <c r="O85">
        <f ca="1">IF(ISERROR(IF(MEDIAN($O$86:$O$93) = 0, "", MEDIAN($O$86:$O$93))), "", (IF(MEDIAN($O$86:$O$93) = 0, "", MEDIAN($O$86:$O$93))))</f>
        <v>100.50550000000001</v>
      </c>
      <c r="P85">
        <f ca="1">IF(ISERROR(IF(MEDIAN($P$86:$P$93) = 0, "", MEDIAN($P$86:$P$93))), "", (IF(MEDIAN($P$86:$P$93) = 0, "", MEDIAN($P$86:$P$93))))</f>
        <v>94.0535</v>
      </c>
      <c r="Q85">
        <f ca="1">IF(ISERROR(IF(MEDIAN($Q$86:$Q$93) = 0, "", MEDIAN($Q$86:$Q$93))), "", (IF(MEDIAN($Q$86:$Q$93) = 0, "", MEDIAN($Q$86:$Q$93))))</f>
        <v>95.3005</v>
      </c>
      <c r="R85">
        <f ca="1">IF(ISERROR(IF(MEDIAN($R$86:$R$93) = 0, "", MEDIAN($R$86:$R$93))), "", (IF(MEDIAN($R$86:$R$93) = 0, "", MEDIAN($R$86:$R$93))))</f>
        <v>96.165000000000006</v>
      </c>
      <c r="S85">
        <f ca="1">IF(ISERROR(IF(MEDIAN($S$86:$S$93) = 0, "", MEDIAN($S$86:$S$93))), "", (IF(MEDIAN($S$86:$S$93) = 0, "", MEDIAN($S$86:$S$93))))</f>
        <v>93.594499999999996</v>
      </c>
      <c r="T85">
        <f ca="1">IF(ISERROR(IF(MEDIAN($T$86:$T$93) = 0, "", MEDIAN($T$86:$T$93))), "", (IF(MEDIAN($T$86:$T$93) = 0, "", MEDIAN($T$86:$T$93))))</f>
        <v>89.381</v>
      </c>
      <c r="U85">
        <f ca="1">IF(ISERROR(IF(MEDIAN($U$86:$U$93) = 0, "", MEDIAN($U$86:$U$93))), "", (IF(MEDIAN($U$86:$U$93) = 0, "", MEDIAN($U$86:$U$93))))</f>
        <v>87.515000000000001</v>
      </c>
      <c r="V85">
        <f ca="1">IF(ISERROR(IF(MEDIAN($V$86:$V$93) = 0, "", MEDIAN($V$86:$V$93))), "", (IF(MEDIAN($V$86:$V$93) = 0, "", MEDIAN($V$86:$V$93))))</f>
        <v>88.115499999999997</v>
      </c>
      <c r="W85">
        <f ca="1">IF(ISERROR(IF(MEDIAN($W$86:$W$93) = 0, "", MEDIAN($W$86:$W$93))), "", (IF(MEDIAN($W$86:$W$93) = 0, "", MEDIAN($W$86:$W$93))))</f>
        <v>78.215000000000003</v>
      </c>
      <c r="X85">
        <f ca="1">IF(ISERROR(IF(MEDIAN($X$86:$X$93) = 0, "", MEDIAN($X$86:$X$93))), "", (IF(MEDIAN($X$86:$X$93) = 0, "", MEDIAN($X$86:$X$93))))</f>
        <v>74.005499999999998</v>
      </c>
      <c r="Y85">
        <f ca="1">IF(ISERROR(IF(MEDIAN($Y$86:$Y$93) = 0, "", MEDIAN($Y$86:$Y$93))), "", (IF(MEDIAN($Y$86:$Y$93) = 0, "", MEDIAN($Y$86:$Y$93))))</f>
        <v>73.645499999999998</v>
      </c>
      <c r="Z85">
        <f ca="1">IF(ISERROR(IF(MEDIAN($Z$86:$Z$93) = 0, "", MEDIAN($Z$86:$Z$93))), "", (IF(MEDIAN($Z$86:$Z$93) = 0, "", MEDIAN($Z$86:$Z$93))))</f>
        <v>74.388499999999993</v>
      </c>
      <c r="AA85">
        <f ca="1">IF(ISERROR(IF(MEDIAN($AA$86:$AA$93) = 0, "", MEDIAN($AA$86:$AA$93))), "", (IF(MEDIAN($AA$86:$AA$93) = 0, "", MEDIAN($AA$86:$AA$93))))</f>
        <v>68.064499999999995</v>
      </c>
      <c r="AB85">
        <f ca="1">IF(ISERROR(IF(MEDIAN($AB$86:$AB$93) = 0, "", MEDIAN($AB$86:$AB$93))), "", (IF(MEDIAN($AB$86:$AB$93) = 0, "", MEDIAN($AB$86:$AB$93))))</f>
        <v>73.63300000000001</v>
      </c>
      <c r="AC85">
        <f ca="1">IF(ISERROR(IF(MEDIAN($AC$86:$AC$93) = 0, "", MEDIAN($AC$86:$AC$93))), "", (IF(MEDIAN($AC$86:$AC$93) = 0, "", MEDIAN($AC$86:$AC$93))))</f>
        <v>63.109000000000002</v>
      </c>
      <c r="AD85">
        <f ca="1">IF(ISERROR(IF(MEDIAN($AD$86:$AD$93) = 0, "", MEDIAN($AD$86:$AD$93))), "", (IF(MEDIAN($AD$86:$AD$93) = 0, "", MEDIAN($AD$86:$AD$93))))</f>
        <v>60.034999999999997</v>
      </c>
      <c r="AE85">
        <f ca="1">IF(ISERROR(IF(MEDIAN($AE$86:$AE$93) = 0, "", MEDIAN($AE$86:$AE$93))), "", (IF(MEDIAN($AE$86:$AE$93) = 0, "", MEDIAN($AE$86:$AE$93))))</f>
        <v>49.632000000000005</v>
      </c>
      <c r="AF85">
        <f ca="1">IF(ISERROR(IF(MEDIAN($AF$86:$AF$93) = 0, "", MEDIAN($AF$86:$AF$93))), "", (IF(MEDIAN($AF$86:$AF$93) = 0, "", MEDIAN($AF$86:$AF$93))))</f>
        <v>47.424999999999997</v>
      </c>
      <c r="AG85">
        <f ca="1">IF(ISERROR(IF(MEDIAN($AG$86:$AG$93) = 0, "", MEDIAN($AG$86:$AG$93))), "", (IF(MEDIAN($AG$86:$AG$93) = 0, "", MEDIAN($AG$86:$AG$93))))</f>
        <v>35.613500000000002</v>
      </c>
      <c r="AH85">
        <f ca="1">IF(ISERROR(IF(MEDIAN($AH$86:$AH$93) = 0, "", MEDIAN($AH$86:$AH$93))), "", (IF(MEDIAN($AH$86:$AH$93) = 0, "", MEDIAN($AH$86:$AH$93))))</f>
        <v>44.298999999999999</v>
      </c>
      <c r="AI85">
        <f ca="1">IF(ISERROR(IF(MEDIAN($AI$86:$AI$93) = 0, "", MEDIAN($AI$86:$AI$93))), "", (IF(MEDIAN($AI$86:$AI$93) = 0, "", MEDIAN($AI$86:$AI$93))))</f>
        <v>45.143500000000003</v>
      </c>
      <c r="AJ85">
        <f ca="1">IF(ISERROR(IF(MEDIAN($AJ$86:$AJ$93) = 0, "", MEDIAN($AJ$86:$AJ$93))), "", (IF(MEDIAN($AJ$86:$AJ$93) = 0, "", MEDIAN($AJ$86:$AJ$93))))</f>
        <v>39.831999999999994</v>
      </c>
      <c r="AK85">
        <f ca="1">IF(ISERROR(IF(MEDIAN($AK$86:$AK$93) = 0, "", MEDIAN($AK$86:$AK$93))), "", (IF(MEDIAN($AK$86:$AK$93) = 0, "", MEDIAN($AK$86:$AK$93))))</f>
        <v>39.22</v>
      </c>
      <c r="AL85">
        <f ca="1">IF(ISERROR(IF(MEDIAN($AL$86:$AL$93) = 0, "", MEDIAN($AL$86:$AL$93))), "", (IF(MEDIAN($AL$86:$AL$93) = 0, "", MEDIAN($AL$86:$AL$93))))</f>
        <v>44.008499999999998</v>
      </c>
      <c r="AM85">
        <f ca="1">IF(ISERROR(IF(MEDIAN($AM$86:$AM$93) = 0, "", MEDIAN($AM$86:$AM$93))), "", (IF(MEDIAN($AM$86:$AM$93) = 0, "", MEDIAN($AM$86:$AM$93))))</f>
        <v>37.381500000000003</v>
      </c>
      <c r="AN85">
        <f ca="1">IF(ISERROR(IF(MEDIAN($AN$86:$AN$93) = 0, "", MEDIAN($AN$86:$AN$93))), "", (IF(MEDIAN($AN$86:$AN$93) = 0, "", MEDIAN($AN$86:$AN$93))))</f>
        <v>29.524000000000001</v>
      </c>
      <c r="AO85">
        <f ca="1">IF(ISERROR(IF(MEDIAN($AO$86:$AO$93) = 0, "", MEDIAN($AO$86:$AO$93))), "", (IF(MEDIAN($AO$86:$AO$93) = 0, "", MEDIAN($AO$86:$AO$93))))</f>
        <v>41.956045500000002</v>
      </c>
      <c r="AP85">
        <f ca="1">IF(ISERROR(IF(MEDIAN($AP$86:$AP$93) = 0, "", MEDIAN($AP$86:$AP$93))), "", (IF(MEDIAN($AP$86:$AP$93) = 0, "", MEDIAN($AP$86:$AP$93))))</f>
        <v>44.975999999999999</v>
      </c>
      <c r="AQ85">
        <f ca="1">IF(ISERROR(IF(MEDIAN($AQ$86:$AQ$93) = 0, "", MEDIAN($AQ$86:$AQ$93))), "", (IF(MEDIAN($AQ$86:$AQ$93) = 0, "", MEDIAN($AQ$86:$AQ$93))))</f>
        <v>31.008499999999998</v>
      </c>
      <c r="AR85">
        <f ca="1">IF(ISERROR(IF(MEDIAN($AR$86:$AR$93) = 0, "", MEDIAN($AR$86:$AR$93))), "", (IF(MEDIAN($AR$86:$AR$93) = 0, "", MEDIAN($AR$86:$AR$93))))</f>
        <v>32.4495</v>
      </c>
      <c r="AS85">
        <f ca="1">IF(ISERROR(IF(MEDIAN($AS$86:$AS$93) = 0, "", MEDIAN($AS$86:$AS$93))), "", (IF(MEDIAN($AS$86:$AS$93) = 0, "", MEDIAN($AS$86:$AS$93))))</f>
        <v>40.825000000000003</v>
      </c>
      <c r="AT85">
        <f ca="1">IF(ISERROR(IF(MEDIAN($AT$86:$AT$93) = 0, "", MEDIAN($AT$86:$AT$93))), "", (IF(MEDIAN($AT$86:$AT$93) = 0, "", MEDIAN($AT$86:$AT$93))))</f>
        <v>44.612000000000002</v>
      </c>
      <c r="AU85">
        <f ca="1">IF(ISERROR(IF(MEDIAN($AU$86:$AU$93) = 0, "", MEDIAN($AU$86:$AU$93))), "", (IF(MEDIAN($AU$86:$AU$93) = 0, "", MEDIAN($AU$86:$AU$93))))</f>
        <v>35.8065</v>
      </c>
      <c r="AV85">
        <f ca="1">IF(ISERROR(IF(MEDIAN($AV$86:$AV$93) = 0, "", MEDIAN($AV$86:$AV$93))), "", (IF(MEDIAN($AV$86:$AV$93) = 0, "", MEDIAN($AV$86:$AV$93))))</f>
        <v>41.252499999999998</v>
      </c>
      <c r="AW85">
        <f ca="1">IF(ISERROR(IF(MEDIAN($AW$86:$AW$93) = 0, "", MEDIAN($AW$86:$AW$93))), "", (IF(MEDIAN($AW$86:$AW$93) = 0, "", MEDIAN($AW$86:$AW$93))))</f>
        <v>41.598500000000001</v>
      </c>
      <c r="AX85">
        <f ca="1">IF(ISERROR(IF(MEDIAN($AX$86:$AX$93) = 0, "", MEDIAN($AX$86:$AX$93))), "", (IF(MEDIAN($AX$86:$AX$93) = 0, "", MEDIAN($AX$86:$AX$93))))</f>
        <v>45.519999999999996</v>
      </c>
      <c r="AY85">
        <f ca="1">IF(ISERROR(IF(MEDIAN($AY$86:$AY$93) = 0, "", MEDIAN($AY$86:$AY$93))), "", (IF(MEDIAN($AY$86:$AY$93) = 0, "", MEDIAN($AY$86:$AY$93))))</f>
        <v>37.956499999999998</v>
      </c>
      <c r="AZ85">
        <f ca="1">IF(ISERROR(IF(MEDIAN($AZ$86:$AZ$93) = 0, "", MEDIAN($AZ$86:$AZ$93))), "", (IF(MEDIAN($AZ$86:$AZ$93) = 0, "", MEDIAN($AZ$86:$AZ$93))))</f>
        <v>41.517499999999998</v>
      </c>
      <c r="BA85">
        <f ca="1">IF(ISERROR(IF(MEDIAN($BA$86:$BA$93) = 0, "", MEDIAN($BA$86:$BA$93))), "", (IF(MEDIAN($BA$86:$BA$93) = 0, "", MEDIAN($BA$86:$BA$93))))</f>
        <v>40.143500000000003</v>
      </c>
      <c r="BB85">
        <f ca="1">IF(ISERROR(IF(MEDIAN($BB$86:$BB$93) = 0, "", MEDIAN($BB$86:$BB$93))), "", (IF(MEDIAN($BB$86:$BB$93) = 0, "", MEDIAN($BB$86:$BB$93))))</f>
        <v>35.718000000000004</v>
      </c>
      <c r="BC85">
        <f ca="1">IF(ISERROR(IF(MEDIAN($BC$86:$BC$93) = 0, "", MEDIAN($BC$86:$BC$93))), "", (IF(MEDIAN($BC$86:$BC$93) = 0, "", MEDIAN($BC$86:$BC$93))))</f>
        <v>35.439</v>
      </c>
      <c r="BD85">
        <f ca="1">IF(ISERROR(IF(MEDIAN($BD$86:$BD$93) = 0, "", MEDIAN($BD$86:$BD$93))), "", (IF(MEDIAN($BD$86:$BD$93) = 0, "", MEDIAN($BD$86:$BD$93))))</f>
        <v>37.018500000000003</v>
      </c>
      <c r="BE85">
        <f ca="1">IF(ISERROR(IF(MEDIAN($BE$86:$BE$93) = 0, "", MEDIAN($BE$86:$BE$93))), "", (IF(MEDIAN($BE$86:$BE$93) = 0, "", MEDIAN($BE$86:$BE$93))))</f>
        <v>47.103000000000002</v>
      </c>
      <c r="BF85">
        <f ca="1">IF(ISERROR(IF(MEDIAN($BF$86:$BF$93) = 0, "", MEDIAN($BF$86:$BF$93))), "", (IF(MEDIAN($BF$86:$BF$93) = 0, "", MEDIAN($BF$86:$BF$93))))</f>
        <v>44.548500000000004</v>
      </c>
      <c r="BG85">
        <f ca="1">IF(ISERROR(IF(MEDIAN($BG$86:$BG$93) = 0, "", MEDIAN($BG$86:$BG$93))), "", (IF(MEDIAN($BG$86:$BG$93) = 0, "", MEDIAN($BG$86:$BG$93))))</f>
        <v>38.185000000000002</v>
      </c>
      <c r="BH85">
        <f ca="1">IF(ISERROR(IF(MEDIAN($BH$86:$BH$93) = 0, "", MEDIAN($BH$86:$BH$93))), "", (IF(MEDIAN($BH$86:$BH$93) = 0, "", MEDIAN($BH$86:$BH$93))))</f>
        <v>34.47</v>
      </c>
      <c r="BI85">
        <f ca="1">IF(ISERROR(IF(MEDIAN($BI$86:$BI$93) = 0, "", MEDIAN($BI$86:$BI$93))), "", (IF(MEDIAN($BI$86:$BI$93) = 0, "", MEDIAN($BI$86:$BI$93))))</f>
        <v>24.603999999999999</v>
      </c>
      <c r="BJ85">
        <f ca="1">IF(ISERROR(IF(MEDIAN($BJ$86:$BJ$93) = 0, "", MEDIAN($BJ$86:$BJ$93))), "", (IF(MEDIAN($BJ$86:$BJ$93) = 0, "", MEDIAN($BJ$86:$BJ$93))))</f>
        <v>36.785998999999997</v>
      </c>
      <c r="BK85">
        <f ca="1">IF(ISERROR(IF(MEDIAN($BK$86:$BK$93) = 0, "", MEDIAN($BK$86:$BK$93))), "", (IF(MEDIAN($BK$86:$BK$93) = 0, "", MEDIAN($BK$86:$BK$93))))</f>
        <v>36.337001800000003</v>
      </c>
      <c r="BL85">
        <f ca="1">IF(ISERROR(IF(MEDIAN($BL$86:$BL$93) = 0, "", MEDIAN($BL$86:$BL$93))), "", (IF(MEDIAN($BL$86:$BL$93) = 0, "", MEDIAN($BL$86:$BL$93))))</f>
        <v>42.553999500000003</v>
      </c>
      <c r="BM85">
        <f ca="1">IF(ISERROR(IF(MEDIAN($BM$86:$BM$93) = 0, "", MEDIAN($BM$86:$BM$93))), "", (IF(MEDIAN($BM$86:$BM$93) = 0, "", MEDIAN($BM$86:$BM$93))))</f>
        <v>42.409499499999995</v>
      </c>
      <c r="BN85" t="str">
        <f>""</f>
        <v/>
      </c>
      <c r="BO85">
        <f>126.3105</f>
        <v>126.3105</v>
      </c>
      <c r="BP85">
        <f>126.94</f>
        <v>126.94</v>
      </c>
      <c r="BQ85">
        <f>126.601</f>
        <v>126.601</v>
      </c>
      <c r="BR85">
        <f>136.214</f>
        <v>136.214</v>
      </c>
      <c r="BS85">
        <f>105.045</f>
        <v>105.045</v>
      </c>
      <c r="BT85">
        <f>102.9135</f>
        <v>102.9135</v>
      </c>
      <c r="BU85">
        <f>105.7995</f>
        <v>105.79949999999999</v>
      </c>
      <c r="BV85">
        <f>109.7635</f>
        <v>109.76349999999999</v>
      </c>
      <c r="BW85">
        <f>100.5055</f>
        <v>100.5055</v>
      </c>
      <c r="BX85">
        <f>94.0535</f>
        <v>94.0535</v>
      </c>
      <c r="BY85">
        <f>95.3005</f>
        <v>95.3005</v>
      </c>
      <c r="BZ85">
        <f>96.165</f>
        <v>96.165000000000006</v>
      </c>
      <c r="CA85">
        <f>93.5945</f>
        <v>93.594499999999996</v>
      </c>
      <c r="CB85">
        <f>89.381</f>
        <v>89.381</v>
      </c>
      <c r="CC85">
        <f>87.515</f>
        <v>87.515000000000001</v>
      </c>
      <c r="CD85">
        <f>88.1155</f>
        <v>88.115499999999997</v>
      </c>
      <c r="CE85">
        <f>78.215</f>
        <v>78.215000000000003</v>
      </c>
      <c r="CF85">
        <f>74.0055</f>
        <v>74.005499999999998</v>
      </c>
      <c r="CG85">
        <f>73.6455</f>
        <v>73.645499999999998</v>
      </c>
      <c r="CH85">
        <f>74.3885</f>
        <v>74.388499999999993</v>
      </c>
      <c r="CI85">
        <f>68.0645</f>
        <v>68.064499999999995</v>
      </c>
      <c r="CJ85">
        <f>73.633</f>
        <v>73.632999999999996</v>
      </c>
      <c r="CK85">
        <f>63.109</f>
        <v>63.109000000000002</v>
      </c>
      <c r="CL85">
        <f>60.035</f>
        <v>60.034999999999997</v>
      </c>
      <c r="CM85">
        <f>49.632</f>
        <v>49.631999999999998</v>
      </c>
      <c r="CN85">
        <f>47.425</f>
        <v>47.424999999999997</v>
      </c>
      <c r="CO85">
        <f>35.6135</f>
        <v>35.613500000000002</v>
      </c>
      <c r="CP85">
        <f>44.299</f>
        <v>44.298999999999999</v>
      </c>
      <c r="CQ85">
        <f>45.1435</f>
        <v>45.143500000000003</v>
      </c>
      <c r="CR85">
        <f>39.832</f>
        <v>39.832000000000001</v>
      </c>
      <c r="CS85">
        <f>39.22</f>
        <v>39.22</v>
      </c>
      <c r="CT85">
        <f>44.0085</f>
        <v>44.008499999999998</v>
      </c>
      <c r="CU85">
        <f>37.3815</f>
        <v>37.381500000000003</v>
      </c>
      <c r="CV85">
        <f>29.524</f>
        <v>29.524000000000001</v>
      </c>
      <c r="CW85">
        <f>41.9560455</f>
        <v>41.956045500000002</v>
      </c>
      <c r="CX85">
        <f>44.976</f>
        <v>44.975999999999999</v>
      </c>
      <c r="CY85">
        <f>31.0085</f>
        <v>31.008500000000002</v>
      </c>
      <c r="CZ85">
        <f>32.4495</f>
        <v>32.4495</v>
      </c>
      <c r="DA85">
        <f>40.825</f>
        <v>40.825000000000003</v>
      </c>
      <c r="DB85">
        <f>44.612</f>
        <v>44.612000000000002</v>
      </c>
      <c r="DC85">
        <f>35.8065</f>
        <v>35.8065</v>
      </c>
      <c r="DD85">
        <f>41.2525</f>
        <v>41.252499999999998</v>
      </c>
      <c r="DE85">
        <f>41.5985</f>
        <v>41.598500000000001</v>
      </c>
      <c r="DF85">
        <f>45.52</f>
        <v>45.52</v>
      </c>
      <c r="DG85">
        <f>37.9565</f>
        <v>37.956499999999998</v>
      </c>
      <c r="DH85">
        <f>41.5175</f>
        <v>41.517499999999998</v>
      </c>
      <c r="DI85">
        <f>40.1435</f>
        <v>40.143500000000003</v>
      </c>
      <c r="DJ85">
        <f>35.718</f>
        <v>35.718000000000004</v>
      </c>
      <c r="DK85">
        <f>35.439</f>
        <v>35.439</v>
      </c>
      <c r="DL85">
        <f>37.0185</f>
        <v>37.018500000000003</v>
      </c>
      <c r="DM85">
        <f>47.103</f>
        <v>47.103000000000002</v>
      </c>
      <c r="DN85">
        <f>44.5485</f>
        <v>44.548499999999997</v>
      </c>
      <c r="DO85">
        <f>38.185</f>
        <v>38.185000000000002</v>
      </c>
      <c r="DP85">
        <f>34.47</f>
        <v>34.47</v>
      </c>
      <c r="DQ85">
        <f>24.604</f>
        <v>24.603999999999999</v>
      </c>
      <c r="DR85">
        <f>36.785999</f>
        <v>36.785998999999997</v>
      </c>
      <c r="DS85">
        <f>36.3370018</f>
        <v>36.337001800000003</v>
      </c>
      <c r="DT85">
        <f>42.5539995</f>
        <v>42.553999500000003</v>
      </c>
      <c r="DU85">
        <f>42.4094995</f>
        <v>42.409499500000003</v>
      </c>
    </row>
    <row r="86" spans="1:125">
      <c r="A86" t="str">
        <f>"    American Campus Communities In"</f>
        <v xml:space="preserve">    American Campus Communities In</v>
      </c>
      <c r="B86" t="str">
        <f>"ACC US Equity"</f>
        <v>ACC US Equity</v>
      </c>
      <c r="C86" t="str">
        <f t="shared" ref="C86:C93" si="27">"F0578"</f>
        <v>F0578</v>
      </c>
      <c r="D86" t="str">
        <f t="shared" ref="D86:D93" si="28">"FUNDS_AVAILABLE_FOR_DISTRIBUTION"</f>
        <v>FUNDS_AVAILABLE_FOR_DISTRIBUTION</v>
      </c>
      <c r="E86" t="str">
        <f t="shared" ref="E86:E93" si="29">"动态"</f>
        <v>动态</v>
      </c>
      <c r="F86" t="str">
        <f ca="1">IF(AND(ISNUMBER($F$300),$B$226=1),$F$300,HLOOKUP(INDIRECT(ADDRESS(2,COLUMN())),OFFSET($BN$2,0,0,ROW()-1,60),ROW()-1,FALSE))</f>
        <v/>
      </c>
      <c r="G86">
        <f ca="1">IF(AND(ISNUMBER($G$300),$B$226=1),$G$300,HLOOKUP(INDIRECT(ADDRESS(2,COLUMN())),OFFSET($BN$2,0,0,ROW()-1,60),ROW()-1,FALSE))</f>
        <v>99.575999999999993</v>
      </c>
      <c r="H86">
        <f ca="1">IF(AND(ISNUMBER($H$300),$B$226=1),$H$300,HLOOKUP(INDIRECT(ADDRESS(2,COLUMN())),OFFSET($BN$2,0,0,ROW()-1,60),ROW()-1,FALSE))</f>
        <v>61.174999999999997</v>
      </c>
      <c r="I86">
        <f ca="1">IF(AND(ISNUMBER($I$300),$B$226=1),$I$300,HLOOKUP(INDIRECT(ADDRESS(2,COLUMN())),OFFSET($BN$2,0,0,ROW()-1,60),ROW()-1,FALSE))</f>
        <v>87.82</v>
      </c>
      <c r="J86">
        <f ca="1">IF(AND(ISNUMBER($J$300),$B$226=1),$J$300,HLOOKUP(INDIRECT(ADDRESS(2,COLUMN())),OFFSET($BN$2,0,0,ROW()-1,60),ROW()-1,FALSE))</f>
        <v>83.18</v>
      </c>
      <c r="K86">
        <f ca="1">IF(AND(ISNUMBER($K$300),$B$226=1),$K$300,HLOOKUP(INDIRECT(ADDRESS(2,COLUMN())),OFFSET($BN$2,0,0,ROW()-1,60),ROW()-1,FALSE))</f>
        <v>86.936000000000007</v>
      </c>
      <c r="L86">
        <f ca="1">IF(AND(ISNUMBER($L$300),$B$226=1),$L$300,HLOOKUP(INDIRECT(ADDRESS(2,COLUMN())),OFFSET($BN$2,0,0,ROW()-1,60),ROW()-1,FALSE))</f>
        <v>60.441000000000003</v>
      </c>
      <c r="M86">
        <f ca="1">IF(AND(ISNUMBER($M$300),$B$226=1),$M$300,HLOOKUP(INDIRECT(ADDRESS(2,COLUMN())),OFFSET($BN$2,0,0,ROW()-1,60),ROW()-1,FALSE))</f>
        <v>72.194999999999993</v>
      </c>
      <c r="N86">
        <f ca="1">IF(AND(ISNUMBER($N$300),$B$226=1),$N$300,HLOOKUP(INDIRECT(ADDRESS(2,COLUMN())),OFFSET($BN$2,0,0,ROW()-1,60),ROW()-1,FALSE))</f>
        <v>78.168000000000006</v>
      </c>
      <c r="O86">
        <f ca="1">IF(AND(ISNUMBER($O$300),$B$226=1),$O$300,HLOOKUP(INDIRECT(ADDRESS(2,COLUMN())),OFFSET($BN$2,0,0,ROW()-1,60),ROW()-1,FALSE))</f>
        <v>79.113</v>
      </c>
      <c r="P86">
        <f ca="1">IF(AND(ISNUMBER($P$300),$B$226=1),$P$300,HLOOKUP(INDIRECT(ADDRESS(2,COLUMN())),OFFSET($BN$2,0,0,ROW()-1,60),ROW()-1,FALSE))</f>
        <v>48.695999999999998</v>
      </c>
      <c r="Q86">
        <f ca="1">IF(AND(ISNUMBER($Q$300),$B$226=1),$Q$300,HLOOKUP(INDIRECT(ADDRESS(2,COLUMN())),OFFSET($BN$2,0,0,ROW()-1,60),ROW()-1,FALSE))</f>
        <v>65.185000000000002</v>
      </c>
      <c r="R86">
        <f ca="1">IF(AND(ISNUMBER($R$300),$B$226=1),$R$300,HLOOKUP(INDIRECT(ADDRESS(2,COLUMN())),OFFSET($BN$2,0,0,ROW()-1,60),ROW()-1,FALSE))</f>
        <v>76.081999999999994</v>
      </c>
      <c r="S86">
        <f ca="1">IF(AND(ISNUMBER($S$300),$B$226=1),$S$300,HLOOKUP(INDIRECT(ADDRESS(2,COLUMN())),OFFSET($BN$2,0,0,ROW()-1,60),ROW()-1,FALSE))</f>
        <v>79.55</v>
      </c>
      <c r="T86">
        <f ca="1">IF(AND(ISNUMBER($T$300),$B$226=1),$T$300,HLOOKUP(INDIRECT(ADDRESS(2,COLUMN())),OFFSET($BN$2,0,0,ROW()-1,60),ROW()-1,FALSE))</f>
        <v>44.145000000000003</v>
      </c>
      <c r="U86">
        <f ca="1">IF(AND(ISNUMBER($U$300),$B$226=1),$U$300,HLOOKUP(INDIRECT(ADDRESS(2,COLUMN())),OFFSET($BN$2,0,0,ROW()-1,60),ROW()-1,FALSE))</f>
        <v>60.154000000000003</v>
      </c>
      <c r="V86">
        <f ca="1">IF(AND(ISNUMBER($V$300),$B$226=1),$V$300,HLOOKUP(INDIRECT(ADDRESS(2,COLUMN())),OFFSET($BN$2,0,0,ROW()-1,60),ROW()-1,FALSE))</f>
        <v>72.293000000000006</v>
      </c>
      <c r="W86">
        <f ca="1">IF(AND(ISNUMBER($W$300),$B$226=1),$W$300,HLOOKUP(INDIRECT(ADDRESS(2,COLUMN())),OFFSET($BN$2,0,0,ROW()-1,60),ROW()-1,FALSE))</f>
        <v>52.646000000000001</v>
      </c>
      <c r="X86">
        <f ca="1">IF(AND(ISNUMBER($X$300),$B$226=1),$X$300,HLOOKUP(INDIRECT(ADDRESS(2,COLUMN())),OFFSET($BN$2,0,0,ROW()-1,60),ROW()-1,FALSE))</f>
        <v>38.493000000000002</v>
      </c>
      <c r="Y86">
        <f ca="1">IF(AND(ISNUMBER($Y$300),$B$226=1),$Y$300,HLOOKUP(INDIRECT(ADDRESS(2,COLUMN())),OFFSET($BN$2,0,0,ROW()-1,60),ROW()-1,FALSE))</f>
        <v>54.137</v>
      </c>
      <c r="Z86">
        <f ca="1">IF(AND(ISNUMBER($Z$300),$B$226=1),$Z$300,HLOOKUP(INDIRECT(ADDRESS(2,COLUMN())),OFFSET($BN$2,0,0,ROW()-1,60),ROW()-1,FALSE))</f>
        <v>64.391000000000005</v>
      </c>
      <c r="AA86">
        <f ca="1">IF(AND(ISNUMBER($AA$300),$B$226=1),$AA$300,HLOOKUP(INDIRECT(ADDRESS(2,COLUMN())),OFFSET($BN$2,0,0,ROW()-1,60),ROW()-1,FALSE))</f>
        <v>57.037999999999997</v>
      </c>
      <c r="AB86">
        <f ca="1">IF(AND(ISNUMBER($AB$300),$B$226=1),$AB$300,HLOOKUP(INDIRECT(ADDRESS(2,COLUMN())),OFFSET($BN$2,0,0,ROW()-1,60),ROW()-1,FALSE))</f>
        <v>27.818000000000001</v>
      </c>
      <c r="AC86">
        <f ca="1">IF(AND(ISNUMBER($AC$300),$B$226=1),$AC$300,HLOOKUP(INDIRECT(ADDRESS(2,COLUMN())),OFFSET($BN$2,0,0,ROW()-1,60),ROW()-1,FALSE))</f>
        <v>35.625999999999998</v>
      </c>
      <c r="AD86">
        <f ca="1">IF(AND(ISNUMBER($AD$300),$B$226=1),$AD$300,HLOOKUP(INDIRECT(ADDRESS(2,COLUMN())),OFFSET($BN$2,0,0,ROW()-1,60),ROW()-1,FALSE))</f>
        <v>43.289000000000001</v>
      </c>
      <c r="AE86">
        <f ca="1">IF(AND(ISNUMBER($AE$300),$B$226=1),$AE$300,HLOOKUP(INDIRECT(ADDRESS(2,COLUMN())),OFFSET($BN$2,0,0,ROW()-1,60),ROW()-1,FALSE))</f>
        <v>25.853000000000002</v>
      </c>
      <c r="AF86">
        <f ca="1">IF(AND(ISNUMBER($AF$300),$B$226=1),$AF$300,HLOOKUP(INDIRECT(ADDRESS(2,COLUMN())),OFFSET($BN$2,0,0,ROW()-1,60),ROW()-1,FALSE))</f>
        <v>22.501999999999999</v>
      </c>
      <c r="AG86">
        <f ca="1">IF(AND(ISNUMBER($AG$300),$B$226=1),$AG$300,HLOOKUP(INDIRECT(ADDRESS(2,COLUMN())),OFFSET($BN$2,0,0,ROW()-1,60),ROW()-1,FALSE))</f>
        <v>28.039000000000001</v>
      </c>
      <c r="AH86">
        <f ca="1">IF(AND(ISNUMBER($AH$300),$B$226=1),$AH$300,HLOOKUP(INDIRECT(ADDRESS(2,COLUMN())),OFFSET($BN$2,0,0,ROW()-1,60),ROW()-1,FALSE))</f>
        <v>38.573</v>
      </c>
      <c r="AI86">
        <f ca="1">IF(AND(ISNUMBER($AI$300),$B$226=1),$AI$300,HLOOKUP(INDIRECT(ADDRESS(2,COLUMN())),OFFSET($BN$2,0,0,ROW()-1,60),ROW()-1,FALSE))</f>
        <v>25.834</v>
      </c>
      <c r="AJ86">
        <f ca="1">IF(AND(ISNUMBER($AJ$300),$B$226=1),$AJ$300,HLOOKUP(INDIRECT(ADDRESS(2,COLUMN())),OFFSET($BN$2,0,0,ROW()-1,60),ROW()-1,FALSE))</f>
        <v>26.277999999999999</v>
      </c>
      <c r="AK86">
        <f ca="1">IF(AND(ISNUMBER($AK$300),$B$226=1),$AK$300,HLOOKUP(INDIRECT(ADDRESS(2,COLUMN())),OFFSET($BN$2,0,0,ROW()-1,60),ROW()-1,FALSE))</f>
        <v>17.050999999999998</v>
      </c>
      <c r="AL86">
        <f ca="1">IF(AND(ISNUMBER($AL$300),$B$226=1),$AL$300,HLOOKUP(INDIRECT(ADDRESS(2,COLUMN())),OFFSET($BN$2,0,0,ROW()-1,60),ROW()-1,FALSE))</f>
        <v>13.79</v>
      </c>
      <c r="AM86">
        <f ca="1">IF(AND(ISNUMBER($AM$300),$B$226=1),$AM$300,HLOOKUP(INDIRECT(ADDRESS(2,COLUMN())),OFFSET($BN$2,0,0,ROW()-1,60),ROW()-1,FALSE))</f>
        <v>15.564</v>
      </c>
      <c r="AN86">
        <f ca="1">IF(AND(ISNUMBER($AN$300),$B$226=1),$AN$300,HLOOKUP(INDIRECT(ADDRESS(2,COLUMN())),OFFSET($BN$2,0,0,ROW()-1,60),ROW()-1,FALSE))</f>
        <v>11.803000000000001</v>
      </c>
      <c r="AO86">
        <f ca="1">IF(AND(ISNUMBER($AO$300),$B$226=1),$AO$300,HLOOKUP(INDIRECT(ADDRESS(2,COLUMN())),OFFSET($BN$2,0,0,ROW()-1,60),ROW()-1,FALSE))</f>
        <v>14.609</v>
      </c>
      <c r="AP86">
        <f ca="1">IF(AND(ISNUMBER($AP$300),$B$226=1),$AP$300,HLOOKUP(INDIRECT(ADDRESS(2,COLUMN())),OFFSET($BN$2,0,0,ROW()-1,60),ROW()-1,FALSE))</f>
        <v>19.966000000000001</v>
      </c>
      <c r="AQ86">
        <f ca="1">IF(AND(ISNUMBER($AQ$300),$B$226=1),$AQ$300,HLOOKUP(INDIRECT(ADDRESS(2,COLUMN())),OFFSET($BN$2,0,0,ROW()-1,60),ROW()-1,FALSE))</f>
        <v>16.821000000000002</v>
      </c>
      <c r="AR86">
        <f ca="1">IF(AND(ISNUMBER($AR$300),$B$226=1),$AR$300,HLOOKUP(INDIRECT(ADDRESS(2,COLUMN())),OFFSET($BN$2,0,0,ROW()-1,60),ROW()-1,FALSE))</f>
        <v>5.1120000000000001</v>
      </c>
      <c r="AS86">
        <f ca="1">IF(AND(ISNUMBER($AS$300),$B$226=1),$AS$300,HLOOKUP(INDIRECT(ADDRESS(2,COLUMN())),OFFSET($BN$2,0,0,ROW()-1,60),ROW()-1,FALSE))</f>
        <v>9.6739999999999995</v>
      </c>
      <c r="AT86">
        <f ca="1">IF(AND(ISNUMBER($AT$300),$B$226=1),$AT$300,HLOOKUP(INDIRECT(ADDRESS(2,COLUMN())),OFFSET($BN$2,0,0,ROW()-1,60),ROW()-1,FALSE))</f>
        <v>13.164999999999999</v>
      </c>
      <c r="AU86">
        <f ca="1">IF(AND(ISNUMBER($AU$300),$B$226=1),$AU$300,HLOOKUP(INDIRECT(ADDRESS(2,COLUMN())),OFFSET($BN$2,0,0,ROW()-1,60),ROW()-1,FALSE))</f>
        <v>14.39</v>
      </c>
      <c r="AV86">
        <f ca="1">IF(AND(ISNUMBER($AV$300),$B$226=1),$AV$300,HLOOKUP(INDIRECT(ADDRESS(2,COLUMN())),OFFSET($BN$2,0,0,ROW()-1,60),ROW()-1,FALSE))</f>
        <v>5.2290000000000001</v>
      </c>
      <c r="AW86">
        <f ca="1">IF(AND(ISNUMBER($AW$300),$B$226=1),$AW$300,HLOOKUP(INDIRECT(ADDRESS(2,COLUMN())),OFFSET($BN$2,0,0,ROW()-1,60),ROW()-1,FALSE))</f>
        <v>6.8339999999999996</v>
      </c>
      <c r="AX86">
        <f ca="1">IF(AND(ISNUMBER($AX$300),$B$226=1),$AX$300,HLOOKUP(INDIRECT(ADDRESS(2,COLUMN())),OFFSET($BN$2,0,0,ROW()-1,60),ROW()-1,FALSE))</f>
        <v>1.94</v>
      </c>
      <c r="AY86">
        <f ca="1">IF(AND(ISNUMBER($AY$300),$B$226=1),$AY$300,HLOOKUP(INDIRECT(ADDRESS(2,COLUMN())),OFFSET($BN$2,0,0,ROW()-1,60),ROW()-1,FALSE))</f>
        <v>12.25</v>
      </c>
      <c r="AZ86">
        <f ca="1">IF(AND(ISNUMBER($AZ$300),$B$226=1),$AZ$300,HLOOKUP(INDIRECT(ADDRESS(2,COLUMN())),OFFSET($BN$2,0,0,ROW()-1,60),ROW()-1,FALSE))</f>
        <v>4.9509999999999996</v>
      </c>
      <c r="BA86">
        <f ca="1">IF(AND(ISNUMBER($BA$300),$B$226=1),$BA$300,HLOOKUP(INDIRECT(ADDRESS(2,COLUMN())),OFFSET($BN$2,0,0,ROW()-1,60),ROW()-1,FALSE))</f>
        <v>4.7949999999999999</v>
      </c>
      <c r="BB86">
        <f ca="1">IF(AND(ISNUMBER($BB$300),$B$226=1),$BB$300,HLOOKUP(INDIRECT(ADDRESS(2,COLUMN())),OFFSET($BN$2,0,0,ROW()-1,60),ROW()-1,FALSE))</f>
        <v>8.9469999999999992</v>
      </c>
      <c r="BC86">
        <f ca="1">IF(AND(ISNUMBER($BC$300),$B$226=1),$BC$300,HLOOKUP(INDIRECT(ADDRESS(2,COLUMN())),OFFSET($BN$2,0,0,ROW()-1,60),ROW()-1,FALSE))</f>
        <v>6.5119999999999996</v>
      </c>
      <c r="BD86">
        <f ca="1">IF(AND(ISNUMBER($BD$300),$B$226=1),$BD$300,HLOOKUP(INDIRECT(ADDRESS(2,COLUMN())),OFFSET($BN$2,0,0,ROW()-1,60),ROW()-1,FALSE))</f>
        <v>3.5670000000000002</v>
      </c>
      <c r="BE86">
        <f ca="1">IF(AND(ISNUMBER($BE$300),$B$226=1),$BE$300,HLOOKUP(INDIRECT(ADDRESS(2,COLUMN())),OFFSET($BN$2,0,0,ROW()-1,60),ROW()-1,FALSE))</f>
        <v>2.54</v>
      </c>
      <c r="BF86">
        <f ca="1">IF(AND(ISNUMBER($BF$300),$B$226=1),$BF$300,HLOOKUP(INDIRECT(ADDRESS(2,COLUMN())),OFFSET($BN$2,0,0,ROW()-1,60),ROW()-1,FALSE))</f>
        <v>5.7220000000000004</v>
      </c>
      <c r="BG86">
        <f ca="1">IF(AND(ISNUMBER($BG$300),$B$226=1),$BG$300,HLOOKUP(INDIRECT(ADDRESS(2,COLUMN())),OFFSET($BN$2,0,0,ROW()-1,60),ROW()-1,FALSE))</f>
        <v>6.1609999999999996</v>
      </c>
      <c r="BH86">
        <f ca="1">IF(AND(ISNUMBER($BH$300),$B$226=1),$BH$300,HLOOKUP(INDIRECT(ADDRESS(2,COLUMN())),OFFSET($BN$2,0,0,ROW()-1,60),ROW()-1,FALSE))</f>
        <v>-2.641</v>
      </c>
      <c r="BI86">
        <f ca="1">IF(AND(ISNUMBER($BI$300),$B$226=1),$BI$300,HLOOKUP(INDIRECT(ADDRESS(2,COLUMN())),OFFSET($BN$2,0,0,ROW()-1,60),ROW()-1,FALSE))</f>
        <v>1.2649999860000001</v>
      </c>
      <c r="BJ86">
        <f ca="1">IF(AND(ISNUMBER($BJ$300),$B$226=1),$BJ$300,HLOOKUP(INDIRECT(ADDRESS(2,COLUMN())),OFFSET($BN$2,0,0,ROW()-1,60),ROW()-1,FALSE))</f>
        <v>3.7850000860000002</v>
      </c>
      <c r="BK86" t="str">
        <f ca="1">IF(AND(ISNUMBER($BK$300),$B$226=1),$BK$300,HLOOKUP(INDIRECT(ADDRESS(2,COLUMN())),OFFSET($BN$2,0,0,ROW()-1,60),ROW()-1,FALSE))</f>
        <v/>
      </c>
      <c r="BL86" t="str">
        <f ca="1">IF(AND(ISNUMBER($BL$300),$B$226=1),$BL$300,HLOOKUP(INDIRECT(ADDRESS(2,COLUMN())),OFFSET($BN$2,0,0,ROW()-1,60),ROW()-1,FALSE))</f>
        <v/>
      </c>
      <c r="BM86" t="str">
        <f ca="1">IF(AND(ISNUMBER($BM$300),$B$226=1),$BM$300,HLOOKUP(INDIRECT(ADDRESS(2,COLUMN())),OFFSET($BN$2,0,0,ROW()-1,60),ROW()-1,FALSE))</f>
        <v/>
      </c>
      <c r="BN86" t="str">
        <f>""</f>
        <v/>
      </c>
      <c r="BO86">
        <f>99.576</f>
        <v>99.575999999999993</v>
      </c>
      <c r="BP86">
        <f>61.175</f>
        <v>61.174999999999997</v>
      </c>
      <c r="BQ86">
        <f>87.82</f>
        <v>87.82</v>
      </c>
      <c r="BR86">
        <f>83.18</f>
        <v>83.18</v>
      </c>
      <c r="BS86">
        <f>86.936</f>
        <v>86.936000000000007</v>
      </c>
      <c r="BT86">
        <f>60.441</f>
        <v>60.441000000000003</v>
      </c>
      <c r="BU86">
        <f>72.195</f>
        <v>72.194999999999993</v>
      </c>
      <c r="BV86">
        <f>78.168</f>
        <v>78.168000000000006</v>
      </c>
      <c r="BW86">
        <f>79.113</f>
        <v>79.113</v>
      </c>
      <c r="BX86">
        <f>48.696</f>
        <v>48.695999999999998</v>
      </c>
      <c r="BY86">
        <f>65.185</f>
        <v>65.185000000000002</v>
      </c>
      <c r="BZ86">
        <f>76.082</f>
        <v>76.081999999999994</v>
      </c>
      <c r="CA86">
        <f>79.55</f>
        <v>79.55</v>
      </c>
      <c r="CB86">
        <f>44.145</f>
        <v>44.145000000000003</v>
      </c>
      <c r="CC86">
        <f>60.154</f>
        <v>60.154000000000003</v>
      </c>
      <c r="CD86">
        <f>72.293</f>
        <v>72.293000000000006</v>
      </c>
      <c r="CE86">
        <f>52.646</f>
        <v>52.646000000000001</v>
      </c>
      <c r="CF86">
        <f>38.493</f>
        <v>38.493000000000002</v>
      </c>
      <c r="CG86">
        <f>54.137</f>
        <v>54.137</v>
      </c>
      <c r="CH86">
        <f>64.391</f>
        <v>64.391000000000005</v>
      </c>
      <c r="CI86">
        <f>57.038</f>
        <v>57.037999999999997</v>
      </c>
      <c r="CJ86">
        <f>27.818</f>
        <v>27.818000000000001</v>
      </c>
      <c r="CK86">
        <f>35.626</f>
        <v>35.625999999999998</v>
      </c>
      <c r="CL86">
        <f>43.289</f>
        <v>43.289000000000001</v>
      </c>
      <c r="CM86">
        <f>25.853</f>
        <v>25.853000000000002</v>
      </c>
      <c r="CN86">
        <f>22.502</f>
        <v>22.501999999999999</v>
      </c>
      <c r="CO86">
        <f>28.039</f>
        <v>28.039000000000001</v>
      </c>
      <c r="CP86">
        <f>38.573</f>
        <v>38.573</v>
      </c>
      <c r="CQ86">
        <f>25.834</f>
        <v>25.834</v>
      </c>
      <c r="CR86">
        <f>26.278</f>
        <v>26.277999999999999</v>
      </c>
      <c r="CS86">
        <f>17.051</f>
        <v>17.050999999999998</v>
      </c>
      <c r="CT86">
        <f>13.79</f>
        <v>13.79</v>
      </c>
      <c r="CU86">
        <f>15.564</f>
        <v>15.564</v>
      </c>
      <c r="CV86">
        <f>11.803</f>
        <v>11.803000000000001</v>
      </c>
      <c r="CW86">
        <f>14.609</f>
        <v>14.609</v>
      </c>
      <c r="CX86">
        <f>19.966</f>
        <v>19.966000000000001</v>
      </c>
      <c r="CY86">
        <f>16.821</f>
        <v>16.821000000000002</v>
      </c>
      <c r="CZ86">
        <f>5.112</f>
        <v>5.1120000000000001</v>
      </c>
      <c r="DA86">
        <f>9.674</f>
        <v>9.6739999999999995</v>
      </c>
      <c r="DB86">
        <f>13.165</f>
        <v>13.164999999999999</v>
      </c>
      <c r="DC86">
        <f>14.39</f>
        <v>14.39</v>
      </c>
      <c r="DD86">
        <f>5.229</f>
        <v>5.2290000000000001</v>
      </c>
      <c r="DE86">
        <f>6.834</f>
        <v>6.8339999999999996</v>
      </c>
      <c r="DF86">
        <f>1.94</f>
        <v>1.94</v>
      </c>
      <c r="DG86">
        <f>12.25</f>
        <v>12.25</v>
      </c>
      <c r="DH86">
        <f>4.951</f>
        <v>4.9509999999999996</v>
      </c>
      <c r="DI86">
        <f>4.795</f>
        <v>4.7949999999999999</v>
      </c>
      <c r="DJ86">
        <f>8.947</f>
        <v>8.9469999999999992</v>
      </c>
      <c r="DK86">
        <f>6.512</f>
        <v>6.5119999999999996</v>
      </c>
      <c r="DL86">
        <f>3.567</f>
        <v>3.5670000000000002</v>
      </c>
      <c r="DM86">
        <f>2.54</f>
        <v>2.54</v>
      </c>
      <c r="DN86">
        <f>5.722</f>
        <v>5.7220000000000004</v>
      </c>
      <c r="DO86">
        <f>6.161</f>
        <v>6.1609999999999996</v>
      </c>
      <c r="DP86">
        <f>-2.641</f>
        <v>-2.641</v>
      </c>
      <c r="DQ86">
        <f>1.264999986</f>
        <v>1.2649999860000001</v>
      </c>
      <c r="DR86">
        <f>3.785000086</f>
        <v>3.7850000860000002</v>
      </c>
      <c r="DS86" t="str">
        <f>""</f>
        <v/>
      </c>
      <c r="DT86" t="str">
        <f>""</f>
        <v/>
      </c>
      <c r="DU86" t="str">
        <f>""</f>
        <v/>
      </c>
    </row>
    <row r="87" spans="1:125">
      <c r="A87" t="str">
        <f>"    AvalonBay Communities Inc"</f>
        <v xml:space="preserve">    AvalonBay Communities Inc</v>
      </c>
      <c r="B87" t="str">
        <f>"AVB US Equity"</f>
        <v>AVB US Equity</v>
      </c>
      <c r="C87" t="str">
        <f t="shared" si="27"/>
        <v>F0578</v>
      </c>
      <c r="D87" t="str">
        <f t="shared" si="28"/>
        <v>FUNDS_AVAILABLE_FOR_DISTRIBUTION</v>
      </c>
      <c r="E87" t="str">
        <f t="shared" si="29"/>
        <v>动态</v>
      </c>
      <c r="F87" t="str">
        <f ca="1">IF(AND(ISNUMBER($F$301),$B$226=1),$F$301,HLOOKUP(INDIRECT(ADDRESS(2,COLUMN())),OFFSET($BN$2,0,0,ROW()-1,60),ROW()-1,FALSE))</f>
        <v/>
      </c>
      <c r="G87">
        <f ca="1">IF(AND(ISNUMBER($G$301),$B$226=1),$G$301,HLOOKUP(INDIRECT(ADDRESS(2,COLUMN())),OFFSET($BN$2,0,0,ROW()-1,60),ROW()-1,FALSE))</f>
        <v>299.34800000000001</v>
      </c>
      <c r="H87">
        <f ca="1">IF(AND(ISNUMBER($H$301),$B$226=1),$H$301,HLOOKUP(INDIRECT(ADDRESS(2,COLUMN())),OFFSET($BN$2,0,0,ROW()-1,60),ROW()-1,FALSE))</f>
        <v>291.25799999999998</v>
      </c>
      <c r="I87">
        <f ca="1">IF(AND(ISNUMBER($I$301),$B$226=1),$I$301,HLOOKUP(INDIRECT(ADDRESS(2,COLUMN())),OFFSET($BN$2,0,0,ROW()-1,60),ROW()-1,FALSE))</f>
        <v>275.827</v>
      </c>
      <c r="J87">
        <f ca="1">IF(AND(ISNUMBER($J$301),$B$226=1),$J$301,HLOOKUP(INDIRECT(ADDRESS(2,COLUMN())),OFFSET($BN$2,0,0,ROW()-1,60),ROW()-1,FALSE))</f>
        <v>276.48</v>
      </c>
      <c r="K87">
        <f ca="1">IF(AND(ISNUMBER($K$301),$B$226=1),$K$301,HLOOKUP(INDIRECT(ADDRESS(2,COLUMN())),OFFSET($BN$2,0,0,ROW()-1,60),ROW()-1,FALSE))</f>
        <v>280.92399999999998</v>
      </c>
      <c r="L87">
        <f ca="1">IF(AND(ISNUMBER($L$301),$B$226=1),$L$301,HLOOKUP(INDIRECT(ADDRESS(2,COLUMN())),OFFSET($BN$2,0,0,ROW()-1,60),ROW()-1,FALSE))</f>
        <v>273.822</v>
      </c>
      <c r="M87">
        <f ca="1">IF(AND(ISNUMBER($M$301),$B$226=1),$M$301,HLOOKUP(INDIRECT(ADDRESS(2,COLUMN())),OFFSET($BN$2,0,0,ROW()-1,60),ROW()-1,FALSE))</f>
        <v>266.24200000000002</v>
      </c>
      <c r="N87">
        <f ca="1">IF(AND(ISNUMBER($N$301),$B$226=1),$N$301,HLOOKUP(INDIRECT(ADDRESS(2,COLUMN())),OFFSET($BN$2,0,0,ROW()-1,60),ROW()-1,FALSE))</f>
        <v>259.15300000000002</v>
      </c>
      <c r="O87">
        <f ca="1">IF(AND(ISNUMBER($O$301),$B$226=1),$O$301,HLOOKUP(INDIRECT(ADDRESS(2,COLUMN())),OFFSET($BN$2,0,0,ROW()-1,60),ROW()-1,FALSE))</f>
        <v>261.68099999999998</v>
      </c>
      <c r="P87">
        <f ca="1">IF(AND(ISNUMBER($P$301),$B$226=1),$P$301,HLOOKUP(INDIRECT(ADDRESS(2,COLUMN())),OFFSET($BN$2,0,0,ROW()-1,60),ROW()-1,FALSE))</f>
        <v>249.226</v>
      </c>
      <c r="Q87">
        <f ca="1">IF(AND(ISNUMBER($Q$301),$B$226=1),$Q$301,HLOOKUP(INDIRECT(ADDRESS(2,COLUMN())),OFFSET($BN$2,0,0,ROW()-1,60),ROW()-1,FALSE))</f>
        <v>237.28700000000001</v>
      </c>
      <c r="R87">
        <f ca="1">IF(AND(ISNUMBER($R$301),$B$226=1),$R$301,HLOOKUP(INDIRECT(ADDRESS(2,COLUMN())),OFFSET($BN$2,0,0,ROW()-1,60),ROW()-1,FALSE))</f>
        <v>222.88800000000001</v>
      </c>
      <c r="S87">
        <f ca="1">IF(AND(ISNUMBER($S$301),$B$226=1),$S$301,HLOOKUP(INDIRECT(ADDRESS(2,COLUMN())),OFFSET($BN$2,0,0,ROW()-1,60),ROW()-1,FALSE))</f>
        <v>218.22800000000001</v>
      </c>
      <c r="T87">
        <f ca="1">IF(AND(ISNUMBER($T$301),$B$226=1),$T$301,HLOOKUP(INDIRECT(ADDRESS(2,COLUMN())),OFFSET($BN$2,0,0,ROW()-1,60),ROW()-1,FALSE))</f>
        <v>219.041</v>
      </c>
      <c r="U87">
        <f ca="1">IF(AND(ISNUMBER($U$301),$B$226=1),$U$301,HLOOKUP(INDIRECT(ADDRESS(2,COLUMN())),OFFSET($BN$2,0,0,ROW()-1,60),ROW()-1,FALSE))</f>
        <v>212.99600000000001</v>
      </c>
      <c r="V87">
        <f ca="1">IF(AND(ISNUMBER($V$301),$B$226=1),$V$301,HLOOKUP(INDIRECT(ADDRESS(2,COLUMN())),OFFSET($BN$2,0,0,ROW()-1,60),ROW()-1,FALSE))</f>
        <v>202.38399999999999</v>
      </c>
      <c r="W87">
        <f ca="1">IF(AND(ISNUMBER($W$301),$B$226=1),$W$301,HLOOKUP(INDIRECT(ADDRESS(2,COLUMN())),OFFSET($BN$2,0,0,ROW()-1,60),ROW()-1,FALSE))</f>
        <v>195.33500000000001</v>
      </c>
      <c r="X87">
        <f ca="1">IF(AND(ISNUMBER($X$301),$B$226=1),$X$301,HLOOKUP(INDIRECT(ADDRESS(2,COLUMN())),OFFSET($BN$2,0,0,ROW()-1,60),ROW()-1,FALSE))</f>
        <v>202.21700000000001</v>
      </c>
      <c r="Y87">
        <f ca="1">IF(AND(ISNUMBER($Y$301),$B$226=1),$Y$301,HLOOKUP(INDIRECT(ADDRESS(2,COLUMN())),OFFSET($BN$2,0,0,ROW()-1,60),ROW()-1,FALSE))</f>
        <v>200.863</v>
      </c>
      <c r="Z87">
        <f ca="1">IF(AND(ISNUMBER($Z$301),$B$226=1),$Z$301,HLOOKUP(INDIRECT(ADDRESS(2,COLUMN())),OFFSET($BN$2,0,0,ROW()-1,60),ROW()-1,FALSE))</f>
        <v>155.44</v>
      </c>
      <c r="AA87">
        <f ca="1">IF(AND(ISNUMBER($AA$301),$B$226=1),$AA$301,HLOOKUP(INDIRECT(ADDRESS(2,COLUMN())),OFFSET($BN$2,0,0,ROW()-1,60),ROW()-1,FALSE))</f>
        <v>124.101</v>
      </c>
      <c r="AB87">
        <f ca="1">IF(AND(ISNUMBER($AB$301),$B$226=1),$AB$301,HLOOKUP(INDIRECT(ADDRESS(2,COLUMN())),OFFSET($BN$2,0,0,ROW()-1,60),ROW()-1,FALSE))</f>
        <v>133.578</v>
      </c>
      <c r="AC87">
        <f ca="1">IF(AND(ISNUMBER($AC$301),$B$226=1),$AC$301,HLOOKUP(INDIRECT(ADDRESS(2,COLUMN())),OFFSET($BN$2,0,0,ROW()-1,60),ROW()-1,FALSE))</f>
        <v>122.221</v>
      </c>
      <c r="AD87">
        <f ca="1">IF(AND(ISNUMBER($AD$301),$B$226=1),$AD$301,HLOOKUP(INDIRECT(ADDRESS(2,COLUMN())),OFFSET($BN$2,0,0,ROW()-1,60),ROW()-1,FALSE))</f>
        <v>115.34399999999999</v>
      </c>
      <c r="AE87">
        <f ca="1">IF(AND(ISNUMBER($AE$301),$B$226=1),$AE$301,HLOOKUP(INDIRECT(ADDRESS(2,COLUMN())),OFFSET($BN$2,0,0,ROW()-1,60),ROW()-1,FALSE))</f>
        <v>114.65300000000001</v>
      </c>
      <c r="AF87">
        <f ca="1">IF(AND(ISNUMBER($AF$301),$B$226=1),$AF$301,HLOOKUP(INDIRECT(ADDRESS(2,COLUMN())),OFFSET($BN$2,0,0,ROW()-1,60),ROW()-1,FALSE))</f>
        <v>102.169</v>
      </c>
      <c r="AG87">
        <f ca="1">IF(AND(ISNUMBER($AG$301),$B$226=1),$AG$301,HLOOKUP(INDIRECT(ADDRESS(2,COLUMN())),OFFSET($BN$2,0,0,ROW()-1,60),ROW()-1,FALSE))</f>
        <v>94.728999999999999</v>
      </c>
      <c r="AH87">
        <f ca="1">IF(AND(ISNUMBER($AH$301),$B$226=1),$AH$301,HLOOKUP(INDIRECT(ADDRESS(2,COLUMN())),OFFSET($BN$2,0,0,ROW()-1,60),ROW()-1,FALSE))</f>
        <v>87.674000000000007</v>
      </c>
      <c r="AI87">
        <f ca="1">IF(AND(ISNUMBER($AI$301),$B$226=1),$AI$301,HLOOKUP(INDIRECT(ADDRESS(2,COLUMN())),OFFSET($BN$2,0,0,ROW()-1,60),ROW()-1,FALSE))</f>
        <v>81.430000000000007</v>
      </c>
      <c r="AJ87">
        <f ca="1">IF(AND(ISNUMBER($AJ$301),$B$226=1),$AJ$301,HLOOKUP(INDIRECT(ADDRESS(2,COLUMN())),OFFSET($BN$2,0,0,ROW()-1,60),ROW()-1,FALSE))</f>
        <v>79.283000000000001</v>
      </c>
      <c r="AK87">
        <f ca="1">IF(AND(ISNUMBER($AK$301),$B$226=1),$AK$301,HLOOKUP(INDIRECT(ADDRESS(2,COLUMN())),OFFSET($BN$2,0,0,ROW()-1,60),ROW()-1,FALSE))</f>
        <v>82.397000000000006</v>
      </c>
      <c r="AL87">
        <f ca="1">IF(AND(ISNUMBER($AL$301),$B$226=1),$AL$301,HLOOKUP(INDIRECT(ADDRESS(2,COLUMN())),OFFSET($BN$2,0,0,ROW()-1,60),ROW()-1,FALSE))</f>
        <v>73.766000000000005</v>
      </c>
      <c r="AM87">
        <f ca="1">IF(AND(ISNUMBER($AM$301),$B$226=1),$AM$301,HLOOKUP(INDIRECT(ADDRESS(2,COLUMN())),OFFSET($BN$2,0,0,ROW()-1,60),ROW()-1,FALSE))</f>
        <v>46.58</v>
      </c>
      <c r="AN87">
        <f ca="1">IF(AND(ISNUMBER($AN$301),$B$226=1),$AN$301,HLOOKUP(INDIRECT(ADDRESS(2,COLUMN())),OFFSET($BN$2,0,0,ROW()-1,60),ROW()-1,FALSE))</f>
        <v>82.057000000000002</v>
      </c>
      <c r="AO87">
        <f ca="1">IF(AND(ISNUMBER($AO$301),$B$226=1),$AO$301,HLOOKUP(INDIRECT(ADDRESS(2,COLUMN())),OFFSET($BN$2,0,0,ROW()-1,60),ROW()-1,FALSE))</f>
        <v>65.203999999999994</v>
      </c>
      <c r="AP87">
        <f ca="1">IF(AND(ISNUMBER($AP$301),$B$226=1),$AP$301,HLOOKUP(INDIRECT(ADDRESS(2,COLUMN())),OFFSET($BN$2,0,0,ROW()-1,60),ROW()-1,FALSE))</f>
        <v>94.468000000000004</v>
      </c>
      <c r="AQ87">
        <f ca="1">IF(AND(ISNUMBER($AQ$301),$B$226=1),$AQ$301,HLOOKUP(INDIRECT(ADDRESS(2,COLUMN())),OFFSET($BN$2,0,0,ROW()-1,60),ROW()-1,FALSE))</f>
        <v>15.127000000000001</v>
      </c>
      <c r="AR87">
        <f ca="1">IF(AND(ISNUMBER($AR$301),$B$226=1),$AR$301,HLOOKUP(INDIRECT(ADDRESS(2,COLUMN())),OFFSET($BN$2,0,0,ROW()-1,60),ROW()-1,FALSE))</f>
        <v>91.262</v>
      </c>
      <c r="AS87">
        <f ca="1">IF(AND(ISNUMBER($AS$301),$B$226=1),$AS$301,HLOOKUP(INDIRECT(ADDRESS(2,COLUMN())),OFFSET($BN$2,0,0,ROW()-1,60),ROW()-1,FALSE))</f>
        <v>90.692999999999998</v>
      </c>
      <c r="AT87">
        <f ca="1">IF(AND(ISNUMBER($AT$301),$B$226=1),$AT$301,HLOOKUP(INDIRECT(ADDRESS(2,COLUMN())),OFFSET($BN$2,0,0,ROW()-1,60),ROW()-1,FALSE))</f>
        <v>88.957999999999998</v>
      </c>
      <c r="AU87">
        <f ca="1">IF(AND(ISNUMBER($AU$301),$B$226=1),$AU$301,HLOOKUP(INDIRECT(ADDRESS(2,COLUMN())),OFFSET($BN$2,0,0,ROW()-1,60),ROW()-1,FALSE))</f>
        <v>82.417000000000002</v>
      </c>
      <c r="AV87">
        <f ca="1">IF(AND(ISNUMBER($AV$301),$B$226=1),$AV$301,HLOOKUP(INDIRECT(ADDRESS(2,COLUMN())),OFFSET($BN$2,0,0,ROW()-1,60),ROW()-1,FALSE))</f>
        <v>88.293999999999997</v>
      </c>
      <c r="AW87">
        <f ca="1">IF(AND(ISNUMBER($AW$301),$B$226=1),$AW$301,HLOOKUP(INDIRECT(ADDRESS(2,COLUMN())),OFFSET($BN$2,0,0,ROW()-1,60),ROW()-1,FALSE))</f>
        <v>87.356999999999999</v>
      </c>
      <c r="AX87">
        <f ca="1">IF(AND(ISNUMBER($AX$301),$B$226=1),$AX$301,HLOOKUP(INDIRECT(ADDRESS(2,COLUMN())),OFFSET($BN$2,0,0,ROW()-1,60),ROW()-1,FALSE))</f>
        <v>82.512</v>
      </c>
      <c r="AY87">
        <f ca="1">IF(AND(ISNUMBER($AY$301),$B$226=1),$AY$301,HLOOKUP(INDIRECT(ADDRESS(2,COLUMN())),OFFSET($BN$2,0,0,ROW()-1,60),ROW()-1,FALSE))</f>
        <v>73.046999999999997</v>
      </c>
      <c r="AZ87">
        <f ca="1">IF(AND(ISNUMBER($AZ$301),$B$226=1),$AZ$301,HLOOKUP(INDIRECT(ADDRESS(2,COLUMN())),OFFSET($BN$2,0,0,ROW()-1,60),ROW()-1,FALSE))</f>
        <v>74.900000000000006</v>
      </c>
      <c r="BA87">
        <f ca="1">IF(AND(ISNUMBER($BA$301),$B$226=1),$BA$301,HLOOKUP(INDIRECT(ADDRESS(2,COLUMN())),OFFSET($BN$2,0,0,ROW()-1,60),ROW()-1,FALSE))</f>
        <v>69.477999999999994</v>
      </c>
      <c r="BB87">
        <f ca="1">IF(AND(ISNUMBER($BB$301),$B$226=1),$BB$301,HLOOKUP(INDIRECT(ADDRESS(2,COLUMN())),OFFSET($BN$2,0,0,ROW()-1,60),ROW()-1,FALSE))</f>
        <v>78.63</v>
      </c>
      <c r="BC87">
        <f ca="1">IF(AND(ISNUMBER($BC$301),$B$226=1),$BC$301,HLOOKUP(INDIRECT(ADDRESS(2,COLUMN())),OFFSET($BN$2,0,0,ROW()-1,60),ROW()-1,FALSE))</f>
        <v>70.108000000000004</v>
      </c>
      <c r="BD87">
        <f ca="1">IF(AND(ISNUMBER($BD$301),$B$226=1),$BD$301,HLOOKUP(INDIRECT(ADDRESS(2,COLUMN())),OFFSET($BN$2,0,0,ROW()-1,60),ROW()-1,FALSE))</f>
        <v>68.086157999999998</v>
      </c>
      <c r="BE87">
        <f ca="1">IF(AND(ISNUMBER($BE$301),$B$226=1),$BE$301,HLOOKUP(INDIRECT(ADDRESS(2,COLUMN())),OFFSET($BN$2,0,0,ROW()-1,60),ROW()-1,FALSE))</f>
        <v>68.004000000000005</v>
      </c>
      <c r="BF87">
        <f ca="1">IF(AND(ISNUMBER($BF$301),$B$226=1),$BF$301,HLOOKUP(INDIRECT(ADDRESS(2,COLUMN())),OFFSET($BN$2,0,0,ROW()-1,60),ROW()-1,FALSE))</f>
        <v>71.243019000000004</v>
      </c>
      <c r="BG87">
        <f ca="1">IF(AND(ISNUMBER($BG$301),$B$226=1),$BG$301,HLOOKUP(INDIRECT(ADDRESS(2,COLUMN())),OFFSET($BN$2,0,0,ROW()-1,60),ROW()-1,FALSE))</f>
        <v>64.817999999999998</v>
      </c>
      <c r="BH87">
        <f ca="1">IF(AND(ISNUMBER($BH$301),$B$226=1),$BH$301,HLOOKUP(INDIRECT(ADDRESS(2,COLUMN())),OFFSET($BN$2,0,0,ROW()-1,60),ROW()-1,FALSE))</f>
        <v>63.600999999999999</v>
      </c>
      <c r="BI87">
        <f ca="1">IF(AND(ISNUMBER($BI$301),$B$226=1),$BI$301,HLOOKUP(INDIRECT(ADDRESS(2,COLUMN())),OFFSET($BN$2,0,0,ROW()-1,60),ROW()-1,FALSE))</f>
        <v>60.45</v>
      </c>
      <c r="BJ87">
        <f ca="1">IF(AND(ISNUMBER($BJ$301),$B$226=1),$BJ$301,HLOOKUP(INDIRECT(ADDRESS(2,COLUMN())),OFFSET($BN$2,0,0,ROW()-1,60),ROW()-1,FALSE))</f>
        <v>57.378</v>
      </c>
      <c r="BK87">
        <f ca="1">IF(AND(ISNUMBER($BK$301),$B$226=1),$BK$301,HLOOKUP(INDIRECT(ADDRESS(2,COLUMN())),OFFSET($BN$2,0,0,ROW()-1,60),ROW()-1,FALSE))</f>
        <v>58.4640007</v>
      </c>
      <c r="BL87">
        <f ca="1">IF(AND(ISNUMBER($BL$301),$B$226=1),$BL$301,HLOOKUP(INDIRECT(ADDRESS(2,COLUMN())),OFFSET($BN$2,0,0,ROW()-1,60),ROW()-1,FALSE))</f>
        <v>56.158000000000001</v>
      </c>
      <c r="BM87">
        <f ca="1">IF(AND(ISNUMBER($BM$301),$B$226=1),$BM$301,HLOOKUP(INDIRECT(ADDRESS(2,COLUMN())),OFFSET($BN$2,0,0,ROW()-1,60),ROW()-1,FALSE))</f>
        <v>57.152999999999999</v>
      </c>
      <c r="BN87" t="str">
        <f>""</f>
        <v/>
      </c>
      <c r="BO87">
        <f>299.348</f>
        <v>299.34800000000001</v>
      </c>
      <c r="BP87">
        <f>291.258</f>
        <v>291.25799999999998</v>
      </c>
      <c r="BQ87">
        <f>275.827</f>
        <v>275.827</v>
      </c>
      <c r="BR87">
        <f>276.48</f>
        <v>276.48</v>
      </c>
      <c r="BS87">
        <f>280.924</f>
        <v>280.92399999999998</v>
      </c>
      <c r="BT87">
        <f>273.822</f>
        <v>273.822</v>
      </c>
      <c r="BU87">
        <f>266.242</f>
        <v>266.24200000000002</v>
      </c>
      <c r="BV87">
        <f>259.153</f>
        <v>259.15300000000002</v>
      </c>
      <c r="BW87">
        <f>261.681</f>
        <v>261.68099999999998</v>
      </c>
      <c r="BX87">
        <f>249.226</f>
        <v>249.226</v>
      </c>
      <c r="BY87">
        <f>237.287</f>
        <v>237.28700000000001</v>
      </c>
      <c r="BZ87">
        <f>222.888</f>
        <v>222.88800000000001</v>
      </c>
      <c r="CA87">
        <f>218.228</f>
        <v>218.22800000000001</v>
      </c>
      <c r="CB87">
        <f>219.041</f>
        <v>219.041</v>
      </c>
      <c r="CC87">
        <f>212.996</f>
        <v>212.99600000000001</v>
      </c>
      <c r="CD87">
        <f>202.384</f>
        <v>202.38399999999999</v>
      </c>
      <c r="CE87">
        <f>195.335</f>
        <v>195.33500000000001</v>
      </c>
      <c r="CF87">
        <f>202.217</f>
        <v>202.21700000000001</v>
      </c>
      <c r="CG87">
        <f>200.863</f>
        <v>200.863</v>
      </c>
      <c r="CH87">
        <f>155.44</f>
        <v>155.44</v>
      </c>
      <c r="CI87">
        <f>124.101</f>
        <v>124.101</v>
      </c>
      <c r="CJ87">
        <f>133.578</f>
        <v>133.578</v>
      </c>
      <c r="CK87">
        <f>122.221</f>
        <v>122.221</v>
      </c>
      <c r="CL87">
        <f>115.344</f>
        <v>115.34399999999999</v>
      </c>
      <c r="CM87">
        <f>114.653</f>
        <v>114.65300000000001</v>
      </c>
      <c r="CN87">
        <f>102.169</f>
        <v>102.169</v>
      </c>
      <c r="CO87">
        <f>94.729</f>
        <v>94.728999999999999</v>
      </c>
      <c r="CP87">
        <f>87.674</f>
        <v>87.674000000000007</v>
      </c>
      <c r="CQ87">
        <f>81.43</f>
        <v>81.430000000000007</v>
      </c>
      <c r="CR87">
        <f>79.283</f>
        <v>79.283000000000001</v>
      </c>
      <c r="CS87">
        <f>82.397</f>
        <v>82.397000000000006</v>
      </c>
      <c r="CT87">
        <f>73.766</f>
        <v>73.766000000000005</v>
      </c>
      <c r="CU87">
        <f>46.58</f>
        <v>46.58</v>
      </c>
      <c r="CV87">
        <f>82.057</f>
        <v>82.057000000000002</v>
      </c>
      <c r="CW87">
        <f>65.204</f>
        <v>65.203999999999994</v>
      </c>
      <c r="CX87">
        <f>94.468</f>
        <v>94.468000000000004</v>
      </c>
      <c r="CY87">
        <f>15.127</f>
        <v>15.127000000000001</v>
      </c>
      <c r="CZ87">
        <f>91.262</f>
        <v>91.262</v>
      </c>
      <c r="DA87">
        <f>90.693</f>
        <v>90.692999999999998</v>
      </c>
      <c r="DB87">
        <f>88.958</f>
        <v>88.957999999999998</v>
      </c>
      <c r="DC87">
        <f>82.417</f>
        <v>82.417000000000002</v>
      </c>
      <c r="DD87">
        <f>88.294</f>
        <v>88.293999999999997</v>
      </c>
      <c r="DE87">
        <f>87.357</f>
        <v>87.356999999999999</v>
      </c>
      <c r="DF87">
        <f>82.512</f>
        <v>82.512</v>
      </c>
      <c r="DG87">
        <f>73.047</f>
        <v>73.046999999999997</v>
      </c>
      <c r="DH87">
        <f>74.9</f>
        <v>74.900000000000006</v>
      </c>
      <c r="DI87">
        <f>69.478</f>
        <v>69.477999999999994</v>
      </c>
      <c r="DJ87">
        <f>78.63</f>
        <v>78.63</v>
      </c>
      <c r="DK87">
        <f>70.108</f>
        <v>70.108000000000004</v>
      </c>
      <c r="DL87">
        <f>68.086158</f>
        <v>68.086157999999998</v>
      </c>
      <c r="DM87">
        <f>68.004</f>
        <v>68.004000000000005</v>
      </c>
      <c r="DN87">
        <f>71.243019</f>
        <v>71.243019000000004</v>
      </c>
      <c r="DO87">
        <f>64.818</f>
        <v>64.817999999999998</v>
      </c>
      <c r="DP87">
        <f>63.601</f>
        <v>63.600999999999999</v>
      </c>
      <c r="DQ87">
        <f>60.45</f>
        <v>60.45</v>
      </c>
      <c r="DR87">
        <f>57.378</f>
        <v>57.378</v>
      </c>
      <c r="DS87">
        <f>58.4640007</f>
        <v>58.4640007</v>
      </c>
      <c r="DT87">
        <f>56.158</f>
        <v>56.158000000000001</v>
      </c>
      <c r="DU87">
        <f>57.153</f>
        <v>57.152999999999999</v>
      </c>
    </row>
    <row r="88" spans="1:125">
      <c r="A88" t="str">
        <f>"    Camden Property Trust"</f>
        <v xml:space="preserve">    Camden Property Trust</v>
      </c>
      <c r="B88" t="str">
        <f>"CPT US Equity"</f>
        <v>CPT US Equity</v>
      </c>
      <c r="C88" t="str">
        <f t="shared" si="27"/>
        <v>F0578</v>
      </c>
      <c r="D88" t="str">
        <f t="shared" si="28"/>
        <v>FUNDS_AVAILABLE_FOR_DISTRIBUTION</v>
      </c>
      <c r="E88" t="str">
        <f t="shared" si="29"/>
        <v>动态</v>
      </c>
      <c r="F88" t="str">
        <f ca="1">IF(AND(ISNUMBER($F$302),$B$226=1),$F$302,HLOOKUP(INDIRECT(ADDRESS(2,COLUMN())),OFFSET($BN$2,0,0,ROW()-1,60),ROW()-1,FALSE))</f>
        <v/>
      </c>
      <c r="G88">
        <f ca="1">IF(AND(ISNUMBER($G$302),$B$226=1),$G$302,HLOOKUP(INDIRECT(ADDRESS(2,COLUMN())),OFFSET($BN$2,0,0,ROW()-1,60),ROW()-1,FALSE))</f>
        <v>93.769000000000005</v>
      </c>
      <c r="H88">
        <f ca="1">IF(AND(ISNUMBER($H$302),$B$226=1),$H$302,HLOOKUP(INDIRECT(ADDRESS(2,COLUMN())),OFFSET($BN$2,0,0,ROW()-1,60),ROW()-1,FALSE))</f>
        <v>85.680999999999997</v>
      </c>
      <c r="I88">
        <f ca="1">IF(AND(ISNUMBER($I$302),$B$226=1),$I$302,HLOOKUP(INDIRECT(ADDRESS(2,COLUMN())),OFFSET($BN$2,0,0,ROW()-1,60),ROW()-1,FALSE))</f>
        <v>89.203000000000003</v>
      </c>
      <c r="J88">
        <f ca="1">IF(AND(ISNUMBER($J$302),$B$226=1),$J$302,HLOOKUP(INDIRECT(ADDRESS(2,COLUMN())),OFFSET($BN$2,0,0,ROW()-1,60),ROW()-1,FALSE))</f>
        <v>90.661000000000001</v>
      </c>
      <c r="K88">
        <f ca="1">IF(AND(ISNUMBER($K$302),$B$226=1),$K$302,HLOOKUP(INDIRECT(ADDRESS(2,COLUMN())),OFFSET($BN$2,0,0,ROW()-1,60),ROW()-1,FALSE))</f>
        <v>90.069000000000003</v>
      </c>
      <c r="L88">
        <f ca="1">IF(AND(ISNUMBER($L$302),$B$226=1),$L$302,HLOOKUP(INDIRECT(ADDRESS(2,COLUMN())),OFFSET($BN$2,0,0,ROW()-1,60),ROW()-1,FALSE))</f>
        <v>84.986000000000004</v>
      </c>
      <c r="M88">
        <f ca="1">IF(AND(ISNUMBER($M$302),$B$226=1),$M$302,HLOOKUP(INDIRECT(ADDRESS(2,COLUMN())),OFFSET($BN$2,0,0,ROW()-1,60),ROW()-1,FALSE))</f>
        <v>90.509</v>
      </c>
      <c r="N88">
        <f ca="1">IF(AND(ISNUMBER($N$302),$B$226=1),$N$302,HLOOKUP(INDIRECT(ADDRESS(2,COLUMN())),OFFSET($BN$2,0,0,ROW()-1,60),ROW()-1,FALSE))</f>
        <v>100.816</v>
      </c>
      <c r="O88">
        <f ca="1">IF(AND(ISNUMBER($O$302),$B$226=1),$O$302,HLOOKUP(INDIRECT(ADDRESS(2,COLUMN())),OFFSET($BN$2,0,0,ROW()-1,60),ROW()-1,FALSE))</f>
        <v>92.153000000000006</v>
      </c>
      <c r="P88">
        <f ca="1">IF(AND(ISNUMBER($P$302),$B$226=1),$P$302,HLOOKUP(INDIRECT(ADDRESS(2,COLUMN())),OFFSET($BN$2,0,0,ROW()-1,60),ROW()-1,FALSE))</f>
        <v>86.144000000000005</v>
      </c>
      <c r="Q88">
        <f ca="1">IF(AND(ISNUMBER($Q$302),$B$226=1),$Q$302,HLOOKUP(INDIRECT(ADDRESS(2,COLUMN())),OFFSET($BN$2,0,0,ROW()-1,60),ROW()-1,FALSE))</f>
        <v>84.147000000000006</v>
      </c>
      <c r="R88">
        <f ca="1">IF(AND(ISNUMBER($R$302),$B$226=1),$R$302,HLOOKUP(INDIRECT(ADDRESS(2,COLUMN())),OFFSET($BN$2,0,0,ROW()-1,60),ROW()-1,FALSE))</f>
        <v>91.186000000000007</v>
      </c>
      <c r="S88">
        <f ca="1">IF(AND(ISNUMBER($S$302),$B$226=1),$S$302,HLOOKUP(INDIRECT(ADDRESS(2,COLUMN())),OFFSET($BN$2,0,0,ROW()-1,60),ROW()-1,FALSE))</f>
        <v>93.748999999999995</v>
      </c>
      <c r="T88">
        <f ca="1">IF(AND(ISNUMBER($T$302),$B$226=1),$T$302,HLOOKUP(INDIRECT(ADDRESS(2,COLUMN())),OFFSET($BN$2,0,0,ROW()-1,60),ROW()-1,FALSE))</f>
        <v>89.381</v>
      </c>
      <c r="U88">
        <f ca="1">IF(AND(ISNUMBER($U$302),$B$226=1),$U$302,HLOOKUP(INDIRECT(ADDRESS(2,COLUMN())),OFFSET($BN$2,0,0,ROW()-1,60),ROW()-1,FALSE))</f>
        <v>87.515000000000001</v>
      </c>
      <c r="V88">
        <f ca="1">IF(AND(ISNUMBER($V$302),$B$226=1),$V$302,HLOOKUP(INDIRECT(ADDRESS(2,COLUMN())),OFFSET($BN$2,0,0,ROW()-1,60),ROW()-1,FALSE))</f>
        <v>88.311999999999998</v>
      </c>
      <c r="W88">
        <f ca="1">IF(AND(ISNUMBER($W$302),$B$226=1),$W$302,HLOOKUP(INDIRECT(ADDRESS(2,COLUMN())),OFFSET($BN$2,0,0,ROW()-1,60),ROW()-1,FALSE))</f>
        <v>90.263000000000005</v>
      </c>
      <c r="X88">
        <f ca="1">IF(AND(ISNUMBER($X$302),$B$226=1),$X$302,HLOOKUP(INDIRECT(ADDRESS(2,COLUMN())),OFFSET($BN$2,0,0,ROW()-1,60),ROW()-1,FALSE))</f>
        <v>86.197000000000003</v>
      </c>
      <c r="Y88">
        <f ca="1">IF(AND(ISNUMBER($Y$302),$B$226=1),$Y$302,HLOOKUP(INDIRECT(ADDRESS(2,COLUMN())),OFFSET($BN$2,0,0,ROW()-1,60),ROW()-1,FALSE))</f>
        <v>84.704999999999998</v>
      </c>
      <c r="Z88">
        <f ca="1">IF(AND(ISNUMBER($Z$302),$B$226=1),$Z$302,HLOOKUP(INDIRECT(ADDRESS(2,COLUMN())),OFFSET($BN$2,0,0,ROW()-1,60),ROW()-1,FALSE))</f>
        <v>79.582999999999998</v>
      </c>
      <c r="AA88">
        <f ca="1">IF(AND(ISNUMBER($AA$302),$B$226=1),$AA$302,HLOOKUP(INDIRECT(ADDRESS(2,COLUMN())),OFFSET($BN$2,0,0,ROW()-1,60),ROW()-1,FALSE))</f>
        <v>79.090999999999994</v>
      </c>
      <c r="AB88">
        <f ca="1">IF(AND(ISNUMBER($AB$302),$B$226=1),$AB$302,HLOOKUP(INDIRECT(ADDRESS(2,COLUMN())),OFFSET($BN$2,0,0,ROW()-1,60),ROW()-1,FALSE))</f>
        <v>73.665000000000006</v>
      </c>
      <c r="AC88">
        <f ca="1">IF(AND(ISNUMBER($AC$302),$B$226=1),$AC$302,HLOOKUP(INDIRECT(ADDRESS(2,COLUMN())),OFFSET($BN$2,0,0,ROW()-1,60),ROW()-1,FALSE))</f>
        <v>69.462000000000003</v>
      </c>
      <c r="AD88">
        <f ca="1">IF(AND(ISNUMBER($AD$302),$B$226=1),$AD$302,HLOOKUP(INDIRECT(ADDRESS(2,COLUMN())),OFFSET($BN$2,0,0,ROW()-1,60),ROW()-1,FALSE))</f>
        <v>61.823999999999998</v>
      </c>
      <c r="AE88">
        <f ca="1">IF(AND(ISNUMBER($AE$302),$B$226=1),$AE$302,HLOOKUP(INDIRECT(ADDRESS(2,COLUMN())),OFFSET($BN$2,0,0,ROW()-1,60),ROW()-1,FALSE))</f>
        <v>57.444000000000003</v>
      </c>
      <c r="AF88">
        <f ca="1">IF(AND(ISNUMBER($AF$302),$B$226=1),$AF$302,HLOOKUP(INDIRECT(ADDRESS(2,COLUMN())),OFFSET($BN$2,0,0,ROW()-1,60),ROW()-1,FALSE))</f>
        <v>50.884</v>
      </c>
      <c r="AG88">
        <f ca="1">IF(AND(ISNUMBER($AG$302),$B$226=1),$AG$302,HLOOKUP(INDIRECT(ADDRESS(2,COLUMN())),OFFSET($BN$2,0,0,ROW()-1,60),ROW()-1,FALSE))</f>
        <v>23.545999999999999</v>
      </c>
      <c r="AH88">
        <f ca="1">IF(AND(ISNUMBER($AH$302),$B$226=1),$AH$302,HLOOKUP(INDIRECT(ADDRESS(2,COLUMN())),OFFSET($BN$2,0,0,ROW()-1,60),ROW()-1,FALSE))</f>
        <v>47.253999999999998</v>
      </c>
      <c r="AI88">
        <f ca="1">IF(AND(ISNUMBER($AI$302),$B$226=1),$AI$302,HLOOKUP(INDIRECT(ADDRESS(2,COLUMN())),OFFSET($BN$2,0,0,ROW()-1,60),ROW()-1,FALSE))</f>
        <v>48.292999999999999</v>
      </c>
      <c r="AJ88">
        <f ca="1">IF(AND(ISNUMBER($AJ$302),$B$226=1),$AJ$302,HLOOKUP(INDIRECT(ADDRESS(2,COLUMN())),OFFSET($BN$2,0,0,ROW()-1,60),ROW()-1,FALSE))</f>
        <v>39.433999999999997</v>
      </c>
      <c r="AK88">
        <f ca="1">IF(AND(ISNUMBER($AK$302),$B$226=1),$AK$302,HLOOKUP(INDIRECT(ADDRESS(2,COLUMN())),OFFSET($BN$2,0,0,ROW()-1,60),ROW()-1,FALSE))</f>
        <v>39.792999999999999</v>
      </c>
      <c r="AL88">
        <f ca="1">IF(AND(ISNUMBER($AL$302),$B$226=1),$AL$302,HLOOKUP(INDIRECT(ADDRESS(2,COLUMN())),OFFSET($BN$2,0,0,ROW()-1,60),ROW()-1,FALSE))</f>
        <v>41.234000000000002</v>
      </c>
      <c r="AM88">
        <f ca="1">IF(AND(ISNUMBER($AM$302),$B$226=1),$AM$302,HLOOKUP(INDIRECT(ADDRESS(2,COLUMN())),OFFSET($BN$2,0,0,ROW()-1,60),ROW()-1,FALSE))</f>
        <v>42.22</v>
      </c>
      <c r="AN88">
        <f ca="1">IF(AND(ISNUMBER($AN$302),$B$226=1),$AN$302,HLOOKUP(INDIRECT(ADDRESS(2,COLUMN())),OFFSET($BN$2,0,0,ROW()-1,60),ROW()-1,FALSE))</f>
        <v>40.116999999999997</v>
      </c>
      <c r="AO88">
        <f ca="1">IF(AND(ISNUMBER($AO$302),$B$226=1),$AO$302,HLOOKUP(INDIRECT(ADDRESS(2,COLUMN())),OFFSET($BN$2,0,0,ROW()-1,60),ROW()-1,FALSE))</f>
        <v>41.910091000000001</v>
      </c>
      <c r="AP88">
        <f ca="1">IF(AND(ISNUMBER($AP$302),$B$226=1),$AP$302,HLOOKUP(INDIRECT(ADDRESS(2,COLUMN())),OFFSET($BN$2,0,0,ROW()-1,60),ROW()-1,FALSE))</f>
        <v>45.814</v>
      </c>
      <c r="AQ88">
        <f ca="1">IF(AND(ISNUMBER($AQ$302),$B$226=1),$AQ$302,HLOOKUP(INDIRECT(ADDRESS(2,COLUMN())),OFFSET($BN$2,0,0,ROW()-1,60),ROW()-1,FALSE))</f>
        <v>43.186999999999998</v>
      </c>
      <c r="AR88">
        <f ca="1">IF(AND(ISNUMBER($AR$302),$B$226=1),$AR$302,HLOOKUP(INDIRECT(ADDRESS(2,COLUMN())),OFFSET($BN$2,0,0,ROW()-1,60),ROW()-1,FALSE))</f>
        <v>41.473999999999997</v>
      </c>
      <c r="AS88">
        <f ca="1">IF(AND(ISNUMBER($AS$302),$B$226=1),$AS$302,HLOOKUP(INDIRECT(ADDRESS(2,COLUMN())),OFFSET($BN$2,0,0,ROW()-1,60),ROW()-1,FALSE))</f>
        <v>42.414999999999999</v>
      </c>
      <c r="AT88">
        <f ca="1">IF(AND(ISNUMBER($AT$302),$B$226=1),$AT$302,HLOOKUP(INDIRECT(ADDRESS(2,COLUMN())),OFFSET($BN$2,0,0,ROW()-1,60),ROW()-1,FALSE))</f>
        <v>44.398000000000003</v>
      </c>
      <c r="AU88">
        <f ca="1">IF(AND(ISNUMBER($AU$302),$B$226=1),$AU$302,HLOOKUP(INDIRECT(ADDRESS(2,COLUMN())),OFFSET($BN$2,0,0,ROW()-1,60),ROW()-1,FALSE))</f>
        <v>47.4</v>
      </c>
      <c r="AV88">
        <f ca="1">IF(AND(ISNUMBER($AV$302),$B$226=1),$AV$302,HLOOKUP(INDIRECT(ADDRESS(2,COLUMN())),OFFSET($BN$2,0,0,ROW()-1,60),ROW()-1,FALSE))</f>
        <v>45.183</v>
      </c>
      <c r="AW88">
        <f ca="1">IF(AND(ISNUMBER($AW$302),$B$226=1),$AW$302,HLOOKUP(INDIRECT(ADDRESS(2,COLUMN())),OFFSET($BN$2,0,0,ROW()-1,60),ROW()-1,FALSE))</f>
        <v>46.7</v>
      </c>
      <c r="AX88">
        <f ca="1">IF(AND(ISNUMBER($AX$302),$B$226=1),$AX$302,HLOOKUP(INDIRECT(ADDRESS(2,COLUMN())),OFFSET($BN$2,0,0,ROW()-1,60),ROW()-1,FALSE))</f>
        <v>45.652999999999999</v>
      </c>
      <c r="AY88">
        <f ca="1">IF(AND(ISNUMBER($AY$302),$B$226=1),$AY$302,HLOOKUP(INDIRECT(ADDRESS(2,COLUMN())),OFFSET($BN$2,0,0,ROW()-1,60),ROW()-1,FALSE))</f>
        <v>44.317999999999998</v>
      </c>
      <c r="AZ88">
        <f ca="1">IF(AND(ISNUMBER($AZ$302),$B$226=1),$AZ$302,HLOOKUP(INDIRECT(ADDRESS(2,COLUMN())),OFFSET($BN$2,0,0,ROW()-1,60),ROW()-1,FALSE))</f>
        <v>66.254000000000005</v>
      </c>
      <c r="BA88">
        <f ca="1">IF(AND(ISNUMBER($BA$302),$B$226=1),$BA$302,HLOOKUP(INDIRECT(ADDRESS(2,COLUMN())),OFFSET($BN$2,0,0,ROW()-1,60),ROW()-1,FALSE))</f>
        <v>43.134999999999998</v>
      </c>
      <c r="BB88">
        <f ca="1">IF(AND(ISNUMBER($BB$302),$B$226=1),$BB$302,HLOOKUP(INDIRECT(ADDRESS(2,COLUMN())),OFFSET($BN$2,0,0,ROW()-1,60),ROW()-1,FALSE))</f>
        <v>42.518999999999998</v>
      </c>
      <c r="BC88">
        <f ca="1">IF(AND(ISNUMBER($BC$302),$B$226=1),$BC$302,HLOOKUP(INDIRECT(ADDRESS(2,COLUMN())),OFFSET($BN$2,0,0,ROW()-1,60),ROW()-1,FALSE))</f>
        <v>49.378</v>
      </c>
      <c r="BD88">
        <f ca="1">IF(AND(ISNUMBER($BD$302),$B$226=1),$BD$302,HLOOKUP(INDIRECT(ADDRESS(2,COLUMN())),OFFSET($BN$2,0,0,ROW()-1,60),ROW()-1,FALSE))</f>
        <v>44.371000000000002</v>
      </c>
      <c r="BE88">
        <f ca="1">IF(AND(ISNUMBER($BE$302),$B$226=1),$BE$302,HLOOKUP(INDIRECT(ADDRESS(2,COLUMN())),OFFSET($BN$2,0,0,ROW()-1,60),ROW()-1,FALSE))</f>
        <v>47.103000000000002</v>
      </c>
      <c r="BF88">
        <f ca="1">IF(AND(ISNUMBER($BF$302),$B$226=1),$BF$302,HLOOKUP(INDIRECT(ADDRESS(2,COLUMN())),OFFSET($BN$2,0,0,ROW()-1,60),ROW()-1,FALSE))</f>
        <v>54.438000000000002</v>
      </c>
      <c r="BG88">
        <f ca="1">IF(AND(ISNUMBER($BG$302),$B$226=1),$BG$302,HLOOKUP(INDIRECT(ADDRESS(2,COLUMN())),OFFSET($BN$2,0,0,ROW()-1,60),ROW()-1,FALSE))</f>
        <v>38.185000000000002</v>
      </c>
      <c r="BH88">
        <f ca="1">IF(AND(ISNUMBER($BH$302),$B$226=1),$BH$302,HLOOKUP(INDIRECT(ADDRESS(2,COLUMN())),OFFSET($BN$2,0,0,ROW()-1,60),ROW()-1,FALSE))</f>
        <v>33.624000000000002</v>
      </c>
      <c r="BI88">
        <f ca="1">IF(AND(ISNUMBER($BI$302),$B$226=1),$BI$302,HLOOKUP(INDIRECT(ADDRESS(2,COLUMN())),OFFSET($BN$2,0,0,ROW()-1,60),ROW()-1,FALSE))</f>
        <v>35.074001000000003</v>
      </c>
      <c r="BJ88">
        <f ca="1">IF(AND(ISNUMBER($BJ$302),$B$226=1),$BJ$302,HLOOKUP(INDIRECT(ADDRESS(2,COLUMN())),OFFSET($BN$2,0,0,ROW()-1,60),ROW()-1,FALSE))</f>
        <v>36.785998999999997</v>
      </c>
      <c r="BK88">
        <f ca="1">IF(AND(ISNUMBER($BK$302),$B$226=1),$BK$302,HLOOKUP(INDIRECT(ADDRESS(2,COLUMN())),OFFSET($BN$2,0,0,ROW()-1,60),ROW()-1,FALSE))</f>
        <v>36.337001800000003</v>
      </c>
      <c r="BL88">
        <f ca="1">IF(AND(ISNUMBER($BL$302),$B$226=1),$BL$302,HLOOKUP(INDIRECT(ADDRESS(2,COLUMN())),OFFSET($BN$2,0,0,ROW()-1,60),ROW()-1,FALSE))</f>
        <v>32.814999</v>
      </c>
      <c r="BM88">
        <f ca="1">IF(AND(ISNUMBER($BM$302),$B$226=1),$BM$302,HLOOKUP(INDIRECT(ADDRESS(2,COLUMN())),OFFSET($BN$2,0,0,ROW()-1,60),ROW()-1,FALSE))</f>
        <v>32.396999000000001</v>
      </c>
      <c r="BN88" t="str">
        <f>""</f>
        <v/>
      </c>
      <c r="BO88">
        <f>93.769</f>
        <v>93.769000000000005</v>
      </c>
      <c r="BP88">
        <f>85.681</f>
        <v>85.680999999999997</v>
      </c>
      <c r="BQ88">
        <f>89.203</f>
        <v>89.203000000000003</v>
      </c>
      <c r="BR88">
        <f>90.661</f>
        <v>90.661000000000001</v>
      </c>
      <c r="BS88">
        <f>90.069</f>
        <v>90.069000000000003</v>
      </c>
      <c r="BT88">
        <f>84.986</f>
        <v>84.986000000000004</v>
      </c>
      <c r="BU88">
        <f>90.509</f>
        <v>90.509</v>
      </c>
      <c r="BV88">
        <f>100.816</f>
        <v>100.816</v>
      </c>
      <c r="BW88">
        <f>92.153</f>
        <v>92.153000000000006</v>
      </c>
      <c r="BX88">
        <f>86.144</f>
        <v>86.144000000000005</v>
      </c>
      <c r="BY88">
        <f>84.147</f>
        <v>84.147000000000006</v>
      </c>
      <c r="BZ88">
        <f>91.186</f>
        <v>91.186000000000007</v>
      </c>
      <c r="CA88">
        <f>93.749</f>
        <v>93.748999999999995</v>
      </c>
      <c r="CB88">
        <f>89.381</f>
        <v>89.381</v>
      </c>
      <c r="CC88">
        <f>87.515</f>
        <v>87.515000000000001</v>
      </c>
      <c r="CD88">
        <f>88.312</f>
        <v>88.311999999999998</v>
      </c>
      <c r="CE88">
        <f>90.263</f>
        <v>90.263000000000005</v>
      </c>
      <c r="CF88">
        <f>86.197</f>
        <v>86.197000000000003</v>
      </c>
      <c r="CG88">
        <f>84.705</f>
        <v>84.704999999999998</v>
      </c>
      <c r="CH88">
        <f>79.583</f>
        <v>79.582999999999998</v>
      </c>
      <c r="CI88">
        <f>79.091</f>
        <v>79.090999999999994</v>
      </c>
      <c r="CJ88">
        <f>73.665</f>
        <v>73.665000000000006</v>
      </c>
      <c r="CK88">
        <f>69.462</f>
        <v>69.462000000000003</v>
      </c>
      <c r="CL88">
        <f>61.824</f>
        <v>61.823999999999998</v>
      </c>
      <c r="CM88">
        <f>57.444</f>
        <v>57.444000000000003</v>
      </c>
      <c r="CN88">
        <f>50.884</f>
        <v>50.884</v>
      </c>
      <c r="CO88">
        <f>23.546</f>
        <v>23.545999999999999</v>
      </c>
      <c r="CP88">
        <f>47.254</f>
        <v>47.253999999999998</v>
      </c>
      <c r="CQ88">
        <f>48.293</f>
        <v>48.292999999999999</v>
      </c>
      <c r="CR88">
        <f>39.434</f>
        <v>39.433999999999997</v>
      </c>
      <c r="CS88">
        <f>39.793</f>
        <v>39.792999999999999</v>
      </c>
      <c r="CT88">
        <f>41.234</f>
        <v>41.234000000000002</v>
      </c>
      <c r="CU88">
        <f>42.22</f>
        <v>42.22</v>
      </c>
      <c r="CV88">
        <f>40.117</f>
        <v>40.116999999999997</v>
      </c>
      <c r="CW88">
        <f>41.910091</f>
        <v>41.910091000000001</v>
      </c>
      <c r="CX88">
        <f>45.814</f>
        <v>45.814</v>
      </c>
      <c r="CY88">
        <f>43.187</f>
        <v>43.186999999999998</v>
      </c>
      <c r="CZ88">
        <f>41.474</f>
        <v>41.473999999999997</v>
      </c>
      <c r="DA88">
        <f>42.415</f>
        <v>42.414999999999999</v>
      </c>
      <c r="DB88">
        <f>44.398</f>
        <v>44.398000000000003</v>
      </c>
      <c r="DC88">
        <f>47.4</f>
        <v>47.4</v>
      </c>
      <c r="DD88">
        <f>45.183</f>
        <v>45.183</v>
      </c>
      <c r="DE88">
        <f>46.7</f>
        <v>46.7</v>
      </c>
      <c r="DF88">
        <f>45.653</f>
        <v>45.652999999999999</v>
      </c>
      <c r="DG88">
        <f>44.318</f>
        <v>44.317999999999998</v>
      </c>
      <c r="DH88">
        <f>66.254</f>
        <v>66.254000000000005</v>
      </c>
      <c r="DI88">
        <f>43.135</f>
        <v>43.134999999999998</v>
      </c>
      <c r="DJ88">
        <f>42.519</f>
        <v>42.518999999999998</v>
      </c>
      <c r="DK88">
        <f>49.378</f>
        <v>49.378</v>
      </c>
      <c r="DL88">
        <f>44.371</f>
        <v>44.371000000000002</v>
      </c>
      <c r="DM88">
        <f>47.103</f>
        <v>47.103000000000002</v>
      </c>
      <c r="DN88">
        <f>54.438</f>
        <v>54.438000000000002</v>
      </c>
      <c r="DO88">
        <f>38.185</f>
        <v>38.185000000000002</v>
      </c>
      <c r="DP88">
        <f>33.624</f>
        <v>33.624000000000002</v>
      </c>
      <c r="DQ88">
        <f>35.074001</f>
        <v>35.074001000000003</v>
      </c>
      <c r="DR88">
        <f>36.785999</f>
        <v>36.785998999999997</v>
      </c>
      <c r="DS88">
        <f>36.3370018</f>
        <v>36.337001800000003</v>
      </c>
      <c r="DT88">
        <f>32.814999</f>
        <v>32.814999</v>
      </c>
      <c r="DU88">
        <f>32.396999</f>
        <v>32.396999000000001</v>
      </c>
    </row>
    <row r="89" spans="1:125">
      <c r="A89" t="str">
        <f>"    Education Realty Trust Inc"</f>
        <v xml:space="preserve">    Education Realty Trust Inc</v>
      </c>
      <c r="B89" t="str">
        <f>"EDR US Equity"</f>
        <v>EDR US Equity</v>
      </c>
      <c r="C89" t="str">
        <f t="shared" si="27"/>
        <v>F0578</v>
      </c>
      <c r="D89" t="str">
        <f t="shared" si="28"/>
        <v>FUNDS_AVAILABLE_FOR_DISTRIBUTION</v>
      </c>
      <c r="E89" t="str">
        <f t="shared" si="29"/>
        <v>动态</v>
      </c>
      <c r="F89" t="str">
        <f ca="1">IF(AND(ISNUMBER($F$303),$B$226=1),$F$303,HLOOKUP(INDIRECT(ADDRESS(2,COLUMN())),OFFSET($BN$2,0,0,ROW()-1,60),ROW()-1,FALSE))</f>
        <v/>
      </c>
      <c r="G89">
        <f ca="1">IF(AND(ISNUMBER($G$303),$B$226=1),$G$303,HLOOKUP(INDIRECT(ADDRESS(2,COLUMN())),OFFSET($BN$2,0,0,ROW()-1,60),ROW()-1,FALSE))</f>
        <v>44.74</v>
      </c>
      <c r="H89">
        <f ca="1">IF(AND(ISNUMBER($H$303),$B$226=1),$H$303,HLOOKUP(INDIRECT(ADDRESS(2,COLUMN())),OFFSET($BN$2,0,0,ROW()-1,60),ROW()-1,FALSE))</f>
        <v>21.664999999999999</v>
      </c>
      <c r="I89">
        <f ca="1">IF(AND(ISNUMBER($I$303),$B$226=1),$I$303,HLOOKUP(INDIRECT(ADDRESS(2,COLUMN())),OFFSET($BN$2,0,0,ROW()-1,60),ROW()-1,FALSE))</f>
        <v>31.042000000000002</v>
      </c>
      <c r="J89">
        <f ca="1">IF(AND(ISNUMBER($J$303),$B$226=1),$J$303,HLOOKUP(INDIRECT(ADDRESS(2,COLUMN())),OFFSET($BN$2,0,0,ROW()-1,60),ROW()-1,FALSE))</f>
        <v>44.018000000000001</v>
      </c>
      <c r="K89">
        <f ca="1">IF(AND(ISNUMBER($K$303),$B$226=1),$K$303,HLOOKUP(INDIRECT(ADDRESS(2,COLUMN())),OFFSET($BN$2,0,0,ROW()-1,60),ROW()-1,FALSE))</f>
        <v>43.219000000000001</v>
      </c>
      <c r="L89">
        <f ca="1">IF(AND(ISNUMBER($L$303),$B$226=1),$L$303,HLOOKUP(INDIRECT(ADDRESS(2,COLUMN())),OFFSET($BN$2,0,0,ROW()-1,60),ROW()-1,FALSE))</f>
        <v>19.396000000000001</v>
      </c>
      <c r="M89">
        <f ca="1">IF(AND(ISNUMBER($M$303),$B$226=1),$M$303,HLOOKUP(INDIRECT(ADDRESS(2,COLUMN())),OFFSET($BN$2,0,0,ROW()-1,60),ROW()-1,FALSE))</f>
        <v>26.417000000000002</v>
      </c>
      <c r="N89">
        <f ca="1">IF(AND(ISNUMBER($N$303),$B$226=1),$N$303,HLOOKUP(INDIRECT(ADDRESS(2,COLUMN())),OFFSET($BN$2,0,0,ROW()-1,60),ROW()-1,FALSE))</f>
        <v>33.948</v>
      </c>
      <c r="O89">
        <f ca="1">IF(AND(ISNUMBER($O$303),$B$226=1),$O$303,HLOOKUP(INDIRECT(ADDRESS(2,COLUMN())),OFFSET($BN$2,0,0,ROW()-1,60),ROW()-1,FALSE))</f>
        <v>32.664000000000001</v>
      </c>
      <c r="P89">
        <f ca="1">IF(AND(ISNUMBER($P$303),$B$226=1),$P$303,HLOOKUP(INDIRECT(ADDRESS(2,COLUMN())),OFFSET($BN$2,0,0,ROW()-1,60),ROW()-1,FALSE))</f>
        <v>14.54</v>
      </c>
      <c r="Q89">
        <f ca="1">IF(AND(ISNUMBER($Q$303),$B$226=1),$Q$303,HLOOKUP(INDIRECT(ADDRESS(2,COLUMN())),OFFSET($BN$2,0,0,ROW()-1,60),ROW()-1,FALSE))</f>
        <v>20.056999999999999</v>
      </c>
      <c r="R89">
        <f ca="1">IF(AND(ISNUMBER($R$303),$B$226=1),$R$303,HLOOKUP(INDIRECT(ADDRESS(2,COLUMN())),OFFSET($BN$2,0,0,ROW()-1,60),ROW()-1,FALSE))</f>
        <v>24.297000000000001</v>
      </c>
      <c r="S89">
        <f ca="1">IF(AND(ISNUMBER($S$303),$B$226=1),$S$303,HLOOKUP(INDIRECT(ADDRESS(2,COLUMN())),OFFSET($BN$2,0,0,ROW()-1,60),ROW()-1,FALSE))</f>
        <v>26.227</v>
      </c>
      <c r="T89">
        <f ca="1">IF(AND(ISNUMBER($T$303),$B$226=1),$T$303,HLOOKUP(INDIRECT(ADDRESS(2,COLUMN())),OFFSET($BN$2,0,0,ROW()-1,60),ROW()-1,FALSE))</f>
        <v>14.843</v>
      </c>
      <c r="U89">
        <f ca="1">IF(AND(ISNUMBER($U$303),$B$226=1),$U$303,HLOOKUP(INDIRECT(ADDRESS(2,COLUMN())),OFFSET($BN$2,0,0,ROW()-1,60),ROW()-1,FALSE))</f>
        <v>17.257999999999999</v>
      </c>
      <c r="V89">
        <f ca="1">IF(AND(ISNUMBER($V$303),$B$226=1),$V$303,HLOOKUP(INDIRECT(ADDRESS(2,COLUMN())),OFFSET($BN$2,0,0,ROW()-1,60),ROW()-1,FALSE))</f>
        <v>19.361000000000001</v>
      </c>
      <c r="W89">
        <f ca="1">IF(AND(ISNUMBER($W$303),$B$226=1),$W$303,HLOOKUP(INDIRECT(ADDRESS(2,COLUMN())),OFFSET($BN$2,0,0,ROW()-1,60),ROW()-1,FALSE))</f>
        <v>23.469000000000001</v>
      </c>
      <c r="X89">
        <f ca="1">IF(AND(ISNUMBER($X$303),$B$226=1),$X$303,HLOOKUP(INDIRECT(ADDRESS(2,COLUMN())),OFFSET($BN$2,0,0,ROW()-1,60),ROW()-1,FALSE))</f>
        <v>8.7189999999999994</v>
      </c>
      <c r="Y89">
        <f ca="1">IF(AND(ISNUMBER($Y$303),$B$226=1),$Y$303,HLOOKUP(INDIRECT(ADDRESS(2,COLUMN())),OFFSET($BN$2,0,0,ROW()-1,60),ROW()-1,FALSE))</f>
        <v>14.532</v>
      </c>
      <c r="Z89">
        <f ca="1">IF(AND(ISNUMBER($Z$303),$B$226=1),$Z$303,HLOOKUP(INDIRECT(ADDRESS(2,COLUMN())),OFFSET($BN$2,0,0,ROW()-1,60),ROW()-1,FALSE))</f>
        <v>16.379000000000001</v>
      </c>
      <c r="AA89">
        <f ca="1">IF(AND(ISNUMBER($AA$303),$B$226=1),$AA$303,HLOOKUP(INDIRECT(ADDRESS(2,COLUMN())),OFFSET($BN$2,0,0,ROW()-1,60),ROW()-1,FALSE))</f>
        <v>18.088999999999999</v>
      </c>
      <c r="AB89">
        <f ca="1">IF(AND(ISNUMBER($AB$303),$B$226=1),$AB$303,HLOOKUP(INDIRECT(ADDRESS(2,COLUMN())),OFFSET($BN$2,0,0,ROW()-1,60),ROW()-1,FALSE))</f>
        <v>5.8559999999999999</v>
      </c>
      <c r="AC89">
        <f ca="1">IF(AND(ISNUMBER($AC$303),$B$226=1),$AC$303,HLOOKUP(INDIRECT(ADDRESS(2,COLUMN())),OFFSET($BN$2,0,0,ROW()-1,60),ROW()-1,FALSE))</f>
        <v>11.638999999999999</v>
      </c>
      <c r="AD89">
        <f ca="1">IF(AND(ISNUMBER($AD$303),$B$226=1),$AD$303,HLOOKUP(INDIRECT(ADDRESS(2,COLUMN())),OFFSET($BN$2,0,0,ROW()-1,60),ROW()-1,FALSE))</f>
        <v>12.590999999999999</v>
      </c>
      <c r="AE89">
        <f ca="1">IF(AND(ISNUMBER($AE$303),$B$226=1),$AE$303,HLOOKUP(INDIRECT(ADDRESS(2,COLUMN())),OFFSET($BN$2,0,0,ROW()-1,60),ROW()-1,FALSE))</f>
        <v>12.547000000000001</v>
      </c>
      <c r="AF89">
        <f ca="1">IF(AND(ISNUMBER($AF$303),$B$226=1),$AF$303,HLOOKUP(INDIRECT(ADDRESS(2,COLUMN())),OFFSET($BN$2,0,0,ROW()-1,60),ROW()-1,FALSE))</f>
        <v>2.1190000000000002</v>
      </c>
      <c r="AG89">
        <f ca="1">IF(AND(ISNUMBER($AG$303),$B$226=1),$AG$303,HLOOKUP(INDIRECT(ADDRESS(2,COLUMN())),OFFSET($BN$2,0,0,ROW()-1,60),ROW()-1,FALSE))</f>
        <v>8.3650000000000002</v>
      </c>
      <c r="AH89">
        <f ca="1">IF(AND(ISNUMBER($AH$303),$B$226=1),$AH$303,HLOOKUP(INDIRECT(ADDRESS(2,COLUMN())),OFFSET($BN$2,0,0,ROW()-1,60),ROW()-1,FALSE))</f>
        <v>9.3870000000000005</v>
      </c>
      <c r="AI89">
        <f ca="1">IF(AND(ISNUMBER($AI$303),$B$226=1),$AI$303,HLOOKUP(INDIRECT(ADDRESS(2,COLUMN())),OFFSET($BN$2,0,0,ROW()-1,60),ROW()-1,FALSE))</f>
        <v>8.0280000000000005</v>
      </c>
      <c r="AJ89">
        <f ca="1">IF(AND(ISNUMBER($AJ$303),$B$226=1),$AJ$303,HLOOKUP(INDIRECT(ADDRESS(2,COLUMN())),OFFSET($BN$2,0,0,ROW()-1,60),ROW()-1,FALSE))</f>
        <v>-32.176000000000002</v>
      </c>
      <c r="AK89">
        <f ca="1">IF(AND(ISNUMBER($AK$303),$B$226=1),$AK$303,HLOOKUP(INDIRECT(ADDRESS(2,COLUMN())),OFFSET($BN$2,0,0,ROW()-1,60),ROW()-1,FALSE))</f>
        <v>7.0289999999999999</v>
      </c>
      <c r="AL89">
        <f ca="1">IF(AND(ISNUMBER($AL$303),$B$226=1),$AL$303,HLOOKUP(INDIRECT(ADDRESS(2,COLUMN())),OFFSET($BN$2,0,0,ROW()-1,60),ROW()-1,FALSE))</f>
        <v>7.9880000000000004</v>
      </c>
      <c r="AM89">
        <f ca="1">IF(AND(ISNUMBER($AM$303),$B$226=1),$AM$303,HLOOKUP(INDIRECT(ADDRESS(2,COLUMN())),OFFSET($BN$2,0,0,ROW()-1,60),ROW()-1,FALSE))</f>
        <v>10.465999999999999</v>
      </c>
      <c r="AN89">
        <f ca="1">IF(AND(ISNUMBER($AN$303),$B$226=1),$AN$303,HLOOKUP(INDIRECT(ADDRESS(2,COLUMN())),OFFSET($BN$2,0,0,ROW()-1,60),ROW()-1,FALSE))</f>
        <v>-0.39900000000000002</v>
      </c>
      <c r="AO89">
        <f ca="1">IF(AND(ISNUMBER($AO$303),$B$226=1),$AO$303,HLOOKUP(INDIRECT(ADDRESS(2,COLUMN())),OFFSET($BN$2,0,0,ROW()-1,60),ROW()-1,FALSE))</f>
        <v>6.4240000000000004</v>
      </c>
      <c r="AP89">
        <f ca="1">IF(AND(ISNUMBER($AP$303),$B$226=1),$AP$303,HLOOKUP(INDIRECT(ADDRESS(2,COLUMN())),OFFSET($BN$2,0,0,ROW()-1,60),ROW()-1,FALSE))</f>
        <v>7.7949999999999999</v>
      </c>
      <c r="AQ89">
        <f ca="1">IF(AND(ISNUMBER($AQ$303),$B$226=1),$AQ$303,HLOOKUP(INDIRECT(ADDRESS(2,COLUMN())),OFFSET($BN$2,0,0,ROW()-1,60),ROW()-1,FALSE))</f>
        <v>2.5819999999999999</v>
      </c>
      <c r="AR89">
        <f ca="1">IF(AND(ISNUMBER($AR$303),$B$226=1),$AR$303,HLOOKUP(INDIRECT(ADDRESS(2,COLUMN())),OFFSET($BN$2,0,0,ROW()-1,60),ROW()-1,FALSE))</f>
        <v>-0.51300000000000001</v>
      </c>
      <c r="AS89">
        <f ca="1">IF(AND(ISNUMBER($AS$303),$B$226=1),$AS$303,HLOOKUP(INDIRECT(ADDRESS(2,COLUMN())),OFFSET($BN$2,0,0,ROW()-1,60),ROW()-1,FALSE))</f>
        <v>10.609</v>
      </c>
      <c r="AT89">
        <f ca="1">IF(AND(ISNUMBER($AT$303),$B$226=1),$AT$303,HLOOKUP(INDIRECT(ADDRESS(2,COLUMN())),OFFSET($BN$2,0,0,ROW()-1,60),ROW()-1,FALSE))</f>
        <v>9.0739999999999998</v>
      </c>
      <c r="AU89">
        <f ca="1">IF(AND(ISNUMBER($AU$303),$B$226=1),$AU$303,HLOOKUP(INDIRECT(ADDRESS(2,COLUMN())),OFFSET($BN$2,0,0,ROW()-1,60),ROW()-1,FALSE))</f>
        <v>9.2149999999999999</v>
      </c>
      <c r="AV89">
        <f ca="1">IF(AND(ISNUMBER($AV$303),$B$226=1),$AV$303,HLOOKUP(INDIRECT(ADDRESS(2,COLUMN())),OFFSET($BN$2,0,0,ROW()-1,60),ROW()-1,FALSE))</f>
        <v>1.8340000000000001</v>
      </c>
      <c r="AW89">
        <f ca="1">IF(AND(ISNUMBER($AW$303),$B$226=1),$AW$303,HLOOKUP(INDIRECT(ADDRESS(2,COLUMN())),OFFSET($BN$2,0,0,ROW()-1,60),ROW()-1,FALSE))</f>
        <v>6.6550000000000002</v>
      </c>
      <c r="AX89">
        <f ca="1">IF(AND(ISNUMBER($AX$303),$B$226=1),$AX$303,HLOOKUP(INDIRECT(ADDRESS(2,COLUMN())),OFFSET($BN$2,0,0,ROW()-1,60),ROW()-1,FALSE))</f>
        <v>8.2100000000000009</v>
      </c>
      <c r="AY89">
        <f ca="1">IF(AND(ISNUMBER($AY$303),$B$226=1),$AY$303,HLOOKUP(INDIRECT(ADDRESS(2,COLUMN())),OFFSET($BN$2,0,0,ROW()-1,60),ROW()-1,FALSE))</f>
        <v>8.0310000000000006</v>
      </c>
      <c r="AZ89">
        <f ca="1">IF(AND(ISNUMBER($AZ$303),$B$226=1),$AZ$303,HLOOKUP(INDIRECT(ADDRESS(2,COLUMN())),OFFSET($BN$2,0,0,ROW()-1,60),ROW()-1,FALSE))</f>
        <v>0.442</v>
      </c>
      <c r="BA89">
        <f ca="1">IF(AND(ISNUMBER($BA$303),$B$226=1),$BA$303,HLOOKUP(INDIRECT(ADDRESS(2,COLUMN())),OFFSET($BN$2,0,0,ROW()-1,60),ROW()-1,FALSE))</f>
        <v>6.2789999999999999</v>
      </c>
      <c r="BB89">
        <f ca="1">IF(AND(ISNUMBER($BB$303),$B$226=1),$BB$303,HLOOKUP(INDIRECT(ADDRESS(2,COLUMN())),OFFSET($BN$2,0,0,ROW()-1,60),ROW()-1,FALSE))</f>
        <v>8.43</v>
      </c>
      <c r="BC89">
        <f ca="1">IF(AND(ISNUMBER($BC$303),$B$226=1),$BC$303,HLOOKUP(INDIRECT(ADDRESS(2,COLUMN())),OFFSET($BN$2,0,0,ROW()-1,60),ROW()-1,FALSE))</f>
        <v>7.4660000000000002</v>
      </c>
      <c r="BD89">
        <f ca="1">IF(AND(ISNUMBER($BD$303),$B$226=1),$BD$303,HLOOKUP(INDIRECT(ADDRESS(2,COLUMN())),OFFSET($BN$2,0,0,ROW()-1,60),ROW()-1,FALSE))</f>
        <v>0.97499999999999998</v>
      </c>
      <c r="BE89" t="str">
        <f ca="1">IF(AND(ISNUMBER($BE$303),$B$226=1),$BE$303,HLOOKUP(INDIRECT(ADDRESS(2,COLUMN())),OFFSET($BN$2,0,0,ROW()-1,60),ROW()-1,FALSE))</f>
        <v/>
      </c>
      <c r="BF89">
        <f ca="1">IF(AND(ISNUMBER($BF$303),$B$226=1),$BF$303,HLOOKUP(INDIRECT(ADDRESS(2,COLUMN())),OFFSET($BN$2,0,0,ROW()-1,60),ROW()-1,FALSE))</f>
        <v>-0.33600000000000002</v>
      </c>
      <c r="BG89" t="str">
        <f ca="1">IF(AND(ISNUMBER($BG$303),$B$226=1),$BG$303,HLOOKUP(INDIRECT(ADDRESS(2,COLUMN())),OFFSET($BN$2,0,0,ROW()-1,60),ROW()-1,FALSE))</f>
        <v/>
      </c>
      <c r="BH89" t="str">
        <f ca="1">IF(AND(ISNUMBER($BH$303),$B$226=1),$BH$303,HLOOKUP(INDIRECT(ADDRESS(2,COLUMN())),OFFSET($BN$2,0,0,ROW()-1,60),ROW()-1,FALSE))</f>
        <v/>
      </c>
      <c r="BI89" t="str">
        <f ca="1">IF(AND(ISNUMBER($BI$303),$B$226=1),$BI$303,HLOOKUP(INDIRECT(ADDRESS(2,COLUMN())),OFFSET($BN$2,0,0,ROW()-1,60),ROW()-1,FALSE))</f>
        <v/>
      </c>
      <c r="BJ89" t="str">
        <f ca="1">IF(AND(ISNUMBER($BJ$303),$B$226=1),$BJ$303,HLOOKUP(INDIRECT(ADDRESS(2,COLUMN())),OFFSET($BN$2,0,0,ROW()-1,60),ROW()-1,FALSE))</f>
        <v/>
      </c>
      <c r="BK89" t="str">
        <f ca="1">IF(AND(ISNUMBER($BK$303),$B$226=1),$BK$303,HLOOKUP(INDIRECT(ADDRESS(2,COLUMN())),OFFSET($BN$2,0,0,ROW()-1,60),ROW()-1,FALSE))</f>
        <v/>
      </c>
      <c r="BL89" t="str">
        <f ca="1">IF(AND(ISNUMBER($BL$303),$B$226=1),$BL$303,HLOOKUP(INDIRECT(ADDRESS(2,COLUMN())),OFFSET($BN$2,0,0,ROW()-1,60),ROW()-1,FALSE))</f>
        <v/>
      </c>
      <c r="BM89" t="str">
        <f ca="1">IF(AND(ISNUMBER($BM$303),$B$226=1),$BM$303,HLOOKUP(INDIRECT(ADDRESS(2,COLUMN())),OFFSET($BN$2,0,0,ROW()-1,60),ROW()-1,FALSE))</f>
        <v/>
      </c>
      <c r="BN89" t="str">
        <f>""</f>
        <v/>
      </c>
      <c r="BO89">
        <f>44.74</f>
        <v>44.74</v>
      </c>
      <c r="BP89">
        <f>21.665</f>
        <v>21.664999999999999</v>
      </c>
      <c r="BQ89">
        <f>31.042</f>
        <v>31.042000000000002</v>
      </c>
      <c r="BR89">
        <f>44.018</f>
        <v>44.018000000000001</v>
      </c>
      <c r="BS89">
        <f>43.219</f>
        <v>43.219000000000001</v>
      </c>
      <c r="BT89">
        <f>19.396</f>
        <v>19.396000000000001</v>
      </c>
      <c r="BU89">
        <f>26.417</f>
        <v>26.417000000000002</v>
      </c>
      <c r="BV89">
        <f>33.948</f>
        <v>33.948</v>
      </c>
      <c r="BW89">
        <f>32.664</f>
        <v>32.664000000000001</v>
      </c>
      <c r="BX89">
        <f>14.54</f>
        <v>14.54</v>
      </c>
      <c r="BY89">
        <f>20.057</f>
        <v>20.056999999999999</v>
      </c>
      <c r="BZ89">
        <f>24.297</f>
        <v>24.297000000000001</v>
      </c>
      <c r="CA89">
        <f>26.227</f>
        <v>26.227</v>
      </c>
      <c r="CB89">
        <f>14.843</f>
        <v>14.843</v>
      </c>
      <c r="CC89">
        <f>17.258</f>
        <v>17.257999999999999</v>
      </c>
      <c r="CD89">
        <f>19.361</f>
        <v>19.361000000000001</v>
      </c>
      <c r="CE89">
        <f>23.469</f>
        <v>23.469000000000001</v>
      </c>
      <c r="CF89">
        <f>8.719</f>
        <v>8.7189999999999994</v>
      </c>
      <c r="CG89">
        <f>14.532</f>
        <v>14.532</v>
      </c>
      <c r="CH89">
        <f>16.379</f>
        <v>16.379000000000001</v>
      </c>
      <c r="CI89">
        <f>18.089</f>
        <v>18.088999999999999</v>
      </c>
      <c r="CJ89">
        <f>5.856</f>
        <v>5.8559999999999999</v>
      </c>
      <c r="CK89">
        <f>11.639</f>
        <v>11.638999999999999</v>
      </c>
      <c r="CL89">
        <f>12.591</f>
        <v>12.590999999999999</v>
      </c>
      <c r="CM89">
        <f>12.547</f>
        <v>12.547000000000001</v>
      </c>
      <c r="CN89">
        <f>2.119</f>
        <v>2.1190000000000002</v>
      </c>
      <c r="CO89">
        <f>8.365</f>
        <v>8.3650000000000002</v>
      </c>
      <c r="CP89">
        <f>9.387</f>
        <v>9.3870000000000005</v>
      </c>
      <c r="CQ89">
        <f>8.028</f>
        <v>8.0280000000000005</v>
      </c>
      <c r="CR89">
        <f>-32.176</f>
        <v>-32.176000000000002</v>
      </c>
      <c r="CS89">
        <f>7.029</f>
        <v>7.0289999999999999</v>
      </c>
      <c r="CT89">
        <f>7.988</f>
        <v>7.9880000000000004</v>
      </c>
      <c r="CU89">
        <f>10.466</f>
        <v>10.465999999999999</v>
      </c>
      <c r="CV89">
        <f>-0.399</f>
        <v>-0.39900000000000002</v>
      </c>
      <c r="CW89">
        <f>6.424</f>
        <v>6.4240000000000004</v>
      </c>
      <c r="CX89">
        <f>7.795</f>
        <v>7.7949999999999999</v>
      </c>
      <c r="CY89">
        <f>2.582</f>
        <v>2.5819999999999999</v>
      </c>
      <c r="CZ89">
        <f>-0.513</f>
        <v>-0.51300000000000001</v>
      </c>
      <c r="DA89">
        <f>10.609</f>
        <v>10.609</v>
      </c>
      <c r="DB89">
        <f>9.074</f>
        <v>9.0739999999999998</v>
      </c>
      <c r="DC89">
        <f>9.215</f>
        <v>9.2149999999999999</v>
      </c>
      <c r="DD89">
        <f>1.834</f>
        <v>1.8340000000000001</v>
      </c>
      <c r="DE89">
        <f>6.655</f>
        <v>6.6550000000000002</v>
      </c>
      <c r="DF89">
        <f>8.21</f>
        <v>8.2100000000000009</v>
      </c>
      <c r="DG89">
        <f>8.031</f>
        <v>8.0310000000000006</v>
      </c>
      <c r="DH89">
        <f>0.442</f>
        <v>0.442</v>
      </c>
      <c r="DI89">
        <f>6.279</f>
        <v>6.2789999999999999</v>
      </c>
      <c r="DJ89">
        <f>8.43</f>
        <v>8.43</v>
      </c>
      <c r="DK89">
        <f>7.466</f>
        <v>7.4660000000000002</v>
      </c>
      <c r="DL89">
        <f>0.975</f>
        <v>0.97499999999999998</v>
      </c>
      <c r="DM89" t="str">
        <f>""</f>
        <v/>
      </c>
      <c r="DN89">
        <f>-0.336</f>
        <v>-0.33600000000000002</v>
      </c>
      <c r="DO89" t="str">
        <f>""</f>
        <v/>
      </c>
      <c r="DP89" t="str">
        <f>""</f>
        <v/>
      </c>
      <c r="DQ89" t="str">
        <f>""</f>
        <v/>
      </c>
      <c r="DR89" t="str">
        <f>""</f>
        <v/>
      </c>
      <c r="DS89" t="str">
        <f>""</f>
        <v/>
      </c>
      <c r="DT89" t="str">
        <f>""</f>
        <v/>
      </c>
      <c r="DU89" t="str">
        <f>""</f>
        <v/>
      </c>
    </row>
    <row r="90" spans="1:125">
      <c r="A90" t="str">
        <f>"    Equity Residential"</f>
        <v xml:space="preserve">    Equity Residential</v>
      </c>
      <c r="B90" t="str">
        <f>"EQR US Equity"</f>
        <v>EQR US Equity</v>
      </c>
      <c r="C90" t="str">
        <f t="shared" si="27"/>
        <v>F0578</v>
      </c>
      <c r="D90" t="str">
        <f t="shared" si="28"/>
        <v>FUNDS_AVAILABLE_FOR_DISTRIBUTION</v>
      </c>
      <c r="E90" t="str">
        <f t="shared" si="29"/>
        <v>动态</v>
      </c>
      <c r="F90" t="str">
        <f ca="1">IF(AND(ISNUMBER($F$304),$B$226=1),$F$304,HLOOKUP(INDIRECT(ADDRESS(2,COLUMN())),OFFSET($BN$2,0,0,ROW()-1,60),ROW()-1,FALSE))</f>
        <v/>
      </c>
      <c r="G90">
        <f ca="1">IF(AND(ISNUMBER($G$304),$B$226=1),$G$304,HLOOKUP(INDIRECT(ADDRESS(2,COLUMN())),OFFSET($BN$2,0,0,ROW()-1,60),ROW()-1,FALSE))</f>
        <v>297.81799999999998</v>
      </c>
      <c r="H90">
        <f ca="1">IF(AND(ISNUMBER($H$304),$B$226=1),$H$304,HLOOKUP(INDIRECT(ADDRESS(2,COLUMN())),OFFSET($BN$2,0,0,ROW()-1,60),ROW()-1,FALSE))</f>
        <v>284.10300000000001</v>
      </c>
      <c r="I90">
        <f ca="1">IF(AND(ISNUMBER($I$304),$B$226=1),$I$304,HLOOKUP(INDIRECT(ADDRESS(2,COLUMN())),OFFSET($BN$2,0,0,ROW()-1,60),ROW()-1,FALSE))</f>
        <v>270.86500000000001</v>
      </c>
      <c r="J90">
        <f ca="1">IF(AND(ISNUMBER($J$304),$B$226=1),$J$304,HLOOKUP(INDIRECT(ADDRESS(2,COLUMN())),OFFSET($BN$2,0,0,ROW()-1,60),ROW()-1,FALSE))</f>
        <v>261.97199999999998</v>
      </c>
      <c r="K90">
        <f ca="1">IF(AND(ISNUMBER($K$304),$B$226=1),$K$304,HLOOKUP(INDIRECT(ADDRESS(2,COLUMN())),OFFSET($BN$2,0,0,ROW()-1,60),ROW()-1,FALSE))</f>
        <v>281.38900000000001</v>
      </c>
      <c r="L90">
        <f ca="1">IF(AND(ISNUMBER($L$304),$B$226=1),$L$304,HLOOKUP(INDIRECT(ADDRESS(2,COLUMN())),OFFSET($BN$2,0,0,ROW()-1,60),ROW()-1,FALSE))</f>
        <v>272.75799999999998</v>
      </c>
      <c r="M90">
        <f ca="1">IF(AND(ISNUMBER($M$304),$B$226=1),$M$304,HLOOKUP(INDIRECT(ADDRESS(2,COLUMN())),OFFSET($BN$2,0,0,ROW()-1,60),ROW()-1,FALSE))</f>
        <v>313.11700000000002</v>
      </c>
      <c r="N90">
        <f ca="1">IF(AND(ISNUMBER($N$304),$B$226=1),$N$304,HLOOKUP(INDIRECT(ADDRESS(2,COLUMN())),OFFSET($BN$2,0,0,ROW()-1,60),ROW()-1,FALSE))</f>
        <v>266.72300000000001</v>
      </c>
      <c r="O90">
        <f ca="1">IF(AND(ISNUMBER($O$304),$B$226=1),$O$304,HLOOKUP(INDIRECT(ADDRESS(2,COLUMN())),OFFSET($BN$2,0,0,ROW()-1,60),ROW()-1,FALSE))</f>
        <v>328.245</v>
      </c>
      <c r="P90">
        <f ca="1">IF(AND(ISNUMBER($P$304),$B$226=1),$P$304,HLOOKUP(INDIRECT(ADDRESS(2,COLUMN())),OFFSET($BN$2,0,0,ROW()-1,60),ROW()-1,FALSE))</f>
        <v>310.88200000000001</v>
      </c>
      <c r="Q90">
        <f ca="1">IF(AND(ISNUMBER($Q$304),$B$226=1),$Q$304,HLOOKUP(INDIRECT(ADDRESS(2,COLUMN())),OFFSET($BN$2,0,0,ROW()-1,60),ROW()-1,FALSE))</f>
        <v>297.18200000000002</v>
      </c>
      <c r="R90">
        <f ca="1">IF(AND(ISNUMBER($R$304),$B$226=1),$R$304,HLOOKUP(INDIRECT(ADDRESS(2,COLUMN())),OFFSET($BN$2,0,0,ROW()-1,60),ROW()-1,FALSE))</f>
        <v>271.73200000000003</v>
      </c>
      <c r="S90">
        <f ca="1">IF(AND(ISNUMBER($S$304),$B$226=1),$S$304,HLOOKUP(INDIRECT(ADDRESS(2,COLUMN())),OFFSET($BN$2,0,0,ROW()-1,60),ROW()-1,FALSE))</f>
        <v>300.44600000000003</v>
      </c>
      <c r="T90">
        <f ca="1">IF(AND(ISNUMBER($T$304),$B$226=1),$T$304,HLOOKUP(INDIRECT(ADDRESS(2,COLUMN())),OFFSET($BN$2,0,0,ROW()-1,60),ROW()-1,FALSE))</f>
        <v>283.33199999999999</v>
      </c>
      <c r="U90">
        <f ca="1">IF(AND(ISNUMBER($U$304),$B$226=1),$U$304,HLOOKUP(INDIRECT(ADDRESS(2,COLUMN())),OFFSET($BN$2,0,0,ROW()-1,60),ROW()-1,FALSE))</f>
        <v>267.80500000000001</v>
      </c>
      <c r="V90">
        <f ca="1">IF(AND(ISNUMBER($V$304),$B$226=1),$V$304,HLOOKUP(INDIRECT(ADDRESS(2,COLUMN())),OFFSET($BN$2,0,0,ROW()-1,60),ROW()-1,FALSE))</f>
        <v>239.185</v>
      </c>
      <c r="W90">
        <f ca="1">IF(AND(ISNUMBER($W$304),$B$226=1),$W$304,HLOOKUP(INDIRECT(ADDRESS(2,COLUMN())),OFFSET($BN$2,0,0,ROW()-1,60),ROW()-1,FALSE))</f>
        <v>262.95999999999998</v>
      </c>
      <c r="X90">
        <f ca="1">IF(AND(ISNUMBER($X$304),$B$226=1),$X$304,HLOOKUP(INDIRECT(ADDRESS(2,COLUMN())),OFFSET($BN$2,0,0,ROW()-1,60),ROW()-1,FALSE))</f>
        <v>245.63900000000001</v>
      </c>
      <c r="Y90">
        <f ca="1">IF(AND(ISNUMBER($Y$304),$B$226=1),$Y$304,HLOOKUP(INDIRECT(ADDRESS(2,COLUMN())),OFFSET($BN$2,0,0,ROW()-1,60),ROW()-1,FALSE))</f>
        <v>238.19900000000001</v>
      </c>
      <c r="Z90">
        <f ca="1">IF(AND(ISNUMBER($Z$304),$B$226=1),$Z$304,HLOOKUP(INDIRECT(ADDRESS(2,COLUMN())),OFFSET($BN$2,0,0,ROW()-1,60),ROW()-1,FALSE))</f>
        <v>199.93199999999999</v>
      </c>
      <c r="AA90">
        <f ca="1">IF(AND(ISNUMBER($AA$304),$B$226=1),$AA$304,HLOOKUP(INDIRECT(ADDRESS(2,COLUMN())),OFFSET($BN$2,0,0,ROW()-1,60),ROW()-1,FALSE))</f>
        <v>218.93899999999999</v>
      </c>
      <c r="AB90">
        <f ca="1">IF(AND(ISNUMBER($AB$304),$B$226=1),$AB$304,HLOOKUP(INDIRECT(ADDRESS(2,COLUMN())),OFFSET($BN$2,0,0,ROW()-1,60),ROW()-1,FALSE))</f>
        <v>203.833</v>
      </c>
      <c r="AC90">
        <f ca="1">IF(AND(ISNUMBER($AC$304),$B$226=1),$AC$304,HLOOKUP(INDIRECT(ADDRESS(2,COLUMN())),OFFSET($BN$2,0,0,ROW()-1,60),ROW()-1,FALSE))</f>
        <v>240.94399999999999</v>
      </c>
      <c r="AD90">
        <f ca="1">IF(AND(ISNUMBER($AD$304),$B$226=1),$AD$304,HLOOKUP(INDIRECT(ADDRESS(2,COLUMN())),OFFSET($BN$2,0,0,ROW()-1,60),ROW()-1,FALSE))</f>
        <v>165.91300000000001</v>
      </c>
      <c r="AE90">
        <f ca="1">IF(AND(ISNUMBER($AE$304),$B$226=1),$AE$304,HLOOKUP(INDIRECT(ADDRESS(2,COLUMN())),OFFSET($BN$2,0,0,ROW()-1,60),ROW()-1,FALSE))</f>
        <v>179.136</v>
      </c>
      <c r="AF90">
        <f ca="1">IF(AND(ISNUMBER($AF$304),$B$226=1),$AF$304,HLOOKUP(INDIRECT(ADDRESS(2,COLUMN())),OFFSET($BN$2,0,0,ROW()-1,60),ROW()-1,FALSE))</f>
        <v>165.815</v>
      </c>
      <c r="AG90">
        <f ca="1">IF(AND(ISNUMBER($AG$304),$B$226=1),$AG$304,HLOOKUP(INDIRECT(ADDRESS(2,COLUMN())),OFFSET($BN$2,0,0,ROW()-1,60),ROW()-1,FALSE))</f>
        <v>212.91</v>
      </c>
      <c r="AH90">
        <f ca="1">IF(AND(ISNUMBER($AH$304),$B$226=1),$AH$304,HLOOKUP(INDIRECT(ADDRESS(2,COLUMN())),OFFSET($BN$2,0,0,ROW()-1,60),ROW()-1,FALSE))</f>
        <v>149.267</v>
      </c>
      <c r="AI90">
        <f ca="1">IF(AND(ISNUMBER($AI$304),$B$226=1),$AI$304,HLOOKUP(INDIRECT(ADDRESS(2,COLUMN())),OFFSET($BN$2,0,0,ROW()-1,60),ROW()-1,FALSE))</f>
        <v>158.57599999999999</v>
      </c>
      <c r="AJ90">
        <f ca="1">IF(AND(ISNUMBER($AJ$304),$B$226=1),$AJ$304,HLOOKUP(INDIRECT(ADDRESS(2,COLUMN())),OFFSET($BN$2,0,0,ROW()-1,60),ROW()-1,FALSE))</f>
        <v>143.06700000000001</v>
      </c>
      <c r="AK90">
        <f ca="1">IF(AND(ISNUMBER($AK$304),$B$226=1),$AK$304,HLOOKUP(INDIRECT(ADDRESS(2,COLUMN())),OFFSET($BN$2,0,0,ROW()-1,60),ROW()-1,FALSE))</f>
        <v>148.524</v>
      </c>
      <c r="AL90">
        <f ca="1">IF(AND(ISNUMBER($AL$304),$B$226=1),$AL$304,HLOOKUP(INDIRECT(ADDRESS(2,COLUMN())),OFFSET($BN$2,0,0,ROW()-1,60),ROW()-1,FALSE))</f>
        <v>123.142</v>
      </c>
      <c r="AM90">
        <f ca="1">IF(AND(ISNUMBER($AM$304),$B$226=1),$AM$304,HLOOKUP(INDIRECT(ADDRESS(2,COLUMN())),OFFSET($BN$2,0,0,ROW()-1,60),ROW()-1,FALSE))</f>
        <v>72.239000000000004</v>
      </c>
      <c r="AN90">
        <f ca="1">IF(AND(ISNUMBER($AN$304),$B$226=1),$AN$304,HLOOKUP(INDIRECT(ADDRESS(2,COLUMN())),OFFSET($BN$2,0,0,ROW()-1,60),ROW()-1,FALSE))</f>
        <v>122.438</v>
      </c>
      <c r="AO90">
        <f ca="1">IF(AND(ISNUMBER($AO$304),$B$226=1),$AO$304,HLOOKUP(INDIRECT(ADDRESS(2,COLUMN())),OFFSET($BN$2,0,0,ROW()-1,60),ROW()-1,FALSE))</f>
        <v>130.82499999999999</v>
      </c>
      <c r="AP90">
        <f ca="1">IF(AND(ISNUMBER($AP$304),$B$226=1),$AP$304,HLOOKUP(INDIRECT(ADDRESS(2,COLUMN())),OFFSET($BN$2,0,0,ROW()-1,60),ROW()-1,FALSE))</f>
        <v>136.27699999999999</v>
      </c>
      <c r="AQ90">
        <f ca="1">IF(AND(ISNUMBER($AQ$304),$B$226=1),$AQ$304,HLOOKUP(INDIRECT(ADDRESS(2,COLUMN())),OFFSET($BN$2,0,0,ROW()-1,60),ROW()-1,FALSE))</f>
        <v>52.600999999999999</v>
      </c>
      <c r="AR90">
        <f ca="1">IF(AND(ISNUMBER($AR$304),$B$226=1),$AR$304,HLOOKUP(INDIRECT(ADDRESS(2,COLUMN())),OFFSET($BN$2,0,0,ROW()-1,60),ROW()-1,FALSE))</f>
        <v>156.726</v>
      </c>
      <c r="AS90">
        <f ca="1">IF(AND(ISNUMBER($AS$304),$B$226=1),$AS$304,HLOOKUP(INDIRECT(ADDRESS(2,COLUMN())),OFFSET($BN$2,0,0,ROW()-1,60),ROW()-1,FALSE))</f>
        <v>157.65799999999999</v>
      </c>
      <c r="AT90">
        <f ca="1">IF(AND(ISNUMBER($AT$304),$B$226=1),$AT$304,HLOOKUP(INDIRECT(ADDRESS(2,COLUMN())),OFFSET($BN$2,0,0,ROW()-1,60),ROW()-1,FALSE))</f>
        <v>141.31</v>
      </c>
      <c r="AU90">
        <f ca="1">IF(AND(ISNUMBER($AU$304),$B$226=1),$AU$304,HLOOKUP(INDIRECT(ADDRESS(2,COLUMN())),OFFSET($BN$2,0,0,ROW()-1,60),ROW()-1,FALSE))</f>
        <v>166.97200000000001</v>
      </c>
      <c r="AV90">
        <f ca="1">IF(AND(ISNUMBER($AV$304),$B$226=1),$AV$304,HLOOKUP(INDIRECT(ADDRESS(2,COLUMN())),OFFSET($BN$2,0,0,ROW()-1,60),ROW()-1,FALSE))</f>
        <v>143.10400000000001</v>
      </c>
      <c r="AW90">
        <f ca="1">IF(AND(ISNUMBER($AW$304),$B$226=1),$AW$304,HLOOKUP(INDIRECT(ADDRESS(2,COLUMN())),OFFSET($BN$2,0,0,ROW()-1,60),ROW()-1,FALSE))</f>
        <v>155.55000000000001</v>
      </c>
      <c r="AX90">
        <f ca="1">IF(AND(ISNUMBER($AX$304),$B$226=1),$AX$304,HLOOKUP(INDIRECT(ADDRESS(2,COLUMN())),OFFSET($BN$2,0,0,ROW()-1,60),ROW()-1,FALSE))</f>
        <v>143.07400000000001</v>
      </c>
      <c r="AY90">
        <f ca="1">IF(AND(ISNUMBER($AY$304),$B$226=1),$AY$304,HLOOKUP(INDIRECT(ADDRESS(2,COLUMN())),OFFSET($BN$2,0,0,ROW()-1,60),ROW()-1,FALSE))</f>
        <v>123.32599999999999</v>
      </c>
      <c r="AZ90">
        <f ca="1">IF(AND(ISNUMBER($AZ$304),$B$226=1),$AZ$304,HLOOKUP(INDIRECT(ADDRESS(2,COLUMN())),OFFSET($BN$2,0,0,ROW()-1,60),ROW()-1,FALSE))</f>
        <v>166.98</v>
      </c>
      <c r="BA90">
        <f ca="1">IF(AND(ISNUMBER($BA$304),$B$226=1),$BA$304,HLOOKUP(INDIRECT(ADDRESS(2,COLUMN())),OFFSET($BN$2,0,0,ROW()-1,60),ROW()-1,FALSE))</f>
        <v>161.13499999999999</v>
      </c>
      <c r="BB90">
        <f ca="1">IF(AND(ISNUMBER($BB$304),$B$226=1),$BB$304,HLOOKUP(INDIRECT(ADDRESS(2,COLUMN())),OFFSET($BN$2,0,0,ROW()-1,60),ROW()-1,FALSE))</f>
        <v>146.404</v>
      </c>
      <c r="BC90">
        <f ca="1">IF(AND(ISNUMBER($BC$304),$B$226=1),$BC$304,HLOOKUP(INDIRECT(ADDRESS(2,COLUMN())),OFFSET($BN$2,0,0,ROW()-1,60),ROW()-1,FALSE))</f>
        <v>206.12899999999999</v>
      </c>
      <c r="BD90">
        <f ca="1">IF(AND(ISNUMBER($BD$304),$B$226=1),$BD$304,HLOOKUP(INDIRECT(ADDRESS(2,COLUMN())),OFFSET($BN$2,0,0,ROW()-1,60),ROW()-1,FALSE))</f>
        <v>175.19200000000001</v>
      </c>
      <c r="BE90">
        <f ca="1">IF(AND(ISNUMBER($BE$304),$B$226=1),$BE$304,HLOOKUP(INDIRECT(ADDRESS(2,COLUMN())),OFFSET($BN$2,0,0,ROW()-1,60),ROW()-1,FALSE))</f>
        <v>173.488</v>
      </c>
      <c r="BF90">
        <f ca="1">IF(AND(ISNUMBER($BF$304),$B$226=1),$BF$304,HLOOKUP(INDIRECT(ADDRESS(2,COLUMN())),OFFSET($BN$2,0,0,ROW()-1,60),ROW()-1,FALSE))</f>
        <v>229.81700000000001</v>
      </c>
      <c r="BG90">
        <f ca="1">IF(AND(ISNUMBER($BG$304),$B$226=1),$BG$304,HLOOKUP(INDIRECT(ADDRESS(2,COLUMN())),OFFSET($BN$2,0,0,ROW()-1,60),ROW()-1,FALSE))</f>
        <v>174.291</v>
      </c>
      <c r="BH90">
        <f ca="1">IF(AND(ISNUMBER($BH$304),$B$226=1),$BH$304,HLOOKUP(INDIRECT(ADDRESS(2,COLUMN())),OFFSET($BN$2,0,0,ROW()-1,60),ROW()-1,FALSE))</f>
        <v>153.22499999999999</v>
      </c>
      <c r="BI90">
        <f ca="1">IF(AND(ISNUMBER($BI$304),$B$226=1),$BI$304,HLOOKUP(INDIRECT(ADDRESS(2,COLUMN())),OFFSET($BN$2,0,0,ROW()-1,60),ROW()-1,FALSE))</f>
        <v>14.465011000000001</v>
      </c>
      <c r="BJ90">
        <f ca="1">IF(AND(ISNUMBER($BJ$304),$B$226=1),$BJ$304,HLOOKUP(INDIRECT(ADDRESS(2,COLUMN())),OFFSET($BN$2,0,0,ROW()-1,60),ROW()-1,FALSE))</f>
        <v>156.10699500000001</v>
      </c>
      <c r="BK90" t="str">
        <f ca="1">IF(AND(ISNUMBER($BK$304),$B$226=1),$BK$304,HLOOKUP(INDIRECT(ADDRESS(2,COLUMN())),OFFSET($BN$2,0,0,ROW()-1,60),ROW()-1,FALSE))</f>
        <v/>
      </c>
      <c r="BL90">
        <f ca="1">IF(AND(ISNUMBER($BL$304),$B$226=1),$BL$304,HLOOKUP(INDIRECT(ADDRESS(2,COLUMN())),OFFSET($BN$2,0,0,ROW()-1,60),ROW()-1,FALSE))</f>
        <v>168.475998</v>
      </c>
      <c r="BM90">
        <f ca="1">IF(AND(ISNUMBER($BM$304),$B$226=1),$BM$304,HLOOKUP(INDIRECT(ADDRESS(2,COLUMN())),OFFSET($BN$2,0,0,ROW()-1,60),ROW()-1,FALSE))</f>
        <v>170.229004</v>
      </c>
      <c r="BN90" t="str">
        <f>""</f>
        <v/>
      </c>
      <c r="BO90">
        <f>297.818</f>
        <v>297.81799999999998</v>
      </c>
      <c r="BP90">
        <f>284.103</f>
        <v>284.10300000000001</v>
      </c>
      <c r="BQ90">
        <f>270.865</f>
        <v>270.86500000000001</v>
      </c>
      <c r="BR90">
        <f>261.972</f>
        <v>261.97199999999998</v>
      </c>
      <c r="BS90">
        <f>281.389</f>
        <v>281.38900000000001</v>
      </c>
      <c r="BT90">
        <f>272.758</f>
        <v>272.75799999999998</v>
      </c>
      <c r="BU90">
        <f>313.117</f>
        <v>313.11700000000002</v>
      </c>
      <c r="BV90">
        <f>266.723</f>
        <v>266.72300000000001</v>
      </c>
      <c r="BW90">
        <f>328.245</f>
        <v>328.245</v>
      </c>
      <c r="BX90">
        <f>310.882</f>
        <v>310.88200000000001</v>
      </c>
      <c r="BY90">
        <f>297.182</f>
        <v>297.18200000000002</v>
      </c>
      <c r="BZ90">
        <f>271.732</f>
        <v>271.73200000000003</v>
      </c>
      <c r="CA90">
        <f>300.446</f>
        <v>300.44600000000003</v>
      </c>
      <c r="CB90">
        <f>283.332</f>
        <v>283.33199999999999</v>
      </c>
      <c r="CC90">
        <f>267.805</f>
        <v>267.80500000000001</v>
      </c>
      <c r="CD90">
        <f>239.185</f>
        <v>239.185</v>
      </c>
      <c r="CE90">
        <f>262.96</f>
        <v>262.95999999999998</v>
      </c>
      <c r="CF90">
        <f>245.639</f>
        <v>245.63900000000001</v>
      </c>
      <c r="CG90">
        <f>238.199</f>
        <v>238.19900000000001</v>
      </c>
      <c r="CH90">
        <f>199.932</f>
        <v>199.93199999999999</v>
      </c>
      <c r="CI90">
        <f>218.939</f>
        <v>218.93899999999999</v>
      </c>
      <c r="CJ90">
        <f>203.833</f>
        <v>203.833</v>
      </c>
      <c r="CK90">
        <f>240.944</f>
        <v>240.94399999999999</v>
      </c>
      <c r="CL90">
        <f>165.913</f>
        <v>165.91300000000001</v>
      </c>
      <c r="CM90">
        <f>179.136</f>
        <v>179.136</v>
      </c>
      <c r="CN90">
        <f>165.815</f>
        <v>165.815</v>
      </c>
      <c r="CO90">
        <f>212.91</f>
        <v>212.91</v>
      </c>
      <c r="CP90">
        <f>149.267</f>
        <v>149.267</v>
      </c>
      <c r="CQ90">
        <f>158.576</f>
        <v>158.57599999999999</v>
      </c>
      <c r="CR90">
        <f>143.067</f>
        <v>143.06700000000001</v>
      </c>
      <c r="CS90">
        <f>148.524</f>
        <v>148.524</v>
      </c>
      <c r="CT90">
        <f>123.142</f>
        <v>123.142</v>
      </c>
      <c r="CU90">
        <f>72.239</f>
        <v>72.239000000000004</v>
      </c>
      <c r="CV90">
        <f>122.438</f>
        <v>122.438</v>
      </c>
      <c r="CW90">
        <f>130.825</f>
        <v>130.82499999999999</v>
      </c>
      <c r="CX90">
        <f>136.277</f>
        <v>136.27699999999999</v>
      </c>
      <c r="CY90">
        <f>52.601</f>
        <v>52.600999999999999</v>
      </c>
      <c r="CZ90">
        <f>156.726</f>
        <v>156.726</v>
      </c>
      <c r="DA90">
        <f>157.658</f>
        <v>157.65799999999999</v>
      </c>
      <c r="DB90">
        <f>141.31</f>
        <v>141.31</v>
      </c>
      <c r="DC90">
        <f>166.972</f>
        <v>166.97200000000001</v>
      </c>
      <c r="DD90">
        <f>143.104</f>
        <v>143.10400000000001</v>
      </c>
      <c r="DE90">
        <f>155.55</f>
        <v>155.55000000000001</v>
      </c>
      <c r="DF90">
        <f>143.074</f>
        <v>143.07400000000001</v>
      </c>
      <c r="DG90">
        <f>123.326</f>
        <v>123.32599999999999</v>
      </c>
      <c r="DH90">
        <f>166.98</f>
        <v>166.98</v>
      </c>
      <c r="DI90">
        <f>161.135</f>
        <v>161.13499999999999</v>
      </c>
      <c r="DJ90">
        <f>146.404</f>
        <v>146.404</v>
      </c>
      <c r="DK90">
        <f>206.129</f>
        <v>206.12899999999999</v>
      </c>
      <c r="DL90">
        <f>175.192</f>
        <v>175.19200000000001</v>
      </c>
      <c r="DM90">
        <f>173.488</f>
        <v>173.488</v>
      </c>
      <c r="DN90">
        <f>229.817</f>
        <v>229.81700000000001</v>
      </c>
      <c r="DO90">
        <f>174.291</f>
        <v>174.291</v>
      </c>
      <c r="DP90">
        <f>153.225</f>
        <v>153.22499999999999</v>
      </c>
      <c r="DQ90">
        <f>14.465011</f>
        <v>14.465011000000001</v>
      </c>
      <c r="DR90">
        <f>156.106995</f>
        <v>156.10699500000001</v>
      </c>
      <c r="DS90" t="str">
        <f>""</f>
        <v/>
      </c>
      <c r="DT90">
        <f>168.475998</f>
        <v>168.475998</v>
      </c>
      <c r="DU90">
        <f>170.229004</f>
        <v>170.229004</v>
      </c>
    </row>
    <row r="91" spans="1:125">
      <c r="A91" t="str">
        <f>"    Essex Property Trust Inc"</f>
        <v xml:space="preserve">    Essex Property Trust Inc</v>
      </c>
      <c r="B91" t="str">
        <f>"ESS US Equity"</f>
        <v>ESS US Equity</v>
      </c>
      <c r="C91" t="str">
        <f t="shared" si="27"/>
        <v>F0578</v>
      </c>
      <c r="D91" t="str">
        <f t="shared" si="28"/>
        <v>FUNDS_AVAILABLE_FOR_DISTRIBUTION</v>
      </c>
      <c r="E91" t="str">
        <f t="shared" si="29"/>
        <v>动态</v>
      </c>
      <c r="F91" t="str">
        <f ca="1">IF(AND(ISNUMBER($F$305),$B$226=1),$F$305,HLOOKUP(INDIRECT(ADDRESS(2,COLUMN())),OFFSET($BN$2,0,0,ROW()-1,60),ROW()-1,FALSE))</f>
        <v/>
      </c>
      <c r="G91">
        <f ca="1">IF(AND(ISNUMBER($G$305),$B$226=1),$G$305,HLOOKUP(INDIRECT(ADDRESS(2,COLUMN())),OFFSET($BN$2,0,0,ROW()-1,60),ROW()-1,FALSE))</f>
        <v>205.71700000000001</v>
      </c>
      <c r="H91">
        <f ca="1">IF(AND(ISNUMBER($H$305),$B$226=1),$H$305,HLOOKUP(INDIRECT(ADDRESS(2,COLUMN())),OFFSET($BN$2,0,0,ROW()-1,60),ROW()-1,FALSE))</f>
        <v>183.16399999999999</v>
      </c>
      <c r="I91">
        <f ca="1">IF(AND(ISNUMBER($I$305),$B$226=1),$I$305,HLOOKUP(INDIRECT(ADDRESS(2,COLUMN())),OFFSET($BN$2,0,0,ROW()-1,60),ROW()-1,FALSE))</f>
        <v>202.56100000000001</v>
      </c>
      <c r="J91">
        <f ca="1">IF(AND(ISNUMBER($J$305),$B$226=1),$J$305,HLOOKUP(INDIRECT(ADDRESS(2,COLUMN())),OFFSET($BN$2,0,0,ROW()-1,60),ROW()-1,FALSE))</f>
        <v>190.32499999999999</v>
      </c>
      <c r="K91">
        <f ca="1">IF(AND(ISNUMBER($K$305),$B$226=1),$K$305,HLOOKUP(INDIRECT(ADDRESS(2,COLUMN())),OFFSET($BN$2,0,0,ROW()-1,60),ROW()-1,FALSE))</f>
        <v>190.81200000000001</v>
      </c>
      <c r="L91">
        <f ca="1">IF(AND(ISNUMBER($L$305),$B$226=1),$L$305,HLOOKUP(INDIRECT(ADDRESS(2,COLUMN())),OFFSET($BN$2,0,0,ROW()-1,60),ROW()-1,FALSE))</f>
        <v>190.53399999999999</v>
      </c>
      <c r="M91">
        <f ca="1">IF(AND(ISNUMBER($M$305),$B$226=1),$M$305,HLOOKUP(INDIRECT(ADDRESS(2,COLUMN())),OFFSET($BN$2,0,0,ROW()-1,60),ROW()-1,FALSE))</f>
        <v>186.13200000000001</v>
      </c>
      <c r="N91">
        <f ca="1">IF(AND(ISNUMBER($N$305),$B$226=1),$N$305,HLOOKUP(INDIRECT(ADDRESS(2,COLUMN())),OFFSET($BN$2,0,0,ROW()-1,60),ROW()-1,FALSE))</f>
        <v>181.71600000000001</v>
      </c>
      <c r="O91">
        <f ca="1">IF(AND(ISNUMBER($O$305),$B$226=1),$O$305,HLOOKUP(INDIRECT(ADDRESS(2,COLUMN())),OFFSET($BN$2,0,0,ROW()-1,60),ROW()-1,FALSE))</f>
        <v>178.29300000000001</v>
      </c>
      <c r="P91">
        <f ca="1">IF(AND(ISNUMBER($P$305),$B$226=1),$P$305,HLOOKUP(INDIRECT(ADDRESS(2,COLUMN())),OFFSET($BN$2,0,0,ROW()-1,60),ROW()-1,FALSE))</f>
        <v>168.435</v>
      </c>
      <c r="Q91">
        <f ca="1">IF(AND(ISNUMBER($Q$305),$B$226=1),$Q$305,HLOOKUP(INDIRECT(ADDRESS(2,COLUMN())),OFFSET($BN$2,0,0,ROW()-1,60),ROW()-1,FALSE))</f>
        <v>161.32599999999999</v>
      </c>
      <c r="R91">
        <f ca="1">IF(AND(ISNUMBER($R$305),$B$226=1),$R$305,HLOOKUP(INDIRECT(ADDRESS(2,COLUMN())),OFFSET($BN$2,0,0,ROW()-1,60),ROW()-1,FALSE))</f>
        <v>152.61799999999999</v>
      </c>
      <c r="S91">
        <f ca="1">IF(AND(ISNUMBER($S$305),$B$226=1),$S$305,HLOOKUP(INDIRECT(ADDRESS(2,COLUMN())),OFFSET($BN$2,0,0,ROW()-1,60),ROW()-1,FALSE))</f>
        <v>135.93299999999999</v>
      </c>
      <c r="T91">
        <f ca="1">IF(AND(ISNUMBER($T$305),$B$226=1),$T$305,HLOOKUP(INDIRECT(ADDRESS(2,COLUMN())),OFFSET($BN$2,0,0,ROW()-1,60),ROW()-1,FALSE))</f>
        <v>127.08394</v>
      </c>
      <c r="U91">
        <f ca="1">IF(AND(ISNUMBER($U$305),$B$226=1),$U$305,HLOOKUP(INDIRECT(ADDRESS(2,COLUMN())),OFFSET($BN$2,0,0,ROW()-1,60),ROW()-1,FALSE))</f>
        <v>129.47800000000001</v>
      </c>
      <c r="V91">
        <f ca="1">IF(AND(ISNUMBER($V$305),$B$226=1),$V$305,HLOOKUP(INDIRECT(ADDRESS(2,COLUMN())),OFFSET($BN$2,0,0,ROW()-1,60),ROW()-1,FALSE))</f>
        <v>81.12</v>
      </c>
      <c r="W91">
        <f ca="1">IF(AND(ISNUMBER($W$305),$B$226=1),$W$305,HLOOKUP(INDIRECT(ADDRESS(2,COLUMN())),OFFSET($BN$2,0,0,ROW()-1,60),ROW()-1,FALSE))</f>
        <v>71.882999999999996</v>
      </c>
      <c r="X91">
        <f ca="1">IF(AND(ISNUMBER($X$305),$B$226=1),$X$305,HLOOKUP(INDIRECT(ADDRESS(2,COLUMN())),OFFSET($BN$2,0,0,ROW()-1,60),ROW()-1,FALSE))</f>
        <v>66.08</v>
      </c>
      <c r="Y91">
        <f ca="1">IF(AND(ISNUMBER($Y$305),$B$226=1),$Y$305,HLOOKUP(INDIRECT(ADDRESS(2,COLUMN())),OFFSET($BN$2,0,0,ROW()-1,60),ROW()-1,FALSE))</f>
        <v>65.899000000000001</v>
      </c>
      <c r="Z91">
        <f ca="1">IF(AND(ISNUMBER($Z$305),$B$226=1),$Z$305,HLOOKUP(INDIRECT(ADDRESS(2,COLUMN())),OFFSET($BN$2,0,0,ROW()-1,60),ROW()-1,FALSE))</f>
        <v>69.194000000000003</v>
      </c>
      <c r="AA91">
        <f ca="1">IF(AND(ISNUMBER($AA$305),$B$226=1),$AA$305,HLOOKUP(INDIRECT(ADDRESS(2,COLUMN())),OFFSET($BN$2,0,0,ROW()-1,60),ROW()-1,FALSE))</f>
        <v>54.34</v>
      </c>
      <c r="AB91">
        <f ca="1">IF(AND(ISNUMBER($AB$305),$B$226=1),$AB$305,HLOOKUP(INDIRECT(ADDRESS(2,COLUMN())),OFFSET($BN$2,0,0,ROW()-1,60),ROW()-1,FALSE))</f>
        <v>73.600999999999999</v>
      </c>
      <c r="AC91">
        <f ca="1">IF(AND(ISNUMBER($AC$305),$B$226=1),$AC$305,HLOOKUP(INDIRECT(ADDRESS(2,COLUMN())),OFFSET($BN$2,0,0,ROW()-1,60),ROW()-1,FALSE))</f>
        <v>57.661000000000001</v>
      </c>
      <c r="AD91">
        <f ca="1">IF(AND(ISNUMBER($AD$305),$B$226=1),$AD$305,HLOOKUP(INDIRECT(ADDRESS(2,COLUMN())),OFFSET($BN$2,0,0,ROW()-1,60),ROW()-1,FALSE))</f>
        <v>58.246000000000002</v>
      </c>
      <c r="AE91">
        <f ca="1">IF(AND(ISNUMBER($AE$305),$B$226=1),$AE$305,HLOOKUP(INDIRECT(ADDRESS(2,COLUMN())),OFFSET($BN$2,0,0,ROW()-1,60),ROW()-1,FALSE))</f>
        <v>41.82</v>
      </c>
      <c r="AF91">
        <f ca="1">IF(AND(ISNUMBER($AF$305),$B$226=1),$AF$305,HLOOKUP(INDIRECT(ADDRESS(2,COLUMN())),OFFSET($BN$2,0,0,ROW()-1,60),ROW()-1,FALSE))</f>
        <v>43.966000000000001</v>
      </c>
      <c r="AG91">
        <f ca="1">IF(AND(ISNUMBER($AG$305),$B$226=1),$AG$305,HLOOKUP(INDIRECT(ADDRESS(2,COLUMN())),OFFSET($BN$2,0,0,ROW()-1,60),ROW()-1,FALSE))</f>
        <v>43.188000000000002</v>
      </c>
      <c r="AH91">
        <f ca="1">IF(AND(ISNUMBER($AH$305),$B$226=1),$AH$305,HLOOKUP(INDIRECT(ADDRESS(2,COLUMN())),OFFSET($BN$2,0,0,ROW()-1,60),ROW()-1,FALSE))</f>
        <v>41.344000000000001</v>
      </c>
      <c r="AI91">
        <f ca="1">IF(AND(ISNUMBER($AI$305),$B$226=1),$AI$305,HLOOKUP(INDIRECT(ADDRESS(2,COLUMN())),OFFSET($BN$2,0,0,ROW()-1,60),ROW()-1,FALSE))</f>
        <v>41.994</v>
      </c>
      <c r="AJ91">
        <f ca="1">IF(AND(ISNUMBER($AJ$305),$B$226=1),$AJ$305,HLOOKUP(INDIRECT(ADDRESS(2,COLUMN())),OFFSET($BN$2,0,0,ROW()-1,60),ROW()-1,FALSE))</f>
        <v>40.229999999999997</v>
      </c>
      <c r="AK91">
        <f ca="1">IF(AND(ISNUMBER($AK$305),$B$226=1),$AK$305,HLOOKUP(INDIRECT(ADDRESS(2,COLUMN())),OFFSET($BN$2,0,0,ROW()-1,60),ROW()-1,FALSE))</f>
        <v>38.646999999999998</v>
      </c>
      <c r="AL91">
        <f ca="1">IF(AND(ISNUMBER($AL$305),$B$226=1),$AL$305,HLOOKUP(INDIRECT(ADDRESS(2,COLUMN())),OFFSET($BN$2,0,0,ROW()-1,60),ROW()-1,FALSE))</f>
        <v>47.42</v>
      </c>
      <c r="AM91">
        <f ca="1">IF(AND(ISNUMBER($AM$305),$B$226=1),$AM$305,HLOOKUP(INDIRECT(ADDRESS(2,COLUMN())),OFFSET($BN$2,0,0,ROW()-1,60),ROW()-1,FALSE))</f>
        <v>37.335999999999999</v>
      </c>
      <c r="AN91">
        <f ca="1">IF(AND(ISNUMBER($AN$305),$B$226=1),$AN$305,HLOOKUP(INDIRECT(ADDRESS(2,COLUMN())),OFFSET($BN$2,0,0,ROW()-1,60),ROW()-1,FALSE))</f>
        <v>38.012</v>
      </c>
      <c r="AO91">
        <f ca="1">IF(AND(ISNUMBER($AO$305),$B$226=1),$AO$305,HLOOKUP(INDIRECT(ADDRESS(2,COLUMN())),OFFSET($BN$2,0,0,ROW()-1,60),ROW()-1,FALSE))</f>
        <v>42.002000000000002</v>
      </c>
      <c r="AP91">
        <f ca="1">IF(AND(ISNUMBER($AP$305),$B$226=1),$AP$305,HLOOKUP(INDIRECT(ADDRESS(2,COLUMN())),OFFSET($BN$2,0,0,ROW()-1,60),ROW()-1,FALSE))</f>
        <v>44.137999999999998</v>
      </c>
      <c r="AQ91">
        <f ca="1">IF(AND(ISNUMBER($AQ$305),$B$226=1),$AQ$305,HLOOKUP(INDIRECT(ADDRESS(2,COLUMN())),OFFSET($BN$2,0,0,ROW()-1,60),ROW()-1,FALSE))</f>
        <v>37.408999999999999</v>
      </c>
      <c r="AR91">
        <f ca="1">IF(AND(ISNUMBER($AR$305),$B$226=1),$AR$305,HLOOKUP(INDIRECT(ADDRESS(2,COLUMN())),OFFSET($BN$2,0,0,ROW()-1,60),ROW()-1,FALSE))</f>
        <v>36.146000000000001</v>
      </c>
      <c r="AS91">
        <f ca="1">IF(AND(ISNUMBER($AS$305),$B$226=1),$AS$305,HLOOKUP(INDIRECT(ADDRESS(2,COLUMN())),OFFSET($BN$2,0,0,ROW()-1,60),ROW()-1,FALSE))</f>
        <v>39.234999999999999</v>
      </c>
      <c r="AT91">
        <f ca="1">IF(AND(ISNUMBER($AT$305),$B$226=1),$AT$305,HLOOKUP(INDIRECT(ADDRESS(2,COLUMN())),OFFSET($BN$2,0,0,ROW()-1,60),ROW()-1,FALSE))</f>
        <v>44.826000000000001</v>
      </c>
      <c r="AU91">
        <f ca="1">IF(AND(ISNUMBER($AU$305),$B$226=1),$AU$305,HLOOKUP(INDIRECT(ADDRESS(2,COLUMN())),OFFSET($BN$2,0,0,ROW()-1,60),ROW()-1,FALSE))</f>
        <v>34.698999999999998</v>
      </c>
      <c r="AV91">
        <f ca="1">IF(AND(ISNUMBER($AV$305),$B$226=1),$AV$305,HLOOKUP(INDIRECT(ADDRESS(2,COLUMN())),OFFSET($BN$2,0,0,ROW()-1,60),ROW()-1,FALSE))</f>
        <v>37.322000000000003</v>
      </c>
      <c r="AW91">
        <f ca="1">IF(AND(ISNUMBER($AW$305),$B$226=1),$AW$305,HLOOKUP(INDIRECT(ADDRESS(2,COLUMN())),OFFSET($BN$2,0,0,ROW()-1,60),ROW()-1,FALSE))</f>
        <v>36.497</v>
      </c>
      <c r="AX91">
        <f ca="1">IF(AND(ISNUMBER($AX$305),$B$226=1),$AX$305,HLOOKUP(INDIRECT(ADDRESS(2,COLUMN())),OFFSET($BN$2,0,0,ROW()-1,60),ROW()-1,FALSE))</f>
        <v>45.387</v>
      </c>
      <c r="AY91">
        <f ca="1">IF(AND(ISNUMBER($AY$305),$B$226=1),$AY$305,HLOOKUP(INDIRECT(ADDRESS(2,COLUMN())),OFFSET($BN$2,0,0,ROW()-1,60),ROW()-1,FALSE))</f>
        <v>31.594999999999999</v>
      </c>
      <c r="AZ91">
        <f ca="1">IF(AND(ISNUMBER($AZ$305),$B$226=1),$AZ$305,HLOOKUP(INDIRECT(ADDRESS(2,COLUMN())),OFFSET($BN$2,0,0,ROW()-1,60),ROW()-1,FALSE))</f>
        <v>32.854999999999997</v>
      </c>
      <c r="BA91">
        <f ca="1">IF(AND(ISNUMBER($BA$305),$B$226=1),$BA$305,HLOOKUP(INDIRECT(ADDRESS(2,COLUMN())),OFFSET($BN$2,0,0,ROW()-1,60),ROW()-1,FALSE))</f>
        <v>37.152000000000001</v>
      </c>
      <c r="BB91">
        <f ca="1">IF(AND(ISNUMBER($BB$305),$B$226=1),$BB$305,HLOOKUP(INDIRECT(ADDRESS(2,COLUMN())),OFFSET($BN$2,0,0,ROW()-1,60),ROW()-1,FALSE))</f>
        <v>28.917000000000002</v>
      </c>
      <c r="BC91">
        <f ca="1">IF(AND(ISNUMBER($BC$305),$B$226=1),$BC$305,HLOOKUP(INDIRECT(ADDRESS(2,COLUMN())),OFFSET($BN$2,0,0,ROW()-1,60),ROW()-1,FALSE))</f>
        <v>21.5</v>
      </c>
      <c r="BD91">
        <f ca="1">IF(AND(ISNUMBER($BD$305),$B$226=1),$BD$305,HLOOKUP(INDIRECT(ADDRESS(2,COLUMN())),OFFSET($BN$2,0,0,ROW()-1,60),ROW()-1,FALSE))</f>
        <v>29.666</v>
      </c>
      <c r="BE91">
        <f ca="1">IF(AND(ISNUMBER($BE$305),$B$226=1),$BE$305,HLOOKUP(INDIRECT(ADDRESS(2,COLUMN())),OFFSET($BN$2,0,0,ROW()-1,60),ROW()-1,FALSE))</f>
        <v>27.54</v>
      </c>
      <c r="BF91">
        <f ca="1">IF(AND(ISNUMBER($BF$305),$B$226=1),$BF$305,HLOOKUP(INDIRECT(ADDRESS(2,COLUMN())),OFFSET($BN$2,0,0,ROW()-1,60),ROW()-1,FALSE))</f>
        <v>32.832000000000001</v>
      </c>
      <c r="BG91">
        <f ca="1">IF(AND(ISNUMBER($BG$305),$B$226=1),$BG$305,HLOOKUP(INDIRECT(ADDRESS(2,COLUMN())),OFFSET($BN$2,0,0,ROW()-1,60),ROW()-1,FALSE))</f>
        <v>29.379999000000002</v>
      </c>
      <c r="BH91">
        <f ca="1">IF(AND(ISNUMBER($BH$305),$B$226=1),$BH$305,HLOOKUP(INDIRECT(ADDRESS(2,COLUMN())),OFFSET($BN$2,0,0,ROW()-1,60),ROW()-1,FALSE))</f>
        <v>34.47</v>
      </c>
      <c r="BI91">
        <f ca="1">IF(AND(ISNUMBER($BI$305),$B$226=1),$BI$305,HLOOKUP(INDIRECT(ADDRESS(2,COLUMN())),OFFSET($BN$2,0,0,ROW()-1,60),ROW()-1,FALSE))</f>
        <v>24.603999999999999</v>
      </c>
      <c r="BJ91">
        <f ca="1">IF(AND(ISNUMBER($BJ$305),$B$226=1),$BJ$305,HLOOKUP(INDIRECT(ADDRESS(2,COLUMN())),OFFSET($BN$2,0,0,ROW()-1,60),ROW()-1,FALSE))</f>
        <v>26.292000000000002</v>
      </c>
      <c r="BK91">
        <f ca="1">IF(AND(ISNUMBER($BK$305),$B$226=1),$BK$305,HLOOKUP(INDIRECT(ADDRESS(2,COLUMN())),OFFSET($BN$2,0,0,ROW()-1,60),ROW()-1,FALSE))</f>
        <v>23.608999000000001</v>
      </c>
      <c r="BL91">
        <f ca="1">IF(AND(ISNUMBER($BL$305),$B$226=1),$BL$305,HLOOKUP(INDIRECT(ADDRESS(2,COLUMN())),OFFSET($BN$2,0,0,ROW()-1,60),ROW()-1,FALSE))</f>
        <v>24.795999999999999</v>
      </c>
      <c r="BM91">
        <f ca="1">IF(AND(ISNUMBER($BM$305),$B$226=1),$BM$305,HLOOKUP(INDIRECT(ADDRESS(2,COLUMN())),OFFSET($BN$2,0,0,ROW()-1,60),ROW()-1,FALSE))</f>
        <v>24.768999000000001</v>
      </c>
      <c r="BN91" t="str">
        <f>""</f>
        <v/>
      </c>
      <c r="BO91">
        <f>205.717</f>
        <v>205.71700000000001</v>
      </c>
      <c r="BP91">
        <f>183.164</f>
        <v>183.16399999999999</v>
      </c>
      <c r="BQ91">
        <f>202.561</f>
        <v>202.56100000000001</v>
      </c>
      <c r="BR91">
        <f>190.325</f>
        <v>190.32499999999999</v>
      </c>
      <c r="BS91">
        <f>190.812</f>
        <v>190.81200000000001</v>
      </c>
      <c r="BT91">
        <f>190.534</f>
        <v>190.53399999999999</v>
      </c>
      <c r="BU91">
        <f>186.132</f>
        <v>186.13200000000001</v>
      </c>
      <c r="BV91">
        <f>181.716</f>
        <v>181.71600000000001</v>
      </c>
      <c r="BW91">
        <f>178.293</f>
        <v>178.29300000000001</v>
      </c>
      <c r="BX91">
        <f>168.435</f>
        <v>168.435</v>
      </c>
      <c r="BY91">
        <f>161.326</f>
        <v>161.32599999999999</v>
      </c>
      <c r="BZ91">
        <f>152.618</f>
        <v>152.61799999999999</v>
      </c>
      <c r="CA91">
        <f>135.933</f>
        <v>135.93299999999999</v>
      </c>
      <c r="CB91">
        <f>127.08394</f>
        <v>127.08394</v>
      </c>
      <c r="CC91">
        <f>129.478</f>
        <v>129.47800000000001</v>
      </c>
      <c r="CD91">
        <f>81.12</f>
        <v>81.12</v>
      </c>
      <c r="CE91">
        <f>71.883</f>
        <v>71.882999999999996</v>
      </c>
      <c r="CF91">
        <f>66.08</f>
        <v>66.08</v>
      </c>
      <c r="CG91">
        <f>65.899</f>
        <v>65.899000000000001</v>
      </c>
      <c r="CH91">
        <f>69.194</f>
        <v>69.194000000000003</v>
      </c>
      <c r="CI91">
        <f>54.34</f>
        <v>54.34</v>
      </c>
      <c r="CJ91">
        <f>73.601</f>
        <v>73.600999999999999</v>
      </c>
      <c r="CK91">
        <f>57.661</f>
        <v>57.661000000000001</v>
      </c>
      <c r="CL91">
        <f>58.246</f>
        <v>58.246000000000002</v>
      </c>
      <c r="CM91">
        <f>41.82</f>
        <v>41.82</v>
      </c>
      <c r="CN91">
        <f>43.966</f>
        <v>43.966000000000001</v>
      </c>
      <c r="CO91">
        <f>43.188</f>
        <v>43.188000000000002</v>
      </c>
      <c r="CP91">
        <f>41.344</f>
        <v>41.344000000000001</v>
      </c>
      <c r="CQ91">
        <f>41.994</f>
        <v>41.994</v>
      </c>
      <c r="CR91">
        <f>40.23</f>
        <v>40.229999999999997</v>
      </c>
      <c r="CS91">
        <f>38.647</f>
        <v>38.646999999999998</v>
      </c>
      <c r="CT91">
        <f>47.42</f>
        <v>47.42</v>
      </c>
      <c r="CU91">
        <f>37.336</f>
        <v>37.335999999999999</v>
      </c>
      <c r="CV91">
        <f>38.012</f>
        <v>38.012</v>
      </c>
      <c r="CW91">
        <f>42.002</f>
        <v>42.002000000000002</v>
      </c>
      <c r="CX91">
        <f>44.138</f>
        <v>44.137999999999998</v>
      </c>
      <c r="CY91">
        <f>37.409</f>
        <v>37.408999999999999</v>
      </c>
      <c r="CZ91">
        <f>36.146</f>
        <v>36.146000000000001</v>
      </c>
      <c r="DA91">
        <f>39.235</f>
        <v>39.234999999999999</v>
      </c>
      <c r="DB91">
        <f>44.826</f>
        <v>44.826000000000001</v>
      </c>
      <c r="DC91">
        <f>34.699</f>
        <v>34.698999999999998</v>
      </c>
      <c r="DD91">
        <f>37.322</f>
        <v>37.322000000000003</v>
      </c>
      <c r="DE91">
        <f>36.497</f>
        <v>36.497</v>
      </c>
      <c r="DF91">
        <f>45.387</f>
        <v>45.387</v>
      </c>
      <c r="DG91">
        <f>31.595</f>
        <v>31.594999999999999</v>
      </c>
      <c r="DH91">
        <f>32.855</f>
        <v>32.854999999999997</v>
      </c>
      <c r="DI91">
        <f>37.152</f>
        <v>37.152000000000001</v>
      </c>
      <c r="DJ91">
        <f>28.917</f>
        <v>28.917000000000002</v>
      </c>
      <c r="DK91">
        <f>21.5</f>
        <v>21.5</v>
      </c>
      <c r="DL91">
        <f>29.666</f>
        <v>29.666</v>
      </c>
      <c r="DM91">
        <f>27.54</f>
        <v>27.54</v>
      </c>
      <c r="DN91">
        <f>32.832</f>
        <v>32.832000000000001</v>
      </c>
      <c r="DO91">
        <f>29.379999</f>
        <v>29.379999000000002</v>
      </c>
      <c r="DP91">
        <f>34.47</f>
        <v>34.47</v>
      </c>
      <c r="DQ91">
        <f>24.604</f>
        <v>24.603999999999999</v>
      </c>
      <c r="DR91">
        <f>26.292</f>
        <v>26.292000000000002</v>
      </c>
      <c r="DS91">
        <f>23.608999</f>
        <v>23.608999000000001</v>
      </c>
      <c r="DT91">
        <f>24.796</f>
        <v>24.795999999999999</v>
      </c>
      <c r="DU91">
        <f>24.768999</f>
        <v>24.768999000000001</v>
      </c>
    </row>
    <row r="92" spans="1:125">
      <c r="A92" t="str">
        <f>"    Mid-America Apartment Communit"</f>
        <v xml:space="preserve">    Mid-America Apartment Communit</v>
      </c>
      <c r="B92" t="str">
        <f>"MAA US Equity"</f>
        <v>MAA US Equity</v>
      </c>
      <c r="C92" t="str">
        <f t="shared" si="27"/>
        <v>F0578</v>
      </c>
      <c r="D92" t="str">
        <f t="shared" si="28"/>
        <v>FUNDS_AVAILABLE_FOR_DISTRIBUTION</v>
      </c>
      <c r="E92" t="str">
        <f t="shared" si="29"/>
        <v>动态</v>
      </c>
      <c r="F92" t="str">
        <f ca="1">IF(AND(ISNUMBER($F$306),$B$226=1),$F$306,HLOOKUP(INDIRECT(ADDRESS(2,COLUMN())),OFFSET($BN$2,0,0,ROW()-1,60),ROW()-1,FALSE))</f>
        <v/>
      </c>
      <c r="G92">
        <f ca="1">IF(AND(ISNUMBER($G$306),$B$226=1),$G$306,HLOOKUP(INDIRECT(ADDRESS(2,COLUMN())),OFFSET($BN$2,0,0,ROW()-1,60),ROW()-1,FALSE))</f>
        <v>126.82299999999999</v>
      </c>
      <c r="H92">
        <f ca="1">IF(AND(ISNUMBER($H$306),$B$226=1),$H$306,HLOOKUP(INDIRECT(ADDRESS(2,COLUMN())),OFFSET($BN$2,0,0,ROW()-1,60),ROW()-1,FALSE))</f>
        <v>126.925</v>
      </c>
      <c r="I92">
        <f ca="1">IF(AND(ISNUMBER($I$306),$B$226=1),$I$306,HLOOKUP(INDIRECT(ADDRESS(2,COLUMN())),OFFSET($BN$2,0,0,ROW()-1,60),ROW()-1,FALSE))</f>
        <v>124.366</v>
      </c>
      <c r="J92">
        <f ca="1">IF(AND(ISNUMBER($J$306),$B$226=1),$J$306,HLOOKUP(INDIRECT(ADDRESS(2,COLUMN())),OFFSET($BN$2,0,0,ROW()-1,60),ROW()-1,FALSE))</f>
        <v>145.17699999999999</v>
      </c>
      <c r="K92">
        <f ca="1">IF(AND(ISNUMBER($K$306),$B$226=1),$K$306,HLOOKUP(INDIRECT(ADDRESS(2,COLUMN())),OFFSET($BN$2,0,0,ROW()-1,60),ROW()-1,FALSE))</f>
        <v>79.602999999999994</v>
      </c>
      <c r="L92">
        <f ca="1">IF(AND(ISNUMBER($L$306),$B$226=1),$L$306,HLOOKUP(INDIRECT(ADDRESS(2,COLUMN())),OFFSET($BN$2,0,0,ROW()-1,60),ROW()-1,FALSE))</f>
        <v>83.504000000000005</v>
      </c>
      <c r="M92">
        <f ca="1">IF(AND(ISNUMBER($M$306),$B$226=1),$M$306,HLOOKUP(INDIRECT(ADDRESS(2,COLUMN())),OFFSET($BN$2,0,0,ROW()-1,60),ROW()-1,FALSE))</f>
        <v>82.009</v>
      </c>
      <c r="N92">
        <f ca="1">IF(AND(ISNUMBER($N$306),$B$226=1),$N$306,HLOOKUP(INDIRECT(ADDRESS(2,COLUMN())),OFFSET($BN$2,0,0,ROW()-1,60),ROW()-1,FALSE))</f>
        <v>89.617999999999995</v>
      </c>
      <c r="O92">
        <f ca="1">IF(AND(ISNUMBER($O$306),$B$226=1),$O$306,HLOOKUP(INDIRECT(ADDRESS(2,COLUMN())),OFFSET($BN$2,0,0,ROW()-1,60),ROW()-1,FALSE))</f>
        <v>88.92</v>
      </c>
      <c r="P92">
        <f ca="1">IF(AND(ISNUMBER($P$306),$B$226=1),$P$306,HLOOKUP(INDIRECT(ADDRESS(2,COLUMN())),OFFSET($BN$2,0,0,ROW()-1,60),ROW()-1,FALSE))</f>
        <v>72.218000000000004</v>
      </c>
      <c r="Q92">
        <f ca="1">IF(AND(ISNUMBER($Q$306),$B$226=1),$Q$306,HLOOKUP(INDIRECT(ADDRESS(2,COLUMN())),OFFSET($BN$2,0,0,ROW()-1,60),ROW()-1,FALSE))</f>
        <v>86.114000000000004</v>
      </c>
      <c r="R92">
        <f ca="1">IF(AND(ISNUMBER($R$306),$B$226=1),$R$306,HLOOKUP(INDIRECT(ADDRESS(2,COLUMN())),OFFSET($BN$2,0,0,ROW()-1,60),ROW()-1,FALSE))</f>
        <v>80.415000000000006</v>
      </c>
      <c r="S92">
        <f ca="1">IF(AND(ISNUMBER($S$306),$B$226=1),$S$306,HLOOKUP(INDIRECT(ADDRESS(2,COLUMN())),OFFSET($BN$2,0,0,ROW()-1,60),ROW()-1,FALSE))</f>
        <v>93.44</v>
      </c>
      <c r="T92">
        <f ca="1">IF(AND(ISNUMBER($T$306),$B$226=1),$T$306,HLOOKUP(INDIRECT(ADDRESS(2,COLUMN())),OFFSET($BN$2,0,0,ROW()-1,60),ROW()-1,FALSE))</f>
        <v>82.367999999999995</v>
      </c>
      <c r="U92">
        <f ca="1">IF(AND(ISNUMBER($U$306),$B$226=1),$U$306,HLOOKUP(INDIRECT(ADDRESS(2,COLUMN())),OFFSET($BN$2,0,0,ROW()-1,60),ROW()-1,FALSE))</f>
        <v>74.268000000000001</v>
      </c>
      <c r="V92">
        <f ca="1">IF(AND(ISNUMBER($V$306),$B$226=1),$V$306,HLOOKUP(INDIRECT(ADDRESS(2,COLUMN())),OFFSET($BN$2,0,0,ROW()-1,60),ROW()-1,FALSE))</f>
        <v>89.537999999999997</v>
      </c>
      <c r="W92">
        <f ca="1">IF(AND(ISNUMBER($W$306),$B$226=1),$W$306,HLOOKUP(INDIRECT(ADDRESS(2,COLUMN())),OFFSET($BN$2,0,0,ROW()-1,60),ROW()-1,FALSE))</f>
        <v>76.891999999999996</v>
      </c>
      <c r="X92">
        <f ca="1">IF(AND(ISNUMBER($X$306),$B$226=1),$X$306,HLOOKUP(INDIRECT(ADDRESS(2,COLUMN())),OFFSET($BN$2,0,0,ROW()-1,60),ROW()-1,FALSE))</f>
        <v>47.844999999999999</v>
      </c>
      <c r="Y92">
        <f ca="1">IF(AND(ISNUMBER($Y$306),$B$226=1),$Y$306,HLOOKUP(INDIRECT(ADDRESS(2,COLUMN())),OFFSET($BN$2,0,0,ROW()-1,60),ROW()-1,FALSE))</f>
        <v>46.634</v>
      </c>
      <c r="Z92">
        <f ca="1">IF(AND(ISNUMBER($Z$306),$B$226=1),$Z$306,HLOOKUP(INDIRECT(ADDRESS(2,COLUMN())),OFFSET($BN$2,0,0,ROW()-1,60),ROW()-1,FALSE))</f>
        <v>49.567</v>
      </c>
      <c r="AA92">
        <f ca="1">IF(AND(ISNUMBER($AA$306),$B$226=1),$AA$306,HLOOKUP(INDIRECT(ADDRESS(2,COLUMN())),OFFSET($BN$2,0,0,ROW()-1,60),ROW()-1,FALSE))</f>
        <v>4.0129999999999999</v>
      </c>
      <c r="AB92">
        <f ca="1">IF(AND(ISNUMBER($AB$306),$B$226=1),$AB$306,HLOOKUP(INDIRECT(ADDRESS(2,COLUMN())),OFFSET($BN$2,0,0,ROW()-1,60),ROW()-1,FALSE))</f>
        <v>43.281999999999996</v>
      </c>
      <c r="AC92">
        <f ca="1">IF(AND(ISNUMBER($AC$306),$B$226=1),$AC$306,HLOOKUP(INDIRECT(ADDRESS(2,COLUMN())),OFFSET($BN$2,0,0,ROW()-1,60),ROW()-1,FALSE))</f>
        <v>38.908000000000001</v>
      </c>
      <c r="AD92">
        <f ca="1">IF(AND(ISNUMBER($AD$306),$B$226=1),$AD$306,HLOOKUP(INDIRECT(ADDRESS(2,COLUMN())),OFFSET($BN$2,0,0,ROW()-1,60),ROW()-1,FALSE))</f>
        <v>38.895000000000003</v>
      </c>
      <c r="AE92">
        <f ca="1">IF(AND(ISNUMBER($AE$306),$B$226=1),$AE$306,HLOOKUP(INDIRECT(ADDRESS(2,COLUMN())),OFFSET($BN$2,0,0,ROW()-1,60),ROW()-1,FALSE))</f>
        <v>39.116</v>
      </c>
      <c r="AF92">
        <f ca="1">IF(AND(ISNUMBER($AF$306),$B$226=1),$AF$306,HLOOKUP(INDIRECT(ADDRESS(2,COLUMN())),OFFSET($BN$2,0,0,ROW()-1,60),ROW()-1,FALSE))</f>
        <v>32.067</v>
      </c>
      <c r="AG92">
        <f ca="1">IF(AND(ISNUMBER($AG$306),$B$226=1),$AG$306,HLOOKUP(INDIRECT(ADDRESS(2,COLUMN())),OFFSET($BN$2,0,0,ROW()-1,60),ROW()-1,FALSE))</f>
        <v>26.670999999999999</v>
      </c>
      <c r="AH92">
        <f ca="1">IF(AND(ISNUMBER($AH$306),$B$226=1),$AH$306,HLOOKUP(INDIRECT(ADDRESS(2,COLUMN())),OFFSET($BN$2,0,0,ROW()-1,60),ROW()-1,FALSE))</f>
        <v>31.298999999999999</v>
      </c>
      <c r="AI92">
        <f ca="1">IF(AND(ISNUMBER($AI$306),$B$226=1),$AI$306,HLOOKUP(INDIRECT(ADDRESS(2,COLUMN())),OFFSET($BN$2,0,0,ROW()-1,60),ROW()-1,FALSE))</f>
        <v>31.640999999999998</v>
      </c>
      <c r="AJ92">
        <f ca="1">IF(AND(ISNUMBER($AJ$306),$B$226=1),$AJ$306,HLOOKUP(INDIRECT(ADDRESS(2,COLUMN())),OFFSET($BN$2,0,0,ROW()-1,60),ROW()-1,FALSE))</f>
        <v>27.245000000000001</v>
      </c>
      <c r="AK92">
        <f ca="1">IF(AND(ISNUMBER($AK$306),$B$226=1),$AK$306,HLOOKUP(INDIRECT(ADDRESS(2,COLUMN())),OFFSET($BN$2,0,0,ROW()-1,60),ROW()-1,FALSE))</f>
        <v>20.669</v>
      </c>
      <c r="AL92">
        <f ca="1">IF(AND(ISNUMBER($AL$306),$B$226=1),$AL$306,HLOOKUP(INDIRECT(ADDRESS(2,COLUMN())),OFFSET($BN$2,0,0,ROW()-1,60),ROW()-1,FALSE))</f>
        <v>26.102</v>
      </c>
      <c r="AM92">
        <f ca="1">IF(AND(ISNUMBER($AM$306),$B$226=1),$AM$306,HLOOKUP(INDIRECT(ADDRESS(2,COLUMN())),OFFSET($BN$2,0,0,ROW()-1,60),ROW()-1,FALSE))</f>
        <v>25.673999999999999</v>
      </c>
      <c r="AN92">
        <f ca="1">IF(AND(ISNUMBER($AN$306),$B$226=1),$AN$306,HLOOKUP(INDIRECT(ADDRESS(2,COLUMN())),OFFSET($BN$2,0,0,ROW()-1,60),ROW()-1,FALSE))</f>
        <v>19.988</v>
      </c>
      <c r="AO92">
        <f ca="1">IF(AND(ISNUMBER($AO$306),$B$226=1),$AO$306,HLOOKUP(INDIRECT(ADDRESS(2,COLUMN())),OFFSET($BN$2,0,0,ROW()-1,60),ROW()-1,FALSE))</f>
        <v>22.187000000000001</v>
      </c>
      <c r="AP92">
        <f ca="1">IF(AND(ISNUMBER($AP$306),$B$226=1),$AP$306,HLOOKUP(INDIRECT(ADDRESS(2,COLUMN())),OFFSET($BN$2,0,0,ROW()-1,60),ROW()-1,FALSE))</f>
        <v>26.943000000000001</v>
      </c>
      <c r="AQ92">
        <f ca="1">IF(AND(ISNUMBER($AQ$306),$B$226=1),$AQ$306,HLOOKUP(INDIRECT(ADDRESS(2,COLUMN())),OFFSET($BN$2,0,0,ROW()-1,60),ROW()-1,FALSE))</f>
        <v>24.608000000000001</v>
      </c>
      <c r="AR92">
        <f ca="1">IF(AND(ISNUMBER($AR$306),$B$226=1),$AR$306,HLOOKUP(INDIRECT(ADDRESS(2,COLUMN())),OFFSET($BN$2,0,0,ROW()-1,60),ROW()-1,FALSE))</f>
        <v>19.837</v>
      </c>
      <c r="AS92">
        <f ca="1">IF(AND(ISNUMBER($AS$306),$B$226=1),$AS$306,HLOOKUP(INDIRECT(ADDRESS(2,COLUMN())),OFFSET($BN$2,0,0,ROW()-1,60),ROW()-1,FALSE))</f>
        <v>20.657</v>
      </c>
      <c r="AT92">
        <f ca="1">IF(AND(ISNUMBER($AT$306),$B$226=1),$AT$306,HLOOKUP(INDIRECT(ADDRESS(2,COLUMN())),OFFSET($BN$2,0,0,ROW()-1,60),ROW()-1,FALSE))</f>
        <v>23.114999999999998</v>
      </c>
      <c r="AU92">
        <f ca="1">IF(AND(ISNUMBER($AU$306),$B$226=1),$AU$306,HLOOKUP(INDIRECT(ADDRESS(2,COLUMN())),OFFSET($BN$2,0,0,ROW()-1,60),ROW()-1,FALSE))</f>
        <v>18.231000000000002</v>
      </c>
      <c r="AV92">
        <f ca="1">IF(AND(ISNUMBER($AV$306),$B$226=1),$AV$306,HLOOKUP(INDIRECT(ADDRESS(2,COLUMN())),OFFSET($BN$2,0,0,ROW()-1,60),ROW()-1,FALSE))</f>
        <v>19.992999999999999</v>
      </c>
      <c r="AW92">
        <f ca="1">IF(AND(ISNUMBER($AW$306),$B$226=1),$AW$306,HLOOKUP(INDIRECT(ADDRESS(2,COLUMN())),OFFSET($BN$2,0,0,ROW()-1,60),ROW()-1,FALSE))</f>
        <v>17.29</v>
      </c>
      <c r="AX92">
        <f ca="1">IF(AND(ISNUMBER($AX$306),$B$226=1),$AX$306,HLOOKUP(INDIRECT(ADDRESS(2,COLUMN())),OFFSET($BN$2,0,0,ROW()-1,60),ROW()-1,FALSE))</f>
        <v>21.134</v>
      </c>
      <c r="AY92">
        <f ca="1">IF(AND(ISNUMBER($AY$306),$B$226=1),$AY$306,HLOOKUP(INDIRECT(ADDRESS(2,COLUMN())),OFFSET($BN$2,0,0,ROW()-1,60),ROW()-1,FALSE))</f>
        <v>18.670000000000002</v>
      </c>
      <c r="AZ92">
        <f ca="1">IF(AND(ISNUMBER($AZ$306),$B$226=1),$AZ$306,HLOOKUP(INDIRECT(ADDRESS(2,COLUMN())),OFFSET($BN$2,0,0,ROW()-1,60),ROW()-1,FALSE))</f>
        <v>15.252000000000001</v>
      </c>
      <c r="BA92">
        <f ca="1">IF(AND(ISNUMBER($BA$306),$B$226=1),$BA$306,HLOOKUP(INDIRECT(ADDRESS(2,COLUMN())),OFFSET($BN$2,0,0,ROW()-1,60),ROW()-1,FALSE))</f>
        <v>14.977</v>
      </c>
      <c r="BB92">
        <f ca="1">IF(AND(ISNUMBER($BB$306),$B$226=1),$BB$306,HLOOKUP(INDIRECT(ADDRESS(2,COLUMN())),OFFSET($BN$2,0,0,ROW()-1,60),ROW()-1,FALSE))</f>
        <v>17.798999999999999</v>
      </c>
      <c r="BC92">
        <f ca="1">IF(AND(ISNUMBER($BC$306),$B$226=1),$BC$306,HLOOKUP(INDIRECT(ADDRESS(2,COLUMN())),OFFSET($BN$2,0,0,ROW()-1,60),ROW()-1,FALSE))</f>
        <v>19.872</v>
      </c>
      <c r="BD92">
        <f ca="1">IF(AND(ISNUMBER($BD$306),$B$226=1),$BD$306,HLOOKUP(INDIRECT(ADDRESS(2,COLUMN())),OFFSET($BN$2,0,0,ROW()-1,60),ROW()-1,FALSE))</f>
        <v>13.263999999999999</v>
      </c>
      <c r="BE92">
        <f ca="1">IF(AND(ISNUMBER($BE$306),$B$226=1),$BE$306,HLOOKUP(INDIRECT(ADDRESS(2,COLUMN())),OFFSET($BN$2,0,0,ROW()-1,60),ROW()-1,FALSE))</f>
        <v>16.097999999999999</v>
      </c>
      <c r="BF92">
        <f ca="1">IF(AND(ISNUMBER($BF$306),$B$226=1),$BF$306,HLOOKUP(INDIRECT(ADDRESS(2,COLUMN())),OFFSET($BN$2,0,0,ROW()-1,60),ROW()-1,FALSE))</f>
        <v>34.658999999999999</v>
      </c>
      <c r="BG92">
        <f ca="1">IF(AND(ISNUMBER($BG$306),$B$226=1),$BG$306,HLOOKUP(INDIRECT(ADDRESS(2,COLUMN())),OFFSET($BN$2,0,0,ROW()-1,60),ROW()-1,FALSE))</f>
        <v>18.124001</v>
      </c>
      <c r="BH92">
        <f ca="1">IF(AND(ISNUMBER($BH$306),$B$226=1),$BH$306,HLOOKUP(INDIRECT(ADDRESS(2,COLUMN())),OFFSET($BN$2,0,0,ROW()-1,60),ROW()-1,FALSE))</f>
        <v>17.135000000000002</v>
      </c>
      <c r="BI92">
        <f ca="1">IF(AND(ISNUMBER($BI$306),$B$226=1),$BI$306,HLOOKUP(INDIRECT(ADDRESS(2,COLUMN())),OFFSET($BN$2,0,0,ROW()-1,60),ROW()-1,FALSE))</f>
        <v>17.274999999999999</v>
      </c>
      <c r="BJ92">
        <f ca="1">IF(AND(ISNUMBER($BJ$306),$B$226=1),$BJ$306,HLOOKUP(INDIRECT(ADDRESS(2,COLUMN())),OFFSET($BN$2,0,0,ROW()-1,60),ROW()-1,FALSE))</f>
        <v>17.490998999999999</v>
      </c>
      <c r="BK92">
        <f ca="1">IF(AND(ISNUMBER($BK$306),$B$226=1),$BK$306,HLOOKUP(INDIRECT(ADDRESS(2,COLUMN())),OFFSET($BN$2,0,0,ROW()-1,60),ROW()-1,FALSE))</f>
        <v>17.118999479999999</v>
      </c>
      <c r="BL92">
        <f ca="1">IF(AND(ISNUMBER($BL$306),$B$226=1),$BL$306,HLOOKUP(INDIRECT(ADDRESS(2,COLUMN())),OFFSET($BN$2,0,0,ROW()-1,60),ROW()-1,FALSE))</f>
        <v>8.6549999999999994</v>
      </c>
      <c r="BM92">
        <f ca="1">IF(AND(ISNUMBER($BM$306),$B$226=1),$BM$306,HLOOKUP(INDIRECT(ADDRESS(2,COLUMN())),OFFSET($BN$2,0,0,ROW()-1,60),ROW()-1,FALSE))</f>
        <v>15.069000000000001</v>
      </c>
      <c r="BN92" t="str">
        <f>""</f>
        <v/>
      </c>
      <c r="BO92">
        <f>126.823</f>
        <v>126.82299999999999</v>
      </c>
      <c r="BP92">
        <f>126.925</f>
        <v>126.925</v>
      </c>
      <c r="BQ92">
        <f>124.366</f>
        <v>124.366</v>
      </c>
      <c r="BR92">
        <f>145.177</f>
        <v>145.17699999999999</v>
      </c>
      <c r="BS92">
        <f>79.603</f>
        <v>79.602999999999994</v>
      </c>
      <c r="BT92">
        <f>83.504</f>
        <v>83.504000000000005</v>
      </c>
      <c r="BU92">
        <f>82.009</f>
        <v>82.009</v>
      </c>
      <c r="BV92">
        <f>89.618</f>
        <v>89.617999999999995</v>
      </c>
      <c r="BW92">
        <f>88.92</f>
        <v>88.92</v>
      </c>
      <c r="BX92">
        <f>72.218</f>
        <v>72.218000000000004</v>
      </c>
      <c r="BY92">
        <f>86.114</f>
        <v>86.114000000000004</v>
      </c>
      <c r="BZ92">
        <f>80.415</f>
        <v>80.415000000000006</v>
      </c>
      <c r="CA92">
        <f>93.44</f>
        <v>93.44</v>
      </c>
      <c r="CB92">
        <f>82.368</f>
        <v>82.367999999999995</v>
      </c>
      <c r="CC92">
        <f>74.268</f>
        <v>74.268000000000001</v>
      </c>
      <c r="CD92">
        <f>89.538</f>
        <v>89.537999999999997</v>
      </c>
      <c r="CE92">
        <f>76.892</f>
        <v>76.891999999999996</v>
      </c>
      <c r="CF92">
        <f>47.845</f>
        <v>47.844999999999999</v>
      </c>
      <c r="CG92">
        <f>46.634</f>
        <v>46.634</v>
      </c>
      <c r="CH92">
        <f>49.567</f>
        <v>49.567</v>
      </c>
      <c r="CI92">
        <f>4.013</f>
        <v>4.0129999999999999</v>
      </c>
      <c r="CJ92">
        <f>43.282</f>
        <v>43.281999999999996</v>
      </c>
      <c r="CK92">
        <f>38.908</f>
        <v>38.908000000000001</v>
      </c>
      <c r="CL92">
        <f>38.895</f>
        <v>38.895000000000003</v>
      </c>
      <c r="CM92">
        <f>39.116</f>
        <v>39.116</v>
      </c>
      <c r="CN92">
        <f>32.067</f>
        <v>32.067</v>
      </c>
      <c r="CO92">
        <f>26.671</f>
        <v>26.670999999999999</v>
      </c>
      <c r="CP92">
        <f>31.299</f>
        <v>31.298999999999999</v>
      </c>
      <c r="CQ92">
        <f>31.641</f>
        <v>31.640999999999998</v>
      </c>
      <c r="CR92">
        <f>27.245</f>
        <v>27.245000000000001</v>
      </c>
      <c r="CS92">
        <f>20.669</f>
        <v>20.669</v>
      </c>
      <c r="CT92">
        <f>26.102</f>
        <v>26.102</v>
      </c>
      <c r="CU92">
        <f>25.674</f>
        <v>25.673999999999999</v>
      </c>
      <c r="CV92">
        <f>19.988</f>
        <v>19.988</v>
      </c>
      <c r="CW92">
        <f>22.187</f>
        <v>22.187000000000001</v>
      </c>
      <c r="CX92">
        <f>26.943</f>
        <v>26.943000000000001</v>
      </c>
      <c r="CY92">
        <f>24.608</f>
        <v>24.608000000000001</v>
      </c>
      <c r="CZ92">
        <f>19.837</f>
        <v>19.837</v>
      </c>
      <c r="DA92">
        <f>20.657</f>
        <v>20.657</v>
      </c>
      <c r="DB92">
        <f>23.115</f>
        <v>23.114999999999998</v>
      </c>
      <c r="DC92">
        <f>18.231</f>
        <v>18.231000000000002</v>
      </c>
      <c r="DD92">
        <f>19.993</f>
        <v>19.992999999999999</v>
      </c>
      <c r="DE92">
        <f>17.29</f>
        <v>17.29</v>
      </c>
      <c r="DF92">
        <f>21.134</f>
        <v>21.134</v>
      </c>
      <c r="DG92">
        <f>18.67</f>
        <v>18.670000000000002</v>
      </c>
      <c r="DH92">
        <f>15.252</f>
        <v>15.252000000000001</v>
      </c>
      <c r="DI92">
        <f>14.977</f>
        <v>14.977</v>
      </c>
      <c r="DJ92">
        <f>17.799</f>
        <v>17.798999999999999</v>
      </c>
      <c r="DK92">
        <f>19.872</f>
        <v>19.872</v>
      </c>
      <c r="DL92">
        <f>13.264</f>
        <v>13.263999999999999</v>
      </c>
      <c r="DM92">
        <f>16.098</f>
        <v>16.097999999999999</v>
      </c>
      <c r="DN92">
        <f>34.659</f>
        <v>34.658999999999999</v>
      </c>
      <c r="DO92">
        <f>18.124001</f>
        <v>18.124001</v>
      </c>
      <c r="DP92">
        <f>17.135</f>
        <v>17.135000000000002</v>
      </c>
      <c r="DQ92">
        <f>17.275</f>
        <v>17.274999999999999</v>
      </c>
      <c r="DR92">
        <f>17.490999</f>
        <v>17.490998999999999</v>
      </c>
      <c r="DS92">
        <f>17.11899948</f>
        <v>17.118999479999999</v>
      </c>
      <c r="DT92">
        <f>8.655</f>
        <v>8.6549999999999994</v>
      </c>
      <c r="DU92">
        <f>15.069</f>
        <v>15.069000000000001</v>
      </c>
    </row>
    <row r="93" spans="1:125">
      <c r="A93" t="str">
        <f>"    UDR Inc"</f>
        <v xml:space="preserve">    UDR Inc</v>
      </c>
      <c r="B93" t="str">
        <f>"UDR US Equity"</f>
        <v>UDR US Equity</v>
      </c>
      <c r="C93" t="str">
        <f t="shared" si="27"/>
        <v>F0578</v>
      </c>
      <c r="D93" t="str">
        <f t="shared" si="28"/>
        <v>FUNDS_AVAILABLE_FOR_DISTRIBUTION</v>
      </c>
      <c r="E93" t="str">
        <f t="shared" si="29"/>
        <v>动态</v>
      </c>
      <c r="F93" t="str">
        <f ca="1">IF(AND(ISNUMBER($F$307),$B$226=1),$F$307,HLOOKUP(INDIRECT(ADDRESS(2,COLUMN())),OFFSET($BN$2,0,0,ROW()-1,60),ROW()-1,FALSE))</f>
        <v/>
      </c>
      <c r="G93">
        <f ca="1">IF(AND(ISNUMBER($G$307),$B$226=1),$G$307,HLOOKUP(INDIRECT(ADDRESS(2,COLUMN())),OFFSET($BN$2,0,0,ROW()-1,60),ROW()-1,FALSE))</f>
        <v>125.798</v>
      </c>
      <c r="H93">
        <f ca="1">IF(AND(ISNUMBER($H$307),$B$226=1),$H$307,HLOOKUP(INDIRECT(ADDRESS(2,COLUMN())),OFFSET($BN$2,0,0,ROW()-1,60),ROW()-1,FALSE))</f>
        <v>126.955</v>
      </c>
      <c r="I93">
        <f ca="1">IF(AND(ISNUMBER($I$307),$B$226=1),$I$307,HLOOKUP(INDIRECT(ADDRESS(2,COLUMN())),OFFSET($BN$2,0,0,ROW()-1,60),ROW()-1,FALSE))</f>
        <v>128.83600000000001</v>
      </c>
      <c r="J93">
        <f ca="1">IF(AND(ISNUMBER($J$307),$B$226=1),$J$307,HLOOKUP(INDIRECT(ADDRESS(2,COLUMN())),OFFSET($BN$2,0,0,ROW()-1,60),ROW()-1,FALSE))</f>
        <v>127.251</v>
      </c>
      <c r="K93">
        <f ca="1">IF(AND(ISNUMBER($K$307),$B$226=1),$K$307,HLOOKUP(INDIRECT(ADDRESS(2,COLUMN())),OFFSET($BN$2,0,0,ROW()-1,60),ROW()-1,FALSE))</f>
        <v>120.021</v>
      </c>
      <c r="L93">
        <f ca="1">IF(AND(ISNUMBER($L$307),$B$226=1),$L$307,HLOOKUP(INDIRECT(ADDRESS(2,COLUMN())),OFFSET($BN$2,0,0,ROW()-1,60),ROW()-1,FALSE))</f>
        <v>120.84099999999999</v>
      </c>
      <c r="M93">
        <f ca="1">IF(AND(ISNUMBER($M$307),$B$226=1),$M$307,HLOOKUP(INDIRECT(ADDRESS(2,COLUMN())),OFFSET($BN$2,0,0,ROW()-1,60),ROW()-1,FALSE))</f>
        <v>121.09</v>
      </c>
      <c r="N93">
        <f ca="1">IF(AND(ISNUMBER($N$307),$B$226=1),$N$307,HLOOKUP(INDIRECT(ADDRESS(2,COLUMN())),OFFSET($BN$2,0,0,ROW()-1,60),ROW()-1,FALSE))</f>
        <v>118.711</v>
      </c>
      <c r="O93">
        <f ca="1">IF(AND(ISNUMBER($O$307),$B$226=1),$O$307,HLOOKUP(INDIRECT(ADDRESS(2,COLUMN())),OFFSET($BN$2,0,0,ROW()-1,60),ROW()-1,FALSE))</f>
        <v>108.858</v>
      </c>
      <c r="P93">
        <f ca="1">IF(AND(ISNUMBER($P$307),$B$226=1),$P$307,HLOOKUP(INDIRECT(ADDRESS(2,COLUMN())),OFFSET($BN$2,0,0,ROW()-1,60),ROW()-1,FALSE))</f>
        <v>101.96299999999999</v>
      </c>
      <c r="Q93">
        <f ca="1">IF(AND(ISNUMBER($Q$307),$B$226=1),$Q$307,HLOOKUP(INDIRECT(ADDRESS(2,COLUMN())),OFFSET($BN$2,0,0,ROW()-1,60),ROW()-1,FALSE))</f>
        <v>104.48699999999999</v>
      </c>
      <c r="R93">
        <f ca="1">IF(AND(ISNUMBER($R$307),$B$226=1),$R$307,HLOOKUP(INDIRECT(ADDRESS(2,COLUMN())),OFFSET($BN$2,0,0,ROW()-1,60),ROW()-1,FALSE))</f>
        <v>101.14400000000001</v>
      </c>
      <c r="S93">
        <f ca="1">IF(AND(ISNUMBER($S$307),$B$226=1),$S$307,HLOOKUP(INDIRECT(ADDRESS(2,COLUMN())),OFFSET($BN$2,0,0,ROW()-1,60),ROW()-1,FALSE))</f>
        <v>90.688999999999993</v>
      </c>
      <c r="T93" t="str">
        <f ca="1">IF(AND(ISNUMBER($T$307),$B$226=1),$T$307,HLOOKUP(INDIRECT(ADDRESS(2,COLUMN())),OFFSET($BN$2,0,0,ROW()-1,60),ROW()-1,FALSE))</f>
        <v/>
      </c>
      <c r="U93" t="str">
        <f ca="1">IF(AND(ISNUMBER($U$307),$B$226=1),$U$307,HLOOKUP(INDIRECT(ADDRESS(2,COLUMN())),OFFSET($BN$2,0,0,ROW()-1,60),ROW()-1,FALSE))</f>
        <v/>
      </c>
      <c r="V93">
        <f ca="1">IF(AND(ISNUMBER($V$307),$B$226=1),$V$307,HLOOKUP(INDIRECT(ADDRESS(2,COLUMN())),OFFSET($BN$2,0,0,ROW()-1,60),ROW()-1,FALSE))</f>
        <v>87.918999999999997</v>
      </c>
      <c r="W93">
        <f ca="1">IF(AND(ISNUMBER($W$307),$B$226=1),$W$307,HLOOKUP(INDIRECT(ADDRESS(2,COLUMN())),OFFSET($BN$2,0,0,ROW()-1,60),ROW()-1,FALSE))</f>
        <v>79.537999999999997</v>
      </c>
      <c r="X93">
        <f ca="1">IF(AND(ISNUMBER($X$307),$B$226=1),$X$307,HLOOKUP(INDIRECT(ADDRESS(2,COLUMN())),OFFSET($BN$2,0,0,ROW()-1,60),ROW()-1,FALSE))</f>
        <v>81.930999999999997</v>
      </c>
      <c r="Y93">
        <f ca="1">IF(AND(ISNUMBER($Y$307),$B$226=1),$Y$307,HLOOKUP(INDIRECT(ADDRESS(2,COLUMN())),OFFSET($BN$2,0,0,ROW()-1,60),ROW()-1,FALSE))</f>
        <v>81.391999999999996</v>
      </c>
      <c r="Z93">
        <f ca="1">IF(AND(ISNUMBER($Z$307),$B$226=1),$Z$307,HLOOKUP(INDIRECT(ADDRESS(2,COLUMN())),OFFSET($BN$2,0,0,ROW()-1,60),ROW()-1,FALSE))</f>
        <v>82.542000000000002</v>
      </c>
      <c r="AA93">
        <f ca="1">IF(AND(ISNUMBER($AA$307),$B$226=1),$AA$307,HLOOKUP(INDIRECT(ADDRESS(2,COLUMN())),OFFSET($BN$2,0,0,ROW()-1,60),ROW()-1,FALSE))</f>
        <v>83.840999999999994</v>
      </c>
      <c r="AB93">
        <f ca="1">IF(AND(ISNUMBER($AB$307),$B$226=1),$AB$307,HLOOKUP(INDIRECT(ADDRESS(2,COLUMN())),OFFSET($BN$2,0,0,ROW()-1,60),ROW()-1,FALSE))</f>
        <v>75.135000000000005</v>
      </c>
      <c r="AC93">
        <f ca="1">IF(AND(ISNUMBER($AC$307),$B$226=1),$AC$307,HLOOKUP(INDIRECT(ADDRESS(2,COLUMN())),OFFSET($BN$2,0,0,ROW()-1,60),ROW()-1,FALSE))</f>
        <v>68.557000000000002</v>
      </c>
      <c r="AD93">
        <f ca="1">IF(AND(ISNUMBER($AD$307),$B$226=1),$AD$307,HLOOKUP(INDIRECT(ADDRESS(2,COLUMN())),OFFSET($BN$2,0,0,ROW()-1,60),ROW()-1,FALSE))</f>
        <v>71.963999999999999</v>
      </c>
      <c r="AE93">
        <f ca="1">IF(AND(ISNUMBER($AE$307),$B$226=1),$AE$307,HLOOKUP(INDIRECT(ADDRESS(2,COLUMN())),OFFSET($BN$2,0,0,ROW()-1,60),ROW()-1,FALSE))</f>
        <v>64.492999999999995</v>
      </c>
      <c r="AF93">
        <f ca="1">IF(AND(ISNUMBER($AF$307),$B$226=1),$AF$307,HLOOKUP(INDIRECT(ADDRESS(2,COLUMN())),OFFSET($BN$2,0,0,ROW()-1,60),ROW()-1,FALSE))</f>
        <v>72.983000000000004</v>
      </c>
      <c r="AG93">
        <f ca="1">IF(AND(ISNUMBER($AG$307),$B$226=1),$AG$307,HLOOKUP(INDIRECT(ADDRESS(2,COLUMN())),OFFSET($BN$2,0,0,ROW()-1,60),ROW()-1,FALSE))</f>
        <v>63.576000000000001</v>
      </c>
      <c r="AH93">
        <f ca="1">IF(AND(ISNUMBER($AH$307),$B$226=1),$AH$307,HLOOKUP(INDIRECT(ADDRESS(2,COLUMN())),OFFSET($BN$2,0,0,ROW()-1,60),ROW()-1,FALSE))</f>
        <v>56.829000000000001</v>
      </c>
      <c r="AI93">
        <f ca="1">IF(AND(ISNUMBER($AI$307),$B$226=1),$AI$307,HLOOKUP(INDIRECT(ADDRESS(2,COLUMN())),OFFSET($BN$2,0,0,ROW()-1,60),ROW()-1,FALSE))</f>
        <v>53.442</v>
      </c>
      <c r="AJ93">
        <f ca="1">IF(AND(ISNUMBER($AJ$307),$B$226=1),$AJ$307,HLOOKUP(INDIRECT(ADDRESS(2,COLUMN())),OFFSET($BN$2,0,0,ROW()-1,60),ROW()-1,FALSE))</f>
        <v>46.887</v>
      </c>
      <c r="AK93">
        <f ca="1">IF(AND(ISNUMBER($AK$307),$B$226=1),$AK$307,HLOOKUP(INDIRECT(ADDRESS(2,COLUMN())),OFFSET($BN$2,0,0,ROW()-1,60),ROW()-1,FALSE))</f>
        <v>45.658999999999999</v>
      </c>
      <c r="AL93">
        <f ca="1">IF(AND(ISNUMBER($AL$307),$B$226=1),$AL$307,HLOOKUP(INDIRECT(ADDRESS(2,COLUMN())),OFFSET($BN$2,0,0,ROW()-1,60),ROW()-1,FALSE))</f>
        <v>46.783000000000001</v>
      </c>
      <c r="AM93">
        <f ca="1">IF(AND(ISNUMBER($AM$307),$B$226=1),$AM$307,HLOOKUP(INDIRECT(ADDRESS(2,COLUMN())),OFFSET($BN$2,0,0,ROW()-1,60),ROW()-1,FALSE))</f>
        <v>37.427</v>
      </c>
      <c r="AN93">
        <f ca="1">IF(AND(ISNUMBER($AN$307),$B$226=1),$AN$307,HLOOKUP(INDIRECT(ADDRESS(2,COLUMN())),OFFSET($BN$2,0,0,ROW()-1,60),ROW()-1,FALSE))</f>
        <v>21.036000000000001</v>
      </c>
      <c r="AO93">
        <f ca="1">IF(AND(ISNUMBER($AO$307),$B$226=1),$AO$307,HLOOKUP(INDIRECT(ADDRESS(2,COLUMN())),OFFSET($BN$2,0,0,ROW()-1,60),ROW()-1,FALSE))</f>
        <v>44.896999999999998</v>
      </c>
      <c r="AP93">
        <f ca="1">IF(AND(ISNUMBER($AP$307),$B$226=1),$AP$307,HLOOKUP(INDIRECT(ADDRESS(2,COLUMN())),OFFSET($BN$2,0,0,ROW()-1,60),ROW()-1,FALSE))</f>
        <v>55.003999999999998</v>
      </c>
      <c r="AQ93">
        <f ca="1">IF(AND(ISNUMBER($AQ$307),$B$226=1),$AQ$307,HLOOKUP(INDIRECT(ADDRESS(2,COLUMN())),OFFSET($BN$2,0,0,ROW()-1,60),ROW()-1,FALSE))</f>
        <v>38.869</v>
      </c>
      <c r="AR93">
        <f ca="1">IF(AND(ISNUMBER($AR$307),$B$226=1),$AR$307,HLOOKUP(INDIRECT(ADDRESS(2,COLUMN())),OFFSET($BN$2,0,0,ROW()-1,60),ROW()-1,FALSE))</f>
        <v>28.753</v>
      </c>
      <c r="AS93">
        <f ca="1">IF(AND(ISNUMBER($AS$307),$B$226=1),$AS$307,HLOOKUP(INDIRECT(ADDRESS(2,COLUMN())),OFFSET($BN$2,0,0,ROW()-1,60),ROW()-1,FALSE))</f>
        <v>96.869</v>
      </c>
      <c r="AT93">
        <f ca="1">IF(AND(ISNUMBER($AT$307),$B$226=1),$AT$307,HLOOKUP(INDIRECT(ADDRESS(2,COLUMN())),OFFSET($BN$2,0,0,ROW()-1,60),ROW()-1,FALSE))</f>
        <v>51.17</v>
      </c>
      <c r="AU93">
        <f ca="1">IF(AND(ISNUMBER($AU$307),$B$226=1),$AU$307,HLOOKUP(INDIRECT(ADDRESS(2,COLUMN())),OFFSET($BN$2,0,0,ROW()-1,60),ROW()-1,FALSE))</f>
        <v>36.914000000000001</v>
      </c>
      <c r="AV93">
        <f ca="1">IF(AND(ISNUMBER($AV$307),$B$226=1),$AV$307,HLOOKUP(INDIRECT(ADDRESS(2,COLUMN())),OFFSET($BN$2,0,0,ROW()-1,60),ROW()-1,FALSE))</f>
        <v>54.84</v>
      </c>
      <c r="AW93">
        <f ca="1">IF(AND(ISNUMBER($AW$307),$B$226=1),$AW$307,HLOOKUP(INDIRECT(ADDRESS(2,COLUMN())),OFFSET($BN$2,0,0,ROW()-1,60),ROW()-1,FALSE))</f>
        <v>55.271000000000001</v>
      </c>
      <c r="AX93">
        <f ca="1">IF(AND(ISNUMBER($AX$307),$B$226=1),$AX$307,HLOOKUP(INDIRECT(ADDRESS(2,COLUMN())),OFFSET($BN$2,0,0,ROW()-1,60),ROW()-1,FALSE))</f>
        <v>50.232999999999997</v>
      </c>
      <c r="AY93">
        <f ca="1">IF(AND(ISNUMBER($AY$307),$B$226=1),$AY$307,HLOOKUP(INDIRECT(ADDRESS(2,COLUMN())),OFFSET($BN$2,0,0,ROW()-1,60),ROW()-1,FALSE))</f>
        <v>60.432000000000002</v>
      </c>
      <c r="AZ93">
        <f ca="1">IF(AND(ISNUMBER($AZ$307),$B$226=1),$AZ$307,HLOOKUP(INDIRECT(ADDRESS(2,COLUMN())),OFFSET($BN$2,0,0,ROW()-1,60),ROW()-1,FALSE))</f>
        <v>50.18</v>
      </c>
      <c r="BA93">
        <f ca="1">IF(AND(ISNUMBER($BA$307),$B$226=1),$BA$307,HLOOKUP(INDIRECT(ADDRESS(2,COLUMN())),OFFSET($BN$2,0,0,ROW()-1,60),ROW()-1,FALSE))</f>
        <v>54.920999999999999</v>
      </c>
      <c r="BB93">
        <f ca="1">IF(AND(ISNUMBER($BB$307),$B$226=1),$BB$307,HLOOKUP(INDIRECT(ADDRESS(2,COLUMN())),OFFSET($BN$2,0,0,ROW()-1,60),ROW()-1,FALSE))</f>
        <v>57.46</v>
      </c>
      <c r="BC93">
        <f ca="1">IF(AND(ISNUMBER($BC$307),$B$226=1),$BC$307,HLOOKUP(INDIRECT(ADDRESS(2,COLUMN())),OFFSET($BN$2,0,0,ROW()-1,60),ROW()-1,FALSE))</f>
        <v>68.453999999999994</v>
      </c>
      <c r="BD93">
        <f ca="1">IF(AND(ISNUMBER($BD$307),$B$226=1),$BD$307,HLOOKUP(INDIRECT(ADDRESS(2,COLUMN())),OFFSET($BN$2,0,0,ROW()-1,60),ROW()-1,FALSE))</f>
        <v>59.170999999999999</v>
      </c>
      <c r="BE93">
        <f ca="1">IF(AND(ISNUMBER($BE$307),$B$226=1),$BE$307,HLOOKUP(INDIRECT(ADDRESS(2,COLUMN())),OFFSET($BN$2,0,0,ROW()-1,60),ROW()-1,FALSE))</f>
        <v>58.216000000000001</v>
      </c>
      <c r="BF93">
        <f ca="1">IF(AND(ISNUMBER($BF$307),$B$226=1),$BF$307,HLOOKUP(INDIRECT(ADDRESS(2,COLUMN())),OFFSET($BN$2,0,0,ROW()-1,60),ROW()-1,FALSE))</f>
        <v>58.131</v>
      </c>
      <c r="BG93">
        <f ca="1">IF(AND(ISNUMBER($BG$307),$B$226=1),$BG$307,HLOOKUP(INDIRECT(ADDRESS(2,COLUMN())),OFFSET($BN$2,0,0,ROW()-1,60),ROW()-1,FALSE))</f>
        <v>56.335999999999999</v>
      </c>
      <c r="BH93">
        <f ca="1">IF(AND(ISNUMBER($BH$307),$B$226=1),$BH$307,HLOOKUP(INDIRECT(ADDRESS(2,COLUMN())),OFFSET($BN$2,0,0,ROW()-1,60),ROW()-1,FALSE))</f>
        <v>50.67</v>
      </c>
      <c r="BI93">
        <f ca="1">IF(AND(ISNUMBER($BI$307),$B$226=1),$BI$307,HLOOKUP(INDIRECT(ADDRESS(2,COLUMN())),OFFSET($BN$2,0,0,ROW()-1,60),ROW()-1,FALSE))</f>
        <v>56.576999999999998</v>
      </c>
      <c r="BJ93">
        <f ca="1">IF(AND(ISNUMBER($BJ$307),$B$226=1),$BJ$307,HLOOKUP(INDIRECT(ADDRESS(2,COLUMN())),OFFSET($BN$2,0,0,ROW()-1,60),ROW()-1,FALSE))</f>
        <v>54.77</v>
      </c>
      <c r="BK93">
        <f ca="1">IF(AND(ISNUMBER($BK$307),$B$226=1),$BK$307,HLOOKUP(INDIRECT(ADDRESS(2,COLUMN())),OFFSET($BN$2,0,0,ROW()-1,60),ROW()-1,FALSE))</f>
        <v>53.816000000000003</v>
      </c>
      <c r="BL93">
        <f ca="1">IF(AND(ISNUMBER($BL$307),$B$226=1),$BL$307,HLOOKUP(INDIRECT(ADDRESS(2,COLUMN())),OFFSET($BN$2,0,0,ROW()-1,60),ROW()-1,FALSE))</f>
        <v>52.292999999999999</v>
      </c>
      <c r="BM93">
        <f ca="1">IF(AND(ISNUMBER($BM$307),$B$226=1),$BM$307,HLOOKUP(INDIRECT(ADDRESS(2,COLUMN())),OFFSET($BN$2,0,0,ROW()-1,60),ROW()-1,FALSE))</f>
        <v>52.421999999999997</v>
      </c>
      <c r="BN93" t="str">
        <f>""</f>
        <v/>
      </c>
      <c r="BO93">
        <f>125.798</f>
        <v>125.798</v>
      </c>
      <c r="BP93">
        <f>126.955</f>
        <v>126.955</v>
      </c>
      <c r="BQ93">
        <f>128.836</f>
        <v>128.83600000000001</v>
      </c>
      <c r="BR93">
        <f>127.251</f>
        <v>127.251</v>
      </c>
      <c r="BS93">
        <f>120.021</f>
        <v>120.021</v>
      </c>
      <c r="BT93">
        <f>120.841</f>
        <v>120.84099999999999</v>
      </c>
      <c r="BU93">
        <f>121.09</f>
        <v>121.09</v>
      </c>
      <c r="BV93">
        <f>118.711</f>
        <v>118.711</v>
      </c>
      <c r="BW93">
        <f>108.858</f>
        <v>108.858</v>
      </c>
      <c r="BX93">
        <f>101.963</f>
        <v>101.96299999999999</v>
      </c>
      <c r="BY93">
        <f>104.487</f>
        <v>104.48699999999999</v>
      </c>
      <c r="BZ93">
        <f>101.144</f>
        <v>101.14400000000001</v>
      </c>
      <c r="CA93">
        <f>90.689</f>
        <v>90.688999999999993</v>
      </c>
      <c r="CB93" t="str">
        <f>""</f>
        <v/>
      </c>
      <c r="CC93" t="str">
        <f>""</f>
        <v/>
      </c>
      <c r="CD93">
        <f>87.919</f>
        <v>87.918999999999997</v>
      </c>
      <c r="CE93">
        <f>79.538</f>
        <v>79.537999999999997</v>
      </c>
      <c r="CF93">
        <f>81.931</f>
        <v>81.930999999999997</v>
      </c>
      <c r="CG93">
        <f>81.392</f>
        <v>81.391999999999996</v>
      </c>
      <c r="CH93">
        <f>82.542</f>
        <v>82.542000000000002</v>
      </c>
      <c r="CI93">
        <f>83.841</f>
        <v>83.840999999999994</v>
      </c>
      <c r="CJ93">
        <f>75.135</f>
        <v>75.135000000000005</v>
      </c>
      <c r="CK93">
        <f>68.557</f>
        <v>68.557000000000002</v>
      </c>
      <c r="CL93">
        <f>71.964</f>
        <v>71.963999999999999</v>
      </c>
      <c r="CM93">
        <f>64.493</f>
        <v>64.492999999999995</v>
      </c>
      <c r="CN93">
        <f>72.983</f>
        <v>72.983000000000004</v>
      </c>
      <c r="CO93">
        <f>63.576</f>
        <v>63.576000000000001</v>
      </c>
      <c r="CP93">
        <f>56.829</f>
        <v>56.829000000000001</v>
      </c>
      <c r="CQ93">
        <f>53.442</f>
        <v>53.442</v>
      </c>
      <c r="CR93">
        <f>46.887</f>
        <v>46.887</v>
      </c>
      <c r="CS93">
        <f>45.659</f>
        <v>45.658999999999999</v>
      </c>
      <c r="CT93">
        <f>46.783</f>
        <v>46.783000000000001</v>
      </c>
      <c r="CU93">
        <f>37.427</f>
        <v>37.427</v>
      </c>
      <c r="CV93">
        <f>21.036</f>
        <v>21.036000000000001</v>
      </c>
      <c r="CW93">
        <f>44.897</f>
        <v>44.896999999999998</v>
      </c>
      <c r="CX93">
        <f>55.004</f>
        <v>55.003999999999998</v>
      </c>
      <c r="CY93">
        <f>38.869</f>
        <v>38.869</v>
      </c>
      <c r="CZ93">
        <f>28.753</f>
        <v>28.753</v>
      </c>
      <c r="DA93">
        <f>96.869</f>
        <v>96.869</v>
      </c>
      <c r="DB93">
        <f>51.17</f>
        <v>51.17</v>
      </c>
      <c r="DC93">
        <f>36.914</f>
        <v>36.914000000000001</v>
      </c>
      <c r="DD93">
        <f>54.84</f>
        <v>54.84</v>
      </c>
      <c r="DE93">
        <f>55.271</f>
        <v>55.271000000000001</v>
      </c>
      <c r="DF93">
        <f>50.233</f>
        <v>50.232999999999997</v>
      </c>
      <c r="DG93">
        <f>60.432</f>
        <v>60.432000000000002</v>
      </c>
      <c r="DH93">
        <f>50.18</f>
        <v>50.18</v>
      </c>
      <c r="DI93">
        <f>54.921</f>
        <v>54.920999999999999</v>
      </c>
      <c r="DJ93">
        <f>57.46</f>
        <v>57.46</v>
      </c>
      <c r="DK93">
        <f>68.454</f>
        <v>68.453999999999994</v>
      </c>
      <c r="DL93">
        <f>59.171</f>
        <v>59.170999999999999</v>
      </c>
      <c r="DM93">
        <f>58.216</f>
        <v>58.216000000000001</v>
      </c>
      <c r="DN93">
        <f>58.131</f>
        <v>58.131</v>
      </c>
      <c r="DO93">
        <f>56.336</f>
        <v>56.335999999999999</v>
      </c>
      <c r="DP93">
        <f>50.67</f>
        <v>50.67</v>
      </c>
      <c r="DQ93">
        <f>56.577</f>
        <v>56.576999999999998</v>
      </c>
      <c r="DR93">
        <f>54.77</f>
        <v>54.77</v>
      </c>
      <c r="DS93">
        <f>53.816</f>
        <v>53.816000000000003</v>
      </c>
      <c r="DT93">
        <f>52.293</f>
        <v>52.292999999999999</v>
      </c>
      <c r="DU93">
        <f>52.422</f>
        <v>52.421999999999997</v>
      </c>
    </row>
    <row r="94" spans="1:125">
      <c r="A94" t="str">
        <f>"收入增长同比(%)"</f>
        <v>收入增长同比(%)</v>
      </c>
      <c r="B94" t="str">
        <f>""</f>
        <v/>
      </c>
      <c r="E94" t="str">
        <f>"Median"</f>
        <v>Median</v>
      </c>
      <c r="F94" t="str">
        <f ca="1">IF(ISERROR(IF(MEDIAN($F$95:$F$102) = 0, "", MEDIAN($F$95:$F$102))), "", (IF(MEDIAN($F$95:$F$102) = 0, "", MEDIAN($F$95:$F$102))))</f>
        <v/>
      </c>
      <c r="G94">
        <f ca="1">IF(ISERROR(IF(MEDIAN($G$95:$G$102) = 0, "", MEDIAN($G$95:$G$102))), "", (IF(MEDIAN($G$95:$G$102) = 0, "", MEDIAN($G$95:$G$102))))</f>
        <v>6.6411139355</v>
      </c>
      <c r="H94">
        <f ca="1">IF(ISERROR(IF(MEDIAN($H$95:$H$102) = 0, "", MEDIAN($H$95:$H$102))), "", (IF(MEDIAN($H$95:$H$102) = 0, "", MEDIAN($H$95:$H$102))))</f>
        <v>4.1994513939999996</v>
      </c>
      <c r="I94">
        <f ca="1">IF(ISERROR(IF(MEDIAN($I$95:$I$102) = 0, "", MEDIAN($I$95:$I$102))), "", (IF(MEDIAN($I$95:$I$102) = 0, "", MEDIAN($I$95:$I$102))))</f>
        <v>4.6414477275000001</v>
      </c>
      <c r="J94">
        <f ca="1">IF(ISERROR(IF(MEDIAN($J$95:$J$102) = 0, "", MEDIAN($J$95:$J$102))), "", (IF(MEDIAN($J$95:$J$102) = 0, "", MEDIAN($J$95:$J$102))))</f>
        <v>3.2816292444999999</v>
      </c>
      <c r="K94">
        <f ca="1">IF(ISERROR(IF(MEDIAN($K$95:$K$102) = 0, "", MEDIAN($K$95:$K$102))), "", (IF(MEDIAN($K$95:$K$102) = 0, "", MEDIAN($K$95:$K$102))))</f>
        <v>4.0802108400000003</v>
      </c>
      <c r="L94">
        <f ca="1">IF(ISERROR(IF(MEDIAN($L$95:$L$102) = 0, "", MEDIAN($L$95:$L$102))), "", (IF(MEDIAN($L$95:$L$102) = 0, "", MEDIAN($L$95:$L$102))))</f>
        <v>8.3255593194999999</v>
      </c>
      <c r="M94">
        <f ca="1">IF(ISERROR(IF(MEDIAN($M$95:$M$102) = 0, "", MEDIAN($M$95:$M$102))), "", (IF(MEDIAN($M$95:$M$102) = 0, "", MEDIAN($M$95:$M$102))))</f>
        <v>7.950455013</v>
      </c>
      <c r="N94">
        <f ca="1">IF(ISERROR(IF(MEDIAN($N$95:$N$102) = 0, "", MEDIAN($N$95:$N$102))), "", (IF(MEDIAN($N$95:$N$102) = 0, "", MEDIAN($N$95:$N$102))))</f>
        <v>5.4506068995000003</v>
      </c>
      <c r="O94">
        <f ca="1">IF(ISERROR(IF(MEDIAN($O$95:$O$102) = 0, "", MEDIAN($O$95:$O$102))), "", (IF(MEDIAN($O$95:$O$102) = 0, "", MEDIAN($O$95:$O$102))))</f>
        <v>7.4582658259999999</v>
      </c>
      <c r="P94">
        <f ca="1">IF(ISERROR(IF(MEDIAN($P$95:$P$102) = 0, "", MEDIAN($P$95:$P$102))), "", (IF(MEDIAN($P$95:$P$102) = 0, "", MEDIAN($P$95:$P$102))))</f>
        <v>5.6743659830000004</v>
      </c>
      <c r="Q94">
        <f ca="1">IF(ISERROR(IF(MEDIAN($Q$95:$Q$102) = 0, "", MEDIAN($Q$95:$Q$102))), "", (IF(MEDIAN($Q$95:$Q$102) = 0, "", MEDIAN($Q$95:$Q$102))))</f>
        <v>5.7529175024999999</v>
      </c>
      <c r="R94">
        <f ca="1">IF(ISERROR(IF(MEDIAN($R$95:$R$102) = 0, "", MEDIAN($R$95:$R$102))), "", (IF(MEDIAN($R$95:$R$102) = 0, "", MEDIAN($R$95:$R$102))))</f>
        <v>8.3791032839999993</v>
      </c>
      <c r="S94">
        <f ca="1">IF(ISERROR(IF(MEDIAN($S$95:$S$102) = 0, "", MEDIAN($S$95:$S$102))), "", (IF(MEDIAN($S$95:$S$102) = 0, "", MEDIAN($S$95:$S$102))))</f>
        <v>8.0362979835000008</v>
      </c>
      <c r="T94">
        <f ca="1">IF(ISERROR(IF(MEDIAN($T$95:$T$102) = 0, "", MEDIAN($T$95:$T$102))), "", (IF(MEDIAN($T$95:$T$102) = 0, "", MEDIAN($T$95:$T$102))))</f>
        <v>12.511956495</v>
      </c>
      <c r="U94">
        <f ca="1">IF(ISERROR(IF(MEDIAN($U$95:$U$102) = 0, "", MEDIAN($U$95:$U$102))), "", (IF(MEDIAN($U$95:$U$102) = 0, "", MEDIAN($U$95:$U$102))))</f>
        <v>10.830152762499999</v>
      </c>
      <c r="V94">
        <f ca="1">IF(ISERROR(IF(MEDIAN($V$95:$V$102) = 0, "", MEDIAN($V$95:$V$102))), "", (IF(MEDIAN($V$95:$V$102) = 0, "", MEDIAN($V$95:$V$102))))</f>
        <v>17.187226244999998</v>
      </c>
      <c r="W94">
        <f ca="1">IF(ISERROR(IF(MEDIAN($W$95:$W$102) = 0, "", MEDIAN($W$95:$W$102))), "", (IF(MEDIAN($W$95:$W$102) = 0, "", MEDIAN($W$95:$W$102))))</f>
        <v>28.179980579999999</v>
      </c>
      <c r="X94">
        <f ca="1">IF(ISERROR(IF(MEDIAN($X$95:$X$102) = 0, "", MEDIAN($X$95:$X$102))), "", (IF(MEDIAN($X$95:$X$102) = 0, "", MEDIAN($X$95:$X$102))))</f>
        <v>21.847552569999998</v>
      </c>
      <c r="Y94">
        <f ca="1">IF(ISERROR(IF(MEDIAN($Y$95:$Y$102) = 0, "", MEDIAN($Y$95:$Y$102))), "", (IF(MEDIAN($Y$95:$Y$102) = 0, "", MEDIAN($Y$95:$Y$102))))</f>
        <v>20.387855575</v>
      </c>
      <c r="Z94">
        <f ca="1">IF(ISERROR(IF(MEDIAN($Z$95:$Z$102) = 0, "", MEDIAN($Z$95:$Z$102))), "", (IF(MEDIAN($Z$95:$Z$102) = 0, "", MEDIAN($Z$95:$Z$102))))</f>
        <v>14.37791822</v>
      </c>
      <c r="AA94">
        <f ca="1">IF(ISERROR(IF(MEDIAN($AA$95:$AA$102) = 0, "", MEDIAN($AA$95:$AA$102))), "", (IF(MEDIAN($AA$95:$AA$102) = 0, "", MEDIAN($AA$95:$AA$102))))</f>
        <v>13.328290339999999</v>
      </c>
      <c r="AB94">
        <f ca="1">IF(ISERROR(IF(MEDIAN($AB$95:$AB$102) = 0, "", MEDIAN($AB$95:$AB$102))), "", (IF(MEDIAN($AB$95:$AB$102) = 0, "", MEDIAN($AB$95:$AB$102))))</f>
        <v>11.206169240000001</v>
      </c>
      <c r="AC94">
        <f ca="1">IF(ISERROR(IF(MEDIAN($AC$95:$AC$102) = 0, "", MEDIAN($AC$95:$AC$102))), "", (IF(MEDIAN($AC$95:$AC$102) = 0, "", MEDIAN($AC$95:$AC$102))))</f>
        <v>10.588013775</v>
      </c>
      <c r="AD94">
        <f ca="1">IF(ISERROR(IF(MEDIAN($AD$95:$AD$102) = 0, "", MEDIAN($AD$95:$AD$102))), "", (IF(MEDIAN($AD$95:$AD$102) = 0, "", MEDIAN($AD$95:$AD$102))))</f>
        <v>9.5371499469999996</v>
      </c>
      <c r="AE94">
        <f ca="1">IF(ISERROR(IF(MEDIAN($AE$95:$AE$102) = 0, "", MEDIAN($AE$95:$AE$102))), "", (IF(MEDIAN($AE$95:$AE$102) = 0, "", MEDIAN($AE$95:$AE$102))))</f>
        <v>7.7461917680000001</v>
      </c>
      <c r="AF94">
        <f ca="1">IF(ISERROR(IF(MEDIAN($AF$95:$AF$102) = 0, "", MEDIAN($AF$95:$AF$102))), "", (IF(MEDIAN($AF$95:$AF$102) = 0, "", MEDIAN($AF$95:$AF$102))))</f>
        <v>9.0747619734999994</v>
      </c>
      <c r="AG94">
        <f ca="1">IF(ISERROR(IF(MEDIAN($AG$95:$AG$102) = 0, "", MEDIAN($AG$95:$AG$102))), "", (IF(MEDIAN($AG$95:$AG$102) = 0, "", MEDIAN($AG$95:$AG$102))))</f>
        <v>8.1616278105000006</v>
      </c>
      <c r="AH94">
        <f ca="1">IF(ISERROR(IF(MEDIAN($AH$95:$AH$102) = 0, "", MEDIAN($AH$95:$AH$102))), "", (IF(MEDIAN($AH$95:$AH$102) = 0, "", MEDIAN($AH$95:$AH$102))))</f>
        <v>6.3142993525</v>
      </c>
      <c r="AI94">
        <f ca="1">IF(ISERROR(IF(MEDIAN($AI$95:$AI$102) = 0, "", MEDIAN($AI$95:$AI$102))), "", (IF(MEDIAN($AI$95:$AI$102) = 0, "", MEDIAN($AI$95:$AI$102))))</f>
        <v>3.9172912439999998</v>
      </c>
      <c r="AJ94">
        <f ca="1">IF(ISERROR(IF(MEDIAN($AJ$95:$AJ$102) = 0, "", MEDIAN($AJ$95:$AJ$102))), "", (IF(MEDIAN($AJ$95:$AJ$102) = 0, "", MEDIAN($AJ$95:$AJ$102))))</f>
        <v>1.6076830819999999</v>
      </c>
      <c r="AK94">
        <f ca="1">IF(ISERROR(IF(MEDIAN($AK$95:$AK$102) = 0, "", MEDIAN($AK$95:$AK$102))), "", (IF(MEDIAN($AK$95:$AK$102) = 0, "", MEDIAN($AK$95:$AK$102))))</f>
        <v>-3.3079825615000003</v>
      </c>
      <c r="AL94">
        <f ca="1">IF(ISERROR(IF(MEDIAN($AL$95:$AL$102) = 0, "", MEDIAN($AL$95:$AL$102))), "", (IF(MEDIAN($AL$95:$AL$102) = 0, "", MEDIAN($AL$95:$AL$102))))</f>
        <v>-3.7392551355000001</v>
      </c>
      <c r="AM94">
        <f ca="1">IF(ISERROR(IF(MEDIAN($AM$95:$AM$102) = 0, "", MEDIAN($AM$95:$AM$102))), "", (IF(MEDIAN($AM$95:$AM$102) = 0, "", MEDIAN($AM$95:$AM$102))))</f>
        <v>-3.7401253094999998</v>
      </c>
      <c r="AN94">
        <f ca="1">IF(ISERROR(IF(MEDIAN($AN$95:$AN$102) = 0, "", MEDIAN($AN$95:$AN$102))), "", (IF(MEDIAN($AN$95:$AN$102) = 0, "", MEDIAN($AN$95:$AN$102))))</f>
        <v>-0.83549330249999998</v>
      </c>
      <c r="AO94">
        <f ca="1">IF(ISERROR(IF(MEDIAN($AO$95:$AO$102) = 0, "", MEDIAN($AO$95:$AO$102))), "", (IF(MEDIAN($AO$95:$AO$102) = 0, "", MEDIAN($AO$95:$AO$102))))</f>
        <v>1.3101433144999999</v>
      </c>
      <c r="AP94">
        <f ca="1">IF(ISERROR(IF(MEDIAN($AP$95:$AP$102) = 0, "", MEDIAN($AP$95:$AP$102))), "", (IF(MEDIAN($AP$95:$AP$102) = 0, "", MEDIAN($AP$95:$AP$102))))</f>
        <v>2.9676687199999998</v>
      </c>
      <c r="AQ94">
        <f ca="1">IF(ISERROR(IF(MEDIAN($AQ$95:$AQ$102) = 0, "", MEDIAN($AQ$95:$AQ$102))), "", (IF(MEDIAN($AQ$95:$AQ$102) = 0, "", MEDIAN($AQ$95:$AQ$102))))</f>
        <v>12.886131065000001</v>
      </c>
      <c r="AR94">
        <f ca="1">IF(ISERROR(IF(MEDIAN($AR$95:$AR$102) = 0, "", MEDIAN($AR$95:$AR$102))), "", (IF(MEDIAN($AR$95:$AR$102) = 0, "", MEDIAN($AR$95:$AR$102))))</f>
        <v>8.4189009529999996</v>
      </c>
      <c r="AS94">
        <f ca="1">IF(ISERROR(IF(MEDIAN($AS$95:$AS$102) = 0, "", MEDIAN($AS$95:$AS$102))), "", (IF(MEDIAN($AS$95:$AS$102) = 0, "", MEDIAN($AS$95:$AS$102))))</f>
        <v>7.9908621704999998</v>
      </c>
      <c r="AT94">
        <f ca="1">IF(ISERROR(IF(MEDIAN($AT$95:$AT$102) = 0, "", MEDIAN($AT$95:$AT$102))), "", (IF(MEDIAN($AT$95:$AT$102) = 0, "", MEDIAN($AT$95:$AT$102))))</f>
        <v>7.5116918070000001</v>
      </c>
      <c r="AU94">
        <f ca="1">IF(ISERROR(IF(MEDIAN($AU$95:$AU$102) = 0, "", MEDIAN($AU$95:$AU$102))), "", (IF(MEDIAN($AU$95:$AU$102) = 0, "", MEDIAN($AU$95:$AU$102))))</f>
        <v>6.4946681960000001</v>
      </c>
      <c r="AV94">
        <f ca="1">IF(ISERROR(IF(MEDIAN($AV$95:$AV$102) = 0, "", MEDIAN($AV$95:$AV$102))), "", (IF(MEDIAN($AV$95:$AV$102) = 0, "", MEDIAN($AV$95:$AV$102))))</f>
        <v>6.7558804744999996</v>
      </c>
      <c r="AW94">
        <f ca="1">IF(ISERROR(IF(MEDIAN($AW$95:$AW$102) = 0, "", MEDIAN($AW$95:$AW$102))), "", (IF(MEDIAN($AW$95:$AW$102) = 0, "", MEDIAN($AW$95:$AW$102))))</f>
        <v>6.0838873929999995</v>
      </c>
      <c r="AX94">
        <f ca="1">IF(ISERROR(IF(MEDIAN($AX$95:$AX$102) = 0, "", MEDIAN($AX$95:$AX$102))), "", (IF(MEDIAN($AX$95:$AX$102) = 0, "", MEDIAN($AX$95:$AX$102))))</f>
        <v>5.2888886834999997</v>
      </c>
      <c r="AY94">
        <f ca="1">IF(ISERROR(IF(MEDIAN($AY$95:$AY$102) = 0, "", MEDIAN($AY$95:$AY$102))), "", (IF(MEDIAN($AY$95:$AY$102) = 0, "", MEDIAN($AY$95:$AY$102))))</f>
        <v>9.5726569350000013</v>
      </c>
      <c r="AZ94">
        <f ca="1">IF(ISERROR(IF(MEDIAN($AZ$95:$AZ$102) = 0, "", MEDIAN($AZ$95:$AZ$102))), "", (IF(MEDIAN($AZ$95:$AZ$102) = 0, "", MEDIAN($AZ$95:$AZ$102))))</f>
        <v>8.9197467324999984</v>
      </c>
      <c r="BA94">
        <f ca="1">IF(ISERROR(IF(MEDIAN($BA$95:$BA$102) = 0, "", MEDIAN($BA$95:$BA$102))), "", (IF(MEDIAN($BA$95:$BA$102) = 0, "", MEDIAN($BA$95:$BA$102))))</f>
        <v>10.025146915000001</v>
      </c>
      <c r="BB94">
        <f ca="1">IF(ISERROR(IF(MEDIAN($BB$95:$BB$102) = 0, "", MEDIAN($BB$95:$BB$102))), "", (IF(MEDIAN($BB$95:$BB$102) = 0, "", MEDIAN($BB$95:$BB$102))))</f>
        <v>8.7182613629999999</v>
      </c>
      <c r="BC94">
        <f ca="1">IF(ISERROR(IF(MEDIAN($BC$95:$BC$102) = 0, "", MEDIAN($BC$95:$BC$102))), "", (IF(MEDIAN($BC$95:$BC$102) = 0, "", MEDIAN($BC$95:$BC$102))))</f>
        <v>24.766105899999999</v>
      </c>
      <c r="BD94">
        <f ca="1">IF(ISERROR(IF(MEDIAN($BD$95:$BD$102) = 0, "", MEDIAN($BD$95:$BD$102))), "", (IF(MEDIAN($BD$95:$BD$102) = 0, "", MEDIAN($BD$95:$BD$102))))</f>
        <v>10.697085059999999</v>
      </c>
      <c r="BE94">
        <f ca="1">IF(ISERROR(IF(MEDIAN($BE$95:$BE$102) = 0, "", MEDIAN($BE$95:$BE$102))), "", (IF(MEDIAN($BE$95:$BE$102) = 0, "", MEDIAN($BE$95:$BE$102))))</f>
        <v>9.5389817739999998</v>
      </c>
      <c r="BF94">
        <f ca="1">IF(ISERROR(IF(MEDIAN($BF$95:$BF$102) = 0, "", MEDIAN($BF$95:$BF$102))), "", (IF(MEDIAN($BF$95:$BF$102) = 0, "", MEDIAN($BF$95:$BF$102))))</f>
        <v>8.2224520240000007</v>
      </c>
      <c r="BG94">
        <f ca="1">IF(ISERROR(IF(MEDIAN($BG$95:$BG$102) = 0, "", MEDIAN($BG$95:$BG$102))), "", (IF(MEDIAN($BG$95:$BG$102) = 0, "", MEDIAN($BG$95:$BG$102))))</f>
        <v>-2.5473023600000002</v>
      </c>
      <c r="BH94">
        <f ca="1">IF(ISERROR(IF(MEDIAN($BH$95:$BH$102) = 0, "", MEDIAN($BH$95:$BH$102))), "", (IF(MEDIAN($BH$95:$BH$102) = 0, "", MEDIAN($BH$95:$BH$102))))</f>
        <v>2.531257965</v>
      </c>
      <c r="BI94">
        <f ca="1">IF(ISERROR(IF(MEDIAN($BI$95:$BI$102) = 0, "", MEDIAN($BI$95:$BI$102))), "", (IF(MEDIAN($BI$95:$BI$102) = 0, "", MEDIAN($BI$95:$BI$102))))</f>
        <v>10.1071963395</v>
      </c>
      <c r="BJ94">
        <f ca="1">IF(ISERROR(IF(MEDIAN($BJ$95:$BJ$102) = 0, "", MEDIAN($BJ$95:$BJ$102))), "", (IF(MEDIAN($BJ$95:$BJ$102) = 0, "", MEDIAN($BJ$95:$BJ$102))))</f>
        <v>8.5653297859999995</v>
      </c>
      <c r="BK94">
        <f ca="1">IF(ISERROR(IF(MEDIAN($BK$95:$BK$102) = 0, "", MEDIAN($BK$95:$BK$102))), "", (IF(MEDIAN($BK$95:$BK$102) = 0, "", MEDIAN($BK$95:$BK$102))))</f>
        <v>3.1222805319999996</v>
      </c>
      <c r="BL94">
        <f ca="1">IF(ISERROR(IF(MEDIAN($BL$95:$BL$102) = 0, "", MEDIAN($BL$95:$BL$102))), "", (IF(MEDIAN($BL$95:$BL$102) = 0, "", MEDIAN($BL$95:$BL$102))))</f>
        <v>0.37816586750000003</v>
      </c>
      <c r="BM94">
        <f ca="1">IF(ISERROR(IF(MEDIAN($BM$95:$BM$102) = 0, "", MEDIAN($BM$95:$BM$102))), "", (IF(MEDIAN($BM$95:$BM$102) = 0, "", MEDIAN($BM$95:$BM$102))))</f>
        <v>-0.22666993099999999</v>
      </c>
      <c r="BN94" t="str">
        <f>""</f>
        <v/>
      </c>
      <c r="BO94">
        <f>6.641113935</f>
        <v>6.6411139349999999</v>
      </c>
      <c r="BP94">
        <f>4.199451394</f>
        <v>4.1994513939999996</v>
      </c>
      <c r="BQ94">
        <f>4.641447727</f>
        <v>4.6414477270000001</v>
      </c>
      <c r="BR94">
        <f>3.281629244</f>
        <v>3.2816292439999999</v>
      </c>
      <c r="BS94">
        <f>4.08021084</f>
        <v>4.0802108400000003</v>
      </c>
      <c r="BT94">
        <f>8.32555932</f>
        <v>8.32555932</v>
      </c>
      <c r="BU94">
        <f>7.950455013</f>
        <v>7.950455013</v>
      </c>
      <c r="BV94">
        <f>5.4506069</f>
        <v>5.4506069000000004</v>
      </c>
      <c r="BW94">
        <f>7.458265826</f>
        <v>7.4582658259999999</v>
      </c>
      <c r="BX94">
        <f>5.674365983</f>
        <v>5.6743659830000004</v>
      </c>
      <c r="BY94">
        <f>5.752917503</f>
        <v>5.7529175029999999</v>
      </c>
      <c r="BZ94">
        <f>8.379103286</f>
        <v>8.3791032859999994</v>
      </c>
      <c r="CA94">
        <f>8.036297984</f>
        <v>8.0362979840000008</v>
      </c>
      <c r="CB94">
        <f>12.5119565</f>
        <v>12.5119565</v>
      </c>
      <c r="CC94">
        <f>10.83015276</f>
        <v>10.830152760000001</v>
      </c>
      <c r="CD94">
        <f>17.18722624</f>
        <v>17.187226240000001</v>
      </c>
      <c r="CE94">
        <f>28.17998058</f>
        <v>28.179980579999999</v>
      </c>
      <c r="CF94">
        <f>21.84755257</f>
        <v>21.847552570000001</v>
      </c>
      <c r="CG94">
        <f>20.38785557</f>
        <v>20.387855569999999</v>
      </c>
      <c r="CH94">
        <f>14.37791822</f>
        <v>14.37791822</v>
      </c>
      <c r="CI94">
        <f>13.32829034</f>
        <v>13.328290340000001</v>
      </c>
      <c r="CJ94">
        <f>11.20616924</f>
        <v>11.206169239999999</v>
      </c>
      <c r="CK94">
        <f>10.58801377</f>
        <v>10.58801377</v>
      </c>
      <c r="CL94">
        <f>9.537149946</f>
        <v>9.5371499459999995</v>
      </c>
      <c r="CM94">
        <f>7.746191768</f>
        <v>7.7461917680000001</v>
      </c>
      <c r="CN94">
        <f>9.074761974</f>
        <v>9.0747619739999994</v>
      </c>
      <c r="CO94">
        <f>8.161627811</f>
        <v>8.1616278110000007</v>
      </c>
      <c r="CP94">
        <f>6.314299353</f>
        <v>6.314299353</v>
      </c>
      <c r="CQ94">
        <f>3.917291244</f>
        <v>3.9172912439999998</v>
      </c>
      <c r="CR94">
        <f>1.607683082</f>
        <v>1.6076830820000001</v>
      </c>
      <c r="CS94">
        <f>-3.307982561</f>
        <v>-3.3079825610000002</v>
      </c>
      <c r="CT94">
        <f>-3.739255135</f>
        <v>-3.7392551350000001</v>
      </c>
      <c r="CU94">
        <f>-3.740125309</f>
        <v>-3.7401253090000002</v>
      </c>
      <c r="CV94">
        <f>-0.835493303</f>
        <v>-0.83549330300000002</v>
      </c>
      <c r="CW94">
        <f>1.310143315</f>
        <v>1.3101433149999999</v>
      </c>
      <c r="CX94">
        <f>2.96766872</f>
        <v>2.9676687199999998</v>
      </c>
      <c r="CY94">
        <f>12.88613106</f>
        <v>12.88613106</v>
      </c>
      <c r="CZ94">
        <f>8.418900953</f>
        <v>8.4189009529999996</v>
      </c>
      <c r="DA94">
        <f>7.990862171</f>
        <v>7.9908621709999998</v>
      </c>
      <c r="DB94">
        <f>7.511691807</f>
        <v>7.5116918070000001</v>
      </c>
      <c r="DC94">
        <f>6.494668196</f>
        <v>6.4946681960000001</v>
      </c>
      <c r="DD94">
        <f>6.755880475</f>
        <v>6.7558804749999997</v>
      </c>
      <c r="DE94">
        <f>6.083887393</f>
        <v>6.0838873930000004</v>
      </c>
      <c r="DF94">
        <f>5.288888684</f>
        <v>5.2888886839999998</v>
      </c>
      <c r="DG94">
        <f>9.572656935</f>
        <v>9.5726569349999995</v>
      </c>
      <c r="DH94">
        <f>8.919746733</f>
        <v>8.9197467330000002</v>
      </c>
      <c r="DI94">
        <f>10.02514691</f>
        <v>10.02514691</v>
      </c>
      <c r="DJ94">
        <f>8.718261363</f>
        <v>8.7182613629999999</v>
      </c>
      <c r="DK94">
        <f>24.7661059</f>
        <v>24.766105899999999</v>
      </c>
      <c r="DL94">
        <f>10.69708506</f>
        <v>10.697085059999999</v>
      </c>
      <c r="DM94">
        <f>9.538981774</f>
        <v>9.5389817739999998</v>
      </c>
      <c r="DN94">
        <f>8.222452024</f>
        <v>8.2224520240000007</v>
      </c>
      <c r="DO94">
        <f>-2.54730236</f>
        <v>-2.5473023600000002</v>
      </c>
      <c r="DP94">
        <f>2.531257965</f>
        <v>2.531257965</v>
      </c>
      <c r="DQ94">
        <f>10.10719634</f>
        <v>10.10719634</v>
      </c>
      <c r="DR94">
        <f>8.565329784</f>
        <v>8.5653297839999993</v>
      </c>
      <c r="DS94">
        <f>3.122280532</f>
        <v>3.122280532</v>
      </c>
      <c r="DT94">
        <f>0.378165868</f>
        <v>0.37816586800000002</v>
      </c>
      <c r="DU94">
        <f>-0.226669931</f>
        <v>-0.22666993099999999</v>
      </c>
    </row>
    <row r="95" spans="1:125">
      <c r="A95" t="str">
        <f>"    American Campus Communities In"</f>
        <v xml:space="preserve">    American Campus Communities In</v>
      </c>
      <c r="B95" t="str">
        <f>"ACC US Equity"</f>
        <v>ACC US Equity</v>
      </c>
      <c r="C95" t="str">
        <f t="shared" ref="C95:C102" si="30">"RR033"</f>
        <v>RR033</v>
      </c>
      <c r="D95" t="str">
        <f t="shared" ref="D95:D102" si="31">"SALES_GROWTH"</f>
        <v>SALES_GROWTH</v>
      </c>
      <c r="E95" t="str">
        <f t="shared" ref="E95:E102" si="32">"动态"</f>
        <v>动态</v>
      </c>
      <c r="F95" t="str">
        <f ca="1">IF(AND(ISNUMBER($F$308),$B$226=1),$F$308,HLOOKUP(INDIRECT(ADDRESS(2,COLUMN())),OFFSET($BN$2,0,0,ROW()-1,60),ROW()-1,FALSE))</f>
        <v/>
      </c>
      <c r="G95">
        <f ca="1">IF(AND(ISNUMBER($G$308),$B$226=1),$G$308,HLOOKUP(INDIRECT(ADDRESS(2,COLUMN())),OFFSET($BN$2,0,0,ROW()-1,60),ROW()-1,FALSE))</f>
        <v>11.565803150000001</v>
      </c>
      <c r="H95">
        <f ca="1">IF(AND(ISNUMBER($H$308),$B$226=1),$H$308,HLOOKUP(INDIRECT(ADDRESS(2,COLUMN())),OFFSET($BN$2,0,0,ROW()-1,60),ROW()-1,FALSE))</f>
        <v>0.26831491099999999</v>
      </c>
      <c r="I95">
        <f ca="1">IF(AND(ISNUMBER($I$308),$B$226=1),$I$308,HLOOKUP(INDIRECT(ADDRESS(2,COLUMN())),OFFSET($BN$2,0,0,ROW()-1,60),ROW()-1,FALSE))</f>
        <v>-3.7503427729999999</v>
      </c>
      <c r="J95">
        <f ca="1">IF(AND(ISNUMBER($J$308),$B$226=1),$J$308,HLOOKUP(INDIRECT(ADDRESS(2,COLUMN())),OFFSET($BN$2,0,0,ROW()-1,60),ROW()-1,FALSE))</f>
        <v>-3.5285882150000001</v>
      </c>
      <c r="K95">
        <f ca="1">IF(AND(ISNUMBER($K$308),$B$226=1),$K$308,HLOOKUP(INDIRECT(ADDRESS(2,COLUMN())),OFFSET($BN$2,0,0,ROW()-1,60),ROW()-1,FALSE))</f>
        <v>0.87735783700000003</v>
      </c>
      <c r="L95">
        <f ca="1">IF(AND(ISNUMBER($L$308),$B$226=1),$L$308,HLOOKUP(INDIRECT(ADDRESS(2,COLUMN())),OFFSET($BN$2,0,0,ROW()-1,60),ROW()-1,FALSE))</f>
        <v>8.6247898420000002</v>
      </c>
      <c r="M95">
        <f ca="1">IF(AND(ISNUMBER($M$308),$B$226=1),$M$308,HLOOKUP(INDIRECT(ADDRESS(2,COLUMN())),OFFSET($BN$2,0,0,ROW()-1,60),ROW()-1,FALSE))</f>
        <v>4.5588450250000001</v>
      </c>
      <c r="N95">
        <f ca="1">IF(AND(ISNUMBER($N$308),$B$226=1),$N$308,HLOOKUP(INDIRECT(ADDRESS(2,COLUMN())),OFFSET($BN$2,0,0,ROW()-1,60),ROW()-1,FALSE))</f>
        <v>3.8972845770000002</v>
      </c>
      <c r="O95">
        <f ca="1">IF(AND(ISNUMBER($O$308),$B$226=1),$O$308,HLOOKUP(INDIRECT(ADDRESS(2,COLUMN())),OFFSET($BN$2,0,0,ROW()-1,60),ROW()-1,FALSE))</f>
        <v>2.732967854</v>
      </c>
      <c r="P95">
        <f ca="1">IF(AND(ISNUMBER($P$308),$B$226=1),$P$308,HLOOKUP(INDIRECT(ADDRESS(2,COLUMN())),OFFSET($BN$2,0,0,ROW()-1,60),ROW()-1,FALSE))</f>
        <v>-0.61560109100000004</v>
      </c>
      <c r="Q95">
        <f ca="1">IF(AND(ISNUMBER($Q$308),$B$226=1),$Q$308,HLOOKUP(INDIRECT(ADDRESS(2,COLUMN())),OFFSET($BN$2,0,0,ROW()-1,60),ROW()-1,FALSE))</f>
        <v>3.4289468940000001</v>
      </c>
      <c r="R95">
        <f ca="1">IF(AND(ISNUMBER($R$308),$B$226=1),$R$308,HLOOKUP(INDIRECT(ADDRESS(2,COLUMN())),OFFSET($BN$2,0,0,ROW()-1,60),ROW()-1,FALSE))</f>
        <v>5.0823493449999999</v>
      </c>
      <c r="S95">
        <f ca="1">IF(AND(ISNUMBER($S$308),$B$226=1),$S$308,HLOOKUP(INDIRECT(ADDRESS(2,COLUMN())),OFFSET($BN$2,0,0,ROW()-1,60),ROW()-1,FALSE))</f>
        <v>7.7315073290000003</v>
      </c>
      <c r="T95">
        <f ca="1">IF(AND(ISNUMBER($T$308),$B$226=1),$T$308,HLOOKUP(INDIRECT(ADDRESS(2,COLUMN())),OFFSET($BN$2,0,0,ROW()-1,60),ROW()-1,FALSE))</f>
        <v>14.40285227</v>
      </c>
      <c r="U95">
        <f ca="1">IF(AND(ISNUMBER($U$308),$B$226=1),$U$308,HLOOKUP(INDIRECT(ADDRESS(2,COLUMN())),OFFSET($BN$2,0,0,ROW()-1,60),ROW()-1,FALSE))</f>
        <v>12.24773516</v>
      </c>
      <c r="V95">
        <f ca="1">IF(AND(ISNUMBER($V$308),$B$226=1),$V$308,HLOOKUP(INDIRECT(ADDRESS(2,COLUMN())),OFFSET($BN$2,0,0,ROW()-1,60),ROW()-1,FALSE))</f>
        <v>12.270626740000001</v>
      </c>
      <c r="W95">
        <f ca="1">IF(AND(ISNUMBER($W$308),$B$226=1),$W$308,HLOOKUP(INDIRECT(ADDRESS(2,COLUMN())),OFFSET($BN$2,0,0,ROW()-1,60),ROW()-1,FALSE))</f>
        <v>22.380981089999999</v>
      </c>
      <c r="X95">
        <f ca="1">IF(AND(ISNUMBER($X$308),$B$226=1),$X$308,HLOOKUP(INDIRECT(ADDRESS(2,COLUMN())),OFFSET($BN$2,0,0,ROW()-1,60),ROW()-1,FALSE))</f>
        <v>41.03869383</v>
      </c>
      <c r="Y95">
        <f ca="1">IF(AND(ISNUMBER($Y$308),$B$226=1),$Y$308,HLOOKUP(INDIRECT(ADDRESS(2,COLUMN())),OFFSET($BN$2,0,0,ROW()-1,60),ROW()-1,FALSE))</f>
        <v>51.828839270000003</v>
      </c>
      <c r="Z95">
        <f ca="1">IF(AND(ISNUMBER($Z$308),$B$226=1),$Z$308,HLOOKUP(INDIRECT(ADDRESS(2,COLUMN())),OFFSET($BN$2,0,0,ROW()-1,60),ROW()-1,FALSE))</f>
        <v>52.514932559999998</v>
      </c>
      <c r="AA95">
        <f ca="1">IF(AND(ISNUMBER($AA$308),$B$226=1),$AA$308,HLOOKUP(INDIRECT(ADDRESS(2,COLUMN())),OFFSET($BN$2,0,0,ROW()-1,60),ROW()-1,FALSE))</f>
        <v>42.263708620000003</v>
      </c>
      <c r="AB95">
        <f ca="1">IF(AND(ISNUMBER($AB$308),$B$226=1),$AB$308,HLOOKUP(INDIRECT(ADDRESS(2,COLUMN())),OFFSET($BN$2,0,0,ROW()-1,60),ROW()-1,FALSE))</f>
        <v>18.442226890000001</v>
      </c>
      <c r="AC95">
        <f ca="1">IF(AND(ISNUMBER($AC$308),$B$226=1),$AC$308,HLOOKUP(INDIRECT(ADDRESS(2,COLUMN())),OFFSET($BN$2,0,0,ROW()-1,60),ROW()-1,FALSE))</f>
        <v>13.264790720000001</v>
      </c>
      <c r="AD95">
        <f ca="1">IF(AND(ISNUMBER($AD$308),$B$226=1),$AD$308,HLOOKUP(INDIRECT(ADDRESS(2,COLUMN())),OFFSET($BN$2,0,0,ROW()-1,60),ROW()-1,FALSE))</f>
        <v>7.7709611450000002</v>
      </c>
      <c r="AE95">
        <f ca="1">IF(AND(ISNUMBER($AE$308),$B$226=1),$AE$308,HLOOKUP(INDIRECT(ADDRESS(2,COLUMN())),OFFSET($BN$2,0,0,ROW()-1,60),ROW()-1,FALSE))</f>
        <v>11.48484977</v>
      </c>
      <c r="AF95">
        <f ca="1">IF(AND(ISNUMBER($AF$308),$B$226=1),$AF$308,HLOOKUP(INDIRECT(ADDRESS(2,COLUMN())),OFFSET($BN$2,0,0,ROW()-1,60),ROW()-1,FALSE))</f>
        <v>11.03983204</v>
      </c>
      <c r="AG95">
        <f ca="1">IF(AND(ISNUMBER($AG$308),$B$226=1),$AG$308,HLOOKUP(INDIRECT(ADDRESS(2,COLUMN())),OFFSET($BN$2,0,0,ROW()-1,60),ROW()-1,FALSE))</f>
        <v>20.545813710000001</v>
      </c>
      <c r="AH95">
        <f ca="1">IF(AND(ISNUMBER($AH$308),$B$226=1),$AH$308,HLOOKUP(INDIRECT(ADDRESS(2,COLUMN())),OFFSET($BN$2,0,0,ROW()-1,60),ROW()-1,FALSE))</f>
        <v>24.13029886</v>
      </c>
      <c r="AI95">
        <f ca="1">IF(AND(ISNUMBER($AI$308),$B$226=1),$AI$308,HLOOKUP(INDIRECT(ADDRESS(2,COLUMN())),OFFSET($BN$2,0,0,ROW()-1,60),ROW()-1,FALSE))</f>
        <v>15.476818509999999</v>
      </c>
      <c r="AJ95">
        <f ca="1">IF(AND(ISNUMBER($AJ$308),$B$226=1),$AJ$308,HLOOKUP(INDIRECT(ADDRESS(2,COLUMN())),OFFSET($BN$2,0,0,ROW()-1,60),ROW()-1,FALSE))</f>
        <v>12.18481347</v>
      </c>
      <c r="AK95">
        <f ca="1">IF(AND(ISNUMBER($AK$308),$B$226=1),$AK$308,HLOOKUP(INDIRECT(ADDRESS(2,COLUMN())),OFFSET($BN$2,0,0,ROW()-1,60),ROW()-1,FALSE))</f>
        <v>3.699962116</v>
      </c>
      <c r="AL95">
        <f ca="1">IF(AND(ISNUMBER($AL$308),$B$226=1),$AL$308,HLOOKUP(INDIRECT(ADDRESS(2,COLUMN())),OFFSET($BN$2,0,0,ROW()-1,60),ROW()-1,FALSE))</f>
        <v>5.5807137290000002</v>
      </c>
      <c r="AM95">
        <f ca="1">IF(AND(ISNUMBER($AM$308),$B$226=1),$AM$308,HLOOKUP(INDIRECT(ADDRESS(2,COLUMN())),OFFSET($BN$2,0,0,ROW()-1,60),ROW()-1,FALSE))</f>
        <v>4.1116362239999997</v>
      </c>
      <c r="AN95">
        <f ca="1">IF(AND(ISNUMBER($AN$308),$B$226=1),$AN$308,HLOOKUP(INDIRECT(ADDRESS(2,COLUMN())),OFFSET($BN$2,0,0,ROW()-1,60),ROW()-1,FALSE))</f>
        <v>5.9458785040000004</v>
      </c>
      <c r="AO95">
        <f ca="1">IF(AND(ISNUMBER($AO$308),$B$226=1),$AO$308,HLOOKUP(INDIRECT(ADDRESS(2,COLUMN())),OFFSET($BN$2,0,0,ROW()-1,60),ROW()-1,FALSE))</f>
        <v>63.660788099999998</v>
      </c>
      <c r="AP95">
        <f ca="1">IF(AND(ISNUMBER($AP$308),$B$226=1),$AP$308,HLOOKUP(INDIRECT(ADDRESS(2,COLUMN())),OFFSET($BN$2,0,0,ROW()-1,60),ROW()-1,FALSE))</f>
        <v>82.061389800000001</v>
      </c>
      <c r="AQ95">
        <f ca="1">IF(AND(ISNUMBER($AQ$308),$B$226=1),$AQ$308,HLOOKUP(INDIRECT(ADDRESS(2,COLUMN())),OFFSET($BN$2,0,0,ROW()-1,60),ROW()-1,FALSE))</f>
        <v>84.055858569999998</v>
      </c>
      <c r="AR95">
        <f ca="1">IF(AND(ISNUMBER($AR$308),$B$226=1),$AR$308,HLOOKUP(INDIRECT(ADDRESS(2,COLUMN())),OFFSET($BN$2,0,0,ROW()-1,60),ROW()-1,FALSE))</f>
        <v>96.341762160000002</v>
      </c>
      <c r="AS95">
        <f ca="1">IF(AND(ISNUMBER($AS$308),$B$226=1),$AS$308,HLOOKUP(INDIRECT(ADDRESS(2,COLUMN())),OFFSET($BN$2,0,0,ROW()-1,60),ROW()-1,FALSE))</f>
        <v>29.299287410000002</v>
      </c>
      <c r="AT95">
        <f ca="1">IF(AND(ISNUMBER($AT$308),$B$226=1),$AT$308,HLOOKUP(INDIRECT(ADDRESS(2,COLUMN())),OFFSET($BN$2,0,0,ROW()-1,60),ROW()-1,FALSE))</f>
        <v>16.67554758</v>
      </c>
      <c r="AU95">
        <f ca="1">IF(AND(ISNUMBER($AU$308),$B$226=1),$AU$308,HLOOKUP(INDIRECT(ADDRESS(2,COLUMN())),OFFSET($BN$2,0,0,ROW()-1,60),ROW()-1,FALSE))</f>
        <v>24.654924829999999</v>
      </c>
      <c r="AV95">
        <f ca="1">IF(AND(ISNUMBER($AV$308),$B$226=1),$AV$308,HLOOKUP(INDIRECT(ADDRESS(2,COLUMN())),OFFSET($BN$2,0,0,ROW()-1,60),ROW()-1,FALSE))</f>
        <v>17.930857379999999</v>
      </c>
      <c r="AW95">
        <f ca="1">IF(AND(ISNUMBER($AW$308),$B$226=1),$AW$308,HLOOKUP(INDIRECT(ADDRESS(2,COLUMN())),OFFSET($BN$2,0,0,ROW()-1,60),ROW()-1,FALSE))</f>
        <v>20.311495319999999</v>
      </c>
      <c r="AX95">
        <f ca="1">IF(AND(ISNUMBER($AX$308),$B$226=1),$AX$308,HLOOKUP(INDIRECT(ADDRESS(2,COLUMN())),OFFSET($BN$2,0,0,ROW()-1,60),ROW()-1,FALSE))</f>
        <v>32.494797859999998</v>
      </c>
      <c r="AY95">
        <f ca="1">IF(AND(ISNUMBER($AY$308),$B$226=1),$AY$308,HLOOKUP(INDIRECT(ADDRESS(2,COLUMN())),OFFSET($BN$2,0,0,ROW()-1,60),ROW()-1,FALSE))</f>
        <v>38.03802589</v>
      </c>
      <c r="AZ95">
        <f ca="1">IF(AND(ISNUMBER($AZ$308),$B$226=1),$AZ$308,HLOOKUP(INDIRECT(ADDRESS(2,COLUMN())),OFFSET($BN$2,0,0,ROW()-1,60),ROW()-1,FALSE))</f>
        <v>46.643758239999997</v>
      </c>
      <c r="BA95">
        <f ca="1">IF(AND(ISNUMBER($BA$308),$B$226=1),$BA$308,HLOOKUP(INDIRECT(ADDRESS(2,COLUMN())),OFFSET($BN$2,0,0,ROW()-1,60),ROW()-1,FALSE))</f>
        <v>39.613984340000002</v>
      </c>
      <c r="BB95">
        <f ca="1">IF(AND(ISNUMBER($BB$308),$B$226=1),$BB$308,HLOOKUP(INDIRECT(ADDRESS(2,COLUMN())),OFFSET($BN$2,0,0,ROW()-1,60),ROW()-1,FALSE))</f>
        <v>37.313128220000003</v>
      </c>
      <c r="BC95">
        <f ca="1">IF(AND(ISNUMBER($BC$308),$B$226=1),$BC$308,HLOOKUP(INDIRECT(ADDRESS(2,COLUMN())),OFFSET($BN$2,0,0,ROW()-1,60),ROW()-1,FALSE))</f>
        <v>35.771955839999997</v>
      </c>
      <c r="BD95">
        <f ca="1">IF(AND(ISNUMBER($BD$308),$B$226=1),$BD$308,HLOOKUP(INDIRECT(ADDRESS(2,COLUMN())),OFFSET($BN$2,0,0,ROW()-1,60),ROW()-1,FALSE))</f>
        <v>154.69368180000001</v>
      </c>
      <c r="BE95">
        <f ca="1">IF(AND(ISNUMBER($BE$308),$B$226=1),$BE$308,HLOOKUP(INDIRECT(ADDRESS(2,COLUMN())),OFFSET($BN$2,0,0,ROW()-1,60),ROW()-1,FALSE))</f>
        <v>44.84576611</v>
      </c>
      <c r="BF95">
        <f ca="1">IF(AND(ISNUMBER($BF$308),$B$226=1),$BF$308,HLOOKUP(INDIRECT(ADDRESS(2,COLUMN())),OFFSET($BN$2,0,0,ROW()-1,60),ROW()-1,FALSE))</f>
        <v>21.093609189999999</v>
      </c>
      <c r="BG95">
        <f ca="1">IF(AND(ISNUMBER($BG$308),$B$226=1),$BG$308,HLOOKUP(INDIRECT(ADDRESS(2,COLUMN())),OFFSET($BN$2,0,0,ROW()-1,60),ROW()-1,FALSE))</f>
        <v>19.288479039999999</v>
      </c>
      <c r="BH95" t="str">
        <f ca="1">IF(AND(ISNUMBER($BH$308),$B$226=1),$BH$308,HLOOKUP(INDIRECT(ADDRESS(2,COLUMN())),OFFSET($BN$2,0,0,ROW()-1,60),ROW()-1,FALSE))</f>
        <v/>
      </c>
      <c r="BI95" t="str">
        <f ca="1">IF(AND(ISNUMBER($BI$308),$B$226=1),$BI$308,HLOOKUP(INDIRECT(ADDRESS(2,COLUMN())),OFFSET($BN$2,0,0,ROW()-1,60),ROW()-1,FALSE))</f>
        <v/>
      </c>
      <c r="BJ95" t="str">
        <f ca="1">IF(AND(ISNUMBER($BJ$308),$B$226=1),$BJ$308,HLOOKUP(INDIRECT(ADDRESS(2,COLUMN())),OFFSET($BN$2,0,0,ROW()-1,60),ROW()-1,FALSE))</f>
        <v/>
      </c>
      <c r="BK95" t="str">
        <f ca="1">IF(AND(ISNUMBER($BK$308),$B$226=1),$BK$308,HLOOKUP(INDIRECT(ADDRESS(2,COLUMN())),OFFSET($BN$2,0,0,ROW()-1,60),ROW()-1,FALSE))</f>
        <v/>
      </c>
      <c r="BL95" t="str">
        <f ca="1">IF(AND(ISNUMBER($BL$308),$B$226=1),$BL$308,HLOOKUP(INDIRECT(ADDRESS(2,COLUMN())),OFFSET($BN$2,0,0,ROW()-1,60),ROW()-1,FALSE))</f>
        <v/>
      </c>
      <c r="BM95" t="str">
        <f ca="1">IF(AND(ISNUMBER($BM$308),$B$226=1),$BM$308,HLOOKUP(INDIRECT(ADDRESS(2,COLUMN())),OFFSET($BN$2,0,0,ROW()-1,60),ROW()-1,FALSE))</f>
        <v/>
      </c>
      <c r="BN95" t="str">
        <f>""</f>
        <v/>
      </c>
      <c r="BO95">
        <f>11.56580315</f>
        <v>11.565803150000001</v>
      </c>
      <c r="BP95">
        <f>0.268314911</f>
        <v>0.26831491099999999</v>
      </c>
      <c r="BQ95">
        <f>-3.750342773</f>
        <v>-3.7503427729999999</v>
      </c>
      <c r="BR95">
        <f>-3.528588215</f>
        <v>-3.5285882150000001</v>
      </c>
      <c r="BS95">
        <f>0.877357837</f>
        <v>0.87735783700000003</v>
      </c>
      <c r="BT95">
        <f>8.624789842</f>
        <v>8.6247898420000002</v>
      </c>
      <c r="BU95">
        <f>4.558845025</f>
        <v>4.5588450250000001</v>
      </c>
      <c r="BV95">
        <f>3.897284577</f>
        <v>3.8972845770000002</v>
      </c>
      <c r="BW95">
        <f>2.732967854</f>
        <v>2.732967854</v>
      </c>
      <c r="BX95">
        <f>-0.615601091</f>
        <v>-0.61560109100000004</v>
      </c>
      <c r="BY95">
        <f>3.428946894</f>
        <v>3.4289468940000001</v>
      </c>
      <c r="BZ95">
        <f>5.082349345</f>
        <v>5.0823493449999999</v>
      </c>
      <c r="CA95">
        <f>7.731507329</f>
        <v>7.7315073290000003</v>
      </c>
      <c r="CB95">
        <f>14.40285227</f>
        <v>14.40285227</v>
      </c>
      <c r="CC95">
        <f>12.24773516</f>
        <v>12.24773516</v>
      </c>
      <c r="CD95">
        <f>12.27062674</f>
        <v>12.270626740000001</v>
      </c>
      <c r="CE95">
        <f>22.38098109</f>
        <v>22.380981089999999</v>
      </c>
      <c r="CF95">
        <f>41.03869383</f>
        <v>41.03869383</v>
      </c>
      <c r="CG95">
        <f>51.82883927</f>
        <v>51.828839270000003</v>
      </c>
      <c r="CH95">
        <f>52.51493256</f>
        <v>52.514932559999998</v>
      </c>
      <c r="CI95">
        <f>42.26370862</f>
        <v>42.263708620000003</v>
      </c>
      <c r="CJ95">
        <f>18.44222689</f>
        <v>18.442226890000001</v>
      </c>
      <c r="CK95">
        <f>13.26479072</f>
        <v>13.264790720000001</v>
      </c>
      <c r="CL95">
        <f>7.770961145</f>
        <v>7.7709611450000002</v>
      </c>
      <c r="CM95">
        <f>11.48484977</f>
        <v>11.48484977</v>
      </c>
      <c r="CN95">
        <f>11.03983204</f>
        <v>11.03983204</v>
      </c>
      <c r="CO95">
        <f>20.54581371</f>
        <v>20.545813710000001</v>
      </c>
      <c r="CP95">
        <f>24.13029886</f>
        <v>24.13029886</v>
      </c>
      <c r="CQ95">
        <f>15.47681851</f>
        <v>15.476818509999999</v>
      </c>
      <c r="CR95">
        <f>12.18481347</f>
        <v>12.18481347</v>
      </c>
      <c r="CS95">
        <f>3.699962116</f>
        <v>3.699962116</v>
      </c>
      <c r="CT95">
        <f>5.580713729</f>
        <v>5.5807137290000002</v>
      </c>
      <c r="CU95">
        <f>4.111636224</f>
        <v>4.1116362239999997</v>
      </c>
      <c r="CV95">
        <f>5.945878504</f>
        <v>5.9458785040000004</v>
      </c>
      <c r="CW95">
        <f>63.6607881</f>
        <v>63.660788099999998</v>
      </c>
      <c r="CX95">
        <f>82.0613898</f>
        <v>82.061389800000001</v>
      </c>
      <c r="CY95">
        <f>84.05585857</f>
        <v>84.055858569999998</v>
      </c>
      <c r="CZ95">
        <f>96.34176216</f>
        <v>96.341762160000002</v>
      </c>
      <c r="DA95">
        <f>29.29928741</f>
        <v>29.299287410000002</v>
      </c>
      <c r="DB95">
        <f>16.67554758</f>
        <v>16.67554758</v>
      </c>
      <c r="DC95">
        <f>24.65492483</f>
        <v>24.654924829999999</v>
      </c>
      <c r="DD95">
        <f>17.93085738</f>
        <v>17.930857379999999</v>
      </c>
      <c r="DE95">
        <f>20.31149532</f>
        <v>20.311495319999999</v>
      </c>
      <c r="DF95">
        <f>32.49479786</f>
        <v>32.494797859999998</v>
      </c>
      <c r="DG95">
        <f>38.03802589</f>
        <v>38.03802589</v>
      </c>
      <c r="DH95">
        <f>46.64375824</f>
        <v>46.643758239999997</v>
      </c>
      <c r="DI95">
        <f>39.61398434</f>
        <v>39.613984340000002</v>
      </c>
      <c r="DJ95">
        <f>37.31312822</f>
        <v>37.313128220000003</v>
      </c>
      <c r="DK95">
        <f>35.77195584</f>
        <v>35.771955839999997</v>
      </c>
      <c r="DL95">
        <f>154.6936818</f>
        <v>154.69368180000001</v>
      </c>
      <c r="DM95">
        <f>44.84576611</f>
        <v>44.84576611</v>
      </c>
      <c r="DN95">
        <f>21.09360919</f>
        <v>21.093609189999999</v>
      </c>
      <c r="DO95">
        <f>19.28847904</f>
        <v>19.288479039999999</v>
      </c>
      <c r="DP95" t="str">
        <f>""</f>
        <v/>
      </c>
      <c r="DQ95" t="str">
        <f>""</f>
        <v/>
      </c>
      <c r="DR95" t="str">
        <f>""</f>
        <v/>
      </c>
      <c r="DS95" t="str">
        <f>""</f>
        <v/>
      </c>
      <c r="DT95" t="str">
        <f>""</f>
        <v/>
      </c>
      <c r="DU95" t="str">
        <f>""</f>
        <v/>
      </c>
    </row>
    <row r="96" spans="1:125">
      <c r="A96" t="str">
        <f>"    AvalonBay Communities Inc"</f>
        <v xml:space="preserve">    AvalonBay Communities Inc</v>
      </c>
      <c r="B96" t="str">
        <f>"AVB US Equity"</f>
        <v>AVB US Equity</v>
      </c>
      <c r="C96" t="str">
        <f t="shared" si="30"/>
        <v>RR033</v>
      </c>
      <c r="D96" t="str">
        <f t="shared" si="31"/>
        <v>SALES_GROWTH</v>
      </c>
      <c r="E96" t="str">
        <f t="shared" si="32"/>
        <v>动态</v>
      </c>
      <c r="F96" t="str">
        <f ca="1">IF(AND(ISNUMBER($F$309),$B$226=1),$F$309,HLOOKUP(INDIRECT(ADDRESS(2,COLUMN())),OFFSET($BN$2,0,0,ROW()-1,60),ROW()-1,FALSE))</f>
        <v/>
      </c>
      <c r="G96">
        <f ca="1">IF(AND(ISNUMBER($G$309),$B$226=1),$G$309,HLOOKUP(INDIRECT(ADDRESS(2,COLUMN())),OFFSET($BN$2,0,0,ROW()-1,60),ROW()-1,FALSE))</f>
        <v>7.1495832049999999</v>
      </c>
      <c r="H96">
        <f ca="1">IF(AND(ISNUMBER($H$309),$B$226=1),$H$309,HLOOKUP(INDIRECT(ADDRESS(2,COLUMN())),OFFSET($BN$2,0,0,ROW()-1,60),ROW()-1,FALSE))</f>
        <v>6.6424388480000003</v>
      </c>
      <c r="I96">
        <f ca="1">IF(AND(ISNUMBER($I$309),$B$226=1),$I$309,HLOOKUP(INDIRECT(ADDRESS(2,COLUMN())),OFFSET($BN$2,0,0,ROW()-1,60),ROW()-1,FALSE))</f>
        <v>5.6150919659999996</v>
      </c>
      <c r="J96">
        <f ca="1">IF(AND(ISNUMBER($J$309),$B$226=1),$J$309,HLOOKUP(INDIRECT(ADDRESS(2,COLUMN())),OFFSET($BN$2,0,0,ROW()-1,60),ROW()-1,FALSE))</f>
        <v>2.719381394</v>
      </c>
      <c r="K96">
        <f ca="1">IF(AND(ISNUMBER($K$309),$B$226=1),$K$309,HLOOKUP(INDIRECT(ADDRESS(2,COLUMN())),OFFSET($BN$2,0,0,ROW()-1,60),ROW()-1,FALSE))</f>
        <v>7.7780550699999997</v>
      </c>
      <c r="L96">
        <f ca="1">IF(AND(ISNUMBER($L$309),$B$226=1),$L$309,HLOOKUP(INDIRECT(ADDRESS(2,COLUMN())),OFFSET($BN$2,0,0,ROW()-1,60),ROW()-1,FALSE))</f>
        <v>8.5936974080000006</v>
      </c>
      <c r="M96">
        <f ca="1">IF(AND(ISNUMBER($M$309),$B$226=1),$M$309,HLOOKUP(INDIRECT(ADDRESS(2,COLUMN())),OFFSET($BN$2,0,0,ROW()-1,60),ROW()-1,FALSE))</f>
        <v>9.8037201150000008</v>
      </c>
      <c r="N96">
        <f ca="1">IF(AND(ISNUMBER($N$309),$B$226=1),$N$309,HLOOKUP(INDIRECT(ADDRESS(2,COLUMN())),OFFSET($BN$2,0,0,ROW()-1,60),ROW()-1,FALSE))</f>
        <v>14.94935201</v>
      </c>
      <c r="O96">
        <f ca="1">IF(AND(ISNUMBER($O$309),$B$226=1),$O$309,HLOOKUP(INDIRECT(ADDRESS(2,COLUMN())),OFFSET($BN$2,0,0,ROW()-1,60),ROW()-1,FALSE))</f>
        <v>9.1191314769999998</v>
      </c>
      <c r="P96">
        <f ca="1">IF(AND(ISNUMBER($P$309),$B$226=1),$P$309,HLOOKUP(INDIRECT(ADDRESS(2,COLUMN())),OFFSET($BN$2,0,0,ROW()-1,60),ROW()-1,FALSE))</f>
        <v>10.414029380000001</v>
      </c>
      <c r="Q96">
        <f ca="1">IF(AND(ISNUMBER($Q$309),$B$226=1),$Q$309,HLOOKUP(INDIRECT(ADDRESS(2,COLUMN())),OFFSET($BN$2,0,0,ROW()-1,60),ROW()-1,FALSE))</f>
        <v>10.549146220000001</v>
      </c>
      <c r="R96">
        <f ca="1">IF(AND(ISNUMBER($R$309),$B$226=1),$R$309,HLOOKUP(INDIRECT(ADDRESS(2,COLUMN())),OFFSET($BN$2,0,0,ROW()-1,60),ROW()-1,FALSE))</f>
        <v>10.57101793</v>
      </c>
      <c r="S96">
        <f ca="1">IF(AND(ISNUMBER($S$309),$B$226=1),$S$309,HLOOKUP(INDIRECT(ADDRESS(2,COLUMN())),OFFSET($BN$2,0,0,ROW()-1,60),ROW()-1,FALSE))</f>
        <v>11.793672259999999</v>
      </c>
      <c r="T96">
        <f ca="1">IF(AND(ISNUMBER($T$309),$B$226=1),$T$309,HLOOKUP(INDIRECT(ADDRESS(2,COLUMN())),OFFSET($BN$2,0,0,ROW()-1,60),ROW()-1,FALSE))</f>
        <v>10.621060719999999</v>
      </c>
      <c r="U96">
        <f ca="1">IF(AND(ISNUMBER($U$309),$B$226=1),$U$309,HLOOKUP(INDIRECT(ADDRESS(2,COLUMN())),OFFSET($BN$2,0,0,ROW()-1,60),ROW()-1,FALSE))</f>
        <v>9.4125703650000005</v>
      </c>
      <c r="V96">
        <f ca="1">IF(AND(ISNUMBER($V$309),$B$226=1),$V$309,HLOOKUP(INDIRECT(ADDRESS(2,COLUMN())),OFFSET($BN$2,0,0,ROW()-1,60),ROW()-1,FALSE))</f>
        <v>32.757825439999998</v>
      </c>
      <c r="W96">
        <f ca="1">IF(AND(ISNUMBER($W$309),$B$226=1),$W$309,HLOOKUP(INDIRECT(ADDRESS(2,COLUMN())),OFFSET($BN$2,0,0,ROW()-1,60),ROW()-1,FALSE))</f>
        <v>50.691200199999997</v>
      </c>
      <c r="X96">
        <f ca="1">IF(AND(ISNUMBER($X$309),$B$226=1),$X$309,HLOOKUP(INDIRECT(ADDRESS(2,COLUMN())),OFFSET($BN$2,0,0,ROW()-1,60),ROW()-1,FALSE))</f>
        <v>48.931390890000003</v>
      </c>
      <c r="Y96">
        <f ca="1">IF(AND(ISNUMBER($Y$309),$B$226=1),$Y$309,HLOOKUP(INDIRECT(ADDRESS(2,COLUMN())),OFFSET($BN$2,0,0,ROW()-1,60),ROW()-1,FALSE))</f>
        <v>49.817584029999999</v>
      </c>
      <c r="Z96">
        <f ca="1">IF(AND(ISNUMBER($Z$309),$B$226=1),$Z$309,HLOOKUP(INDIRECT(ADDRESS(2,COLUMN())),OFFSET($BN$2,0,0,ROW()-1,60),ROW()-1,FALSE))</f>
        <v>22.486912270000001</v>
      </c>
      <c r="AA96">
        <f ca="1">IF(AND(ISNUMBER($AA$309),$B$226=1),$AA$309,HLOOKUP(INDIRECT(ADDRESS(2,COLUMN())),OFFSET($BN$2,0,0,ROW()-1,60),ROW()-1,FALSE))</f>
        <v>7.604210803</v>
      </c>
      <c r="AB96">
        <f ca="1">IF(AND(ISNUMBER($AB$309),$B$226=1),$AB$309,HLOOKUP(INDIRECT(ADDRESS(2,COLUMN())),OFFSET($BN$2,0,0,ROW()-1,60),ROW()-1,FALSE))</f>
        <v>7.2222518559999997</v>
      </c>
      <c r="AC96">
        <f ca="1">IF(AND(ISNUMBER($AC$309),$B$226=1),$AC$309,HLOOKUP(INDIRECT(ADDRESS(2,COLUMN())),OFFSET($BN$2,0,0,ROW()-1,60),ROW()-1,FALSE))</f>
        <v>7.1584720329999998</v>
      </c>
      <c r="AD96">
        <f ca="1">IF(AND(ISNUMBER($AD$309),$B$226=1),$AD$309,HLOOKUP(INDIRECT(ADDRESS(2,COLUMN())),OFFSET($BN$2,0,0,ROW()-1,60),ROW()-1,FALSE))</f>
        <v>7.658513106</v>
      </c>
      <c r="AE96">
        <f ca="1">IF(AND(ISNUMBER($AE$309),$B$226=1),$AE$309,HLOOKUP(INDIRECT(ADDRESS(2,COLUMN())),OFFSET($BN$2,0,0,ROW()-1,60),ROW()-1,FALSE))</f>
        <v>7.2994279459999998</v>
      </c>
      <c r="AF96">
        <f ca="1">IF(AND(ISNUMBER($AF$309),$B$226=1),$AF$309,HLOOKUP(INDIRECT(ADDRESS(2,COLUMN())),OFFSET($BN$2,0,0,ROW()-1,60),ROW()-1,FALSE))</f>
        <v>8.0515876179999992</v>
      </c>
      <c r="AG96">
        <f ca="1">IF(AND(ISNUMBER($AG$309),$B$226=1),$AG$309,HLOOKUP(INDIRECT(ADDRESS(2,COLUMN())),OFFSET($BN$2,0,0,ROW()-1,60),ROW()-1,FALSE))</f>
        <v>6.9160668420000002</v>
      </c>
      <c r="AH96">
        <f ca="1">IF(AND(ISNUMBER($AH$309),$B$226=1),$AH$309,HLOOKUP(INDIRECT(ADDRESS(2,COLUMN())),OFFSET($BN$2,0,0,ROW()-1,60),ROW()-1,FALSE))</f>
        <v>6.0715064820000002</v>
      </c>
      <c r="AI96">
        <f ca="1">IF(AND(ISNUMBER($AI$309),$B$226=1),$AI$309,HLOOKUP(INDIRECT(ADDRESS(2,COLUMN())),OFFSET($BN$2,0,0,ROW()-1,60),ROW()-1,FALSE))</f>
        <v>5.7211655119999998</v>
      </c>
      <c r="AJ96">
        <f ca="1">IF(AND(ISNUMBER($AJ$309),$B$226=1),$AJ$309,HLOOKUP(INDIRECT(ADDRESS(2,COLUMN())),OFFSET($BN$2,0,0,ROW()-1,60),ROW()-1,FALSE))</f>
        <v>4.8897197300000004</v>
      </c>
      <c r="AK96">
        <f ca="1">IF(AND(ISNUMBER($AK$309),$B$226=1),$AK$309,HLOOKUP(INDIRECT(ADDRESS(2,COLUMN())),OFFSET($BN$2,0,0,ROW()-1,60),ROW()-1,FALSE))</f>
        <v>3.8080835209999999</v>
      </c>
      <c r="AL96">
        <f ca="1">IF(AND(ISNUMBER($AL$309),$B$226=1),$AL$309,HLOOKUP(INDIRECT(ADDRESS(2,COLUMN())),OFFSET($BN$2,0,0,ROW()-1,60),ROW()-1,FALSE))</f>
        <v>2.7253698750000002</v>
      </c>
      <c r="AM96">
        <f ca="1">IF(AND(ISNUMBER($AM$309),$B$226=1),$AM$309,HLOOKUP(INDIRECT(ADDRESS(2,COLUMN())),OFFSET($BN$2,0,0,ROW()-1,60),ROW()-1,FALSE))</f>
        <v>-2.7505865589999998</v>
      </c>
      <c r="AN96">
        <f ca="1">IF(AND(ISNUMBER($AN$309),$B$226=1),$AN$309,HLOOKUP(INDIRECT(ADDRESS(2,COLUMN())),OFFSET($BN$2,0,0,ROW()-1,60),ROW()-1,FALSE))</f>
        <v>-0.16110311499999999</v>
      </c>
      <c r="AO96">
        <f ca="1">IF(AND(ISNUMBER($AO$309),$B$226=1),$AO$309,HLOOKUP(INDIRECT(ADDRESS(2,COLUMN())),OFFSET($BN$2,0,0,ROW()-1,60),ROW()-1,FALSE))</f>
        <v>0.50570336800000004</v>
      </c>
      <c r="AP96">
        <f ca="1">IF(AND(ISNUMBER($AP$309),$B$226=1),$AP$309,HLOOKUP(INDIRECT(ADDRESS(2,COLUMN())),OFFSET($BN$2,0,0,ROW()-1,60),ROW()-1,FALSE))</f>
        <v>2.7231808320000002</v>
      </c>
      <c r="AQ96">
        <f ca="1">IF(AND(ISNUMBER($AQ$309),$B$226=1),$AQ$309,HLOOKUP(INDIRECT(ADDRESS(2,COLUMN())),OFFSET($BN$2,0,0,ROW()-1,60),ROW()-1,FALSE))</f>
        <v>9.8732498300000007</v>
      </c>
      <c r="AR96">
        <f ca="1">IF(AND(ISNUMBER($AR$309),$B$226=1),$AR$309,HLOOKUP(INDIRECT(ADDRESS(2,COLUMN())),OFFSET($BN$2,0,0,ROW()-1,60),ROW()-1,FALSE))</f>
        <v>9.5953839579999993</v>
      </c>
      <c r="AS96">
        <f ca="1">IF(AND(ISNUMBER($AS$309),$B$226=1),$AS$309,HLOOKUP(INDIRECT(ADDRESS(2,COLUMN())),OFFSET($BN$2,0,0,ROW()-1,60),ROW()-1,FALSE))</f>
        <v>10.61521862</v>
      </c>
      <c r="AT96">
        <f ca="1">IF(AND(ISNUMBER($AT$309),$B$226=1),$AT$309,HLOOKUP(INDIRECT(ADDRESS(2,COLUMN())),OFFSET($BN$2,0,0,ROW()-1,60),ROW()-1,FALSE))</f>
        <v>8.2485486310000002</v>
      </c>
      <c r="AU96">
        <f ca="1">IF(AND(ISNUMBER($AU$309),$B$226=1),$AU$309,HLOOKUP(INDIRECT(ADDRESS(2,COLUMN())),OFFSET($BN$2,0,0,ROW()-1,60),ROW()-1,FALSE))</f>
        <v>5.6715914600000001</v>
      </c>
      <c r="AV96">
        <f ca="1">IF(AND(ISNUMBER($AV$309),$B$226=1),$AV$309,HLOOKUP(INDIRECT(ADDRESS(2,COLUMN())),OFFSET($BN$2,0,0,ROW()-1,60),ROW()-1,FALSE))</f>
        <v>7.0167605069999999</v>
      </c>
      <c r="AW96">
        <f ca="1">IF(AND(ISNUMBER($AW$309),$B$226=1),$AW$309,HLOOKUP(INDIRECT(ADDRESS(2,COLUMN())),OFFSET($BN$2,0,0,ROW()-1,60),ROW()-1,FALSE))</f>
        <v>6.6120178909999998</v>
      </c>
      <c r="AX96">
        <f ca="1">IF(AND(ISNUMBER($AX$309),$B$226=1),$AX$309,HLOOKUP(INDIRECT(ADDRESS(2,COLUMN())),OFFSET($BN$2,0,0,ROW()-1,60),ROW()-1,FALSE))</f>
        <v>7.682163063</v>
      </c>
      <c r="AY96">
        <f ca="1">IF(AND(ISNUMBER($AY$309),$B$226=1),$AY$309,HLOOKUP(INDIRECT(ADDRESS(2,COLUMN())),OFFSET($BN$2,0,0,ROW()-1,60),ROW()-1,FALSE))</f>
        <v>9.6419369370000005</v>
      </c>
      <c r="AZ96">
        <f ca="1">IF(AND(ISNUMBER($AZ$309),$B$226=1),$AZ$309,HLOOKUP(INDIRECT(ADDRESS(2,COLUMN())),OFFSET($BN$2,0,0,ROW()-1,60),ROW()-1,FALSE))</f>
        <v>7.510376602</v>
      </c>
      <c r="BA96">
        <f ca="1">IF(AND(ISNUMBER($BA$309),$B$226=1),$BA$309,HLOOKUP(INDIRECT(ADDRESS(2,COLUMN())),OFFSET($BN$2,0,0,ROW()-1,60),ROW()-1,FALSE))</f>
        <v>8.1079612680000004</v>
      </c>
      <c r="BB96">
        <f ca="1">IF(AND(ISNUMBER($BB$309),$B$226=1),$BB$309,HLOOKUP(INDIRECT(ADDRESS(2,COLUMN())),OFFSET($BN$2,0,0,ROW()-1,60),ROW()-1,FALSE))</f>
        <v>9.4887453980000007</v>
      </c>
      <c r="BC96">
        <f ca="1">IF(AND(ISNUMBER($BC$309),$B$226=1),$BC$309,HLOOKUP(INDIRECT(ADDRESS(2,COLUMN())),OFFSET($BN$2,0,0,ROW()-1,60),ROW()-1,FALSE))</f>
        <v>24.766105899999999</v>
      </c>
      <c r="BD96">
        <f ca="1">IF(AND(ISNUMBER($BD$309),$B$226=1),$BD$309,HLOOKUP(INDIRECT(ADDRESS(2,COLUMN())),OFFSET($BN$2,0,0,ROW()-1,60),ROW()-1,FALSE))</f>
        <v>9.5591772329999998</v>
      </c>
      <c r="BE96">
        <f ca="1">IF(AND(ISNUMBER($BE$309),$B$226=1),$BE$309,HLOOKUP(INDIRECT(ADDRESS(2,COLUMN())),OFFSET($BN$2,0,0,ROW()-1,60),ROW()-1,FALSE))</f>
        <v>2.0690845009999999</v>
      </c>
      <c r="BF96">
        <f ca="1">IF(AND(ISNUMBER($BF$309),$B$226=1),$BF$309,HLOOKUP(INDIRECT(ADDRESS(2,COLUMN())),OFFSET($BN$2,0,0,ROW()-1,60),ROW()-1,FALSE))</f>
        <v>1.9630462909999999</v>
      </c>
      <c r="BG96">
        <f ca="1">IF(AND(ISNUMBER($BG$309),$B$226=1),$BG$309,HLOOKUP(INDIRECT(ADDRESS(2,COLUMN())),OFFSET($BN$2,0,0,ROW()-1,60),ROW()-1,FALSE))</f>
        <v>-9.1654278639999998</v>
      </c>
      <c r="BH96">
        <f ca="1">IF(AND(ISNUMBER($BH$309),$B$226=1),$BH$309,HLOOKUP(INDIRECT(ADDRESS(2,COLUMN())),OFFSET($BN$2,0,0,ROW()-1,60),ROW()-1,FALSE))</f>
        <v>2.5514029759999999</v>
      </c>
      <c r="BI96">
        <f ca="1">IF(AND(ISNUMBER($BI$309),$B$226=1),$BI$309,HLOOKUP(INDIRECT(ADDRESS(2,COLUMN())),OFFSET($BN$2,0,0,ROW()-1,60),ROW()-1,FALSE))</f>
        <v>8.0317916769999993</v>
      </c>
      <c r="BJ96">
        <f ca="1">IF(AND(ISNUMBER($BJ$309),$B$226=1),$BJ$309,HLOOKUP(INDIRECT(ADDRESS(2,COLUMN())),OFFSET($BN$2,0,0,ROW()-1,60),ROW()-1,FALSE))</f>
        <v>5.3692311830000001</v>
      </c>
      <c r="BK96">
        <f ca="1">IF(AND(ISNUMBER($BK$309),$B$226=1),$BK$309,HLOOKUP(INDIRECT(ADDRESS(2,COLUMN())),OFFSET($BN$2,0,0,ROW()-1,60),ROW()-1,FALSE))</f>
        <v>1.626157077</v>
      </c>
      <c r="BL96">
        <f ca="1">IF(AND(ISNUMBER($BL$309),$B$226=1),$BL$309,HLOOKUP(INDIRECT(ADDRESS(2,COLUMN())),OFFSET($BN$2,0,0,ROW()-1,60),ROW()-1,FALSE))</f>
        <v>2.1596559599999998</v>
      </c>
      <c r="BM96">
        <f ca="1">IF(AND(ISNUMBER($BM$309),$B$226=1),$BM$309,HLOOKUP(INDIRECT(ADDRESS(2,COLUMN())),OFFSET($BN$2,0,0,ROW()-1,60),ROW()-1,FALSE))</f>
        <v>-7.1279318490000003</v>
      </c>
      <c r="BN96" t="str">
        <f>""</f>
        <v/>
      </c>
      <c r="BO96">
        <f>7.149583205</f>
        <v>7.1495832049999999</v>
      </c>
      <c r="BP96">
        <f>6.642438848</f>
        <v>6.6424388480000003</v>
      </c>
      <c r="BQ96">
        <f>5.615091966</f>
        <v>5.6150919659999996</v>
      </c>
      <c r="BR96">
        <f>2.719381394</f>
        <v>2.719381394</v>
      </c>
      <c r="BS96">
        <f>7.77805507</f>
        <v>7.7780550699999997</v>
      </c>
      <c r="BT96">
        <f>8.593697408</f>
        <v>8.5936974080000006</v>
      </c>
      <c r="BU96">
        <f>9.803720115</f>
        <v>9.8037201150000008</v>
      </c>
      <c r="BV96">
        <f>14.94935201</f>
        <v>14.94935201</v>
      </c>
      <c r="BW96">
        <f>9.119131477</f>
        <v>9.1191314769999998</v>
      </c>
      <c r="BX96">
        <f>10.41402938</f>
        <v>10.414029380000001</v>
      </c>
      <c r="BY96">
        <f>10.54914622</f>
        <v>10.549146220000001</v>
      </c>
      <c r="BZ96">
        <f>10.57101793</f>
        <v>10.57101793</v>
      </c>
      <c r="CA96">
        <f>11.79367226</f>
        <v>11.793672259999999</v>
      </c>
      <c r="CB96">
        <f>10.62106072</f>
        <v>10.621060719999999</v>
      </c>
      <c r="CC96">
        <f>9.412570365</f>
        <v>9.4125703650000005</v>
      </c>
      <c r="CD96">
        <f>32.75782544</f>
        <v>32.757825439999998</v>
      </c>
      <c r="CE96">
        <f>50.6912002</f>
        <v>50.691200199999997</v>
      </c>
      <c r="CF96">
        <f>48.93139089</f>
        <v>48.931390890000003</v>
      </c>
      <c r="CG96">
        <f>49.81758403</f>
        <v>49.817584029999999</v>
      </c>
      <c r="CH96">
        <f>22.48691227</f>
        <v>22.486912270000001</v>
      </c>
      <c r="CI96">
        <f>7.604210803</f>
        <v>7.604210803</v>
      </c>
      <c r="CJ96">
        <f>7.222251856</f>
        <v>7.2222518559999997</v>
      </c>
      <c r="CK96">
        <f>7.158472033</f>
        <v>7.1584720329999998</v>
      </c>
      <c r="CL96">
        <f>7.658513106</f>
        <v>7.658513106</v>
      </c>
      <c r="CM96">
        <f>7.299427946</f>
        <v>7.2994279459999998</v>
      </c>
      <c r="CN96">
        <f>8.051587618</f>
        <v>8.0515876179999992</v>
      </c>
      <c r="CO96">
        <f>6.916066842</f>
        <v>6.9160668420000002</v>
      </c>
      <c r="CP96">
        <f>6.071506482</f>
        <v>6.0715064820000002</v>
      </c>
      <c r="CQ96">
        <f>5.721165512</f>
        <v>5.7211655119999998</v>
      </c>
      <c r="CR96">
        <f>4.88971973</f>
        <v>4.8897197300000004</v>
      </c>
      <c r="CS96">
        <f>3.808083521</f>
        <v>3.8080835209999999</v>
      </c>
      <c r="CT96">
        <f>2.725369875</f>
        <v>2.7253698750000002</v>
      </c>
      <c r="CU96">
        <f>-2.750586559</f>
        <v>-2.7505865589999998</v>
      </c>
      <c r="CV96">
        <f>-0.161103115</f>
        <v>-0.16110311499999999</v>
      </c>
      <c r="CW96">
        <f>0.505703368</f>
        <v>0.50570336800000004</v>
      </c>
      <c r="CX96">
        <f>2.723180832</f>
        <v>2.7231808320000002</v>
      </c>
      <c r="CY96">
        <f>9.87324983</f>
        <v>9.8732498300000007</v>
      </c>
      <c r="CZ96">
        <f>9.595383958</f>
        <v>9.5953839579999993</v>
      </c>
      <c r="DA96">
        <f>10.61521862</f>
        <v>10.61521862</v>
      </c>
      <c r="DB96">
        <f>8.248548631</f>
        <v>8.2485486310000002</v>
      </c>
      <c r="DC96">
        <f>5.67159146</f>
        <v>5.6715914600000001</v>
      </c>
      <c r="DD96">
        <f>7.016760507</f>
        <v>7.0167605069999999</v>
      </c>
      <c r="DE96">
        <f>6.612017891</f>
        <v>6.6120178909999998</v>
      </c>
      <c r="DF96">
        <f>7.682163063</f>
        <v>7.682163063</v>
      </c>
      <c r="DG96">
        <f>9.641936937</f>
        <v>9.6419369370000005</v>
      </c>
      <c r="DH96">
        <f>7.510376602</f>
        <v>7.510376602</v>
      </c>
      <c r="DI96">
        <f>8.107961268</f>
        <v>8.1079612680000004</v>
      </c>
      <c r="DJ96">
        <f>9.488745398</f>
        <v>9.4887453980000007</v>
      </c>
      <c r="DK96">
        <f>24.7661059</f>
        <v>24.766105899999999</v>
      </c>
      <c r="DL96">
        <f>9.559177233</f>
        <v>9.5591772329999998</v>
      </c>
      <c r="DM96">
        <f>2.069084501</f>
        <v>2.0690845009999999</v>
      </c>
      <c r="DN96">
        <f>1.963046291</f>
        <v>1.9630462909999999</v>
      </c>
      <c r="DO96">
        <f>-9.165427864</f>
        <v>-9.1654278639999998</v>
      </c>
      <c r="DP96">
        <f>2.551402976</f>
        <v>2.5514029759999999</v>
      </c>
      <c r="DQ96">
        <f>8.031791677</f>
        <v>8.0317916769999993</v>
      </c>
      <c r="DR96">
        <f>5.369231183</f>
        <v>5.3692311830000001</v>
      </c>
      <c r="DS96">
        <f>1.626157077</f>
        <v>1.626157077</v>
      </c>
      <c r="DT96">
        <f>2.15965596</f>
        <v>2.1596559599999998</v>
      </c>
      <c r="DU96">
        <f>-7.127931849</f>
        <v>-7.1279318490000003</v>
      </c>
    </row>
    <row r="97" spans="1:125">
      <c r="A97" t="str">
        <f>"    Camden Property Trust"</f>
        <v xml:space="preserve">    Camden Property Trust</v>
      </c>
      <c r="B97" t="str">
        <f>"CPT US Equity"</f>
        <v>CPT US Equity</v>
      </c>
      <c r="C97" t="str">
        <f t="shared" si="30"/>
        <v>RR033</v>
      </c>
      <c r="D97" t="str">
        <f t="shared" si="31"/>
        <v>SALES_GROWTH</v>
      </c>
      <c r="E97" t="str">
        <f t="shared" si="32"/>
        <v>动态</v>
      </c>
      <c r="F97" t="str">
        <f ca="1">IF(AND(ISNUMBER($F$310),$B$226=1),$F$310,HLOOKUP(INDIRECT(ADDRESS(2,COLUMN())),OFFSET($BN$2,0,0,ROW()-1,60),ROW()-1,FALSE))</f>
        <v/>
      </c>
      <c r="G97">
        <f ca="1">IF(AND(ISNUMBER($G$310),$B$226=1),$G$310,HLOOKUP(INDIRECT(ADDRESS(2,COLUMN())),OFFSET($BN$2,0,0,ROW()-1,60),ROW()-1,FALSE))</f>
        <v>6.132644666</v>
      </c>
      <c r="H97">
        <f ca="1">IF(AND(ISNUMBER($H$310),$B$226=1),$H$310,HLOOKUP(INDIRECT(ADDRESS(2,COLUMN())),OFFSET($BN$2,0,0,ROW()-1,60),ROW()-1,FALSE))</f>
        <v>3.7818496449999999</v>
      </c>
      <c r="I97">
        <f ca="1">IF(AND(ISNUMBER($I$310),$B$226=1),$I$310,HLOOKUP(INDIRECT(ADDRESS(2,COLUMN())),OFFSET($BN$2,0,0,ROW()-1,60),ROW()-1,FALSE))</f>
        <v>0.91503970599999995</v>
      </c>
      <c r="J97">
        <f ca="1">IF(AND(ISNUMBER($J$310),$B$226=1),$J$310,HLOOKUP(INDIRECT(ADDRESS(2,COLUMN())),OFFSET($BN$2,0,0,ROW()-1,60),ROW()-1,FALSE))</f>
        <v>0.87025893499999996</v>
      </c>
      <c r="K97">
        <f ca="1">IF(AND(ISNUMBER($K$310),$B$226=1),$K$310,HLOOKUP(INDIRECT(ADDRESS(2,COLUMN())),OFFSET($BN$2,0,0,ROW()-1,60),ROW()-1,FALSE))</f>
        <v>0.86629383900000001</v>
      </c>
      <c r="L97">
        <f ca="1">IF(AND(ISNUMBER($L$310),$B$226=1),$L$310,HLOOKUP(INDIRECT(ADDRESS(2,COLUMN())),OFFSET($BN$2,0,0,ROW()-1,60),ROW()-1,FALSE))</f>
        <v>3.453227348</v>
      </c>
      <c r="M97">
        <f ca="1">IF(AND(ISNUMBER($M$310),$B$226=1),$M$310,HLOOKUP(INDIRECT(ADDRESS(2,COLUMN())),OFFSET($BN$2,0,0,ROW()-1,60),ROW()-1,FALSE))</f>
        <v>7.3150684930000001</v>
      </c>
      <c r="N97">
        <f ca="1">IF(AND(ISNUMBER($N$310),$B$226=1),$N$310,HLOOKUP(INDIRECT(ADDRESS(2,COLUMN())),OFFSET($BN$2,0,0,ROW()-1,60),ROW()-1,FALSE))</f>
        <v>1.0889551470000001</v>
      </c>
      <c r="O97">
        <f ca="1">IF(AND(ISNUMBER($O$310),$B$226=1),$O$310,HLOOKUP(INDIRECT(ADDRESS(2,COLUMN())),OFFSET($BN$2,0,0,ROW()-1,60),ROW()-1,FALSE))</f>
        <v>-0.95392483699999997</v>
      </c>
      <c r="P97">
        <f ca="1">IF(AND(ISNUMBER($P$310),$B$226=1),$P$310,HLOOKUP(INDIRECT(ADDRESS(2,COLUMN())),OFFSET($BN$2,0,0,ROW()-1,60),ROW()-1,FALSE))</f>
        <v>-0.34103211</v>
      </c>
      <c r="Q97">
        <f ca="1">IF(AND(ISNUMBER($Q$310),$B$226=1),$Q$310,HLOOKUP(INDIRECT(ADDRESS(2,COLUMN())),OFFSET($BN$2,0,0,ROW()-1,60),ROW()-1,FALSE))</f>
        <v>-1.229117115</v>
      </c>
      <c r="R97">
        <f ca="1">IF(AND(ISNUMBER($R$310),$B$226=1),$R$310,HLOOKUP(INDIRECT(ADDRESS(2,COLUMN())),OFFSET($BN$2,0,0,ROW()-1,60),ROW()-1,FALSE))</f>
        <v>3.850166545</v>
      </c>
      <c r="S97">
        <f ca="1">IF(AND(ISNUMBER($S$310),$B$226=1),$S$310,HLOOKUP(INDIRECT(ADDRESS(2,COLUMN())),OFFSET($BN$2,0,0,ROW()-1,60),ROW()-1,FALSE))</f>
        <v>5.6952555629999999</v>
      </c>
      <c r="T97">
        <f ca="1">IF(AND(ISNUMBER($T$310),$B$226=1),$T$310,HLOOKUP(INDIRECT(ADDRESS(2,COLUMN())),OFFSET($BN$2,0,0,ROW()-1,60),ROW()-1,FALSE))</f>
        <v>6.1098621550000001</v>
      </c>
      <c r="U97">
        <f ca="1">IF(AND(ISNUMBER($U$310),$B$226=1),$U$310,HLOOKUP(INDIRECT(ADDRESS(2,COLUMN())),OFFSET($BN$2,0,0,ROW()-1,60),ROW()-1,FALSE))</f>
        <v>6.4855164050000003</v>
      </c>
      <c r="V97">
        <f ca="1">IF(AND(ISNUMBER($V$310),$B$226=1),$V$310,HLOOKUP(INDIRECT(ADDRESS(2,COLUMN())),OFFSET($BN$2,0,0,ROW()-1,60),ROW()-1,FALSE))</f>
        <v>8.4310215100000008</v>
      </c>
      <c r="W97">
        <f ca="1">IF(AND(ISNUMBER($W$310),$B$226=1),$W$310,HLOOKUP(INDIRECT(ADDRESS(2,COLUMN())),OFFSET($BN$2,0,0,ROW()-1,60),ROW()-1,FALSE))</f>
        <v>11.05155678</v>
      </c>
      <c r="X97">
        <f ca="1">IF(AND(ISNUMBER($X$310),$B$226=1),$X$310,HLOOKUP(INDIRECT(ADDRESS(2,COLUMN())),OFFSET($BN$2,0,0,ROW()-1,60),ROW()-1,FALSE))</f>
        <v>9.7573645590000009</v>
      </c>
      <c r="Y97">
        <f ca="1">IF(AND(ISNUMBER($Y$310),$B$226=1),$Y$310,HLOOKUP(INDIRECT(ADDRESS(2,COLUMN())),OFFSET($BN$2,0,0,ROW()-1,60),ROW()-1,FALSE))</f>
        <v>9.5742441530000004</v>
      </c>
      <c r="Z97">
        <f ca="1">IF(AND(ISNUMBER($Z$310),$B$226=1),$Z$310,HLOOKUP(INDIRECT(ADDRESS(2,COLUMN())),OFFSET($BN$2,0,0,ROW()-1,60),ROW()-1,FALSE))</f>
        <v>11.634090670000001</v>
      </c>
      <c r="AA97">
        <f ca="1">IF(AND(ISNUMBER($AA$310),$B$226=1),$AA$310,HLOOKUP(INDIRECT(ADDRESS(2,COLUMN())),OFFSET($BN$2,0,0,ROW()-1,60),ROW()-1,FALSE))</f>
        <v>15.234148210000001</v>
      </c>
      <c r="AB97">
        <f ca="1">IF(AND(ISNUMBER($AB$310),$B$226=1),$AB$310,HLOOKUP(INDIRECT(ADDRESS(2,COLUMN())),OFFSET($BN$2,0,0,ROW()-1,60),ROW()-1,FALSE))</f>
        <v>10.74728831</v>
      </c>
      <c r="AC97">
        <f ca="1">IF(AND(ISNUMBER($AC$310),$B$226=1),$AC$310,HLOOKUP(INDIRECT(ADDRESS(2,COLUMN())),OFFSET($BN$2,0,0,ROW()-1,60),ROW()-1,FALSE))</f>
        <v>10.162137749999999</v>
      </c>
      <c r="AD97">
        <f ca="1">IF(AND(ISNUMBER($AD$310),$B$226=1),$AD$310,HLOOKUP(INDIRECT(ADDRESS(2,COLUMN())),OFFSET($BN$2,0,0,ROW()-1,60),ROW()-1,FALSE))</f>
        <v>8.2676869039999996</v>
      </c>
      <c r="AE97">
        <f ca="1">IF(AND(ISNUMBER($AE$310),$B$226=1),$AE$310,HLOOKUP(INDIRECT(ADDRESS(2,COLUMN())),OFFSET($BN$2,0,0,ROW()-1,60),ROW()-1,FALSE))</f>
        <v>4.2604159959999999</v>
      </c>
      <c r="AF97">
        <f ca="1">IF(AND(ISNUMBER($AF$310),$B$226=1),$AF$310,HLOOKUP(INDIRECT(ADDRESS(2,COLUMN())),OFFSET($BN$2,0,0,ROW()-1,60),ROW()-1,FALSE))</f>
        <v>6.6814133829999998</v>
      </c>
      <c r="AG97">
        <f ca="1">IF(AND(ISNUMBER($AG$310),$B$226=1),$AG$310,HLOOKUP(INDIRECT(ADDRESS(2,COLUMN())),OFFSET($BN$2,0,0,ROW()-1,60),ROW()-1,FALSE))</f>
        <v>6.8718370120000003</v>
      </c>
      <c r="AH97">
        <f ca="1">IF(AND(ISNUMBER($AH$310),$B$226=1),$AH$310,HLOOKUP(INDIRECT(ADDRESS(2,COLUMN())),OFFSET($BN$2,0,0,ROW()-1,60),ROW()-1,FALSE))</f>
        <v>5.3870050899999997</v>
      </c>
      <c r="AI97">
        <f ca="1">IF(AND(ISNUMBER($AI$310),$B$226=1),$AI$310,HLOOKUP(INDIRECT(ADDRESS(2,COLUMN())),OFFSET($BN$2,0,0,ROW()-1,60),ROW()-1,FALSE))</f>
        <v>2.1134169759999999</v>
      </c>
      <c r="AJ97">
        <f ca="1">IF(AND(ISNUMBER($AJ$310),$B$226=1),$AJ$310,HLOOKUP(INDIRECT(ADDRESS(2,COLUMN())),OFFSET($BN$2,0,0,ROW()-1,60),ROW()-1,FALSE))</f>
        <v>-0.39734340299999998</v>
      </c>
      <c r="AK97">
        <f ca="1">IF(AND(ISNUMBER($AK$310),$B$226=1),$AK$310,HLOOKUP(INDIRECT(ADDRESS(2,COLUMN())),OFFSET($BN$2,0,0,ROW()-1,60),ROW()-1,FALSE))</f>
        <v>-3.2897724410000002</v>
      </c>
      <c r="AL97">
        <f ca="1">IF(AND(ISNUMBER($AL$310),$B$226=1),$AL$310,HLOOKUP(INDIRECT(ADDRESS(2,COLUMN())),OFFSET($BN$2,0,0,ROW()-1,60),ROW()-1,FALSE))</f>
        <v>-4.886742989</v>
      </c>
      <c r="AM97">
        <f ca="1">IF(AND(ISNUMBER($AM$310),$B$226=1),$AM$310,HLOOKUP(INDIRECT(ADDRESS(2,COLUMN())),OFFSET($BN$2,0,0,ROW()-1,60),ROW()-1,FALSE))</f>
        <v>-5.5387501319999997</v>
      </c>
      <c r="AN97">
        <f ca="1">IF(AND(ISNUMBER($AN$310),$B$226=1),$AN$310,HLOOKUP(INDIRECT(ADDRESS(2,COLUMN())),OFFSET($BN$2,0,0,ROW()-1,60),ROW()-1,FALSE))</f>
        <v>-2.8998410959999998</v>
      </c>
      <c r="AO97">
        <f ca="1">IF(AND(ISNUMBER($AO$310),$B$226=1),$AO$310,HLOOKUP(INDIRECT(ADDRESS(2,COLUMN())),OFFSET($BN$2,0,0,ROW()-1,60),ROW()-1,FALSE))</f>
        <v>0.56705019700000003</v>
      </c>
      <c r="AP97">
        <f ca="1">IF(AND(ISNUMBER($AP$310),$B$226=1),$AP$310,HLOOKUP(INDIRECT(ADDRESS(2,COLUMN())),OFFSET($BN$2,0,0,ROW()-1,60),ROW()-1,FALSE))</f>
        <v>3.3708960459999999</v>
      </c>
      <c r="AQ97">
        <f ca="1">IF(AND(ISNUMBER($AQ$310),$B$226=1),$AQ$310,HLOOKUP(INDIRECT(ADDRESS(2,COLUMN())),OFFSET($BN$2,0,0,ROW()-1,60),ROW()-1,FALSE))</f>
        <v>15.899012300000001</v>
      </c>
      <c r="AR97">
        <f ca="1">IF(AND(ISNUMBER($AR$310),$B$226=1),$AR$310,HLOOKUP(INDIRECT(ADDRESS(2,COLUMN())),OFFSET($BN$2,0,0,ROW()-1,60),ROW()-1,FALSE))</f>
        <v>5.9252321759999997</v>
      </c>
      <c r="AS97">
        <f ca="1">IF(AND(ISNUMBER($AS$310),$B$226=1),$AS$310,HLOOKUP(INDIRECT(ADDRESS(2,COLUMN())),OFFSET($BN$2,0,0,ROW()-1,60),ROW()-1,FALSE))</f>
        <v>2.3640247510000001</v>
      </c>
      <c r="AT97">
        <f ca="1">IF(AND(ISNUMBER($AT$310),$B$226=1),$AT$310,HLOOKUP(INDIRECT(ADDRESS(2,COLUMN())),OFFSET($BN$2,0,0,ROW()-1,60),ROW()-1,FALSE))</f>
        <v>1.4852529940000001</v>
      </c>
      <c r="AU97">
        <f ca="1">IF(AND(ISNUMBER($AU$310),$B$226=1),$AU$310,HLOOKUP(INDIRECT(ADDRESS(2,COLUMN())),OFFSET($BN$2,0,0,ROW()-1,60),ROW()-1,FALSE))</f>
        <v>-8.4076777509999996</v>
      </c>
      <c r="AV97">
        <f ca="1">IF(AND(ISNUMBER($AV$310),$B$226=1),$AV$310,HLOOKUP(INDIRECT(ADDRESS(2,COLUMN())),OFFSET($BN$2,0,0,ROW()-1,60),ROW()-1,FALSE))</f>
        <v>-1.6445609670000001</v>
      </c>
      <c r="AW97">
        <f ca="1">IF(AND(ISNUMBER($AW$310),$B$226=1),$AW$310,HLOOKUP(INDIRECT(ADDRESS(2,COLUMN())),OFFSET($BN$2,0,0,ROW()-1,60),ROW()-1,FALSE))</f>
        <v>1.7446622979999999</v>
      </c>
      <c r="AX97">
        <f ca="1">IF(AND(ISNUMBER($AX$310),$B$226=1),$AX$310,HLOOKUP(INDIRECT(ADDRESS(2,COLUMN())),OFFSET($BN$2,0,0,ROW()-1,60),ROW()-1,FALSE))</f>
        <v>1.731032447</v>
      </c>
      <c r="AY97">
        <f ca="1">IF(AND(ISNUMBER($AY$310),$B$226=1),$AY$310,HLOOKUP(INDIRECT(ADDRESS(2,COLUMN())),OFFSET($BN$2,0,0,ROW()-1,60),ROW()-1,FALSE))</f>
        <v>7.6756503460000003</v>
      </c>
      <c r="AZ97">
        <f ca="1">IF(AND(ISNUMBER($AZ$310),$B$226=1),$AZ$310,HLOOKUP(INDIRECT(ADDRESS(2,COLUMN())),OFFSET($BN$2,0,0,ROW()-1,60),ROW()-1,FALSE))</f>
        <v>8.1480810629999993</v>
      </c>
      <c r="BA97">
        <f ca="1">IF(AND(ISNUMBER($BA$310),$B$226=1),$BA$310,HLOOKUP(INDIRECT(ADDRESS(2,COLUMN())),OFFSET($BN$2,0,0,ROW()-1,60),ROW()-1,FALSE))</f>
        <v>10.014026469999999</v>
      </c>
      <c r="BB97">
        <f ca="1">IF(AND(ISNUMBER($BB$310),$B$226=1),$BB$310,HLOOKUP(INDIRECT(ADDRESS(2,COLUMN())),OFFSET($BN$2,0,0,ROW()-1,60),ROW()-1,FALSE))</f>
        <v>23.813321370000001</v>
      </c>
      <c r="BC97">
        <f ca="1">IF(AND(ISNUMBER($BC$310),$B$226=1),$BC$310,HLOOKUP(INDIRECT(ADDRESS(2,COLUMN())),OFFSET($BN$2,0,0,ROW()-1,60),ROW()-1,FALSE))</f>
        <v>33.73084446</v>
      </c>
      <c r="BD97">
        <f ca="1">IF(AND(ISNUMBER($BD$310),$B$226=1),$BD$310,HLOOKUP(INDIRECT(ADDRESS(2,COLUMN())),OFFSET($BN$2,0,0,ROW()-1,60),ROW()-1,FALSE))</f>
        <v>36.984196660000002</v>
      </c>
      <c r="BE97">
        <f ca="1">IF(AND(ISNUMBER($BE$310),$B$226=1),$BE$310,HLOOKUP(INDIRECT(ADDRESS(2,COLUMN())),OFFSET($BN$2,0,0,ROW()-1,60),ROW()-1,FALSE))</f>
        <v>29.768094739999999</v>
      </c>
      <c r="BF97">
        <f ca="1">IF(AND(ISNUMBER($BF$310),$B$226=1),$BF$310,HLOOKUP(INDIRECT(ADDRESS(2,COLUMN())),OFFSET($BN$2,0,0,ROW()-1,60),ROW()-1,FALSE))</f>
        <v>8.2224520240000007</v>
      </c>
      <c r="BG97">
        <f ca="1">IF(AND(ISNUMBER($BG$310),$B$226=1),$BG$310,HLOOKUP(INDIRECT(ADDRESS(2,COLUMN())),OFFSET($BN$2,0,0,ROW()-1,60),ROW()-1,FALSE))</f>
        <v>-2.5473023600000002</v>
      </c>
      <c r="BH97">
        <f ca="1">IF(AND(ISNUMBER($BH$310),$B$226=1),$BH$310,HLOOKUP(INDIRECT(ADDRESS(2,COLUMN())),OFFSET($BN$2,0,0,ROW()-1,60),ROW()-1,FALSE))</f>
        <v>-0.31962348899999998</v>
      </c>
      <c r="BI97">
        <f ca="1">IF(AND(ISNUMBER($BI$310),$B$226=1),$BI$310,HLOOKUP(INDIRECT(ADDRESS(2,COLUMN())),OFFSET($BN$2,0,0,ROW()-1,60),ROW()-1,FALSE))</f>
        <v>2.7680538729999999</v>
      </c>
      <c r="BJ97">
        <f ca="1">IF(AND(ISNUMBER($BJ$310),$B$226=1),$BJ$310,HLOOKUP(INDIRECT(ADDRESS(2,COLUMN())),OFFSET($BN$2,0,0,ROW()-1,60),ROW()-1,FALSE))</f>
        <v>10.05006758</v>
      </c>
      <c r="BK97">
        <f ca="1">IF(AND(ISNUMBER($BK$310),$B$226=1),$BK$310,HLOOKUP(INDIRECT(ADDRESS(2,COLUMN())),OFFSET($BN$2,0,0,ROW()-1,60),ROW()-1,FALSE))</f>
        <v>4.6184039869999998</v>
      </c>
      <c r="BL97">
        <f ca="1">IF(AND(ISNUMBER($BL$310),$B$226=1),$BL$310,HLOOKUP(INDIRECT(ADDRESS(2,COLUMN())),OFFSET($BN$2,0,0,ROW()-1,60),ROW()-1,FALSE))</f>
        <v>0.85869099199999999</v>
      </c>
      <c r="BM97">
        <f ca="1">IF(AND(ISNUMBER($BM$310),$B$226=1),$BM$310,HLOOKUP(INDIRECT(ADDRESS(2,COLUMN())),OFFSET($BN$2,0,0,ROW()-1,60),ROW()-1,FALSE))</f>
        <v>1.399471296</v>
      </c>
      <c r="BN97" t="str">
        <f>""</f>
        <v/>
      </c>
      <c r="BO97">
        <f>6.132644666</f>
        <v>6.132644666</v>
      </c>
      <c r="BP97">
        <f>3.781849645</f>
        <v>3.7818496449999999</v>
      </c>
      <c r="BQ97">
        <f>0.915039706</f>
        <v>0.91503970599999995</v>
      </c>
      <c r="BR97">
        <f>0.870258935</f>
        <v>0.87025893499999996</v>
      </c>
      <c r="BS97">
        <f>0.866293839</f>
        <v>0.86629383900000001</v>
      </c>
      <c r="BT97">
        <f>3.453227348</f>
        <v>3.453227348</v>
      </c>
      <c r="BU97">
        <f>7.315068493</f>
        <v>7.3150684930000001</v>
      </c>
      <c r="BV97">
        <f>1.088955147</f>
        <v>1.0889551470000001</v>
      </c>
      <c r="BW97">
        <f>-0.953924837</f>
        <v>-0.95392483699999997</v>
      </c>
      <c r="BX97">
        <f>-0.34103211</f>
        <v>-0.34103211</v>
      </c>
      <c r="BY97">
        <f>-1.229117115</f>
        <v>-1.229117115</v>
      </c>
      <c r="BZ97">
        <f>3.850166545</f>
        <v>3.850166545</v>
      </c>
      <c r="CA97">
        <f>5.695255563</f>
        <v>5.6952555629999999</v>
      </c>
      <c r="CB97">
        <f>6.109862155</f>
        <v>6.1098621550000001</v>
      </c>
      <c r="CC97">
        <f>6.485516405</f>
        <v>6.4855164050000003</v>
      </c>
      <c r="CD97">
        <f>8.43102151</f>
        <v>8.4310215100000008</v>
      </c>
      <c r="CE97">
        <f>11.05155678</f>
        <v>11.05155678</v>
      </c>
      <c r="CF97">
        <f>9.757364559</f>
        <v>9.7573645590000009</v>
      </c>
      <c r="CG97">
        <f>9.574244153</f>
        <v>9.5742441530000004</v>
      </c>
      <c r="CH97">
        <f>11.63409067</f>
        <v>11.634090670000001</v>
      </c>
      <c r="CI97">
        <f>15.23414821</f>
        <v>15.234148210000001</v>
      </c>
      <c r="CJ97">
        <f>10.74728831</f>
        <v>10.74728831</v>
      </c>
      <c r="CK97">
        <f>10.16213775</f>
        <v>10.162137749999999</v>
      </c>
      <c r="CL97">
        <f>8.267686904</f>
        <v>8.2676869039999996</v>
      </c>
      <c r="CM97">
        <f>4.260415996</f>
        <v>4.2604159959999999</v>
      </c>
      <c r="CN97">
        <f>6.681413383</f>
        <v>6.6814133829999998</v>
      </c>
      <c r="CO97">
        <f>6.871837012</f>
        <v>6.8718370120000003</v>
      </c>
      <c r="CP97">
        <f>5.38700509</f>
        <v>5.3870050899999997</v>
      </c>
      <c r="CQ97">
        <f>2.113416976</f>
        <v>2.1134169759999999</v>
      </c>
      <c r="CR97">
        <f>-0.397343403</f>
        <v>-0.39734340299999998</v>
      </c>
      <c r="CS97">
        <f>-3.289772441</f>
        <v>-3.2897724410000002</v>
      </c>
      <c r="CT97">
        <f>-4.886742989</f>
        <v>-4.886742989</v>
      </c>
      <c r="CU97">
        <f>-5.538750132</f>
        <v>-5.5387501319999997</v>
      </c>
      <c r="CV97">
        <f>-2.899841096</f>
        <v>-2.8998410959999998</v>
      </c>
      <c r="CW97">
        <f>0.567050197</f>
        <v>0.56705019700000003</v>
      </c>
      <c r="CX97">
        <f>3.370896046</f>
        <v>3.3708960459999999</v>
      </c>
      <c r="CY97">
        <f>15.8990123</f>
        <v>15.899012300000001</v>
      </c>
      <c r="CZ97">
        <f>5.925232176</f>
        <v>5.9252321759999997</v>
      </c>
      <c r="DA97">
        <f>2.364024751</f>
        <v>2.3640247510000001</v>
      </c>
      <c r="DB97">
        <f>1.485252994</f>
        <v>1.4852529940000001</v>
      </c>
      <c r="DC97">
        <f>-8.407677751</f>
        <v>-8.4076777509999996</v>
      </c>
      <c r="DD97">
        <f>-1.644560967</f>
        <v>-1.6445609670000001</v>
      </c>
      <c r="DE97">
        <f>1.744662298</f>
        <v>1.7446622979999999</v>
      </c>
      <c r="DF97">
        <f>1.731032447</f>
        <v>1.731032447</v>
      </c>
      <c r="DG97">
        <f>7.675650346</f>
        <v>7.6756503460000003</v>
      </c>
      <c r="DH97">
        <f>8.148081063</f>
        <v>8.1480810629999993</v>
      </c>
      <c r="DI97">
        <f>10.01402647</f>
        <v>10.014026469999999</v>
      </c>
      <c r="DJ97">
        <f>23.81332137</f>
        <v>23.813321370000001</v>
      </c>
      <c r="DK97">
        <f>33.73084446</f>
        <v>33.73084446</v>
      </c>
      <c r="DL97">
        <f>36.98419666</f>
        <v>36.984196660000002</v>
      </c>
      <c r="DM97">
        <f>29.76809474</f>
        <v>29.768094739999999</v>
      </c>
      <c r="DN97">
        <f>8.222452024</f>
        <v>8.2224520240000007</v>
      </c>
      <c r="DO97">
        <f>-2.54730236</f>
        <v>-2.5473023600000002</v>
      </c>
      <c r="DP97">
        <f>-0.319623489</f>
        <v>-0.31962348899999998</v>
      </c>
      <c r="DQ97">
        <f>2.768053873</f>
        <v>2.7680538729999999</v>
      </c>
      <c r="DR97">
        <f>10.05006758</f>
        <v>10.05006758</v>
      </c>
      <c r="DS97">
        <f>4.618403987</f>
        <v>4.6184039869999998</v>
      </c>
      <c r="DT97">
        <f>0.858690992</f>
        <v>0.85869099199999999</v>
      </c>
      <c r="DU97">
        <f>1.399471296</f>
        <v>1.399471296</v>
      </c>
    </row>
    <row r="98" spans="1:125">
      <c r="A98" t="str">
        <f>"    Education Realty Trust Inc"</f>
        <v xml:space="preserve">    Education Realty Trust Inc</v>
      </c>
      <c r="B98" t="str">
        <f>"EDR US Equity"</f>
        <v>EDR US Equity</v>
      </c>
      <c r="C98" t="str">
        <f t="shared" si="30"/>
        <v>RR033</v>
      </c>
      <c r="D98" t="str">
        <f t="shared" si="31"/>
        <v>SALES_GROWTH</v>
      </c>
      <c r="E98" t="str">
        <f t="shared" si="32"/>
        <v>动态</v>
      </c>
      <c r="F98" t="str">
        <f ca="1">IF(AND(ISNUMBER($F$311),$B$226=1),$F$311,HLOOKUP(INDIRECT(ADDRESS(2,COLUMN())),OFFSET($BN$2,0,0,ROW()-1,60),ROW()-1,FALSE))</f>
        <v/>
      </c>
      <c r="G98">
        <f ca="1">IF(AND(ISNUMBER($G$311),$B$226=1),$G$311,HLOOKUP(INDIRECT(ADDRESS(2,COLUMN())),OFFSET($BN$2,0,0,ROW()-1,60),ROW()-1,FALSE))</f>
        <v>13.822663370000001</v>
      </c>
      <c r="H98">
        <f ca="1">IF(AND(ISNUMBER($H$311),$B$226=1),$H$311,HLOOKUP(INDIRECT(ADDRESS(2,COLUMN())),OFFSET($BN$2,0,0,ROW()-1,60),ROW()-1,FALSE))</f>
        <v>13.793884479999999</v>
      </c>
      <c r="I98">
        <f ca="1">IF(AND(ISNUMBER($I$311),$B$226=1),$I$311,HLOOKUP(INDIRECT(ADDRESS(2,COLUMN())),OFFSET($BN$2,0,0,ROW()-1,60),ROW()-1,FALSE))</f>
        <v>13.665950260000001</v>
      </c>
      <c r="J98">
        <f ca="1">IF(AND(ISNUMBER($J$311),$B$226=1),$J$311,HLOOKUP(INDIRECT(ADDRESS(2,COLUMN())),OFFSET($BN$2,0,0,ROW()-1,60),ROW()-1,FALSE))</f>
        <v>16.924460679999999</v>
      </c>
      <c r="K98">
        <f ca="1">IF(AND(ISNUMBER($K$311),$B$226=1),$K$311,HLOOKUP(INDIRECT(ADDRESS(2,COLUMN())),OFFSET($BN$2,0,0,ROW()-1,60),ROW()-1,FALSE))</f>
        <v>11.52542373</v>
      </c>
      <c r="L98">
        <f ca="1">IF(AND(ISNUMBER($L$311),$B$226=1),$L$311,HLOOKUP(INDIRECT(ADDRESS(2,COLUMN())),OFFSET($BN$2,0,0,ROW()-1,60),ROW()-1,FALSE))</f>
        <v>13.81017031</v>
      </c>
      <c r="M98">
        <f ca="1">IF(AND(ISNUMBER($M$311),$B$226=1),$M$311,HLOOKUP(INDIRECT(ADDRESS(2,COLUMN())),OFFSET($BN$2,0,0,ROW()-1,60),ROW()-1,FALSE))</f>
        <v>13.63477775</v>
      </c>
      <c r="N98">
        <f ca="1">IF(AND(ISNUMBER($N$311),$B$226=1),$N$311,HLOOKUP(INDIRECT(ADDRESS(2,COLUMN())),OFFSET($BN$2,0,0,ROW()-1,60),ROW()-1,FALSE))</f>
        <v>14.424051520000001</v>
      </c>
      <c r="O98">
        <f ca="1">IF(AND(ISNUMBER($O$311),$B$226=1),$O$311,HLOOKUP(INDIRECT(ADDRESS(2,COLUMN())),OFFSET($BN$2,0,0,ROW()-1,60),ROW()-1,FALSE))</f>
        <v>13.557079269999999</v>
      </c>
      <c r="P98">
        <f ca="1">IF(AND(ISNUMBER($P$311),$B$226=1),$P$311,HLOOKUP(INDIRECT(ADDRESS(2,COLUMN())),OFFSET($BN$2,0,0,ROW()-1,60),ROW()-1,FALSE))</f>
        <v>6.3706493130000004</v>
      </c>
      <c r="Q98">
        <f ca="1">IF(AND(ISNUMBER($Q$311),$B$226=1),$Q$311,HLOOKUP(INDIRECT(ADDRESS(2,COLUMN())),OFFSET($BN$2,0,0,ROW()-1,60),ROW()-1,FALSE))</f>
        <v>14.55635492</v>
      </c>
      <c r="R98">
        <f ca="1">IF(AND(ISNUMBER($R$311),$B$226=1),$R$311,HLOOKUP(INDIRECT(ADDRESS(2,COLUMN())),OFFSET($BN$2,0,0,ROW()-1,60),ROW()-1,FALSE))</f>
        <v>17.570813090000001</v>
      </c>
      <c r="S98">
        <f ca="1">IF(AND(ISNUMBER($S$311),$B$226=1),$S$311,HLOOKUP(INDIRECT(ADDRESS(2,COLUMN())),OFFSET($BN$2,0,0,ROW()-1,60),ROW()-1,FALSE))</f>
        <v>20.48262618</v>
      </c>
      <c r="T98">
        <f ca="1">IF(AND(ISNUMBER($T$311),$B$226=1),$T$311,HLOOKUP(INDIRECT(ADDRESS(2,COLUMN())),OFFSET($BN$2,0,0,ROW()-1,60),ROW()-1,FALSE))</f>
        <v>25.8460052</v>
      </c>
      <c r="U98">
        <f ca="1">IF(AND(ISNUMBER($U$311),$B$226=1),$U$311,HLOOKUP(INDIRECT(ADDRESS(2,COLUMN())),OFFSET($BN$2,0,0,ROW()-1,60),ROW()-1,FALSE))</f>
        <v>21.93576685</v>
      </c>
      <c r="V98">
        <f ca="1">IF(AND(ISNUMBER($V$311),$B$226=1),$V$311,HLOOKUP(INDIRECT(ADDRESS(2,COLUMN())),OFFSET($BN$2,0,0,ROW()-1,60),ROW()-1,FALSE))</f>
        <v>22.103825749999999</v>
      </c>
      <c r="W98">
        <f ca="1">IF(AND(ISNUMBER($W$311),$B$226=1),$W$311,HLOOKUP(INDIRECT(ADDRESS(2,COLUMN())),OFFSET($BN$2,0,0,ROW()-1,60),ROW()-1,FALSE))</f>
        <v>33.978980069999999</v>
      </c>
      <c r="X98">
        <f ca="1">IF(AND(ISNUMBER($X$311),$B$226=1),$X$311,HLOOKUP(INDIRECT(ADDRESS(2,COLUMN())),OFFSET($BN$2,0,0,ROW()-1,60),ROW()-1,FALSE))</f>
        <v>32.253255449999997</v>
      </c>
      <c r="Y98">
        <f ca="1">IF(AND(ISNUMBER($Y$311),$B$226=1),$Y$311,HLOOKUP(INDIRECT(ADDRESS(2,COLUMN())),OFFSET($BN$2,0,0,ROW()-1,60),ROW()-1,FALSE))</f>
        <v>27.005446890000002</v>
      </c>
      <c r="Z98">
        <f ca="1">IF(AND(ISNUMBER($Z$311),$B$226=1),$Z$311,HLOOKUP(INDIRECT(ADDRESS(2,COLUMN())),OFFSET($BN$2,0,0,ROW()-1,60),ROW()-1,FALSE))</f>
        <v>27.887202980000001</v>
      </c>
      <c r="AA98">
        <f ca="1">IF(AND(ISNUMBER($AA$311),$B$226=1),$AA$311,HLOOKUP(INDIRECT(ADDRESS(2,COLUMN())),OFFSET($BN$2,0,0,ROW()-1,60),ROW()-1,FALSE))</f>
        <v>26.013947510000001</v>
      </c>
      <c r="AB98">
        <f ca="1">IF(AND(ISNUMBER($AB$311),$B$226=1),$AB$311,HLOOKUP(INDIRECT(ADDRESS(2,COLUMN())),OFFSET($BN$2,0,0,ROW()-1,60),ROW()-1,FALSE))</f>
        <v>17.755803960000001</v>
      </c>
      <c r="AC98">
        <f ca="1">IF(AND(ISNUMBER($AC$311),$B$226=1),$AC$311,HLOOKUP(INDIRECT(ADDRESS(2,COLUMN())),OFFSET($BN$2,0,0,ROW()-1,60),ROW()-1,FALSE))</f>
        <v>9.7218920850000003</v>
      </c>
      <c r="AD98">
        <f ca="1">IF(AND(ISNUMBER($AD$311),$B$226=1),$AD$311,HLOOKUP(INDIRECT(ADDRESS(2,COLUMN())),OFFSET($BN$2,0,0,ROW()-1,60),ROW()-1,FALSE))</f>
        <v>13.90836459</v>
      </c>
      <c r="AE98">
        <f ca="1">IF(AND(ISNUMBER($AE$311),$B$226=1),$AE$311,HLOOKUP(INDIRECT(ADDRESS(2,COLUMN())),OFFSET($BN$2,0,0,ROW()-1,60),ROW()-1,FALSE))</f>
        <v>2.335044447</v>
      </c>
      <c r="AF98">
        <f ca="1">IF(AND(ISNUMBER($AF$311),$B$226=1),$AF$311,HLOOKUP(INDIRECT(ADDRESS(2,COLUMN())),OFFSET($BN$2,0,0,ROW()-1,60),ROW()-1,FALSE))</f>
        <v>-7.38295119</v>
      </c>
      <c r="AG98">
        <f ca="1">IF(AND(ISNUMBER($AG$311),$B$226=1),$AG$311,HLOOKUP(INDIRECT(ADDRESS(2,COLUMN())),OFFSET($BN$2,0,0,ROW()-1,60),ROW()-1,FALSE))</f>
        <v>10.515255</v>
      </c>
      <c r="AH98">
        <f ca="1">IF(AND(ISNUMBER($AH$311),$B$226=1),$AH$311,HLOOKUP(INDIRECT(ADDRESS(2,COLUMN())),OFFSET($BN$2,0,0,ROW()-1,60),ROW()-1,FALSE))</f>
        <v>6.5570922229999997</v>
      </c>
      <c r="AI98">
        <f ca="1">IF(AND(ISNUMBER($AI$311),$B$226=1),$AI$311,HLOOKUP(INDIRECT(ADDRESS(2,COLUMN())),OFFSET($BN$2,0,0,ROW()-1,60),ROW()-1,FALSE))</f>
        <v>1.4737644519999999</v>
      </c>
      <c r="AJ98">
        <f ca="1">IF(AND(ISNUMBER($AJ$311),$B$226=1),$AJ$311,HLOOKUP(INDIRECT(ADDRESS(2,COLUMN())),OFFSET($BN$2,0,0,ROW()-1,60),ROW()-1,FALSE))</f>
        <v>-7.2764752939999999</v>
      </c>
      <c r="AK98">
        <f ca="1">IF(AND(ISNUMBER($AK$311),$B$226=1),$AK$311,HLOOKUP(INDIRECT(ADDRESS(2,COLUMN())),OFFSET($BN$2,0,0,ROW()-1,60),ROW()-1,FALSE))</f>
        <v>-16.689073</v>
      </c>
      <c r="AL98">
        <f ca="1">IF(AND(ISNUMBER($AL$311),$B$226=1),$AL$311,HLOOKUP(INDIRECT(ADDRESS(2,COLUMN())),OFFSET($BN$2,0,0,ROW()-1,60),ROW()-1,FALSE))</f>
        <v>-15.03144468</v>
      </c>
      <c r="AM98">
        <f ca="1">IF(AND(ISNUMBER($AM$311),$B$226=1),$AM$311,HLOOKUP(INDIRECT(ADDRESS(2,COLUMN())),OFFSET($BN$2,0,0,ROW()-1,60),ROW()-1,FALSE))</f>
        <v>-12.7141669</v>
      </c>
      <c r="AN98">
        <f ca="1">IF(AND(ISNUMBER($AN$311),$B$226=1),$AN$311,HLOOKUP(INDIRECT(ADDRESS(2,COLUMN())),OFFSET($BN$2,0,0,ROW()-1,60),ROW()-1,FALSE))</f>
        <v>0.52268580099999995</v>
      </c>
      <c r="AO98">
        <f ca="1">IF(AND(ISNUMBER($AO$311),$B$226=1),$AO$311,HLOOKUP(INDIRECT(ADDRESS(2,COLUMN())),OFFSET($BN$2,0,0,ROW()-1,60),ROW()-1,FALSE))</f>
        <v>-13.150320410000001</v>
      </c>
      <c r="AP98">
        <f ca="1">IF(AND(ISNUMBER($AP$311),$B$226=1),$AP$311,HLOOKUP(INDIRECT(ADDRESS(2,COLUMN())),OFFSET($BN$2,0,0,ROW()-1,60),ROW()-1,FALSE))</f>
        <v>-1.0025721970000001</v>
      </c>
      <c r="AQ98">
        <f ca="1">IF(AND(ISNUMBER($AQ$311),$B$226=1),$AQ$311,HLOOKUP(INDIRECT(ADDRESS(2,COLUMN())),OFFSET($BN$2,0,0,ROW()-1,60),ROW()-1,FALSE))</f>
        <v>17.41918682</v>
      </c>
      <c r="AR98">
        <f ca="1">IF(AND(ISNUMBER($AR$311),$B$226=1),$AR$311,HLOOKUP(INDIRECT(ADDRESS(2,COLUMN())),OFFSET($BN$2,0,0,ROW()-1,60),ROW()-1,FALSE))</f>
        <v>13.712456919999999</v>
      </c>
      <c r="AS98">
        <f ca="1">IF(AND(ISNUMBER($AS$311),$B$226=1),$AS$311,HLOOKUP(INDIRECT(ADDRESS(2,COLUMN())),OFFSET($BN$2,0,0,ROW()-1,60),ROW()-1,FALSE))</f>
        <v>26.443727249999998</v>
      </c>
      <c r="AT98">
        <f ca="1">IF(AND(ISNUMBER($AT$311),$B$226=1),$AT$311,HLOOKUP(INDIRECT(ADDRESS(2,COLUMN())),OFFSET($BN$2,0,0,ROW()-1,60),ROW()-1,FALSE))</f>
        <v>13.789662740000001</v>
      </c>
      <c r="AU98">
        <f ca="1">IF(AND(ISNUMBER($AU$311),$B$226=1),$AU$311,HLOOKUP(INDIRECT(ADDRESS(2,COLUMN())),OFFSET($BN$2,0,0,ROW()-1,60),ROW()-1,FALSE))</f>
        <v>6.8784357390000004</v>
      </c>
      <c r="AV98">
        <f ca="1">IF(AND(ISNUMBER($AV$311),$B$226=1),$AV$311,HLOOKUP(INDIRECT(ADDRESS(2,COLUMN())),OFFSET($BN$2,0,0,ROW()-1,60),ROW()-1,FALSE))</f>
        <v>7.1929427730000004</v>
      </c>
      <c r="AW98">
        <f ca="1">IF(AND(ISNUMBER($AW$311),$B$226=1),$AW$311,HLOOKUP(INDIRECT(ADDRESS(2,COLUMN())),OFFSET($BN$2,0,0,ROW()-1,60),ROW()-1,FALSE))</f>
        <v>5.555756895</v>
      </c>
      <c r="AX98">
        <f ca="1">IF(AND(ISNUMBER($AX$311),$B$226=1),$AX$311,HLOOKUP(INDIRECT(ADDRESS(2,COLUMN())),OFFSET($BN$2,0,0,ROW()-1,60),ROW()-1,FALSE))</f>
        <v>-0.42392528299999999</v>
      </c>
      <c r="AY98">
        <f ca="1">IF(AND(ISNUMBER($AY$311),$B$226=1),$AY$311,HLOOKUP(INDIRECT(ADDRESS(2,COLUMN())),OFFSET($BN$2,0,0,ROW()-1,60),ROW()-1,FALSE))</f>
        <v>10.372105530000001</v>
      </c>
      <c r="AZ98">
        <f ca="1">IF(AND(ISNUMBER($AZ$311),$B$226=1),$AZ$311,HLOOKUP(INDIRECT(ADDRESS(2,COLUMN())),OFFSET($BN$2,0,0,ROW()-1,60),ROW()-1,FALSE))</f>
        <v>10.70951586</v>
      </c>
      <c r="BA98">
        <f ca="1">IF(AND(ISNUMBER($BA$311),$B$226=1),$BA$311,HLOOKUP(INDIRECT(ADDRESS(2,COLUMN())),OFFSET($BN$2,0,0,ROW()-1,60),ROW()-1,FALSE))</f>
        <v>25.081595650000001</v>
      </c>
      <c r="BB98">
        <f ca="1">IF(AND(ISNUMBER($BB$311),$B$226=1),$BB$311,HLOOKUP(INDIRECT(ADDRESS(2,COLUMN())),OFFSET($BN$2,0,0,ROW()-1,60),ROW()-1,FALSE))</f>
        <v>83.160448889999998</v>
      </c>
      <c r="BC98" t="str">
        <f ca="1">IF(AND(ISNUMBER($BC$311),$B$226=1),$BC$311,HLOOKUP(INDIRECT(ADDRESS(2,COLUMN())),OFFSET($BN$2,0,0,ROW()-1,60),ROW()-1,FALSE))</f>
        <v/>
      </c>
      <c r="BD98" t="str">
        <f ca="1">IF(AND(ISNUMBER($BD$311),$B$226=1),$BD$311,HLOOKUP(INDIRECT(ADDRESS(2,COLUMN())),OFFSET($BN$2,0,0,ROW()-1,60),ROW()-1,FALSE))</f>
        <v/>
      </c>
      <c r="BE98" t="str">
        <f ca="1">IF(AND(ISNUMBER($BE$311),$B$226=1),$BE$311,HLOOKUP(INDIRECT(ADDRESS(2,COLUMN())),OFFSET($BN$2,0,0,ROW()-1,60),ROW()-1,FALSE))</f>
        <v/>
      </c>
      <c r="BF98" t="str">
        <f ca="1">IF(AND(ISNUMBER($BF$311),$B$226=1),$BF$311,HLOOKUP(INDIRECT(ADDRESS(2,COLUMN())),OFFSET($BN$2,0,0,ROW()-1,60),ROW()-1,FALSE))</f>
        <v/>
      </c>
      <c r="BG98" t="str">
        <f ca="1">IF(AND(ISNUMBER($BG$311),$B$226=1),$BG$311,HLOOKUP(INDIRECT(ADDRESS(2,COLUMN())),OFFSET($BN$2,0,0,ROW()-1,60),ROW()-1,FALSE))</f>
        <v/>
      </c>
      <c r="BH98" t="str">
        <f ca="1">IF(AND(ISNUMBER($BH$311),$B$226=1),$BH$311,HLOOKUP(INDIRECT(ADDRESS(2,COLUMN())),OFFSET($BN$2,0,0,ROW()-1,60),ROW()-1,FALSE))</f>
        <v/>
      </c>
      <c r="BI98" t="str">
        <f ca="1">IF(AND(ISNUMBER($BI$311),$B$226=1),$BI$311,HLOOKUP(INDIRECT(ADDRESS(2,COLUMN())),OFFSET($BN$2,0,0,ROW()-1,60),ROW()-1,FALSE))</f>
        <v/>
      </c>
      <c r="BJ98" t="str">
        <f ca="1">IF(AND(ISNUMBER($BJ$311),$B$226=1),$BJ$311,HLOOKUP(INDIRECT(ADDRESS(2,COLUMN())),OFFSET($BN$2,0,0,ROW()-1,60),ROW()-1,FALSE))</f>
        <v/>
      </c>
      <c r="BK98" t="str">
        <f ca="1">IF(AND(ISNUMBER($BK$311),$B$226=1),$BK$311,HLOOKUP(INDIRECT(ADDRESS(2,COLUMN())),OFFSET($BN$2,0,0,ROW()-1,60),ROW()-1,FALSE))</f>
        <v/>
      </c>
      <c r="BL98" t="str">
        <f ca="1">IF(AND(ISNUMBER($BL$311),$B$226=1),$BL$311,HLOOKUP(INDIRECT(ADDRESS(2,COLUMN())),OFFSET($BN$2,0,0,ROW()-1,60),ROW()-1,FALSE))</f>
        <v/>
      </c>
      <c r="BM98" t="str">
        <f ca="1">IF(AND(ISNUMBER($BM$311),$B$226=1),$BM$311,HLOOKUP(INDIRECT(ADDRESS(2,COLUMN())),OFFSET($BN$2,0,0,ROW()-1,60),ROW()-1,FALSE))</f>
        <v/>
      </c>
      <c r="BN98" t="str">
        <f>""</f>
        <v/>
      </c>
      <c r="BO98">
        <f>13.82266337</f>
        <v>13.822663370000001</v>
      </c>
      <c r="BP98">
        <f>13.79388448</f>
        <v>13.793884479999999</v>
      </c>
      <c r="BQ98">
        <f>13.66595026</f>
        <v>13.665950260000001</v>
      </c>
      <c r="BR98">
        <f>16.92446068</f>
        <v>16.924460679999999</v>
      </c>
      <c r="BS98">
        <f>11.52542373</f>
        <v>11.52542373</v>
      </c>
      <c r="BT98">
        <f>13.81017031</f>
        <v>13.81017031</v>
      </c>
      <c r="BU98">
        <f>13.63477775</f>
        <v>13.63477775</v>
      </c>
      <c r="BV98">
        <f>14.42405152</f>
        <v>14.424051520000001</v>
      </c>
      <c r="BW98">
        <f>13.55707927</f>
        <v>13.557079269999999</v>
      </c>
      <c r="BX98">
        <f>6.370649313</f>
        <v>6.3706493130000004</v>
      </c>
      <c r="BY98">
        <f>14.55635492</f>
        <v>14.55635492</v>
      </c>
      <c r="BZ98">
        <f>17.57081309</f>
        <v>17.570813090000001</v>
      </c>
      <c r="CA98">
        <f>20.48262618</f>
        <v>20.48262618</v>
      </c>
      <c r="CB98">
        <f>25.8460052</f>
        <v>25.8460052</v>
      </c>
      <c r="CC98">
        <f>21.93576685</f>
        <v>21.93576685</v>
      </c>
      <c r="CD98">
        <f>22.10382575</f>
        <v>22.103825749999999</v>
      </c>
      <c r="CE98">
        <f>33.97898007</f>
        <v>33.978980069999999</v>
      </c>
      <c r="CF98">
        <f>32.25325545</f>
        <v>32.253255449999997</v>
      </c>
      <c r="CG98">
        <f>27.00544689</f>
        <v>27.005446890000002</v>
      </c>
      <c r="CH98">
        <f>27.88720298</f>
        <v>27.887202980000001</v>
      </c>
      <c r="CI98">
        <f>26.01394751</f>
        <v>26.013947510000001</v>
      </c>
      <c r="CJ98">
        <f>17.75580396</f>
        <v>17.755803960000001</v>
      </c>
      <c r="CK98">
        <f>9.721892085</f>
        <v>9.7218920850000003</v>
      </c>
      <c r="CL98">
        <f>13.90836459</f>
        <v>13.90836459</v>
      </c>
      <c r="CM98">
        <f>2.335044447</f>
        <v>2.335044447</v>
      </c>
      <c r="CN98">
        <f>-7.38295119</f>
        <v>-7.38295119</v>
      </c>
      <c r="CO98">
        <f>10.515255</f>
        <v>10.515255</v>
      </c>
      <c r="CP98">
        <f>6.557092223</f>
        <v>6.5570922229999997</v>
      </c>
      <c r="CQ98">
        <f>1.473764452</f>
        <v>1.4737644519999999</v>
      </c>
      <c r="CR98">
        <f>-7.276475294</f>
        <v>-7.2764752939999999</v>
      </c>
      <c r="CS98">
        <f>-16.689073</f>
        <v>-16.689073</v>
      </c>
      <c r="CT98">
        <f>-15.03144468</f>
        <v>-15.03144468</v>
      </c>
      <c r="CU98">
        <f>-12.7141669</f>
        <v>-12.7141669</v>
      </c>
      <c r="CV98">
        <f>0.522685801</f>
        <v>0.52268580099999995</v>
      </c>
      <c r="CW98">
        <f>-13.15032041</f>
        <v>-13.150320410000001</v>
      </c>
      <c r="CX98">
        <f>-1.002572197</f>
        <v>-1.0025721970000001</v>
      </c>
      <c r="CY98">
        <f>17.41918682</f>
        <v>17.41918682</v>
      </c>
      <c r="CZ98">
        <f>13.71245692</f>
        <v>13.712456919999999</v>
      </c>
      <c r="DA98">
        <f>26.44372725</f>
        <v>26.443727249999998</v>
      </c>
      <c r="DB98">
        <f>13.78966274</f>
        <v>13.789662740000001</v>
      </c>
      <c r="DC98">
        <f>6.878435739</f>
        <v>6.8784357390000004</v>
      </c>
      <c r="DD98">
        <f>7.192942773</f>
        <v>7.1929427730000004</v>
      </c>
      <c r="DE98">
        <f>5.555756895</f>
        <v>5.555756895</v>
      </c>
      <c r="DF98">
        <f>-0.423925283</f>
        <v>-0.42392528299999999</v>
      </c>
      <c r="DG98">
        <f>10.37210553</f>
        <v>10.372105530000001</v>
      </c>
      <c r="DH98">
        <f>10.70951586</f>
        <v>10.70951586</v>
      </c>
      <c r="DI98">
        <f>25.08159565</f>
        <v>25.081595650000001</v>
      </c>
      <c r="DJ98">
        <f>83.16044889</f>
        <v>83.160448889999998</v>
      </c>
      <c r="DK98" t="str">
        <f>""</f>
        <v/>
      </c>
      <c r="DL98" t="str">
        <f>""</f>
        <v/>
      </c>
      <c r="DM98" t="str">
        <f>""</f>
        <v/>
      </c>
      <c r="DN98" t="str">
        <f>""</f>
        <v/>
      </c>
      <c r="DO98" t="str">
        <f>""</f>
        <v/>
      </c>
      <c r="DP98" t="str">
        <f>""</f>
        <v/>
      </c>
      <c r="DQ98" t="str">
        <f>""</f>
        <v/>
      </c>
      <c r="DR98" t="str">
        <f>""</f>
        <v/>
      </c>
      <c r="DS98" t="str">
        <f>""</f>
        <v/>
      </c>
      <c r="DT98" t="str">
        <f>""</f>
        <v/>
      </c>
      <c r="DU98" t="str">
        <f>""</f>
        <v/>
      </c>
    </row>
    <row r="99" spans="1:125">
      <c r="A99" t="str">
        <f>"    Equity Residential"</f>
        <v xml:space="preserve">    Equity Residential</v>
      </c>
      <c r="B99" t="str">
        <f>"EQR US Equity"</f>
        <v>EQR US Equity</v>
      </c>
      <c r="C99" t="str">
        <f t="shared" si="30"/>
        <v>RR033</v>
      </c>
      <c r="D99" t="str">
        <f t="shared" si="31"/>
        <v>SALES_GROWTH</v>
      </c>
      <c r="E99" t="str">
        <f t="shared" si="32"/>
        <v>动态</v>
      </c>
      <c r="F99" t="str">
        <f ca="1">IF(AND(ISNUMBER($F$312),$B$226=1),$F$312,HLOOKUP(INDIRECT(ADDRESS(2,COLUMN())),OFFSET($BN$2,0,0,ROW()-1,60),ROW()-1,FALSE))</f>
        <v/>
      </c>
      <c r="G99">
        <f ca="1">IF(AND(ISNUMBER($G$312),$B$226=1),$G$312,HLOOKUP(INDIRECT(ADDRESS(2,COLUMN())),OFFSET($BN$2,0,0,ROW()-1,60),ROW()-1,FALSE))</f>
        <v>4.164402656</v>
      </c>
      <c r="H99">
        <f ca="1">IF(AND(ISNUMBER($H$312),$B$226=1),$H$312,HLOOKUP(INDIRECT(ADDRESS(2,COLUMN())),OFFSET($BN$2,0,0,ROW()-1,60),ROW()-1,FALSE))</f>
        <v>2.9778541889999999</v>
      </c>
      <c r="I99">
        <f ca="1">IF(AND(ISNUMBER($I$312),$B$226=1),$I$312,HLOOKUP(INDIRECT(ADDRESS(2,COLUMN())),OFFSET($BN$2,0,0,ROW()-1,60),ROW()-1,FALSE))</f>
        <v>2.9111792909999998</v>
      </c>
      <c r="J99">
        <f ca="1">IF(AND(ISNUMBER($J$312),$B$226=1),$J$312,HLOOKUP(INDIRECT(ADDRESS(2,COLUMN())),OFFSET($BN$2,0,0,ROW()-1,60),ROW()-1,FALSE))</f>
        <v>-2.4201924460000002</v>
      </c>
      <c r="K99">
        <f ca="1">IF(AND(ISNUMBER($K$312),$B$226=1),$K$312,HLOOKUP(INDIRECT(ADDRESS(2,COLUMN())),OFFSET($BN$2,0,0,ROW()-1,60),ROW()-1,FALSE))</f>
        <v>-13.894336259999999</v>
      </c>
      <c r="L99">
        <f ca="1">IF(AND(ISNUMBER($L$312),$B$226=1),$L$312,HLOOKUP(INDIRECT(ADDRESS(2,COLUMN())),OFFSET($BN$2,0,0,ROW()-1,60),ROW()-1,FALSE))</f>
        <v>-12.95654534</v>
      </c>
      <c r="M99">
        <f ca="1">IF(AND(ISNUMBER($M$312),$B$226=1),$M$312,HLOOKUP(INDIRECT(ADDRESS(2,COLUMN())),OFFSET($BN$2,0,0,ROW()-1,60),ROW()-1,FALSE))</f>
        <v>-12.36290921</v>
      </c>
      <c r="N99">
        <f ca="1">IF(AND(ISNUMBER($N$312),$B$226=1),$N$312,HLOOKUP(INDIRECT(ADDRESS(2,COLUMN())),OFFSET($BN$2,0,0,ROW()-1,60),ROW()-1,FALSE))</f>
        <v>-7.0963472300000001</v>
      </c>
      <c r="O99">
        <f ca="1">IF(AND(ISNUMBER($O$312),$B$226=1),$O$312,HLOOKUP(INDIRECT(ADDRESS(2,COLUMN())),OFFSET($BN$2,0,0,ROW()-1,60),ROW()-1,FALSE))</f>
        <v>5.7974001749999999</v>
      </c>
      <c r="P99">
        <f ca="1">IF(AND(ISNUMBER($P$312),$B$226=1),$P$312,HLOOKUP(INDIRECT(ADDRESS(2,COLUMN())),OFFSET($BN$2,0,0,ROW()-1,60),ROW()-1,FALSE))</f>
        <v>4.8504844309999999</v>
      </c>
      <c r="Q99">
        <f ca="1">IF(AND(ISNUMBER($Q$312),$B$226=1),$Q$312,HLOOKUP(INDIRECT(ADDRESS(2,COLUMN())),OFFSET($BN$2,0,0,ROW()-1,60),ROW()-1,FALSE))</f>
        <v>4.0676220719999998</v>
      </c>
      <c r="R99">
        <f ca="1">IF(AND(ISNUMBER($R$312),$B$226=1),$R$312,HLOOKUP(INDIRECT(ADDRESS(2,COLUMN())),OFFSET($BN$2,0,0,ROW()-1,60),ROW()-1,FALSE))</f>
        <v>5.1984238490000001</v>
      </c>
      <c r="S99">
        <f ca="1">IF(AND(ISNUMBER($S$312),$B$226=1),$S$312,HLOOKUP(INDIRECT(ADDRESS(2,COLUMN())),OFFSET($BN$2,0,0,ROW()-1,60),ROW()-1,FALSE))</f>
        <v>3.9938416669999999</v>
      </c>
      <c r="T99">
        <f ca="1">IF(AND(ISNUMBER($T$312),$B$226=1),$T$312,HLOOKUP(INDIRECT(ADDRESS(2,COLUMN())),OFFSET($BN$2,0,0,ROW()-1,60),ROW()-1,FALSE))</f>
        <v>5.9762634669999999</v>
      </c>
      <c r="U99">
        <f ca="1">IF(AND(ISNUMBER($U$312),$B$226=1),$U$312,HLOOKUP(INDIRECT(ADDRESS(2,COLUMN())),OFFSET($BN$2,0,0,ROW()-1,60),ROW()-1,FALSE))</f>
        <v>5.7274832030000002</v>
      </c>
      <c r="V99">
        <f ca="1">IF(AND(ISNUMBER($V$312),$B$226=1),$V$312,HLOOKUP(INDIRECT(ADDRESS(2,COLUMN())),OFFSET($BN$2,0,0,ROW()-1,60),ROW()-1,FALSE))</f>
        <v>25.503148270000001</v>
      </c>
      <c r="W99">
        <f ca="1">IF(AND(ISNUMBER($W$312),$B$226=1),$W$312,HLOOKUP(INDIRECT(ADDRESS(2,COLUMN())),OFFSET($BN$2,0,0,ROW()-1,60),ROW()-1,FALSE))</f>
        <v>41.250389519999999</v>
      </c>
      <c r="X99">
        <f ca="1">IF(AND(ISNUMBER($X$312),$B$226=1),$X$312,HLOOKUP(INDIRECT(ADDRESS(2,COLUMN())),OFFSET($BN$2,0,0,ROW()-1,60),ROW()-1,FALSE))</f>
        <v>38.727116950000003</v>
      </c>
      <c r="Y99">
        <f ca="1">IF(AND(ISNUMBER($Y$312),$B$226=1),$Y$312,HLOOKUP(INDIRECT(ADDRESS(2,COLUMN())),OFFSET($BN$2,0,0,ROW()-1,60),ROW()-1,FALSE))</f>
        <v>37.663794660000001</v>
      </c>
      <c r="Z99">
        <f ca="1">IF(AND(ISNUMBER($Z$312),$B$226=1),$Z$312,HLOOKUP(INDIRECT(ADDRESS(2,COLUMN())),OFFSET($BN$2,0,0,ROW()-1,60),ROW()-1,FALSE))</f>
        <v>13.052807939999999</v>
      </c>
      <c r="AA99">
        <f ca="1">IF(AND(ISNUMBER($AA$312),$B$226=1),$AA$312,HLOOKUP(INDIRECT(ADDRESS(2,COLUMN())),OFFSET($BN$2,0,0,ROW()-1,60),ROW()-1,FALSE))</f>
        <v>-8.0972885140000006</v>
      </c>
      <c r="AB99">
        <f ca="1">IF(AND(ISNUMBER($AB$312),$B$226=1),$AB$312,HLOOKUP(INDIRECT(ADDRESS(2,COLUMN())),OFFSET($BN$2,0,0,ROW()-1,60),ROW()-1,FALSE))</f>
        <v>-8.5392571349999997</v>
      </c>
      <c r="AC99">
        <f ca="1">IF(AND(ISNUMBER($AC$312),$B$226=1),$AC$312,HLOOKUP(INDIRECT(ADDRESS(2,COLUMN())),OFFSET($BN$2,0,0,ROW()-1,60),ROW()-1,FALSE))</f>
        <v>-6.6649041249999996</v>
      </c>
      <c r="AD99">
        <f ca="1">IF(AND(ISNUMBER($AD$312),$B$226=1),$AD$312,HLOOKUP(INDIRECT(ADDRESS(2,COLUMN())),OFFSET($BN$2,0,0,ROW()-1,60),ROW()-1,FALSE))</f>
        <v>-4.2688418290000003</v>
      </c>
      <c r="AE99">
        <f ca="1">IF(AND(ISNUMBER($AE$312),$B$226=1),$AE$312,HLOOKUP(INDIRECT(ADDRESS(2,COLUMN())),OFFSET($BN$2,0,0,ROW()-1,60),ROW()-1,FALSE))</f>
        <v>6.8588469180000002</v>
      </c>
      <c r="AF99">
        <f ca="1">IF(AND(ISNUMBER($AF$312),$B$226=1),$AF$312,HLOOKUP(INDIRECT(ADDRESS(2,COLUMN())),OFFSET($BN$2,0,0,ROW()-1,60),ROW()-1,FALSE))</f>
        <v>8.7919640500000007</v>
      </c>
      <c r="AG99">
        <f ca="1">IF(AND(ISNUMBER($AG$312),$B$226=1),$AG$312,HLOOKUP(INDIRECT(ADDRESS(2,COLUMN())),OFFSET($BN$2,0,0,ROW()-1,60),ROW()-1,FALSE))</f>
        <v>7.3736138709999999</v>
      </c>
      <c r="AH99">
        <f ca="1">IF(AND(ISNUMBER($AH$312),$B$226=1),$AH$312,HLOOKUP(INDIRECT(ADDRESS(2,COLUMN())),OFFSET($BN$2,0,0,ROW()-1,60),ROW()-1,FALSE))</f>
        <v>0.29182858499999997</v>
      </c>
      <c r="AI99">
        <f ca="1">IF(AND(ISNUMBER($AI$312),$B$226=1),$AI$312,HLOOKUP(INDIRECT(ADDRESS(2,COLUMN())),OFFSET($BN$2,0,0,ROW()-1,60),ROW()-1,FALSE))</f>
        <v>-0.114032007</v>
      </c>
      <c r="AJ99">
        <f ca="1">IF(AND(ISNUMBER($AJ$312),$B$226=1),$AJ$312,HLOOKUP(INDIRECT(ADDRESS(2,COLUMN())),OFFSET($BN$2,0,0,ROW()-1,60),ROW()-1,FALSE))</f>
        <v>-5.4724607020000002</v>
      </c>
      <c r="AK99">
        <f ca="1">IF(AND(ISNUMBER($AK$312),$B$226=1),$AK$312,HLOOKUP(INDIRECT(ADDRESS(2,COLUMN())),OFFSET($BN$2,0,0,ROW()-1,60),ROW()-1,FALSE))</f>
        <v>-6.8606570859999998</v>
      </c>
      <c r="AL99">
        <f ca="1">IF(AND(ISNUMBER($AL$312),$B$226=1),$AL$312,HLOOKUP(INDIRECT(ADDRESS(2,COLUMN())),OFFSET($BN$2,0,0,ROW()-1,60),ROW()-1,FALSE))</f>
        <v>-3.7424598100000002</v>
      </c>
      <c r="AM99">
        <f ca="1">IF(AND(ISNUMBER($AM$312),$B$226=1),$AM$312,HLOOKUP(INDIRECT(ADDRESS(2,COLUMN())),OFFSET($BN$2,0,0,ROW()-1,60),ROW()-1,FALSE))</f>
        <v>-7.9512052029999998</v>
      </c>
      <c r="AN99">
        <f ca="1">IF(AND(ISNUMBER($AN$312),$B$226=1),$AN$312,HLOOKUP(INDIRECT(ADDRESS(2,COLUMN())),OFFSET($BN$2,0,0,ROW()-1,60),ROW()-1,FALSE))</f>
        <v>-6.0204772550000003</v>
      </c>
      <c r="AO99">
        <f ca="1">IF(AND(ISNUMBER($AO$312),$B$226=1),$AO$312,HLOOKUP(INDIRECT(ADDRESS(2,COLUMN())),OFFSET($BN$2,0,0,ROW()-1,60),ROW()-1,FALSE))</f>
        <v>-6.4194606089999997</v>
      </c>
      <c r="AP99">
        <f ca="1">IF(AND(ISNUMBER($AP$312),$B$226=1),$AP$312,HLOOKUP(INDIRECT(ADDRESS(2,COLUMN())),OFFSET($BN$2,0,0,ROW()-1,60),ROW()-1,FALSE))</f>
        <v>-3.8920422330000002</v>
      </c>
      <c r="AQ99">
        <f ca="1">IF(AND(ISNUMBER($AQ$312),$B$226=1),$AQ$312,HLOOKUP(INDIRECT(ADDRESS(2,COLUMN())),OFFSET($BN$2,0,0,ROW()-1,60),ROW()-1,FALSE))</f>
        <v>-0.77185520500000004</v>
      </c>
      <c r="AR99">
        <f ca="1">IF(AND(ISNUMBER($AR$312),$B$226=1),$AR$312,HLOOKUP(INDIRECT(ADDRESS(2,COLUMN())),OFFSET($BN$2,0,0,ROW()-1,60),ROW()-1,FALSE))</f>
        <v>1.976443918</v>
      </c>
      <c r="AS99">
        <f ca="1">IF(AND(ISNUMBER($AS$312),$B$226=1),$AS$312,HLOOKUP(INDIRECT(ADDRESS(2,COLUMN())),OFFSET($BN$2,0,0,ROW()-1,60),ROW()-1,FALSE))</f>
        <v>4.4191960290000001</v>
      </c>
      <c r="AT99">
        <f ca="1">IF(AND(ISNUMBER($AT$312),$B$226=1),$AT$312,HLOOKUP(INDIRECT(ADDRESS(2,COLUMN())),OFFSET($BN$2,0,0,ROW()-1,60),ROW()-1,FALSE))</f>
        <v>5.6303575290000003</v>
      </c>
      <c r="AU99">
        <f ca="1">IF(AND(ISNUMBER($AU$312),$B$226=1),$AU$312,HLOOKUP(INDIRECT(ADDRESS(2,COLUMN())),OFFSET($BN$2,0,0,ROW()-1,60),ROW()-1,FALSE))</f>
        <v>56.998476699999998</v>
      </c>
      <c r="AV99">
        <f ca="1">IF(AND(ISNUMBER($AV$312),$B$226=1),$AV$312,HLOOKUP(INDIRECT(ADDRESS(2,COLUMN())),OFFSET($BN$2,0,0,ROW()-1,60),ROW()-1,FALSE))</f>
        <v>-2.4837262710000001</v>
      </c>
      <c r="AW99">
        <f ca="1">IF(AND(ISNUMBER($AW$312),$B$226=1),$AW$312,HLOOKUP(INDIRECT(ADDRESS(2,COLUMN())),OFFSET($BN$2,0,0,ROW()-1,60),ROW()-1,FALSE))</f>
        <v>-7.7042072000000003E-2</v>
      </c>
      <c r="AX99">
        <f ca="1">IF(AND(ISNUMBER($AX$312),$B$226=1),$AX$312,HLOOKUP(INDIRECT(ADDRESS(2,COLUMN())),OFFSET($BN$2,0,0,ROW()-1,60),ROW()-1,FALSE))</f>
        <v>2.895614304</v>
      </c>
      <c r="AY99">
        <f ca="1">IF(AND(ISNUMBER($AY$312),$B$226=1),$AY$312,HLOOKUP(INDIRECT(ADDRESS(2,COLUMN())),OFFSET($BN$2,0,0,ROW()-1,60),ROW()-1,FALSE))</f>
        <v>-18.833126839999998</v>
      </c>
      <c r="AZ99">
        <f ca="1">IF(AND(ISNUMBER($AZ$312),$B$226=1),$AZ$312,HLOOKUP(INDIRECT(ADDRESS(2,COLUMN())),OFFSET($BN$2,0,0,ROW()-1,60),ROW()-1,FALSE))</f>
        <v>19.293199430000001</v>
      </c>
      <c r="BA99">
        <f ca="1">IF(AND(ISNUMBER($BA$312),$B$226=1),$BA$312,HLOOKUP(INDIRECT(ADDRESS(2,COLUMN())),OFFSET($BN$2,0,0,ROW()-1,60),ROW()-1,FALSE))</f>
        <v>18.473857859999999</v>
      </c>
      <c r="BB99">
        <f ca="1">IF(AND(ISNUMBER($BB$312),$B$226=1),$BB$312,HLOOKUP(INDIRECT(ADDRESS(2,COLUMN())),OFFSET($BN$2,0,0,ROW()-1,60),ROW()-1,FALSE))</f>
        <v>4.1656530710000004</v>
      </c>
      <c r="BC99">
        <f ca="1">IF(AND(ISNUMBER($BC$312),$B$226=1),$BC$312,HLOOKUP(INDIRECT(ADDRESS(2,COLUMN())),OFFSET($BN$2,0,0,ROW()-1,60),ROW()-1,FALSE))</f>
        <v>-0.90764295399999995</v>
      </c>
      <c r="BD99">
        <f ca="1">IF(AND(ISNUMBER($BD$312),$B$226=1),$BD$312,HLOOKUP(INDIRECT(ADDRESS(2,COLUMN())),OFFSET($BN$2,0,0,ROW()-1,60),ROW()-1,FALSE))</f>
        <v>-5.6522196229999997</v>
      </c>
      <c r="BE99">
        <f ca="1">IF(AND(ISNUMBER($BE$312),$B$226=1),$BE$312,HLOOKUP(INDIRECT(ADDRESS(2,COLUMN())),OFFSET($BN$2,0,0,ROW()-1,60),ROW()-1,FALSE))</f>
        <v>-15.518146420000001</v>
      </c>
      <c r="BF99">
        <f ca="1">IF(AND(ISNUMBER($BF$312),$B$226=1),$BF$312,HLOOKUP(INDIRECT(ADDRESS(2,COLUMN())),OFFSET($BN$2,0,0,ROW()-1,60),ROW()-1,FALSE))</f>
        <v>-4.4764173170000001</v>
      </c>
      <c r="BG99">
        <f ca="1">IF(AND(ISNUMBER($BG$312),$B$226=1),$BG$312,HLOOKUP(INDIRECT(ADDRESS(2,COLUMN())),OFFSET($BN$2,0,0,ROW()-1,60),ROW()-1,FALSE))</f>
        <v>-5.888096333</v>
      </c>
      <c r="BH99">
        <f ca="1">IF(AND(ISNUMBER($BH$312),$B$226=1),$BH$312,HLOOKUP(INDIRECT(ADDRESS(2,COLUMN())),OFFSET($BN$2,0,0,ROW()-1,60),ROW()-1,FALSE))</f>
        <v>2.5111129540000001</v>
      </c>
      <c r="BI99">
        <f ca="1">IF(AND(ISNUMBER($BI$312),$B$226=1),$BI$312,HLOOKUP(INDIRECT(ADDRESS(2,COLUMN())),OFFSET($BN$2,0,0,ROW()-1,60),ROW()-1,FALSE))</f>
        <v>10.72183714</v>
      </c>
      <c r="BJ99">
        <f ca="1">IF(AND(ISNUMBER($BJ$312),$B$226=1),$BJ$312,HLOOKUP(INDIRECT(ADDRESS(2,COLUMN())),OFFSET($BN$2,0,0,ROW()-1,60),ROW()-1,FALSE))</f>
        <v>5.2399325839999999</v>
      </c>
      <c r="BK99">
        <f ca="1">IF(AND(ISNUMBER($BK$312),$B$226=1),$BK$312,HLOOKUP(INDIRECT(ADDRESS(2,COLUMN())),OFFSET($BN$2,0,0,ROW()-1,60),ROW()-1,FALSE))</f>
        <v>-5.8005879030000003</v>
      </c>
      <c r="BL99">
        <f ca="1">IF(AND(ISNUMBER($BL$312),$B$226=1),$BL$312,HLOOKUP(INDIRECT(ADDRESS(2,COLUMN())),OFFSET($BN$2,0,0,ROW()-1,60),ROW()-1,FALSE))</f>
        <v>-5.4910557520000003</v>
      </c>
      <c r="BM99">
        <f ca="1">IF(AND(ISNUMBER($BM$312),$B$226=1),$BM$312,HLOOKUP(INDIRECT(ADDRESS(2,COLUMN())),OFFSET($BN$2,0,0,ROW()-1,60),ROW()-1,FALSE))</f>
        <v>-8.3245879939999998</v>
      </c>
      <c r="BN99" t="str">
        <f>""</f>
        <v/>
      </c>
      <c r="BO99">
        <f>4.164402656</f>
        <v>4.164402656</v>
      </c>
      <c r="BP99">
        <f>2.977854189</f>
        <v>2.9778541889999999</v>
      </c>
      <c r="BQ99">
        <f>2.911179291</f>
        <v>2.9111792909999998</v>
      </c>
      <c r="BR99">
        <f>-2.420192446</f>
        <v>-2.4201924460000002</v>
      </c>
      <c r="BS99">
        <f>-13.89433626</f>
        <v>-13.894336259999999</v>
      </c>
      <c r="BT99">
        <f>-12.95654534</f>
        <v>-12.95654534</v>
      </c>
      <c r="BU99">
        <f>-12.36290921</f>
        <v>-12.36290921</v>
      </c>
      <c r="BV99">
        <f>-7.09634723</f>
        <v>-7.0963472300000001</v>
      </c>
      <c r="BW99">
        <f>5.797400175</f>
        <v>5.7974001749999999</v>
      </c>
      <c r="BX99">
        <f>4.850484431</f>
        <v>4.8504844309999999</v>
      </c>
      <c r="BY99">
        <f>4.067622072</f>
        <v>4.0676220719999998</v>
      </c>
      <c r="BZ99">
        <f>5.198423849</f>
        <v>5.1984238490000001</v>
      </c>
      <c r="CA99">
        <f>3.993841667</f>
        <v>3.9938416669999999</v>
      </c>
      <c r="CB99">
        <f>5.976263467</f>
        <v>5.9762634669999999</v>
      </c>
      <c r="CC99">
        <f>5.727483203</f>
        <v>5.7274832030000002</v>
      </c>
      <c r="CD99">
        <f>25.50314827</f>
        <v>25.503148270000001</v>
      </c>
      <c r="CE99">
        <f>41.25038952</f>
        <v>41.250389519999999</v>
      </c>
      <c r="CF99">
        <f>38.72711695</f>
        <v>38.727116950000003</v>
      </c>
      <c r="CG99">
        <f>37.66379466</f>
        <v>37.663794660000001</v>
      </c>
      <c r="CH99">
        <f>13.05280794</f>
        <v>13.052807939999999</v>
      </c>
      <c r="CI99">
        <f>-8.097288514</f>
        <v>-8.0972885140000006</v>
      </c>
      <c r="CJ99">
        <f>-8.539257135</f>
        <v>-8.5392571349999997</v>
      </c>
      <c r="CK99">
        <f>-6.664904125</f>
        <v>-6.6649041249999996</v>
      </c>
      <c r="CL99">
        <f>-4.268841829</f>
        <v>-4.2688418290000003</v>
      </c>
      <c r="CM99">
        <f>6.858846918</f>
        <v>6.8588469180000002</v>
      </c>
      <c r="CN99">
        <f>8.79196405</f>
        <v>8.7919640500000007</v>
      </c>
      <c r="CO99">
        <f>7.373613871</f>
        <v>7.3736138709999999</v>
      </c>
      <c r="CP99">
        <f>0.291828585</f>
        <v>0.29182858499999997</v>
      </c>
      <c r="CQ99">
        <f>-0.114032007</f>
        <v>-0.114032007</v>
      </c>
      <c r="CR99">
        <f>-5.472460702</f>
        <v>-5.4724607020000002</v>
      </c>
      <c r="CS99">
        <f>-6.860657086</f>
        <v>-6.8606570859999998</v>
      </c>
      <c r="CT99">
        <f>-3.74245981</f>
        <v>-3.7424598100000002</v>
      </c>
      <c r="CU99">
        <f>-7.951205203</f>
        <v>-7.9512052029999998</v>
      </c>
      <c r="CV99">
        <f>-6.020477255</f>
        <v>-6.0204772550000003</v>
      </c>
      <c r="CW99">
        <f>-6.419460609</f>
        <v>-6.4194606089999997</v>
      </c>
      <c r="CX99">
        <f>-3.892042233</f>
        <v>-3.8920422330000002</v>
      </c>
      <c r="CY99">
        <f>-0.771855205</f>
        <v>-0.77185520500000004</v>
      </c>
      <c r="CZ99">
        <f>1.976443918</f>
        <v>1.976443918</v>
      </c>
      <c r="DA99">
        <f>4.419196029</f>
        <v>4.4191960290000001</v>
      </c>
      <c r="DB99">
        <f>5.630357529</f>
        <v>5.6303575290000003</v>
      </c>
      <c r="DC99">
        <f>56.9984767</f>
        <v>56.998476699999998</v>
      </c>
      <c r="DD99">
        <f>-2.483726271</f>
        <v>-2.4837262710000001</v>
      </c>
      <c r="DE99">
        <f>-0.077042072</f>
        <v>-7.7042072000000003E-2</v>
      </c>
      <c r="DF99">
        <f>2.895614304</f>
        <v>2.895614304</v>
      </c>
      <c r="DG99">
        <f>-18.83312684</f>
        <v>-18.833126839999998</v>
      </c>
      <c r="DH99">
        <f>19.29319943</f>
        <v>19.293199430000001</v>
      </c>
      <c r="DI99">
        <f>18.47385786</f>
        <v>18.473857859999999</v>
      </c>
      <c r="DJ99">
        <f>4.165653071</f>
        <v>4.1656530710000004</v>
      </c>
      <c r="DK99">
        <f>-0.907642954</f>
        <v>-0.90764295399999995</v>
      </c>
      <c r="DL99">
        <f>-5.652219623</f>
        <v>-5.6522196229999997</v>
      </c>
      <c r="DM99">
        <f>-15.51814642</f>
        <v>-15.518146420000001</v>
      </c>
      <c r="DN99">
        <f>-4.476417317</f>
        <v>-4.4764173170000001</v>
      </c>
      <c r="DO99">
        <f>-5.888096333</f>
        <v>-5.888096333</v>
      </c>
      <c r="DP99">
        <f>2.511112954</f>
        <v>2.5111129540000001</v>
      </c>
      <c r="DQ99">
        <f>10.72183714</f>
        <v>10.72183714</v>
      </c>
      <c r="DR99">
        <f>5.239932584</f>
        <v>5.2399325839999999</v>
      </c>
      <c r="DS99">
        <f>-5.800587903</f>
        <v>-5.8005879030000003</v>
      </c>
      <c r="DT99">
        <f>-5.491055752</f>
        <v>-5.4910557520000003</v>
      </c>
      <c r="DU99">
        <f>-8.324587994</f>
        <v>-8.3245879939999998</v>
      </c>
    </row>
    <row r="100" spans="1:125">
      <c r="A100" t="str">
        <f>"    Essex Property Trust Inc"</f>
        <v xml:space="preserve">    Essex Property Trust Inc</v>
      </c>
      <c r="B100" t="str">
        <f>"ESS US Equity"</f>
        <v>ESS US Equity</v>
      </c>
      <c r="C100" t="str">
        <f t="shared" si="30"/>
        <v>RR033</v>
      </c>
      <c r="D100" t="str">
        <f t="shared" si="31"/>
        <v>SALES_GROWTH</v>
      </c>
      <c r="E100" t="str">
        <f t="shared" si="32"/>
        <v>动态</v>
      </c>
      <c r="F100" t="str">
        <f ca="1">IF(AND(ISNUMBER($F$313),$B$226=1),$F$313,HLOOKUP(INDIRECT(ADDRESS(2,COLUMN())),OFFSET($BN$2,0,0,ROW()-1,60),ROW()-1,FALSE))</f>
        <v/>
      </c>
      <c r="G100">
        <f ca="1">IF(AND(ISNUMBER($G$313),$B$226=1),$G$313,HLOOKUP(INDIRECT(ADDRESS(2,COLUMN())),OFFSET($BN$2,0,0,ROW()-1,60),ROW()-1,FALSE))</f>
        <v>4.8705620630000004</v>
      </c>
      <c r="H100">
        <f ca="1">IF(AND(ISNUMBER($H$313),$B$226=1),$H$313,HLOOKUP(INDIRECT(ADDRESS(2,COLUMN())),OFFSET($BN$2,0,0,ROW()-1,60),ROW()-1,FALSE))</f>
        <v>4.6170531429999997</v>
      </c>
      <c r="I100">
        <f ca="1">IF(AND(ISNUMBER($I$313),$B$226=1),$I$313,HLOOKUP(INDIRECT(ADDRESS(2,COLUMN())),OFFSET($BN$2,0,0,ROW()-1,60),ROW()-1,FALSE))</f>
        <v>5.433004758</v>
      </c>
      <c r="J100">
        <f ca="1">IF(AND(ISNUMBER($J$313),$B$226=1),$J$313,HLOOKUP(INDIRECT(ADDRESS(2,COLUMN())),OFFSET($BN$2,0,0,ROW()-1,60),ROW()-1,FALSE))</f>
        <v>6.7478883009999997</v>
      </c>
      <c r="K100">
        <f ca="1">IF(AND(ISNUMBER($K$313),$B$226=1),$K$313,HLOOKUP(INDIRECT(ADDRESS(2,COLUMN())),OFFSET($BN$2,0,0,ROW()-1,60),ROW()-1,FALSE))</f>
        <v>5.8864796330000004</v>
      </c>
      <c r="L100">
        <f ca="1">IF(AND(ISNUMBER($L$313),$B$226=1),$L$313,HLOOKUP(INDIRECT(ADDRESS(2,COLUMN())),OFFSET($BN$2,0,0,ROW()-1,60),ROW()-1,FALSE))</f>
        <v>8.0574212309999993</v>
      </c>
      <c r="M100">
        <f ca="1">IF(AND(ISNUMBER($M$313),$B$226=1),$M$313,HLOOKUP(INDIRECT(ADDRESS(2,COLUMN())),OFFSET($BN$2,0,0,ROW()-1,60),ROW()-1,FALSE))</f>
        <v>8.585841533</v>
      </c>
      <c r="N100">
        <f ca="1">IF(AND(ISNUMBER($N$313),$B$226=1),$N$313,HLOOKUP(INDIRECT(ADDRESS(2,COLUMN())),OFFSET($BN$2,0,0,ROW()-1,60),ROW()-1,FALSE))</f>
        <v>11.075288199999999</v>
      </c>
      <c r="O100">
        <f ca="1">IF(AND(ISNUMBER($O$313),$B$226=1),$O$313,HLOOKUP(INDIRECT(ADDRESS(2,COLUMN())),OFFSET($BN$2,0,0,ROW()-1,60),ROW()-1,FALSE))</f>
        <v>11.271610069999999</v>
      </c>
      <c r="P100">
        <f ca="1">IF(AND(ISNUMBER($P$313),$B$226=1),$P$313,HLOOKUP(INDIRECT(ADDRESS(2,COLUMN())),OFFSET($BN$2,0,0,ROW()-1,60),ROW()-1,FALSE))</f>
        <v>12.46082112</v>
      </c>
      <c r="Q100">
        <f ca="1">IF(AND(ISNUMBER($Q$313),$B$226=1),$Q$313,HLOOKUP(INDIRECT(ADDRESS(2,COLUMN())),OFFSET($BN$2,0,0,ROW()-1,60),ROW()-1,FALSE))</f>
        <v>14.001416539999999</v>
      </c>
      <c r="R100">
        <f ca="1">IF(AND(ISNUMBER($R$313),$B$226=1),$R$313,HLOOKUP(INDIRECT(ADDRESS(2,COLUMN())),OFFSET($BN$2,0,0,ROW()-1,60),ROW()-1,FALSE))</f>
        <v>75.687694480000005</v>
      </c>
      <c r="S100">
        <f ca="1">IF(AND(ISNUMBER($S$313),$B$226=1),$S$313,HLOOKUP(INDIRECT(ADDRESS(2,COLUMN())),OFFSET($BN$2,0,0,ROW()-1,60),ROW()-1,FALSE))</f>
        <v>77.383969460000003</v>
      </c>
      <c r="T100">
        <f ca="1">IF(AND(ISNUMBER($T$313),$B$226=1),$T$313,HLOOKUP(INDIRECT(ADDRESS(2,COLUMN())),OFFSET($BN$2,0,0,ROW()-1,60),ROW()-1,FALSE))</f>
        <v>75.695039879999996</v>
      </c>
      <c r="U100">
        <f ca="1">IF(AND(ISNUMBER($U$313),$B$226=1),$U$313,HLOOKUP(INDIRECT(ADDRESS(2,COLUMN())),OFFSET($BN$2,0,0,ROW()-1,60),ROW()-1,FALSE))</f>
        <v>72.031959689999994</v>
      </c>
      <c r="V100">
        <f ca="1">IF(AND(ISNUMBER($V$313),$B$226=1),$V$313,HLOOKUP(INDIRECT(ADDRESS(2,COLUMN())),OFFSET($BN$2,0,0,ROW()-1,60),ROW()-1,FALSE))</f>
        <v>8.7861896559999995</v>
      </c>
      <c r="W100">
        <f ca="1">IF(AND(ISNUMBER($W$313),$B$226=1),$W$313,HLOOKUP(INDIRECT(ADDRESS(2,COLUMN())),OFFSET($BN$2,0,0,ROW()-1,60),ROW()-1,FALSE))</f>
        <v>9.7343714059999993</v>
      </c>
      <c r="X100">
        <f ca="1">IF(AND(ISNUMBER($X$313),$B$226=1),$X$313,HLOOKUP(INDIRECT(ADDRESS(2,COLUMN())),OFFSET($BN$2,0,0,ROW()-1,60),ROW()-1,FALSE))</f>
        <v>11.44184969</v>
      </c>
      <c r="Y100">
        <f ca="1">IF(AND(ISNUMBER($Y$313),$B$226=1),$Y$313,HLOOKUP(INDIRECT(ADDRESS(2,COLUMN())),OFFSET($BN$2,0,0,ROW()-1,60),ROW()-1,FALSE))</f>
        <v>13.770264259999999</v>
      </c>
      <c r="Z100">
        <f ca="1">IF(AND(ISNUMBER($Z$313),$B$226=1),$Z$313,HLOOKUP(INDIRECT(ADDRESS(2,COLUMN())),OFFSET($BN$2,0,0,ROW()-1,60),ROW()-1,FALSE))</f>
        <v>15.7030285</v>
      </c>
      <c r="AA100">
        <f ca="1">IF(AND(ISNUMBER($AA$313),$B$226=1),$AA$313,HLOOKUP(INDIRECT(ADDRESS(2,COLUMN())),OFFSET($BN$2,0,0,ROW()-1,60),ROW()-1,FALSE))</f>
        <v>15.173919679999999</v>
      </c>
      <c r="AB100">
        <f ca="1">IF(AND(ISNUMBER($AB$313),$B$226=1),$AB$313,HLOOKUP(INDIRECT(ADDRESS(2,COLUMN())),OFFSET($BN$2,0,0,ROW()-1,60),ROW()-1,FALSE))</f>
        <v>15.924005169999999</v>
      </c>
      <c r="AC100">
        <f ca="1">IF(AND(ISNUMBER($AC$313),$B$226=1),$AC$313,HLOOKUP(INDIRECT(ADDRESS(2,COLUMN())),OFFSET($BN$2,0,0,ROW()-1,60),ROW()-1,FALSE))</f>
        <v>13.95646717</v>
      </c>
      <c r="AD100">
        <f ca="1">IF(AND(ISNUMBER($AD$313),$B$226=1),$AD$313,HLOOKUP(INDIRECT(ADDRESS(2,COLUMN())),OFFSET($BN$2,0,0,ROW()-1,60),ROW()-1,FALSE))</f>
        <v>13.77365874</v>
      </c>
      <c r="AE100">
        <f ca="1">IF(AND(ISNUMBER($AE$313),$B$226=1),$AE$313,HLOOKUP(INDIRECT(ADDRESS(2,COLUMN())),OFFSET($BN$2,0,0,ROW()-1,60),ROW()-1,FALSE))</f>
        <v>14.74985491</v>
      </c>
      <c r="AF100">
        <f ca="1">IF(AND(ISNUMBER($AF$313),$B$226=1),$AF$313,HLOOKUP(INDIRECT(ADDRESS(2,COLUMN())),OFFSET($BN$2,0,0,ROW()-1,60),ROW()-1,FALSE))</f>
        <v>14.223547119999999</v>
      </c>
      <c r="AG100">
        <f ca="1">IF(AND(ISNUMBER($AG$313),$B$226=1),$AG$313,HLOOKUP(INDIRECT(ADDRESS(2,COLUMN())),OFFSET($BN$2,0,0,ROW()-1,60),ROW()-1,FALSE))</f>
        <v>16.11119429</v>
      </c>
      <c r="AH100">
        <f ca="1">IF(AND(ISNUMBER($AH$313),$B$226=1),$AH$313,HLOOKUP(INDIRECT(ADDRESS(2,COLUMN())),OFFSET($BN$2,0,0,ROW()-1,60),ROW()-1,FALSE))</f>
        <v>11.11638204</v>
      </c>
      <c r="AI100">
        <f ca="1">IF(AND(ISNUMBER($AI$313),$B$226=1),$AI$313,HLOOKUP(INDIRECT(ADDRESS(2,COLUMN())),OFFSET($BN$2,0,0,ROW()-1,60),ROW()-1,FALSE))</f>
        <v>7.5332831440000003</v>
      </c>
      <c r="AJ100">
        <f ca="1">IF(AND(ISNUMBER($AJ$313),$B$226=1),$AJ$313,HLOOKUP(INDIRECT(ADDRESS(2,COLUMN())),OFFSET($BN$2,0,0,ROW()-1,60),ROW()-1,FALSE))</f>
        <v>2.5891399690000001</v>
      </c>
      <c r="AK100">
        <f ca="1">IF(AND(ISNUMBER($AK$313),$B$226=1),$AK$313,HLOOKUP(INDIRECT(ADDRESS(2,COLUMN())),OFFSET($BN$2,0,0,ROW()-1,60),ROW()-1,FALSE))</f>
        <v>-3.3261926819999998</v>
      </c>
      <c r="AL100">
        <f ca="1">IF(AND(ISNUMBER($AL$313),$B$226=1),$AL$313,HLOOKUP(INDIRECT(ADDRESS(2,COLUMN())),OFFSET($BN$2,0,0,ROW()-1,60),ROW()-1,FALSE))</f>
        <v>-3.736050461</v>
      </c>
      <c r="AM100">
        <f ca="1">IF(AND(ISNUMBER($AM$313),$B$226=1),$AM$313,HLOOKUP(INDIRECT(ADDRESS(2,COLUMN())),OFFSET($BN$2,0,0,ROW()-1,60),ROW()-1,FALSE))</f>
        <v>-3.7745920389999998</v>
      </c>
      <c r="AN100">
        <f ca="1">IF(AND(ISNUMBER($AN$313),$B$226=1),$AN$313,HLOOKUP(INDIRECT(ADDRESS(2,COLUMN())),OFFSET($BN$2,0,0,ROW()-1,60),ROW()-1,FALSE))</f>
        <v>-1.50988349</v>
      </c>
      <c r="AO100">
        <f ca="1">IF(AND(ISNUMBER($AO$313),$B$226=1),$AO$313,HLOOKUP(INDIRECT(ADDRESS(2,COLUMN())),OFFSET($BN$2,0,0,ROW()-1,60),ROW()-1,FALSE))</f>
        <v>2.0532364319999998</v>
      </c>
      <c r="AP100">
        <f ca="1">IF(AND(ISNUMBER($AP$313),$B$226=1),$AP$313,HLOOKUP(INDIRECT(ADDRESS(2,COLUMN())),OFFSET($BN$2,0,0,ROW()-1,60),ROW()-1,FALSE))</f>
        <v>2.3227062549999999</v>
      </c>
      <c r="AQ100">
        <f ca="1">IF(AND(ISNUMBER($AQ$313),$B$226=1),$AQ$313,HLOOKUP(INDIRECT(ADDRESS(2,COLUMN())),OFFSET($BN$2,0,0,ROW()-1,60),ROW()-1,FALSE))</f>
        <v>2.3571651579999999</v>
      </c>
      <c r="AR100">
        <f ca="1">IF(AND(ISNUMBER($AR$313),$B$226=1),$AR$313,HLOOKUP(INDIRECT(ADDRESS(2,COLUMN())),OFFSET($BN$2,0,0,ROW()-1,60),ROW()-1,FALSE))</f>
        <v>7.2424179479999999</v>
      </c>
      <c r="AS100">
        <f ca="1">IF(AND(ISNUMBER($AS$313),$B$226=1),$AS$313,HLOOKUP(INDIRECT(ADDRESS(2,COLUMN())),OFFSET($BN$2,0,0,ROW()-1,60),ROW()-1,FALSE))</f>
        <v>3.1845386279999999</v>
      </c>
      <c r="AT100">
        <f ca="1">IF(AND(ISNUMBER($AT$313),$B$226=1),$AT$313,HLOOKUP(INDIRECT(ADDRESS(2,COLUMN())),OFFSET($BN$2,0,0,ROW()-1,60),ROW()-1,FALSE))</f>
        <v>10.59017311</v>
      </c>
      <c r="AU100">
        <f ca="1">IF(AND(ISNUMBER($AU$313),$B$226=1),$AU$313,HLOOKUP(INDIRECT(ADDRESS(2,COLUMN())),OFFSET($BN$2,0,0,ROW()-1,60),ROW()-1,FALSE))</f>
        <v>12.546392880000001</v>
      </c>
      <c r="AV100">
        <f ca="1">IF(AND(ISNUMBER($AV$313),$B$226=1),$AV$313,HLOOKUP(INDIRECT(ADDRESS(2,COLUMN())),OFFSET($BN$2,0,0,ROW()-1,60),ROW()-1,FALSE))</f>
        <v>6.4950004420000003</v>
      </c>
      <c r="AW100">
        <f ca="1">IF(AND(ISNUMBER($AW$313),$B$226=1),$AW$313,HLOOKUP(INDIRECT(ADDRESS(2,COLUMN())),OFFSET($BN$2,0,0,ROW()-1,60),ROW()-1,FALSE))</f>
        <v>15.51499501</v>
      </c>
      <c r="AX100">
        <f ca="1">IF(AND(ISNUMBER($AX$313),$B$226=1),$AX$313,HLOOKUP(INDIRECT(ADDRESS(2,COLUMN())),OFFSET($BN$2,0,0,ROW()-1,60),ROW()-1,FALSE))</f>
        <v>8.7032334319999993</v>
      </c>
      <c r="AY100">
        <f ca="1">IF(AND(ISNUMBER($AY$313),$B$226=1),$AY$313,HLOOKUP(INDIRECT(ADDRESS(2,COLUMN())),OFFSET($BN$2,0,0,ROW()-1,60),ROW()-1,FALSE))</f>
        <v>23.761636200000002</v>
      </c>
      <c r="AZ100">
        <f ca="1">IF(AND(ISNUMBER($AZ$313),$B$226=1),$AZ$313,HLOOKUP(INDIRECT(ADDRESS(2,COLUMN())),OFFSET($BN$2,0,0,ROW()-1,60),ROW()-1,FALSE))</f>
        <v>2.2021252539999998</v>
      </c>
      <c r="BA100">
        <f ca="1">IF(AND(ISNUMBER($BA$313),$B$226=1),$BA$313,HLOOKUP(INDIRECT(ADDRESS(2,COLUMN())),OFFSET($BN$2,0,0,ROW()-1,60),ROW()-1,FALSE))</f>
        <v>2.6149065330000001</v>
      </c>
      <c r="BB100">
        <f ca="1">IF(AND(ISNUMBER($BB$313),$B$226=1),$BB$313,HLOOKUP(INDIRECT(ADDRESS(2,COLUMN())),OFFSET($BN$2,0,0,ROW()-1,60),ROW()-1,FALSE))</f>
        <v>8.7846701999999999E-2</v>
      </c>
      <c r="BC100">
        <f ca="1">IF(AND(ISNUMBER($BC$313),$B$226=1),$BC$313,HLOOKUP(INDIRECT(ADDRESS(2,COLUMN())),OFFSET($BN$2,0,0,ROW()-1,60),ROW()-1,FALSE))</f>
        <v>-3.8368602690000002</v>
      </c>
      <c r="BD100">
        <f ca="1">IF(AND(ISNUMBER($BD$313),$B$226=1),$BD$313,HLOOKUP(INDIRECT(ADDRESS(2,COLUMN())),OFFSET($BN$2,0,0,ROW()-1,60),ROW()-1,FALSE))</f>
        <v>0.215248669</v>
      </c>
      <c r="BE100">
        <f ca="1">IF(AND(ISNUMBER($BE$313),$B$226=1),$BE$313,HLOOKUP(INDIRECT(ADDRESS(2,COLUMN())),OFFSET($BN$2,0,0,ROW()-1,60),ROW()-1,FALSE))</f>
        <v>14.205539630000001</v>
      </c>
      <c r="BF100">
        <f ca="1">IF(AND(ISNUMBER($BF$313),$B$226=1),$BF$313,HLOOKUP(INDIRECT(ADDRESS(2,COLUMN())),OFFSET($BN$2,0,0,ROW()-1,60),ROW()-1,FALSE))</f>
        <v>25.254535140000002</v>
      </c>
      <c r="BG100">
        <f ca="1">IF(AND(ISNUMBER($BG$313),$B$226=1),$BG$313,HLOOKUP(INDIRECT(ADDRESS(2,COLUMN())),OFFSET($BN$2,0,0,ROW()-1,60),ROW()-1,FALSE))</f>
        <v>15.416290399999999</v>
      </c>
      <c r="BH100">
        <f ca="1">IF(AND(ISNUMBER($BH$313),$B$226=1),$BH$313,HLOOKUP(INDIRECT(ADDRESS(2,COLUMN())),OFFSET($BN$2,0,0,ROW()-1,60),ROW()-1,FALSE))</f>
        <v>36.818775760000001</v>
      </c>
      <c r="BI100">
        <f ca="1">IF(AND(ISNUMBER($BI$313),$B$226=1),$BI$313,HLOOKUP(INDIRECT(ADDRESS(2,COLUMN())),OFFSET($BN$2,0,0,ROW()-1,60),ROW()-1,FALSE))</f>
        <v>11.30214617</v>
      </c>
      <c r="BJ100">
        <f ca="1">IF(AND(ISNUMBER($BJ$313),$B$226=1),$BJ$313,HLOOKUP(INDIRECT(ADDRESS(2,COLUMN())),OFFSET($BN$2,0,0,ROW()-1,60),ROW()-1,FALSE))</f>
        <v>15.538610050000001</v>
      </c>
      <c r="BK100">
        <f ca="1">IF(AND(ISNUMBER($BK$313),$B$226=1),$BK$313,HLOOKUP(INDIRECT(ADDRESS(2,COLUMN())),OFFSET($BN$2,0,0,ROW()-1,60),ROW()-1,FALSE))</f>
        <v>30.168464289999999</v>
      </c>
      <c r="BL100">
        <f ca="1">IF(AND(ISNUMBER($BL$313),$B$226=1),$BL$313,HLOOKUP(INDIRECT(ADDRESS(2,COLUMN())),OFFSET($BN$2,0,0,ROW()-1,60),ROW()-1,FALSE))</f>
        <v>32.218468379999997</v>
      </c>
      <c r="BM100">
        <f ca="1">IF(AND(ISNUMBER($BM$313),$B$226=1),$BM$313,HLOOKUP(INDIRECT(ADDRESS(2,COLUMN())),OFFSET($BN$2,0,0,ROW()-1,60),ROW()-1,FALSE))</f>
        <v>28.111330129999999</v>
      </c>
      <c r="BN100" t="str">
        <f>""</f>
        <v/>
      </c>
      <c r="BO100">
        <f>4.870562063</f>
        <v>4.8705620630000004</v>
      </c>
      <c r="BP100">
        <f>4.617053143</f>
        <v>4.6170531429999997</v>
      </c>
      <c r="BQ100">
        <f>5.433004758</f>
        <v>5.433004758</v>
      </c>
      <c r="BR100">
        <f>6.747888301</f>
        <v>6.7478883009999997</v>
      </c>
      <c r="BS100">
        <f>5.886479633</f>
        <v>5.8864796330000004</v>
      </c>
      <c r="BT100">
        <f>8.057421231</f>
        <v>8.0574212309999993</v>
      </c>
      <c r="BU100">
        <f>8.585841533</f>
        <v>8.585841533</v>
      </c>
      <c r="BV100">
        <f>11.0752882</f>
        <v>11.075288199999999</v>
      </c>
      <c r="BW100">
        <f>11.27161007</f>
        <v>11.271610069999999</v>
      </c>
      <c r="BX100">
        <f>12.46082112</f>
        <v>12.46082112</v>
      </c>
      <c r="BY100">
        <f>14.00141654</f>
        <v>14.001416539999999</v>
      </c>
      <c r="BZ100">
        <f>75.68769448</f>
        <v>75.687694480000005</v>
      </c>
      <c r="CA100">
        <f>77.38396946</f>
        <v>77.383969460000003</v>
      </c>
      <c r="CB100">
        <f>75.69503988</f>
        <v>75.695039879999996</v>
      </c>
      <c r="CC100">
        <f>72.03195969</f>
        <v>72.031959689999994</v>
      </c>
      <c r="CD100">
        <f>8.786189656</f>
        <v>8.7861896559999995</v>
      </c>
      <c r="CE100">
        <f>9.734371406</f>
        <v>9.7343714059999993</v>
      </c>
      <c r="CF100">
        <f>11.44184969</f>
        <v>11.44184969</v>
      </c>
      <c r="CG100">
        <f>13.77026426</f>
        <v>13.770264259999999</v>
      </c>
      <c r="CH100">
        <f>15.7030285</f>
        <v>15.7030285</v>
      </c>
      <c r="CI100">
        <f>15.17391968</f>
        <v>15.173919679999999</v>
      </c>
      <c r="CJ100">
        <f>15.92400517</f>
        <v>15.924005169999999</v>
      </c>
      <c r="CK100">
        <f>13.95646717</f>
        <v>13.95646717</v>
      </c>
      <c r="CL100">
        <f>13.77365874</f>
        <v>13.77365874</v>
      </c>
      <c r="CM100">
        <f>14.74985491</f>
        <v>14.74985491</v>
      </c>
      <c r="CN100">
        <f>14.22354712</f>
        <v>14.223547119999999</v>
      </c>
      <c r="CO100">
        <f>16.11119429</f>
        <v>16.11119429</v>
      </c>
      <c r="CP100">
        <f>11.11638204</f>
        <v>11.11638204</v>
      </c>
      <c r="CQ100">
        <f>7.533283144</f>
        <v>7.5332831440000003</v>
      </c>
      <c r="CR100">
        <f>2.589139969</f>
        <v>2.5891399690000001</v>
      </c>
      <c r="CS100">
        <f>-3.326192682</f>
        <v>-3.3261926819999998</v>
      </c>
      <c r="CT100">
        <f>-3.736050461</f>
        <v>-3.736050461</v>
      </c>
      <c r="CU100">
        <f>-3.774592039</f>
        <v>-3.7745920389999998</v>
      </c>
      <c r="CV100">
        <f>-1.50988349</f>
        <v>-1.50988349</v>
      </c>
      <c r="CW100">
        <f>2.053236432</f>
        <v>2.0532364319999998</v>
      </c>
      <c r="CX100">
        <f>2.322706255</f>
        <v>2.3227062549999999</v>
      </c>
      <c r="CY100">
        <f>2.357165158</f>
        <v>2.3571651579999999</v>
      </c>
      <c r="CZ100">
        <f>7.242417948</f>
        <v>7.2424179479999999</v>
      </c>
      <c r="DA100">
        <f>3.184538628</f>
        <v>3.1845386279999999</v>
      </c>
      <c r="DB100">
        <f>10.59017311</f>
        <v>10.59017311</v>
      </c>
      <c r="DC100">
        <f>12.54639288</f>
        <v>12.546392880000001</v>
      </c>
      <c r="DD100">
        <f>6.495000442</f>
        <v>6.4950004420000003</v>
      </c>
      <c r="DE100">
        <f>15.51499501</f>
        <v>15.51499501</v>
      </c>
      <c r="DF100">
        <f>8.703233432</f>
        <v>8.7032334319999993</v>
      </c>
      <c r="DG100">
        <f>23.7616362</f>
        <v>23.761636200000002</v>
      </c>
      <c r="DH100">
        <f>2.202125254</f>
        <v>2.2021252539999998</v>
      </c>
      <c r="DI100">
        <f>2.614906533</f>
        <v>2.6149065330000001</v>
      </c>
      <c r="DJ100">
        <f>0.087846702</f>
        <v>8.7846701999999999E-2</v>
      </c>
      <c r="DK100">
        <f>-3.836860269</f>
        <v>-3.8368602690000002</v>
      </c>
      <c r="DL100">
        <f>0.215248669</f>
        <v>0.215248669</v>
      </c>
      <c r="DM100">
        <f>14.20553963</f>
        <v>14.205539630000001</v>
      </c>
      <c r="DN100">
        <f>25.25453514</f>
        <v>25.254535140000002</v>
      </c>
      <c r="DO100">
        <f>15.4162904</f>
        <v>15.416290399999999</v>
      </c>
      <c r="DP100">
        <f>36.81877576</f>
        <v>36.818775760000001</v>
      </c>
      <c r="DQ100">
        <f>11.30214617</f>
        <v>11.30214617</v>
      </c>
      <c r="DR100">
        <f>15.53861005</f>
        <v>15.538610050000001</v>
      </c>
      <c r="DS100">
        <f>30.16846429</f>
        <v>30.168464289999999</v>
      </c>
      <c r="DT100">
        <f>32.21846838</f>
        <v>32.218468379999997</v>
      </c>
      <c r="DU100">
        <f>28.11133013</f>
        <v>28.111330129999999</v>
      </c>
    </row>
    <row r="101" spans="1:125">
      <c r="A101" t="str">
        <f>"    Mid-America Apartment Communit"</f>
        <v xml:space="preserve">    Mid-America Apartment Communit</v>
      </c>
      <c r="B101" t="str">
        <f>"MAA US Equity"</f>
        <v>MAA US Equity</v>
      </c>
      <c r="C101" t="str">
        <f t="shared" si="30"/>
        <v>RR033</v>
      </c>
      <c r="D101" t="str">
        <f t="shared" si="31"/>
        <v>SALES_GROWTH</v>
      </c>
      <c r="E101" t="str">
        <f t="shared" si="32"/>
        <v>动态</v>
      </c>
      <c r="F101" t="str">
        <f ca="1">IF(AND(ISNUMBER($F$314),$B$226=1),$F$314,HLOOKUP(INDIRECT(ADDRESS(2,COLUMN())),OFFSET($BN$2,0,0,ROW()-1,60),ROW()-1,FALSE))</f>
        <v/>
      </c>
      <c r="G101">
        <f ca="1">IF(AND(ISNUMBER($G$314),$B$226=1),$G$314,HLOOKUP(INDIRECT(ADDRESS(2,COLUMN())),OFFSET($BN$2,0,0,ROW()-1,60),ROW()-1,FALSE))</f>
        <v>24.590003840000001</v>
      </c>
      <c r="H101">
        <f ca="1">IF(AND(ISNUMBER($H$314),$B$226=1),$H$314,HLOOKUP(INDIRECT(ADDRESS(2,COLUMN())),OFFSET($BN$2,0,0,ROW()-1,60),ROW()-1,FALSE))</f>
        <v>38.877853940000001</v>
      </c>
      <c r="I101">
        <f ca="1">IF(AND(ISNUMBER($I$314),$B$226=1),$I$314,HLOOKUP(INDIRECT(ADDRESS(2,COLUMN())),OFFSET($BN$2,0,0,ROW()-1,60),ROW()-1,FALSE))</f>
        <v>40.609985450000003</v>
      </c>
      <c r="J101">
        <f ca="1">IF(AND(ISNUMBER($J$314),$B$226=1),$J$314,HLOOKUP(INDIRECT(ADDRESS(2,COLUMN())),OFFSET($BN$2,0,0,ROW()-1,60),ROW()-1,FALSE))</f>
        <v>40.849614889999998</v>
      </c>
      <c r="K101">
        <f ca="1">IF(AND(ISNUMBER($K$314),$B$226=1),$K$314,HLOOKUP(INDIRECT(ADDRESS(2,COLUMN())),OFFSET($BN$2,0,0,ROW()-1,60),ROW()-1,FALSE))</f>
        <v>16.655844030000001</v>
      </c>
      <c r="L101">
        <f ca="1">IF(AND(ISNUMBER($L$314),$B$226=1),$L$314,HLOOKUP(INDIRECT(ADDRESS(2,COLUMN())),OFFSET($BN$2,0,0,ROW()-1,60),ROW()-1,FALSE))</f>
        <v>5.6870663129999999</v>
      </c>
      <c r="M101">
        <f ca="1">IF(AND(ISNUMBER($M$314),$B$226=1),$M$314,HLOOKUP(INDIRECT(ADDRESS(2,COLUMN())),OFFSET($BN$2,0,0,ROW()-1,60),ROW()-1,FALSE))</f>
        <v>5.1546789960000003</v>
      </c>
      <c r="N101">
        <f ca="1">IF(AND(ISNUMBER($N$314),$B$226=1),$N$314,HLOOKUP(INDIRECT(ADDRESS(2,COLUMN())),OFFSET($BN$2,0,0,ROW()-1,60),ROW()-1,FALSE))</f>
        <v>4.047154924</v>
      </c>
      <c r="O101">
        <f ca="1">IF(AND(ISNUMBER($O$314),$B$226=1),$O$314,HLOOKUP(INDIRECT(ADDRESS(2,COLUMN())),OFFSET($BN$2,0,0,ROW()-1,60),ROW()-1,FALSE))</f>
        <v>3.9957507140000001</v>
      </c>
      <c r="P101">
        <f ca="1">IF(AND(ISNUMBER($P$314),$B$226=1),$P$314,HLOOKUP(INDIRECT(ADDRESS(2,COLUMN())),OFFSET($BN$2,0,0,ROW()-1,60),ROW()-1,FALSE))</f>
        <v>4.9780826530000004</v>
      </c>
      <c r="Q101">
        <f ca="1">IF(AND(ISNUMBER($Q$314),$B$226=1),$Q$314,HLOOKUP(INDIRECT(ADDRESS(2,COLUMN())),OFFSET($BN$2,0,0,ROW()-1,60),ROW()-1,FALSE))</f>
        <v>5.538411365</v>
      </c>
      <c r="R101">
        <f ca="1">IF(AND(ISNUMBER($R$314),$B$226=1),$R$314,HLOOKUP(INDIRECT(ADDRESS(2,COLUMN())),OFFSET($BN$2,0,0,ROW()-1,60),ROW()-1,FALSE))</f>
        <v>6.1871886380000003</v>
      </c>
      <c r="S101">
        <f ca="1">IF(AND(ISNUMBER($S$314),$B$226=1),$S$314,HLOOKUP(INDIRECT(ADDRESS(2,COLUMN())),OFFSET($BN$2,0,0,ROW()-1,60),ROW()-1,FALSE))</f>
        <v>5.6809692539999999</v>
      </c>
      <c r="T101">
        <f ca="1">IF(AND(ISNUMBER($T$314),$B$226=1),$T$314,HLOOKUP(INDIRECT(ADDRESS(2,COLUMN())),OFFSET($BN$2,0,0,ROW()-1,60),ROW()-1,FALSE))</f>
        <v>84.315318379999994</v>
      </c>
      <c r="U101">
        <f ca="1">IF(AND(ISNUMBER($U$314),$B$226=1),$U$314,HLOOKUP(INDIRECT(ADDRESS(2,COLUMN())),OFFSET($BN$2,0,0,ROW()-1,60),ROW()-1,FALSE))</f>
        <v>86.117707760000002</v>
      </c>
      <c r="V101">
        <f ca="1">IF(AND(ISNUMBER($V$314),$B$226=1),$V$314,HLOOKUP(INDIRECT(ADDRESS(2,COLUMN())),OFFSET($BN$2,0,0,ROW()-1,60),ROW()-1,FALSE))</f>
        <v>90.343183240000002</v>
      </c>
      <c r="W101">
        <f ca="1">IF(AND(ISNUMBER($W$314),$B$226=1),$W$314,HLOOKUP(INDIRECT(ADDRESS(2,COLUMN())),OFFSET($BN$2,0,0,ROW()-1,60),ROW()-1,FALSE))</f>
        <v>90.134105700000006</v>
      </c>
      <c r="X101">
        <f ca="1">IF(AND(ISNUMBER($X$314),$B$226=1),$X$314,HLOOKUP(INDIRECT(ADDRESS(2,COLUMN())),OFFSET($BN$2,0,0,ROW()-1,60),ROW()-1,FALSE))</f>
        <v>9.9163893170000001</v>
      </c>
      <c r="Y101">
        <f ca="1">IF(AND(ISNUMBER($Y$314),$B$226=1),$Y$314,HLOOKUP(INDIRECT(ADDRESS(2,COLUMN())),OFFSET($BN$2,0,0,ROW()-1,60),ROW()-1,FALSE))</f>
        <v>10.7496975</v>
      </c>
      <c r="Z101">
        <f ca="1">IF(AND(ISNUMBER($Z$314),$B$226=1),$Z$314,HLOOKUP(INDIRECT(ADDRESS(2,COLUMN())),OFFSET($BN$2,0,0,ROW()-1,60),ROW()-1,FALSE))</f>
        <v>10.004643720000001</v>
      </c>
      <c r="AA101">
        <f ca="1">IF(AND(ISNUMBER($AA$314),$B$226=1),$AA$314,HLOOKUP(INDIRECT(ADDRESS(2,COLUMN())),OFFSET($BN$2,0,0,ROW()-1,60),ROW()-1,FALSE))</f>
        <v>11.482661</v>
      </c>
      <c r="AB101">
        <f ca="1">IF(AND(ISNUMBER($AB$314),$B$226=1),$AB$314,HLOOKUP(INDIRECT(ADDRESS(2,COLUMN())),OFFSET($BN$2,0,0,ROW()-1,60),ROW()-1,FALSE))</f>
        <v>11.665050170000001</v>
      </c>
      <c r="AC101">
        <f ca="1">IF(AND(ISNUMBER($AC$314),$B$226=1),$AC$314,HLOOKUP(INDIRECT(ADDRESS(2,COLUMN())),OFFSET($BN$2,0,0,ROW()-1,60),ROW()-1,FALSE))</f>
        <v>11.013889799999999</v>
      </c>
      <c r="AD101">
        <f ca="1">IF(AND(ISNUMBER($AD$314),$B$226=1),$AD$314,HLOOKUP(INDIRECT(ADDRESS(2,COLUMN())),OFFSET($BN$2,0,0,ROW()-1,60),ROW()-1,FALSE))</f>
        <v>10.80661299</v>
      </c>
      <c r="AE101">
        <f ca="1">IF(AND(ISNUMBER($AE$314),$B$226=1),$AE$314,HLOOKUP(INDIRECT(ADDRESS(2,COLUMN())),OFFSET($BN$2,0,0,ROW()-1,60),ROW()-1,FALSE))</f>
        <v>8.1929555900000004</v>
      </c>
      <c r="AF101">
        <f ca="1">IF(AND(ISNUMBER($AF$314),$B$226=1),$AF$314,HLOOKUP(INDIRECT(ADDRESS(2,COLUMN())),OFFSET($BN$2,0,0,ROW()-1,60),ROW()-1,FALSE))</f>
        <v>9.3575598969999998</v>
      </c>
      <c r="AG101">
        <f ca="1">IF(AND(ISNUMBER($AG$314),$B$226=1),$AG$314,HLOOKUP(INDIRECT(ADDRESS(2,COLUMN())),OFFSET($BN$2,0,0,ROW()-1,60),ROW()-1,FALSE))</f>
        <v>8.9496417499999996</v>
      </c>
      <c r="AH101">
        <f ca="1">IF(AND(ISNUMBER($AH$314),$B$226=1),$AH$314,HLOOKUP(INDIRECT(ADDRESS(2,COLUMN())),OFFSET($BN$2,0,0,ROW()-1,60),ROW()-1,FALSE))</f>
        <v>7.6756546009999997</v>
      </c>
      <c r="AI101">
        <f ca="1">IF(AND(ISNUMBER($AI$314),$B$226=1),$AI$314,HLOOKUP(INDIRECT(ADDRESS(2,COLUMN())),OFFSET($BN$2,0,0,ROW()-1,60),ROW()-1,FALSE))</f>
        <v>9.6108855529999992</v>
      </c>
      <c r="AJ101">
        <f ca="1">IF(AND(ISNUMBER($AJ$314),$B$226=1),$AJ$314,HLOOKUP(INDIRECT(ADDRESS(2,COLUMN())),OFFSET($BN$2,0,0,ROW()-1,60),ROW()-1,FALSE))</f>
        <v>6.1916441229999997</v>
      </c>
      <c r="AK101">
        <f ca="1">IF(AND(ISNUMBER($AK$314),$B$226=1),$AK$314,HLOOKUP(INDIRECT(ADDRESS(2,COLUMN())),OFFSET($BN$2,0,0,ROW()-1,60),ROW()-1,FALSE))</f>
        <v>4.0534252659999996</v>
      </c>
      <c r="AL101">
        <f ca="1">IF(AND(ISNUMBER($AL$314),$B$226=1),$AL$314,HLOOKUP(INDIRECT(ADDRESS(2,COLUMN())),OFFSET($BN$2,0,0,ROW()-1,60),ROW()-1,FALSE))</f>
        <v>4.0570550049999996</v>
      </c>
      <c r="AM101">
        <f ca="1">IF(AND(ISNUMBER($AM$314),$B$226=1),$AM$314,HLOOKUP(INDIRECT(ADDRESS(2,COLUMN())),OFFSET($BN$2,0,0,ROW()-1,60),ROW()-1,FALSE))</f>
        <v>1.4549982969999999</v>
      </c>
      <c r="AN101">
        <f ca="1">IF(AND(ISNUMBER($AN$314),$B$226=1),$AN$314,HLOOKUP(INDIRECT(ADDRESS(2,COLUMN())),OFFSET($BN$2,0,0,ROW()-1,60),ROW()-1,FALSE))</f>
        <v>1.2868901399999999</v>
      </c>
      <c r="AO101">
        <f ca="1">IF(AND(ISNUMBER($AO$314),$B$226=1),$AO$314,HLOOKUP(INDIRECT(ADDRESS(2,COLUMN())),OFFSET($BN$2,0,0,ROW()-1,60),ROW()-1,FALSE))</f>
        <v>3.418784724</v>
      </c>
      <c r="AP101">
        <f ca="1">IF(AND(ISNUMBER($AP$314),$B$226=1),$AP$314,HLOOKUP(INDIRECT(ADDRESS(2,COLUMN())),OFFSET($BN$2,0,0,ROW()-1,60),ROW()-1,FALSE))</f>
        <v>3.2121566079999999</v>
      </c>
      <c r="AQ101">
        <f ca="1">IF(AND(ISNUMBER($AQ$314),$B$226=1),$AQ$314,HLOOKUP(INDIRECT(ADDRESS(2,COLUMN())),OFFSET($BN$2,0,0,ROW()-1,60),ROW()-1,FALSE))</f>
        <v>4.8173684090000002</v>
      </c>
      <c r="AR101">
        <f ca="1">IF(AND(ISNUMBER($AR$314),$B$226=1),$AR$314,HLOOKUP(INDIRECT(ADDRESS(2,COLUMN())),OFFSET($BN$2,0,0,ROW()-1,60),ROW()-1,FALSE))</f>
        <v>6.0719496060000004</v>
      </c>
      <c r="AS101">
        <f ca="1">IF(AND(ISNUMBER($AS$314),$B$226=1),$AS$314,HLOOKUP(INDIRECT(ADDRESS(2,COLUMN())),OFFSET($BN$2,0,0,ROW()-1,60),ROW()-1,FALSE))</f>
        <v>5.3665057210000002</v>
      </c>
      <c r="AT101">
        <f ca="1">IF(AND(ISNUMBER($AT$314),$B$226=1),$AT$314,HLOOKUP(INDIRECT(ADDRESS(2,COLUMN())),OFFSET($BN$2,0,0,ROW()-1,60),ROW()-1,FALSE))</f>
        <v>6.7748349829999999</v>
      </c>
      <c r="AU101">
        <f ca="1">IF(AND(ISNUMBER($AU$314),$B$226=1),$AU$314,HLOOKUP(INDIRECT(ADDRESS(2,COLUMN())),OFFSET($BN$2,0,0,ROW()-1,60),ROW()-1,FALSE))</f>
        <v>6.1109006529999998</v>
      </c>
      <c r="AV101">
        <f ca="1">IF(AND(ISNUMBER($AV$314),$B$226=1),$AV$314,HLOOKUP(INDIRECT(ADDRESS(2,COLUMN())),OFFSET($BN$2,0,0,ROW()-1,60),ROW()-1,FALSE))</f>
        <v>7.5928111649999996</v>
      </c>
      <c r="AW101">
        <f ca="1">IF(AND(ISNUMBER($AW$314),$B$226=1),$AW$314,HLOOKUP(INDIRECT(ADDRESS(2,COLUMN())),OFFSET($BN$2,0,0,ROW()-1,60),ROW()-1,FALSE))</f>
        <v>8.7524280969999992</v>
      </c>
      <c r="AX101">
        <f ca="1">IF(AND(ISNUMBER($AX$314),$B$226=1),$AX$314,HLOOKUP(INDIRECT(ADDRESS(2,COLUMN())),OFFSET($BN$2,0,0,ROW()-1,60),ROW()-1,FALSE))</f>
        <v>9.8202633380000002</v>
      </c>
      <c r="AY101">
        <f ca="1">IF(AND(ISNUMBER($AY$314),$B$226=1),$AY$314,HLOOKUP(INDIRECT(ADDRESS(2,COLUMN())),OFFSET($BN$2,0,0,ROW()-1,60),ROW()-1,FALSE))</f>
        <v>9.5033769330000002</v>
      </c>
      <c r="AZ101">
        <f ca="1">IF(AND(ISNUMBER($AZ$314),$B$226=1),$AZ$314,HLOOKUP(INDIRECT(ADDRESS(2,COLUMN())),OFFSET($BN$2,0,0,ROW()-1,60),ROW()-1,FALSE))</f>
        <v>9.6914124019999992</v>
      </c>
      <c r="BA101">
        <f ca="1">IF(AND(ISNUMBER($BA$314),$B$226=1),$BA$314,HLOOKUP(INDIRECT(ADDRESS(2,COLUMN())),OFFSET($BN$2,0,0,ROW()-1,60),ROW()-1,FALSE))</f>
        <v>10.03626736</v>
      </c>
      <c r="BB101">
        <f ca="1">IF(AND(ISNUMBER($BB$314),$B$226=1),$BB$314,HLOOKUP(INDIRECT(ADDRESS(2,COLUMN())),OFFSET($BN$2,0,0,ROW()-1,60),ROW()-1,FALSE))</f>
        <v>7.9477773279999999</v>
      </c>
      <c r="BC101">
        <f ca="1">IF(AND(ISNUMBER($BC$314),$B$226=1),$BC$314,HLOOKUP(INDIRECT(ADDRESS(2,COLUMN())),OFFSET($BN$2,0,0,ROW()-1,60),ROW()-1,FALSE))</f>
        <v>12.04374954</v>
      </c>
      <c r="BD101">
        <f ca="1">IF(AND(ISNUMBER($BD$314),$B$226=1),$BD$314,HLOOKUP(INDIRECT(ADDRESS(2,COLUMN())),OFFSET($BN$2,0,0,ROW()-1,60),ROW()-1,FALSE))</f>
        <v>10.697085059999999</v>
      </c>
      <c r="BE101">
        <f ca="1">IF(AND(ISNUMBER($BE$314),$B$226=1),$BE$314,HLOOKUP(INDIRECT(ADDRESS(2,COLUMN())),OFFSET($BN$2,0,0,ROW()-1,60),ROW()-1,FALSE))</f>
        <v>9.5389817739999998</v>
      </c>
      <c r="BF101">
        <f ca="1">IF(AND(ISNUMBER($BF$314),$B$226=1),$BF$314,HLOOKUP(INDIRECT(ADDRESS(2,COLUMN())),OFFSET($BN$2,0,0,ROW()-1,60),ROW()-1,FALSE))</f>
        <v>9.2148608809999999</v>
      </c>
      <c r="BG101">
        <f ca="1">IF(AND(ISNUMBER($BG$314),$B$226=1),$BG$314,HLOOKUP(INDIRECT(ADDRESS(2,COLUMN())),OFFSET($BN$2,0,0,ROW()-1,60),ROW()-1,FALSE))</f>
        <v>8.1834041810000002</v>
      </c>
      <c r="BH101">
        <f ca="1">IF(AND(ISNUMBER($BH$314),$B$226=1),$BH$314,HLOOKUP(INDIRECT(ADDRESS(2,COLUMN())),OFFSET($BN$2,0,0,ROW()-1,60),ROW()-1,FALSE))</f>
        <v>13.686295230000001</v>
      </c>
      <c r="BI101">
        <f ca="1">IF(AND(ISNUMBER($BI$314),$B$226=1),$BI$314,HLOOKUP(INDIRECT(ADDRESS(2,COLUMN())),OFFSET($BN$2,0,0,ROW()-1,60),ROW()-1,FALSE))</f>
        <v>13.52093191</v>
      </c>
      <c r="BJ101">
        <f ca="1">IF(AND(ISNUMBER($BJ$314),$B$226=1),$BJ$314,HLOOKUP(INDIRECT(ADDRESS(2,COLUMN())),OFFSET($BN$2,0,0,ROW()-1,60),ROW()-1,FALSE))</f>
        <v>13.620068760000001</v>
      </c>
      <c r="BK101">
        <f ca="1">IF(AND(ISNUMBER($BK$314),$B$226=1),$BK$314,HLOOKUP(INDIRECT(ADDRESS(2,COLUMN())),OFFSET($BN$2,0,0,ROW()-1,60),ROW()-1,FALSE))</f>
        <v>9.2980880819999996</v>
      </c>
      <c r="BL101">
        <f ca="1">IF(AND(ISNUMBER($BL$314),$B$226=1),$BL$314,HLOOKUP(INDIRECT(ADDRESS(2,COLUMN())),OFFSET($BN$2,0,0,ROW()-1,60),ROW()-1,FALSE))</f>
        <v>-0.102359257</v>
      </c>
      <c r="BM101">
        <f ca="1">IF(AND(ISNUMBER($BM$314),$B$226=1),$BM$314,HLOOKUP(INDIRECT(ADDRESS(2,COLUMN())),OFFSET($BN$2,0,0,ROW()-1,60),ROW()-1,FALSE))</f>
        <v>-2.5714872999999999E-2</v>
      </c>
      <c r="BN101" t="str">
        <f>""</f>
        <v/>
      </c>
      <c r="BO101">
        <f>24.59000384</f>
        <v>24.590003840000001</v>
      </c>
      <c r="BP101">
        <f>38.87785394</f>
        <v>38.877853940000001</v>
      </c>
      <c r="BQ101">
        <f>40.60998545</f>
        <v>40.609985450000003</v>
      </c>
      <c r="BR101">
        <f>40.84961489</f>
        <v>40.849614889999998</v>
      </c>
      <c r="BS101">
        <f>16.65584403</f>
        <v>16.655844030000001</v>
      </c>
      <c r="BT101">
        <f>5.687066313</f>
        <v>5.6870663129999999</v>
      </c>
      <c r="BU101">
        <f>5.154678996</f>
        <v>5.1546789960000003</v>
      </c>
      <c r="BV101">
        <f>4.047154924</f>
        <v>4.047154924</v>
      </c>
      <c r="BW101">
        <f>3.995750714</f>
        <v>3.9957507140000001</v>
      </c>
      <c r="BX101">
        <f>4.978082653</f>
        <v>4.9780826530000004</v>
      </c>
      <c r="BY101">
        <f>5.538411365</f>
        <v>5.538411365</v>
      </c>
      <c r="BZ101">
        <f>6.187188638</f>
        <v>6.1871886380000003</v>
      </c>
      <c r="CA101">
        <f>5.680969254</f>
        <v>5.6809692539999999</v>
      </c>
      <c r="CB101">
        <f>84.31531838</f>
        <v>84.315318379999994</v>
      </c>
      <c r="CC101">
        <f>86.11770776</f>
        <v>86.117707760000002</v>
      </c>
      <c r="CD101">
        <f>90.34318324</f>
        <v>90.343183240000002</v>
      </c>
      <c r="CE101">
        <f>90.1341057</f>
        <v>90.134105700000006</v>
      </c>
      <c r="CF101">
        <f>9.916389317</f>
        <v>9.9163893170000001</v>
      </c>
      <c r="CG101">
        <f>10.7496975</f>
        <v>10.7496975</v>
      </c>
      <c r="CH101">
        <f>10.00464372</f>
        <v>10.004643720000001</v>
      </c>
      <c r="CI101">
        <f>11.482661</f>
        <v>11.482661</v>
      </c>
      <c r="CJ101">
        <f>11.66505017</f>
        <v>11.665050170000001</v>
      </c>
      <c r="CK101">
        <f>11.0138898</f>
        <v>11.013889799999999</v>
      </c>
      <c r="CL101">
        <f>10.80661299</f>
        <v>10.80661299</v>
      </c>
      <c r="CM101">
        <f>8.19295559</f>
        <v>8.1929555900000004</v>
      </c>
      <c r="CN101">
        <f>9.357559897</f>
        <v>9.3575598969999998</v>
      </c>
      <c r="CO101">
        <f>8.94964175</f>
        <v>8.9496417499999996</v>
      </c>
      <c r="CP101">
        <f>7.675654601</f>
        <v>7.6756546009999997</v>
      </c>
      <c r="CQ101">
        <f>9.610885553</f>
        <v>9.6108855529999992</v>
      </c>
      <c r="CR101">
        <f>6.191644123</f>
        <v>6.1916441229999997</v>
      </c>
      <c r="CS101">
        <f>4.053425266</f>
        <v>4.0534252659999996</v>
      </c>
      <c r="CT101">
        <f>4.057055005</f>
        <v>4.0570550049999996</v>
      </c>
      <c r="CU101">
        <f>1.454998297</f>
        <v>1.4549982969999999</v>
      </c>
      <c r="CV101">
        <f>1.28689014</f>
        <v>1.2868901399999999</v>
      </c>
      <c r="CW101">
        <f>3.418784724</f>
        <v>3.418784724</v>
      </c>
      <c r="CX101">
        <f>3.212156608</f>
        <v>3.2121566079999999</v>
      </c>
      <c r="CY101">
        <f>4.817368409</f>
        <v>4.8173684090000002</v>
      </c>
      <c r="CZ101">
        <f>6.071949606</f>
        <v>6.0719496060000004</v>
      </c>
      <c r="DA101">
        <f>5.366505721</f>
        <v>5.3665057210000002</v>
      </c>
      <c r="DB101">
        <f>6.774834983</f>
        <v>6.7748349829999999</v>
      </c>
      <c r="DC101">
        <f>6.110900653</f>
        <v>6.1109006529999998</v>
      </c>
      <c r="DD101">
        <f>7.592811165</f>
        <v>7.5928111649999996</v>
      </c>
      <c r="DE101">
        <f>8.752428097</f>
        <v>8.7524280969999992</v>
      </c>
      <c r="DF101">
        <f>9.820263338</f>
        <v>9.8202633380000002</v>
      </c>
      <c r="DG101">
        <f>9.503376933</f>
        <v>9.5033769330000002</v>
      </c>
      <c r="DH101">
        <f>9.691412402</f>
        <v>9.6914124019999992</v>
      </c>
      <c r="DI101">
        <f>10.03626736</f>
        <v>10.03626736</v>
      </c>
      <c r="DJ101">
        <f>7.947777328</f>
        <v>7.9477773279999999</v>
      </c>
      <c r="DK101">
        <f>12.04374954</f>
        <v>12.04374954</v>
      </c>
      <c r="DL101">
        <f>10.69708506</f>
        <v>10.697085059999999</v>
      </c>
      <c r="DM101">
        <f>9.538981774</f>
        <v>9.5389817739999998</v>
      </c>
      <c r="DN101">
        <f>9.214860881</f>
        <v>9.2148608809999999</v>
      </c>
      <c r="DO101">
        <f>8.183404181</f>
        <v>8.1834041810000002</v>
      </c>
      <c r="DP101">
        <f>13.68629523</f>
        <v>13.686295230000001</v>
      </c>
      <c r="DQ101">
        <f>13.52093191</f>
        <v>13.52093191</v>
      </c>
      <c r="DR101">
        <f>13.62006876</f>
        <v>13.620068760000001</v>
      </c>
      <c r="DS101">
        <f>9.298088082</f>
        <v>9.2980880819999996</v>
      </c>
      <c r="DT101">
        <f>-0.102359257</f>
        <v>-0.102359257</v>
      </c>
      <c r="DU101">
        <f>-0.025714873</f>
        <v>-2.5714872999999999E-2</v>
      </c>
    </row>
    <row r="102" spans="1:125">
      <c r="A102" t="str">
        <f>"    UDR Inc"</f>
        <v xml:space="preserve">    UDR Inc</v>
      </c>
      <c r="B102" t="str">
        <f>"UDR US Equity"</f>
        <v>UDR US Equity</v>
      </c>
      <c r="C102" t="str">
        <f t="shared" si="30"/>
        <v>RR033</v>
      </c>
      <c r="D102" t="str">
        <f t="shared" si="31"/>
        <v>SALES_GROWTH</v>
      </c>
      <c r="E102" t="str">
        <f t="shared" si="32"/>
        <v>动态</v>
      </c>
      <c r="F102" t="str">
        <f ca="1">IF(AND(ISNUMBER($F$315),$B$226=1),$F$315,HLOOKUP(INDIRECT(ADDRESS(2,COLUMN())),OFFSET($BN$2,0,0,ROW()-1,60),ROW()-1,FALSE))</f>
        <v/>
      </c>
      <c r="G102">
        <f ca="1">IF(AND(ISNUMBER($G$315),$B$226=1),$G$315,HLOOKUP(INDIRECT(ADDRESS(2,COLUMN())),OFFSET($BN$2,0,0,ROW()-1,60),ROW()-1,FALSE))</f>
        <v>4.062417698</v>
      </c>
      <c r="H102">
        <f ca="1">IF(AND(ISNUMBER($H$315),$B$226=1),$H$315,HLOOKUP(INDIRECT(ADDRESS(2,COLUMN())),OFFSET($BN$2,0,0,ROW()-1,60),ROW()-1,FALSE))</f>
        <v>3.2225839870000001</v>
      </c>
      <c r="I102">
        <f ca="1">IF(AND(ISNUMBER($I$315),$B$226=1),$I$315,HLOOKUP(INDIRECT(ADDRESS(2,COLUMN())),OFFSET($BN$2,0,0,ROW()-1,60),ROW()-1,FALSE))</f>
        <v>3.8498906970000002</v>
      </c>
      <c r="J102">
        <f ca="1">IF(AND(ISNUMBER($J$315),$B$226=1),$J$315,HLOOKUP(INDIRECT(ADDRESS(2,COLUMN())),OFFSET($BN$2,0,0,ROW()-1,60),ROW()-1,FALSE))</f>
        <v>3.8438770949999999</v>
      </c>
      <c r="K102">
        <f ca="1">IF(AND(ISNUMBER($K$315),$B$226=1),$K$315,HLOOKUP(INDIRECT(ADDRESS(2,COLUMN())),OFFSET($BN$2,0,0,ROW()-1,60),ROW()-1,FALSE))</f>
        <v>2.2739420469999998</v>
      </c>
      <c r="L102">
        <f ca="1">IF(AND(ISNUMBER($L$315),$B$226=1),$L$315,HLOOKUP(INDIRECT(ADDRESS(2,COLUMN())),OFFSET($BN$2,0,0,ROW()-1,60),ROW()-1,FALSE))</f>
        <v>9.8609869119999995</v>
      </c>
      <c r="M102">
        <f ca="1">IF(AND(ISNUMBER($M$315),$B$226=1),$M$315,HLOOKUP(INDIRECT(ADDRESS(2,COLUMN())),OFFSET($BN$2,0,0,ROW()-1,60),ROW()-1,FALSE))</f>
        <v>10.619747800000001</v>
      </c>
      <c r="N102">
        <f ca="1">IF(AND(ISNUMBER($N$315),$B$226=1),$N$315,HLOOKUP(INDIRECT(ADDRESS(2,COLUMN())),OFFSET($BN$2,0,0,ROW()-1,60),ROW()-1,FALSE))</f>
        <v>6.8540588749999998</v>
      </c>
      <c r="O102">
        <f ca="1">IF(AND(ISNUMBER($O$315),$B$226=1),$O$315,HLOOKUP(INDIRECT(ADDRESS(2,COLUMN())),OFFSET($BN$2,0,0,ROW()-1,60),ROW()-1,FALSE))</f>
        <v>13.388753940000001</v>
      </c>
      <c r="P102">
        <f ca="1">IF(AND(ISNUMBER($P$315),$B$226=1),$P$315,HLOOKUP(INDIRECT(ADDRESS(2,COLUMN())),OFFSET($BN$2,0,0,ROW()-1,60),ROW()-1,FALSE))</f>
        <v>7.093522675</v>
      </c>
      <c r="Q102">
        <f ca="1">IF(AND(ISNUMBER($Q$315),$B$226=1),$Q$315,HLOOKUP(INDIRECT(ADDRESS(2,COLUMN())),OFFSET($BN$2,0,0,ROW()-1,60),ROW()-1,FALSE))</f>
        <v>5.9674236399999998</v>
      </c>
      <c r="R102">
        <f ca="1">IF(AND(ISNUMBER($R$315),$B$226=1),$R$315,HLOOKUP(INDIRECT(ADDRESS(2,COLUMN())),OFFSET($BN$2,0,0,ROW()-1,60),ROW()-1,FALSE))</f>
        <v>10.96450699</v>
      </c>
      <c r="S102">
        <f ca="1">IF(AND(ISNUMBER($S$315),$B$226=1),$S$315,HLOOKUP(INDIRECT(ADDRESS(2,COLUMN())),OFFSET($BN$2,0,0,ROW()-1,60),ROW()-1,FALSE))</f>
        <v>8.3410886380000004</v>
      </c>
      <c r="T102">
        <f ca="1">IF(AND(ISNUMBER($T$315),$B$226=1),$T$315,HLOOKUP(INDIRECT(ADDRESS(2,COLUMN())),OFFSET($BN$2,0,0,ROW()-1,60),ROW()-1,FALSE))</f>
        <v>8.1768903959999992</v>
      </c>
      <c r="U102">
        <f ca="1">IF(AND(ISNUMBER($U$315),$B$226=1),$U$315,HLOOKUP(INDIRECT(ADDRESS(2,COLUMN())),OFFSET($BN$2,0,0,ROW()-1,60),ROW()-1,FALSE))</f>
        <v>7.4954354040000002</v>
      </c>
      <c r="V102">
        <f ca="1">IF(AND(ISNUMBER($V$315),$B$226=1),$V$315,HLOOKUP(INDIRECT(ADDRESS(2,COLUMN())),OFFSET($BN$2,0,0,ROW()-1,60),ROW()-1,FALSE))</f>
        <v>7.115272279</v>
      </c>
      <c r="W102">
        <f ca="1">IF(AND(ISNUMBER($W$315),$B$226=1),$W$315,HLOOKUP(INDIRECT(ADDRESS(2,COLUMN())),OFFSET($BN$2,0,0,ROW()-1,60),ROW()-1,FALSE))</f>
        <v>5.6721701979999999</v>
      </c>
      <c r="X102">
        <f ca="1">IF(AND(ISNUMBER($X$315),$B$226=1),$X$315,HLOOKUP(INDIRECT(ADDRESS(2,COLUMN())),OFFSET($BN$2,0,0,ROW()-1,60),ROW()-1,FALSE))</f>
        <v>3.2622672700000002</v>
      </c>
      <c r="Y102">
        <f ca="1">IF(AND(ISNUMBER($Y$315),$B$226=1),$Y$315,HLOOKUP(INDIRECT(ADDRESS(2,COLUMN())),OFFSET($BN$2,0,0,ROW()-1,60),ROW()-1,FALSE))</f>
        <v>5.1667110640000002</v>
      </c>
      <c r="Z102">
        <f ca="1">IF(AND(ISNUMBER($Z$315),$B$226=1),$Z$315,HLOOKUP(INDIRECT(ADDRESS(2,COLUMN())),OFFSET($BN$2,0,0,ROW()-1,60),ROW()-1,FALSE))</f>
        <v>5.5087284780000001</v>
      </c>
      <c r="AA102">
        <f ca="1">IF(AND(ISNUMBER($AA$315),$B$226=1),$AA$315,HLOOKUP(INDIRECT(ADDRESS(2,COLUMN())),OFFSET($BN$2,0,0,ROW()-1,60),ROW()-1,FALSE))</f>
        <v>7.2337084840000001</v>
      </c>
      <c r="AB102">
        <f ca="1">IF(AND(ISNUMBER($AB$315),$B$226=1),$AB$315,HLOOKUP(INDIRECT(ADDRESS(2,COLUMN())),OFFSET($BN$2,0,0,ROW()-1,60),ROW()-1,FALSE))</f>
        <v>9.4613455720000008</v>
      </c>
      <c r="AC102">
        <f ca="1">IF(AND(ISNUMBER($AC$315),$B$226=1),$AC$315,HLOOKUP(INDIRECT(ADDRESS(2,COLUMN())),OFFSET($BN$2,0,0,ROW()-1,60),ROW()-1,FALSE))</f>
        <v>17.396573069999999</v>
      </c>
      <c r="AD102">
        <f ca="1">IF(AND(ISNUMBER($AD$315),$B$226=1),$AD$315,HLOOKUP(INDIRECT(ADDRESS(2,COLUMN())),OFFSET($BN$2,0,0,ROW()-1,60),ROW()-1,FALSE))</f>
        <v>23.100429930000001</v>
      </c>
      <c r="AE102">
        <f ca="1">IF(AND(ISNUMBER($AE$315),$B$226=1),$AE$315,HLOOKUP(INDIRECT(ADDRESS(2,COLUMN())),OFFSET($BN$2,0,0,ROW()-1,60),ROW()-1,FALSE))</f>
        <v>12.002283520000001</v>
      </c>
      <c r="AF102">
        <f ca="1">IF(AND(ISNUMBER($AF$315),$B$226=1),$AF$315,HLOOKUP(INDIRECT(ADDRESS(2,COLUMN())),OFFSET($BN$2,0,0,ROW()-1,60),ROW()-1,FALSE))</f>
        <v>11.000387310000001</v>
      </c>
      <c r="AG102">
        <f ca="1">IF(AND(ISNUMBER($AG$315),$B$226=1),$AG$315,HLOOKUP(INDIRECT(ADDRESS(2,COLUMN())),OFFSET($BN$2,0,0,ROW()-1,60),ROW()-1,FALSE))</f>
        <v>3.21916841</v>
      </c>
      <c r="AH102">
        <f ca="1">IF(AND(ISNUMBER($AH$315),$B$226=1),$AH$315,HLOOKUP(INDIRECT(ADDRESS(2,COLUMN())),OFFSET($BN$2,0,0,ROW()-1,60),ROW()-1,FALSE))</f>
        <v>-2.916302924</v>
      </c>
      <c r="AI102">
        <f ca="1">IF(AND(ISNUMBER($AI$315),$B$226=1),$AI$315,HLOOKUP(INDIRECT(ADDRESS(2,COLUMN())),OFFSET($BN$2,0,0,ROW()-1,60),ROW()-1,FALSE))</f>
        <v>1.868983957</v>
      </c>
      <c r="AJ102">
        <f ca="1">IF(AND(ISNUMBER($AJ$315),$B$226=1),$AJ$315,HLOOKUP(INDIRECT(ADDRESS(2,COLUMN())),OFFSET($BN$2,0,0,ROW()-1,60),ROW()-1,FALSE))</f>
        <v>0.62622619499999999</v>
      </c>
      <c r="AK102">
        <f ca="1">IF(AND(ISNUMBER($AK$315),$B$226=1),$AK$315,HLOOKUP(INDIRECT(ADDRESS(2,COLUMN())),OFFSET($BN$2,0,0,ROW()-1,60),ROW()-1,FALSE))</f>
        <v>-4.5564241790000004</v>
      </c>
      <c r="AL102">
        <f ca="1">IF(AND(ISNUMBER($AL$315),$B$226=1),$AL$315,HLOOKUP(INDIRECT(ADDRESS(2,COLUMN())),OFFSET($BN$2,0,0,ROW()-1,60),ROW()-1,FALSE))</f>
        <v>-5.7922500140000004</v>
      </c>
      <c r="AM102">
        <f ca="1">IF(AND(ISNUMBER($AM$315),$B$226=1),$AM$315,HLOOKUP(INDIRECT(ADDRESS(2,COLUMN())),OFFSET($BN$2,0,0,ROW()-1,60),ROW()-1,FALSE))</f>
        <v>-3.7056585800000001</v>
      </c>
      <c r="AN102">
        <f ca="1">IF(AND(ISNUMBER($AN$315),$B$226=1),$AN$315,HLOOKUP(INDIRECT(ADDRESS(2,COLUMN())),OFFSET($BN$2,0,0,ROW()-1,60),ROW()-1,FALSE))</f>
        <v>-3.8123558449999999</v>
      </c>
      <c r="AO102">
        <f ca="1">IF(AND(ISNUMBER($AO$315),$B$226=1),$AO$315,HLOOKUP(INDIRECT(ADDRESS(2,COLUMN())),OFFSET($BN$2,0,0,ROW()-1,60),ROW()-1,FALSE))</f>
        <v>6.244331549</v>
      </c>
      <c r="AP102">
        <f ca="1">IF(AND(ISNUMBER($AP$315),$B$226=1),$AP$315,HLOOKUP(INDIRECT(ADDRESS(2,COLUMN())),OFFSET($BN$2,0,0,ROW()-1,60),ROW()-1,FALSE))</f>
        <v>18.733169060000002</v>
      </c>
      <c r="AQ102">
        <f ca="1">IF(AND(ISNUMBER($AQ$315),$B$226=1),$AQ$315,HLOOKUP(INDIRECT(ADDRESS(2,COLUMN())),OFFSET($BN$2,0,0,ROW()-1,60),ROW()-1,FALSE))</f>
        <v>21.664460859999998</v>
      </c>
      <c r="AR102">
        <f ca="1">IF(AND(ISNUMBER($AR$315),$B$226=1),$AR$315,HLOOKUP(INDIRECT(ADDRESS(2,COLUMN())),OFFSET($BN$2,0,0,ROW()-1,60),ROW()-1,FALSE))</f>
        <v>17.024693840000001</v>
      </c>
      <c r="AS102">
        <f ca="1">IF(AND(ISNUMBER($AS$315),$B$226=1),$AS$315,HLOOKUP(INDIRECT(ADDRESS(2,COLUMN())),OFFSET($BN$2,0,0,ROW()-1,60),ROW()-1,FALSE))</f>
        <v>15.25523637</v>
      </c>
      <c r="AT102">
        <f ca="1">IF(AND(ISNUMBER($AT$315),$B$226=1),$AT$315,HLOOKUP(INDIRECT(ADDRESS(2,COLUMN())),OFFSET($BN$2,0,0,ROW()-1,60),ROW()-1,FALSE))</f>
        <v>3.6901390620000001</v>
      </c>
      <c r="AU102">
        <f ca="1">IF(AND(ISNUMBER($AU$315),$B$226=1),$AU$315,HLOOKUP(INDIRECT(ADDRESS(2,COLUMN())),OFFSET($BN$2,0,0,ROW()-1,60),ROW()-1,FALSE))</f>
        <v>5.6326726450000004</v>
      </c>
      <c r="AV102">
        <f ca="1">IF(AND(ISNUMBER($AV$315),$B$226=1),$AV$315,HLOOKUP(INDIRECT(ADDRESS(2,COLUMN())),OFFSET($BN$2,0,0,ROW()-1,60),ROW()-1,FALSE))</f>
        <v>-21.645886740000002</v>
      </c>
      <c r="AW102">
        <f ca="1">IF(AND(ISNUMBER($AW$315),$B$226=1),$AW$315,HLOOKUP(INDIRECT(ADDRESS(2,COLUMN())),OFFSET($BN$2,0,0,ROW()-1,60),ROW()-1,FALSE))</f>
        <v>-23.315915409999999</v>
      </c>
      <c r="AX102">
        <f ca="1">IF(AND(ISNUMBER($AX$315),$B$226=1),$AX$315,HLOOKUP(INDIRECT(ADDRESS(2,COLUMN())),OFFSET($BN$2,0,0,ROW()-1,60),ROW()-1,FALSE))</f>
        <v>-24.576099280000001</v>
      </c>
      <c r="AY102">
        <f ca="1">IF(AND(ISNUMBER($AY$315),$B$226=1),$AY$315,HLOOKUP(INDIRECT(ADDRESS(2,COLUMN())),OFFSET($BN$2,0,0,ROW()-1,60),ROW()-1,FALSE))</f>
        <v>-25.392681469999999</v>
      </c>
      <c r="AZ102">
        <f ca="1">IF(AND(ISNUMBER($AZ$315),$B$226=1),$AZ$315,HLOOKUP(INDIRECT(ADDRESS(2,COLUMN())),OFFSET($BN$2,0,0,ROW()-1,60),ROW()-1,FALSE))</f>
        <v>7.2522089059999999</v>
      </c>
      <c r="BA102">
        <f ca="1">IF(AND(ISNUMBER($BA$315),$B$226=1),$BA$315,HLOOKUP(INDIRECT(ADDRESS(2,COLUMN())),OFFSET($BN$2,0,0,ROW()-1,60),ROW()-1,FALSE))</f>
        <v>5.3935082259999998</v>
      </c>
      <c r="BB102">
        <f ca="1">IF(AND(ISNUMBER($BB$315),$B$226=1),$BB$315,HLOOKUP(INDIRECT(ADDRESS(2,COLUMN())),OFFSET($BN$2,0,0,ROW()-1,60),ROW()-1,FALSE))</f>
        <v>5.2469639700000004</v>
      </c>
      <c r="BC102">
        <f ca="1">IF(AND(ISNUMBER($BC$315),$B$226=1),$BC$315,HLOOKUP(INDIRECT(ADDRESS(2,COLUMN())),OFFSET($BN$2,0,0,ROW()-1,60),ROW()-1,FALSE))</f>
        <v>36.692425800000002</v>
      </c>
      <c r="BD102">
        <f ca="1">IF(AND(ISNUMBER($BD$315),$B$226=1),$BD$315,HLOOKUP(INDIRECT(ADDRESS(2,COLUMN())),OFFSET($BN$2,0,0,ROW()-1,60),ROW()-1,FALSE))</f>
        <v>11.602055829999999</v>
      </c>
      <c r="BE102">
        <f ca="1">IF(AND(ISNUMBER($BE$315),$B$226=1),$BE$315,HLOOKUP(INDIRECT(ADDRESS(2,COLUMN())),OFFSET($BN$2,0,0,ROW()-1,60),ROW()-1,FALSE))</f>
        <v>-0.244588635</v>
      </c>
      <c r="BF102">
        <f ca="1">IF(AND(ISNUMBER($BF$315),$B$226=1),$BF$315,HLOOKUP(INDIRECT(ADDRESS(2,COLUMN())),OFFSET($BN$2,0,0,ROW()-1,60),ROW()-1,FALSE))</f>
        <v>2.5665135989999999</v>
      </c>
      <c r="BG102">
        <f ca="1">IF(AND(ISNUMBER($BG$315),$B$226=1),$BG$315,HLOOKUP(INDIRECT(ADDRESS(2,COLUMN())),OFFSET($BN$2,0,0,ROW()-1,60),ROW()-1,FALSE))</f>
        <v>-21.52093168</v>
      </c>
      <c r="BH102">
        <f ca="1">IF(AND(ISNUMBER($BH$315),$B$226=1),$BH$315,HLOOKUP(INDIRECT(ADDRESS(2,COLUMN())),OFFSET($BN$2,0,0,ROW()-1,60),ROW()-1,FALSE))</f>
        <v>0.86305127699999995</v>
      </c>
      <c r="BI102">
        <f ca="1">IF(AND(ISNUMBER($BI$315),$B$226=1),$BI$315,HLOOKUP(INDIRECT(ADDRESS(2,COLUMN())),OFFSET($BN$2,0,0,ROW()-1,60),ROW()-1,FALSE))</f>
        <v>9.4925555389999996</v>
      </c>
      <c r="BJ102">
        <f ca="1">IF(AND(ISNUMBER($BJ$315),$B$226=1),$BJ$315,HLOOKUP(INDIRECT(ADDRESS(2,COLUMN())),OFFSET($BN$2,0,0,ROW()-1,60),ROW()-1,FALSE))</f>
        <v>7.0805919919999996</v>
      </c>
      <c r="BK102">
        <f ca="1">IF(AND(ISNUMBER($BK$315),$B$226=1),$BK$315,HLOOKUP(INDIRECT(ADDRESS(2,COLUMN())),OFFSET($BN$2,0,0,ROW()-1,60),ROW()-1,FALSE))</f>
        <v>0.72624409599999995</v>
      </c>
      <c r="BL102">
        <f ca="1">IF(AND(ISNUMBER($BL$315),$B$226=1),$BL$315,HLOOKUP(INDIRECT(ADDRESS(2,COLUMN())),OFFSET($BN$2,0,0,ROW()-1,60),ROW()-1,FALSE))</f>
        <v>-3.282424572</v>
      </c>
      <c r="BM102">
        <f ca="1">IF(AND(ISNUMBER($BM$315),$B$226=1),$BM$315,HLOOKUP(INDIRECT(ADDRESS(2,COLUMN())),OFFSET($BN$2,0,0,ROW()-1,60),ROW()-1,FALSE))</f>
        <v>-0.42762498900000001</v>
      </c>
      <c r="BN102" t="str">
        <f>""</f>
        <v/>
      </c>
      <c r="BO102">
        <f>4.062417698</f>
        <v>4.062417698</v>
      </c>
      <c r="BP102">
        <f>3.222583987</f>
        <v>3.2225839870000001</v>
      </c>
      <c r="BQ102">
        <f>3.849890697</f>
        <v>3.8498906970000002</v>
      </c>
      <c r="BR102">
        <f>3.843877095</f>
        <v>3.8438770949999999</v>
      </c>
      <c r="BS102">
        <f>2.273942047</f>
        <v>2.2739420469999998</v>
      </c>
      <c r="BT102">
        <f>9.860986912</f>
        <v>9.8609869119999995</v>
      </c>
      <c r="BU102">
        <f>10.6197478</f>
        <v>10.619747800000001</v>
      </c>
      <c r="BV102">
        <f>6.854058875</f>
        <v>6.8540588749999998</v>
      </c>
      <c r="BW102">
        <f>13.38875394</f>
        <v>13.388753940000001</v>
      </c>
      <c r="BX102">
        <f>7.093522675</f>
        <v>7.093522675</v>
      </c>
      <c r="BY102">
        <f>5.96742364</f>
        <v>5.9674236399999998</v>
      </c>
      <c r="BZ102">
        <f>10.96450699</f>
        <v>10.96450699</v>
      </c>
      <c r="CA102">
        <f>8.341088638</f>
        <v>8.3410886380000004</v>
      </c>
      <c r="CB102">
        <f>8.176890396</f>
        <v>8.1768903959999992</v>
      </c>
      <c r="CC102">
        <f>7.495435404</f>
        <v>7.4954354040000002</v>
      </c>
      <c r="CD102">
        <f>7.115272279</f>
        <v>7.115272279</v>
      </c>
      <c r="CE102">
        <f>5.672170198</f>
        <v>5.6721701979999999</v>
      </c>
      <c r="CF102">
        <f>3.26226727</f>
        <v>3.2622672700000002</v>
      </c>
      <c r="CG102">
        <f>5.166711064</f>
        <v>5.1667110640000002</v>
      </c>
      <c r="CH102">
        <f>5.508728478</f>
        <v>5.5087284780000001</v>
      </c>
      <c r="CI102">
        <f>7.233708484</f>
        <v>7.2337084840000001</v>
      </c>
      <c r="CJ102">
        <f>9.461345572</f>
        <v>9.4613455720000008</v>
      </c>
      <c r="CK102">
        <f>17.39657307</f>
        <v>17.396573069999999</v>
      </c>
      <c r="CL102">
        <f>23.10042993</f>
        <v>23.100429930000001</v>
      </c>
      <c r="CM102">
        <f>12.00228352</f>
        <v>12.002283520000001</v>
      </c>
      <c r="CN102">
        <f>11.00038731</f>
        <v>11.000387310000001</v>
      </c>
      <c r="CO102">
        <f>3.21916841</f>
        <v>3.21916841</v>
      </c>
      <c r="CP102">
        <f>-2.916302924</f>
        <v>-2.916302924</v>
      </c>
      <c r="CQ102">
        <f>1.868983957</f>
        <v>1.868983957</v>
      </c>
      <c r="CR102">
        <f>0.626226195</f>
        <v>0.62622619499999999</v>
      </c>
      <c r="CS102">
        <f>-4.556424179</f>
        <v>-4.5564241790000004</v>
      </c>
      <c r="CT102">
        <f>-5.792250014</f>
        <v>-5.7922500140000004</v>
      </c>
      <c r="CU102">
        <f>-3.70565858</f>
        <v>-3.7056585800000001</v>
      </c>
      <c r="CV102">
        <f>-3.812355845</f>
        <v>-3.8123558449999999</v>
      </c>
      <c r="CW102">
        <f>6.244331549</f>
        <v>6.244331549</v>
      </c>
      <c r="CX102">
        <f>18.73316906</f>
        <v>18.733169060000002</v>
      </c>
      <c r="CY102">
        <f>21.66446086</f>
        <v>21.664460859999998</v>
      </c>
      <c r="CZ102">
        <f>17.02469384</f>
        <v>17.024693840000001</v>
      </c>
      <c r="DA102">
        <f>15.25523637</f>
        <v>15.25523637</v>
      </c>
      <c r="DB102">
        <f>3.690139062</f>
        <v>3.6901390620000001</v>
      </c>
      <c r="DC102">
        <f>5.632672645</f>
        <v>5.6326726450000004</v>
      </c>
      <c r="DD102">
        <f>-21.64588674</f>
        <v>-21.645886740000002</v>
      </c>
      <c r="DE102">
        <f>-23.31591541</f>
        <v>-23.315915409999999</v>
      </c>
      <c r="DF102">
        <f>-24.57609928</f>
        <v>-24.576099280000001</v>
      </c>
      <c r="DG102">
        <f>-25.39268147</f>
        <v>-25.392681469999999</v>
      </c>
      <c r="DH102">
        <f>7.252208906</f>
        <v>7.2522089059999999</v>
      </c>
      <c r="DI102">
        <f>5.393508226</f>
        <v>5.3935082259999998</v>
      </c>
      <c r="DJ102">
        <f>5.24696397</f>
        <v>5.2469639700000004</v>
      </c>
      <c r="DK102">
        <f>36.6924258</f>
        <v>36.692425800000002</v>
      </c>
      <c r="DL102">
        <f>11.60205583</f>
        <v>11.602055829999999</v>
      </c>
      <c r="DM102">
        <f>-0.244588635</f>
        <v>-0.244588635</v>
      </c>
      <c r="DN102">
        <f>2.566513599</f>
        <v>2.5665135989999999</v>
      </c>
      <c r="DO102">
        <f>-21.52093168</f>
        <v>-21.52093168</v>
      </c>
      <c r="DP102">
        <f>0.863051277</f>
        <v>0.86305127699999995</v>
      </c>
      <c r="DQ102">
        <f>9.492555539</f>
        <v>9.4925555389999996</v>
      </c>
      <c r="DR102">
        <f>7.080591992</f>
        <v>7.0805919919999996</v>
      </c>
      <c r="DS102">
        <f>0.726244096</f>
        <v>0.72624409599999995</v>
      </c>
      <c r="DT102">
        <f>-3.282424572</f>
        <v>-3.282424572</v>
      </c>
      <c r="DU102">
        <f>-0.427624989</f>
        <v>-0.42762498900000001</v>
      </c>
    </row>
    <row r="103" spans="1:125">
      <c r="A103" t="str">
        <f>"NOI增长(%)"</f>
        <v>NOI增长(%)</v>
      </c>
      <c r="B103" t="str">
        <f>""</f>
        <v/>
      </c>
      <c r="E103" t="str">
        <f>"Median"</f>
        <v>Median</v>
      </c>
      <c r="F103" t="str">
        <f ca="1">IF(ISERROR(IF(MEDIAN($F$104:$F$111) = 0, "", MEDIAN($F$104:$F$111))), "", (IF(MEDIAN($F$104:$F$111) = 0, "", MEDIAN($F$104:$F$111))))</f>
        <v/>
      </c>
      <c r="G103">
        <f ca="1">IF(ISERROR(IF(MEDIAN($G$104:$G$111) = 0, "", MEDIAN($G$104:$G$111))), "", (IF(MEDIAN($G$104:$G$111) = 0, "", MEDIAN($G$104:$G$111))))</f>
        <v>6.1106978730000003</v>
      </c>
      <c r="H103">
        <f ca="1">IF(ISERROR(IF(MEDIAN($H$104:$H$111) = 0, "", MEDIAN($H$104:$H$111))), "", (IF(MEDIAN($H$104:$H$111) = 0, "", MEDIAN($H$104:$H$111))))</f>
        <v>3.9452145124999998</v>
      </c>
      <c r="I103">
        <f ca="1">IF(ISERROR(IF(MEDIAN($I$104:$I$111) = 0, "", MEDIAN($I$104:$I$111))), "", (IF(MEDIAN($I$104:$I$111) = 0, "", MEDIAN($I$104:$I$111))))</f>
        <v>5.0446432555000005</v>
      </c>
      <c r="J103">
        <f ca="1">IF(ISERROR(IF(MEDIAN($J$104:$J$111) = 0, "", MEDIAN($J$104:$J$111))), "", (IF(MEDIAN($J$104:$J$111) = 0, "", MEDIAN($J$104:$J$111))))</f>
        <v>3.3240853504999999</v>
      </c>
      <c r="K103">
        <f ca="1">IF(ISERROR(IF(MEDIAN($K$104:$K$111) = 0, "", MEDIAN($K$104:$K$111))), "", (IF(MEDIAN($K$104:$K$111) = 0, "", MEDIAN($K$104:$K$111))))</f>
        <v>4.1248851950000001</v>
      </c>
      <c r="L103">
        <f ca="1">IF(ISERROR(IF(MEDIAN($L$104:$L$111) = 0, "", MEDIAN($L$104:$L$111))), "", (IF(MEDIAN($L$104:$L$111) = 0, "", MEDIAN($L$104:$L$111))))</f>
        <v>9.3874644154999984</v>
      </c>
      <c r="M103">
        <f ca="1">IF(ISERROR(IF(MEDIAN($M$104:$M$111) = 0, "", MEDIAN($M$104:$M$111))), "", (IF(MEDIAN($M$104:$M$111) = 0, "", MEDIAN($M$104:$M$111))))</f>
        <v>8.5074353079999998</v>
      </c>
      <c r="N103">
        <f ca="1">IF(ISERROR(IF(MEDIAN($N$104:$N$111) = 0, "", MEDIAN($N$104:$N$111))), "", (IF(MEDIAN($N$104:$N$111) = 0, "", MEDIAN($N$104:$N$111))))</f>
        <v>10.1009403525</v>
      </c>
      <c r="O103">
        <f ca="1">IF(ISERROR(IF(MEDIAN($O$104:$O$111) = 0, "", MEDIAN($O$104:$O$111))), "", (IF(MEDIAN($O$104:$O$111) = 0, "", MEDIAN($O$104:$O$111))))</f>
        <v>10.360288690000001</v>
      </c>
      <c r="P103">
        <f ca="1">IF(ISERROR(IF(MEDIAN($P$104:$P$111) = 0, "", MEDIAN($P$104:$P$111))), "", (IF(MEDIAN($P$104:$P$111) = 0, "", MEDIAN($P$104:$P$111))))</f>
        <v>7.9508823524999999</v>
      </c>
      <c r="Q103">
        <f ca="1">IF(ISERROR(IF(MEDIAN($Q$104:$Q$111) = 0, "", MEDIAN($Q$104:$Q$111))), "", (IF(MEDIAN($Q$104:$Q$111) = 0, "", MEDIAN($Q$104:$Q$111))))</f>
        <v>8.9356247584999995</v>
      </c>
      <c r="R103">
        <f ca="1">IF(ISERROR(IF(MEDIAN($R$104:$R$111) = 0, "", MEDIAN($R$104:$R$111))), "", (IF(MEDIAN($R$104:$R$111) = 0, "", MEDIAN($R$104:$R$111))))</f>
        <v>8.2392844055000012</v>
      </c>
      <c r="S103">
        <f ca="1">IF(ISERROR(IF(MEDIAN($S$104:$S$111) = 0, "", MEDIAN($S$104:$S$111))), "", (IF(MEDIAN($S$104:$S$111) = 0, "", MEDIAN($S$104:$S$111))))</f>
        <v>9.9568879925000005</v>
      </c>
      <c r="T103">
        <f ca="1">IF(ISERROR(IF(MEDIAN($T$104:$T$111) = 0, "", MEDIAN($T$104:$T$111))), "", (IF(MEDIAN($T$104:$T$111) = 0, "", MEDIAN($T$104:$T$111))))</f>
        <v>14.533469534999998</v>
      </c>
      <c r="U103">
        <f ca="1">IF(ISERROR(IF(MEDIAN($U$104:$U$111) = 0, "", MEDIAN($U$104:$U$111))), "", (IF(MEDIAN($U$104:$U$111) = 0, "", MEDIAN($U$104:$U$111))))</f>
        <v>11.667905619999999</v>
      </c>
      <c r="V103">
        <f ca="1">IF(ISERROR(IF(MEDIAN($V$104:$V$111) = 0, "", MEDIAN($V$104:$V$111))), "", (IF(MEDIAN($V$104:$V$111) = 0, "", MEDIAN($V$104:$V$111))))</f>
        <v>19.048584715000001</v>
      </c>
      <c r="W103">
        <f ca="1">IF(ISERROR(IF(MEDIAN($W$104:$W$111) = 0, "", MEDIAN($W$104:$W$111))), "", (IF(MEDIAN($W$104:$W$111) = 0, "", MEDIAN($W$104:$W$111))))</f>
        <v>30.390460839999999</v>
      </c>
      <c r="X103">
        <f ca="1">IF(ISERROR(IF(MEDIAN($X$104:$X$111) = 0, "", MEDIAN($X$104:$X$111))), "", (IF(MEDIAN($X$104:$X$111) = 0, "", MEDIAN($X$104:$X$111))))</f>
        <v>25.077940679999998</v>
      </c>
      <c r="Y103">
        <f ca="1">IF(ISERROR(IF(MEDIAN($Y$104:$Y$111) = 0, "", MEDIAN($Y$104:$Y$111))), "", (IF(MEDIAN($Y$104:$Y$111) = 0, "", MEDIAN($Y$104:$Y$111))))</f>
        <v>21.292026140000001</v>
      </c>
      <c r="Z103">
        <f ca="1">IF(ISERROR(IF(MEDIAN($Z$104:$Z$111) = 0, "", MEDIAN($Z$104:$Z$111))), "", (IF(MEDIAN($Z$104:$Z$111) = 0, "", MEDIAN($Z$104:$Z$111))))</f>
        <v>15.498022979999998</v>
      </c>
      <c r="AA103">
        <f ca="1">IF(ISERROR(IF(MEDIAN($AA$104:$AA$111) = 0, "", MEDIAN($AA$104:$AA$111))), "", (IF(MEDIAN($AA$104:$AA$111) = 0, "", MEDIAN($AA$104:$AA$111))))</f>
        <v>16.04572636</v>
      </c>
      <c r="AB103">
        <f ca="1">IF(ISERROR(IF(MEDIAN($AB$104:$AB$111) = 0, "", MEDIAN($AB$104:$AB$111))), "", (IF(MEDIAN($AB$104:$AB$111) = 0, "", MEDIAN($AB$104:$AB$111))))</f>
        <v>17.10197853</v>
      </c>
      <c r="AC103">
        <f ca="1">IF(ISERROR(IF(MEDIAN($AC$104:$AC$111) = 0, "", MEDIAN($AC$104:$AC$111))), "", (IF(MEDIAN($AC$104:$AC$111) = 0, "", MEDIAN($AC$104:$AC$111))))</f>
        <v>11.964401196000001</v>
      </c>
      <c r="AD103">
        <f ca="1">IF(ISERROR(IF(MEDIAN($AD$104:$AD$111) = 0, "", MEDIAN($AD$104:$AD$111))), "", (IF(MEDIAN($AD$104:$AD$111) = 0, "", MEDIAN($AD$104:$AD$111))))</f>
        <v>13.819791330000001</v>
      </c>
      <c r="AE103">
        <f ca="1">IF(ISERROR(IF(MEDIAN($AE$104:$AE$111) = 0, "", MEDIAN($AE$104:$AE$111))), "", (IF(MEDIAN($AE$104:$AE$111) = 0, "", MEDIAN($AE$104:$AE$111))))</f>
        <v>12.087200790000001</v>
      </c>
      <c r="AF103">
        <f ca="1">IF(ISERROR(IF(MEDIAN($AF$104:$AF$111) = 0, "", MEDIAN($AF$104:$AF$111))), "", (IF(MEDIAN($AF$104:$AF$111) = 0, "", MEDIAN($AF$104:$AF$111))))</f>
        <v>13.523741155</v>
      </c>
      <c r="AG103">
        <f ca="1">IF(ISERROR(IF(MEDIAN($AG$104:$AG$111) = 0, "", MEDIAN($AG$104:$AG$111))), "", (IF(MEDIAN($AG$104:$AG$111) = 0, "", MEDIAN($AG$104:$AG$111))))</f>
        <v>11.092059344999999</v>
      </c>
      <c r="AH103">
        <f ca="1">IF(ISERROR(IF(MEDIAN($AH$104:$AH$111) = 0, "", MEDIAN($AH$104:$AH$111))), "", (IF(MEDIAN($AH$104:$AH$111) = 0, "", MEDIAN($AH$104:$AH$111))))</f>
        <v>8.1259919045000011</v>
      </c>
      <c r="AI103">
        <f ca="1">IF(ISERROR(IF(MEDIAN($AI$104:$AI$111) = 0, "", MEDIAN($AI$104:$AI$111))), "", (IF(MEDIAN($AI$104:$AI$111) = 0, "", MEDIAN($AI$104:$AI$111))))</f>
        <v>5.7156210660000006</v>
      </c>
      <c r="AJ103">
        <f ca="1">IF(ISERROR(IF(MEDIAN($AJ$104:$AJ$111) = 0, "", MEDIAN($AJ$104:$AJ$111))), "", (IF(MEDIAN($AJ$104:$AJ$111) = 0, "", MEDIAN($AJ$104:$AJ$111))))</f>
        <v>-0.46656745649999998</v>
      </c>
      <c r="AK103">
        <f ca="1">IF(ISERROR(IF(MEDIAN($AK$104:$AK$111) = 0, "", MEDIAN($AK$104:$AK$111))), "", (IF(MEDIAN($AK$104:$AK$111) = 0, "", MEDIAN($AK$104:$AK$111))))</f>
        <v>-6.2984111970000001</v>
      </c>
      <c r="AL103">
        <f ca="1">IF(ISERROR(IF(MEDIAN($AL$104:$AL$111) = 0, "", MEDIAN($AL$104:$AL$111))), "", (IF(MEDIAN($AL$104:$AL$111) = 0, "", MEDIAN($AL$104:$AL$111))))</f>
        <v>-5.9522348380000007</v>
      </c>
      <c r="AM103">
        <f ca="1">IF(ISERROR(IF(MEDIAN($AM$104:$AM$111) = 0, "", MEDIAN($AM$104:$AM$111))), "", (IF(MEDIAN($AM$104:$AM$111) = 0, "", MEDIAN($AM$104:$AM$111))))</f>
        <v>-2.5873565150000002</v>
      </c>
      <c r="AN103">
        <f ca="1">IF(ISERROR(IF(MEDIAN($AN$104:$AN$111) = 0, "", MEDIAN($AN$104:$AN$111))), "", (IF(MEDIAN($AN$104:$AN$111) = 0, "", MEDIAN($AN$104:$AN$111))))</f>
        <v>-3.5847618524999998</v>
      </c>
      <c r="AO103">
        <f ca="1">IF(ISERROR(IF(MEDIAN($AO$104:$AO$111) = 0, "", MEDIAN($AO$104:$AO$111))), "", (IF(MEDIAN($AO$104:$AO$111) = 0, "", MEDIAN($AO$104:$AO$111))))</f>
        <v>-0.91494249650000015</v>
      </c>
      <c r="AP103">
        <f ca="1">IF(ISERROR(IF(MEDIAN($AP$104:$AP$111) = 0, "", MEDIAN($AP$104:$AP$111))), "", (IF(MEDIAN($AP$104:$AP$111) = 0, "", MEDIAN($AP$104:$AP$111))))</f>
        <v>4.1584906889999997</v>
      </c>
      <c r="AQ103">
        <f ca="1">IF(ISERROR(IF(MEDIAN($AQ$104:$AQ$111) = 0, "", MEDIAN($AQ$104:$AQ$111))), "", (IF(MEDIAN($AQ$104:$AQ$111) = 0, "", MEDIAN($AQ$104:$AQ$111))))</f>
        <v>7.443391578</v>
      </c>
      <c r="AR103">
        <f ca="1">IF(ISERROR(IF(MEDIAN($AR$104:$AR$111) = 0, "", MEDIAN($AR$104:$AR$111))), "", (IF(MEDIAN($AR$104:$AR$111) = 0, "", MEDIAN($AR$104:$AR$111))))</f>
        <v>6.292020999</v>
      </c>
      <c r="AS103">
        <f ca="1">IF(ISERROR(IF(MEDIAN($AS$104:$AS$111) = 0, "", MEDIAN($AS$104:$AS$111))), "", (IF(MEDIAN($AS$104:$AS$111) = 0, "", MEDIAN($AS$104:$AS$111))))</f>
        <v>9.5650812340000009</v>
      </c>
      <c r="AT103">
        <f ca="1">IF(ISERROR(IF(MEDIAN($AT$104:$AT$111) = 0, "", MEDIAN($AT$104:$AT$111))), "", (IF(MEDIAN($AT$104:$AT$111) = 0, "", MEDIAN($AT$104:$AT$111))))</f>
        <v>7.9228248429999999</v>
      </c>
      <c r="AU103">
        <f ca="1">IF(ISERROR(IF(MEDIAN($AU$104:$AU$111) = 0, "", MEDIAN($AU$104:$AU$111))), "", (IF(MEDIAN($AU$104:$AU$111) = 0, "", MEDIAN($AU$104:$AU$111))))</f>
        <v>6.4044578560000005</v>
      </c>
      <c r="AV103">
        <f ca="1">IF(ISERROR(IF(MEDIAN($AV$104:$AV$111) = 0, "", MEDIAN($AV$104:$AV$111))), "", (IF(MEDIAN($AV$104:$AV$111) = 0, "", MEDIAN($AV$104:$AV$111))))</f>
        <v>7.2156470129999999</v>
      </c>
      <c r="AW103">
        <f ca="1">IF(ISERROR(IF(MEDIAN($AW$104:$AW$111) = 0, "", MEDIAN($AW$104:$AW$111))), "", (IF(MEDIAN($AW$104:$AW$111) = 0, "", MEDIAN($AW$104:$AW$111))))</f>
        <v>4.5465104959999998</v>
      </c>
      <c r="AX103">
        <f ca="1">IF(ISERROR(IF(MEDIAN($AX$104:$AX$111) = 0, "", MEDIAN($AX$104:$AX$111))), "", (IF(MEDIAN($AX$104:$AX$111) = 0, "", MEDIAN($AX$104:$AX$111))))</f>
        <v>3.1164327815000004</v>
      </c>
      <c r="AY103">
        <f ca="1">IF(ISERROR(IF(MEDIAN($AY$104:$AY$111) = 0, "", MEDIAN($AY$104:$AY$111))), "", (IF(MEDIAN($AY$104:$AY$111) = 0, "", MEDIAN($AY$104:$AY$111))))</f>
        <v>15.977250381499999</v>
      </c>
      <c r="AZ103">
        <f ca="1">IF(ISERROR(IF(MEDIAN($AZ$104:$AZ$111) = 0, "", MEDIAN($AZ$104:$AZ$111))), "", (IF(MEDIAN($AZ$104:$AZ$111) = 0, "", MEDIAN($AZ$104:$AZ$111))))</f>
        <v>8.9437927580000007</v>
      </c>
      <c r="BA103">
        <f ca="1">IF(ISERROR(IF(MEDIAN($BA$104:$BA$111) = 0, "", MEDIAN($BA$104:$BA$111))), "", (IF(MEDIAN($BA$104:$BA$111) = 0, "", MEDIAN($BA$104:$BA$111))))</f>
        <v>6.2558317389999996</v>
      </c>
      <c r="BB103">
        <f ca="1">IF(ISERROR(IF(MEDIAN($BB$104:$BB$111) = 0, "", MEDIAN($BB$104:$BB$111))), "", (IF(MEDIAN($BB$104:$BB$111) = 0, "", MEDIAN($BB$104:$BB$111))))</f>
        <v>6.9439745530000003</v>
      </c>
      <c r="BC103">
        <f ca="1">IF(ISERROR(IF(MEDIAN($BC$104:$BC$111) = 0, "", MEDIAN($BC$104:$BC$111))), "", (IF(MEDIAN($BC$104:$BC$111) = 0, "", MEDIAN($BC$104:$BC$111))))</f>
        <v>22.835915329999999</v>
      </c>
      <c r="BD103">
        <f ca="1">IF(ISERROR(IF(MEDIAN($BD$104:$BD$111) = 0, "", MEDIAN($BD$104:$BD$111))), "", (IF(MEDIAN($BD$104:$BD$111) = 0, "", MEDIAN($BD$104:$BD$111))))</f>
        <v>19.936127259999999</v>
      </c>
      <c r="BE103">
        <f ca="1">IF(ISERROR(IF(MEDIAN($BE$104:$BE$111) = 0, "", MEDIAN($BE$104:$BE$111))), "", (IF(MEDIAN($BE$104:$BE$111) = 0, "", MEDIAN($BE$104:$BE$111))))</f>
        <v>18.37384694</v>
      </c>
      <c r="BF103">
        <f ca="1">IF(ISERROR(IF(MEDIAN($BF$104:$BF$111) = 0, "", MEDIAN($BF$104:$BF$111))), "", (IF(MEDIAN($BF$104:$BF$111) = 0, "", MEDIAN($BF$104:$BF$111))))</f>
        <v>4.3273516729999999</v>
      </c>
      <c r="BG103">
        <f ca="1">IF(ISERROR(IF(MEDIAN($BG$104:$BG$111) = 0, "", MEDIAN($BG$104:$BG$111))), "", (IF(MEDIAN($BG$104:$BG$111) = 0, "", MEDIAN($BG$104:$BG$111))))</f>
        <v>-9.5719811799999999</v>
      </c>
      <c r="BH103">
        <f ca="1">IF(ISERROR(IF(MEDIAN($BH$104:$BH$111) = 0, "", MEDIAN($BH$104:$BH$111))), "", (IF(MEDIAN($BH$104:$BH$111) = 0, "", MEDIAN($BH$104:$BH$111))))</f>
        <v>0.16843193550000013</v>
      </c>
      <c r="BI103">
        <f ca="1">IF(ISERROR(IF(MEDIAN($BI$104:$BI$111) = 0, "", MEDIAN($BI$104:$BI$111))), "", (IF(MEDIAN($BI$104:$BI$111) = 0, "", MEDIAN($BI$104:$BI$111))))</f>
        <v>7.4207702680000001</v>
      </c>
      <c r="BJ103">
        <f ca="1">IF(ISERROR(IF(MEDIAN($BJ$104:$BJ$111) = 0, "", MEDIAN($BJ$104:$BJ$111))), "", (IF(MEDIAN($BJ$104:$BJ$111) = 0, "", MEDIAN($BJ$104:$BJ$111))))</f>
        <v>4.9258949185000001</v>
      </c>
      <c r="BK103">
        <f ca="1">IF(ISERROR(IF(MEDIAN($BK$104:$BK$111) = 0, "", MEDIAN($BK$104:$BK$111))), "", (IF(MEDIAN($BK$104:$BK$111) = 0, "", MEDIAN($BK$104:$BK$111))))</f>
        <v>7.6631990889999999</v>
      </c>
      <c r="BL103">
        <f ca="1">IF(ISERROR(IF(MEDIAN($BL$104:$BL$111) = 0, "", MEDIAN($BL$104:$BL$111))), "", (IF(MEDIAN($BL$104:$BL$111) = 0, "", MEDIAN($BL$104:$BL$111))))</f>
        <v>-4.6119376024999994</v>
      </c>
      <c r="BM103">
        <f ca="1">IF(ISERROR(IF(MEDIAN($BM$104:$BM$111) = 0, "", MEDIAN($BM$104:$BM$111))), "", (IF(MEDIAN($BM$104:$BM$111) = 0, "", MEDIAN($BM$104:$BM$111))))</f>
        <v>-3.7881172264999998</v>
      </c>
      <c r="BN103" t="str">
        <f>""</f>
        <v/>
      </c>
      <c r="BO103">
        <f>6.110697873</f>
        <v>6.1106978730000003</v>
      </c>
      <c r="BP103">
        <f>3.945214513</f>
        <v>3.9452145129999998</v>
      </c>
      <c r="BQ103">
        <f>5.044643255</f>
        <v>5.0446432550000004</v>
      </c>
      <c r="BR103">
        <f>3.324085351</f>
        <v>3.3240853509999999</v>
      </c>
      <c r="BS103">
        <f>4.124885195</f>
        <v>4.1248851950000001</v>
      </c>
      <c r="BT103">
        <f>9.387464416</f>
        <v>9.3874644160000003</v>
      </c>
      <c r="BU103">
        <f>8.507435308</f>
        <v>8.5074353079999998</v>
      </c>
      <c r="BV103">
        <f>10.10094035</f>
        <v>10.10094035</v>
      </c>
      <c r="BW103">
        <f>10.36028869</f>
        <v>10.360288690000001</v>
      </c>
      <c r="BX103">
        <f>7.950882353</f>
        <v>7.9508823529999999</v>
      </c>
      <c r="BY103">
        <f>8.935624761</f>
        <v>8.9356247609999997</v>
      </c>
      <c r="BZ103">
        <f>8.239284406</f>
        <v>8.2392844059999994</v>
      </c>
      <c r="CA103">
        <f>9.956887994</f>
        <v>9.9568879940000006</v>
      </c>
      <c r="CB103">
        <f>14.53346953</f>
        <v>14.53346953</v>
      </c>
      <c r="CC103">
        <f>11.66790562</f>
        <v>11.667905620000001</v>
      </c>
      <c r="CD103">
        <f>19.04858472</f>
        <v>19.048584720000001</v>
      </c>
      <c r="CE103">
        <f>30.39046084</f>
        <v>30.390460839999999</v>
      </c>
      <c r="CF103">
        <f>25.07794068</f>
        <v>25.077940680000001</v>
      </c>
      <c r="CG103">
        <f>21.29202614</f>
        <v>21.292026140000001</v>
      </c>
      <c r="CH103">
        <f>15.49802298</f>
        <v>15.49802298</v>
      </c>
      <c r="CI103">
        <f>16.04572636</f>
        <v>16.04572636</v>
      </c>
      <c r="CJ103">
        <f>17.10197853</f>
        <v>17.10197853</v>
      </c>
      <c r="CK103">
        <f>11.9644012</f>
        <v>11.964401199999999</v>
      </c>
      <c r="CL103">
        <f>13.81979133</f>
        <v>13.819791329999999</v>
      </c>
      <c r="CM103">
        <f>12.08720079</f>
        <v>12.087200790000001</v>
      </c>
      <c r="CN103">
        <f>13.52374116</f>
        <v>13.52374116</v>
      </c>
      <c r="CO103">
        <f>11.09205935</f>
        <v>11.09205935</v>
      </c>
      <c r="CP103">
        <f>8.125991904</f>
        <v>8.1259919039999993</v>
      </c>
      <c r="CQ103">
        <f>5.715621066</f>
        <v>5.7156210659999998</v>
      </c>
      <c r="CR103">
        <f>-0.466567457</f>
        <v>-0.46656745700000002</v>
      </c>
      <c r="CS103">
        <f>-6.298411197</f>
        <v>-6.2984111970000001</v>
      </c>
      <c r="CT103">
        <f>-5.952234838</f>
        <v>-5.9522348379999999</v>
      </c>
      <c r="CU103">
        <f>-2.587356515</f>
        <v>-2.5873565150000002</v>
      </c>
      <c r="CV103">
        <f>-3.584761852</f>
        <v>-3.5847618520000002</v>
      </c>
      <c r="CW103">
        <f>-0.914942497</f>
        <v>-0.91494249699999997</v>
      </c>
      <c r="CX103">
        <f>4.158490689</f>
        <v>4.1584906889999997</v>
      </c>
      <c r="CY103">
        <f>7.443391578</f>
        <v>7.443391578</v>
      </c>
      <c r="CZ103">
        <f>6.292020999</f>
        <v>6.292020999</v>
      </c>
      <c r="DA103">
        <f>9.565081236</f>
        <v>9.5650812359999993</v>
      </c>
      <c r="DB103">
        <f>7.922824843</f>
        <v>7.9228248429999999</v>
      </c>
      <c r="DC103">
        <f>6.404457856</f>
        <v>6.4044578559999996</v>
      </c>
      <c r="DD103">
        <f>7.215647013</f>
        <v>7.2156470129999999</v>
      </c>
      <c r="DE103">
        <f>4.546510496</f>
        <v>4.5465104959999998</v>
      </c>
      <c r="DF103">
        <f>3.116432782</f>
        <v>3.116432782</v>
      </c>
      <c r="DG103">
        <f>15.97725038</f>
        <v>15.977250379999999</v>
      </c>
      <c r="DH103">
        <f>8.943792758</f>
        <v>8.9437927580000007</v>
      </c>
      <c r="DI103">
        <f>6.255831739</f>
        <v>6.2558317389999996</v>
      </c>
      <c r="DJ103">
        <f>6.943974553</f>
        <v>6.9439745530000003</v>
      </c>
      <c r="DK103">
        <f>22.83591533</f>
        <v>22.835915329999999</v>
      </c>
      <c r="DL103">
        <f>19.93612726</f>
        <v>19.936127259999999</v>
      </c>
      <c r="DM103">
        <f>18.37384694</f>
        <v>18.37384694</v>
      </c>
      <c r="DN103">
        <f>4.327351673</f>
        <v>4.3273516729999999</v>
      </c>
      <c r="DO103">
        <f>-9.57198118</f>
        <v>-9.5719811799999999</v>
      </c>
      <c r="DP103">
        <f>0.168431936</f>
        <v>0.168431936</v>
      </c>
      <c r="DQ103">
        <f>7.420770268</f>
        <v>7.4207702680000001</v>
      </c>
      <c r="DR103">
        <f>4.925894918</f>
        <v>4.925894918</v>
      </c>
      <c r="DS103">
        <f>7.663199089</f>
        <v>7.6631990889999999</v>
      </c>
      <c r="DT103">
        <f>-4.611937603</f>
        <v>-4.6119376030000003</v>
      </c>
      <c r="DU103">
        <f>-3.788117227</f>
        <v>-3.7881172269999999</v>
      </c>
    </row>
    <row r="104" spans="1:125">
      <c r="A104" t="str">
        <f>"    American Campus Communities In"</f>
        <v xml:space="preserve">    American Campus Communities In</v>
      </c>
      <c r="B104" t="str">
        <f>"ACC US Equity"</f>
        <v>ACC US Equity</v>
      </c>
      <c r="C104" t="str">
        <f t="shared" ref="C104:C111" si="33">"RR551"</f>
        <v>RR551</v>
      </c>
      <c r="D104" t="str">
        <f t="shared" ref="D104:D111" si="34">"NOI_GROWTH"</f>
        <v>NOI_GROWTH</v>
      </c>
      <c r="E104" t="str">
        <f t="shared" ref="E104:E111" si="35">"动态"</f>
        <v>动态</v>
      </c>
      <c r="F104" t="str">
        <f ca="1">IF(AND(ISNUMBER($F$316),$B$226=1),$F$316,HLOOKUP(INDIRECT(ADDRESS(2,COLUMN())),OFFSET($BN$2,0,0,ROW()-1,60),ROW()-1,FALSE))</f>
        <v/>
      </c>
      <c r="G104">
        <f ca="1">IF(AND(ISNUMBER($G$316),$B$226=1),$G$316,HLOOKUP(INDIRECT(ADDRESS(2,COLUMN())),OFFSET($BN$2,0,0,ROW()-1,60),ROW()-1,FALSE))</f>
        <v>16.61059079</v>
      </c>
      <c r="H104">
        <f ca="1">IF(AND(ISNUMBER($H$316),$B$226=1),$H$316,HLOOKUP(INDIRECT(ADDRESS(2,COLUMN())),OFFSET($BN$2,0,0,ROW()-1,60),ROW()-1,FALSE))</f>
        <v>-2.3867413700000002</v>
      </c>
      <c r="I104">
        <f ca="1">IF(AND(ISNUMBER($I$316),$B$226=1),$I$316,HLOOKUP(INDIRECT(ADDRESS(2,COLUMN())),OFFSET($BN$2,0,0,ROW()-1,60),ROW()-1,FALSE))</f>
        <v>-3.9978772330000001</v>
      </c>
      <c r="J104">
        <f ca="1">IF(AND(ISNUMBER($J$316),$B$226=1),$J$316,HLOOKUP(INDIRECT(ADDRESS(2,COLUMN())),OFFSET($BN$2,0,0,ROW()-1,60),ROW()-1,FALSE))</f>
        <v>-2.9775999560000002</v>
      </c>
      <c r="K104">
        <f ca="1">IF(AND(ISNUMBER($K$316),$B$226=1),$K$316,HLOOKUP(INDIRECT(ADDRESS(2,COLUMN())),OFFSET($BN$2,0,0,ROW()-1,60),ROW()-1,FALSE))</f>
        <v>1.486553448</v>
      </c>
      <c r="L104">
        <f ca="1">IF(AND(ISNUMBER($L$316),$B$226=1),$L$316,HLOOKUP(INDIRECT(ADDRESS(2,COLUMN())),OFFSET($BN$2,0,0,ROW()-1,60),ROW()-1,FALSE))</f>
        <v>15.36804163</v>
      </c>
      <c r="M104">
        <f ca="1">IF(AND(ISNUMBER($M$316),$B$226=1),$M$316,HLOOKUP(INDIRECT(ADDRESS(2,COLUMN())),OFFSET($BN$2,0,0,ROW()-1,60),ROW()-1,FALSE))</f>
        <v>7.5075511800000001</v>
      </c>
      <c r="N104">
        <f ca="1">IF(AND(ISNUMBER($N$316),$B$226=1),$N$316,HLOOKUP(INDIRECT(ADDRESS(2,COLUMN())),OFFSET($BN$2,0,0,ROW()-1,60),ROW()-1,FALSE))</f>
        <v>5.7031339909999996</v>
      </c>
      <c r="O104">
        <f ca="1">IF(AND(ISNUMBER($O$316),$B$226=1),$O$316,HLOOKUP(INDIRECT(ADDRESS(2,COLUMN())),OFFSET($BN$2,0,0,ROW()-1,60),ROW()-1,FALSE))</f>
        <v>3.2281165139999999</v>
      </c>
      <c r="P104">
        <f ca="1">IF(AND(ISNUMBER($P$316),$B$226=1),$P$316,HLOOKUP(INDIRECT(ADDRESS(2,COLUMN())),OFFSET($BN$2,0,0,ROW()-1,60),ROW()-1,FALSE))</f>
        <v>1.0226012680000001</v>
      </c>
      <c r="Q104">
        <f ca="1">IF(AND(ISNUMBER($Q$316),$B$226=1),$Q$316,HLOOKUP(INDIRECT(ADDRESS(2,COLUMN())),OFFSET($BN$2,0,0,ROW()-1,60),ROW()-1,FALSE))</f>
        <v>3.1359608639999998</v>
      </c>
      <c r="R104">
        <f ca="1">IF(AND(ISNUMBER($R$316),$B$226=1),$R$316,HLOOKUP(INDIRECT(ADDRESS(2,COLUMN())),OFFSET($BN$2,0,0,ROW()-1,60),ROW()-1,FALSE))</f>
        <v>4.8168549719999998</v>
      </c>
      <c r="S104">
        <f ca="1">IF(AND(ISNUMBER($S$316),$B$226=1),$S$316,HLOOKUP(INDIRECT(ADDRESS(2,COLUMN())),OFFSET($BN$2,0,0,ROW()-1,60),ROW()-1,FALSE))</f>
        <v>8.7023332930000006</v>
      </c>
      <c r="T104">
        <f ca="1">IF(AND(ISNUMBER($T$316),$B$226=1),$T$316,HLOOKUP(INDIRECT(ADDRESS(2,COLUMN())),OFFSET($BN$2,0,0,ROW()-1,60),ROW()-1,FALSE))</f>
        <v>16.186855829999999</v>
      </c>
      <c r="U104">
        <f ca="1">IF(AND(ISNUMBER($U$316),$B$226=1),$U$316,HLOOKUP(INDIRECT(ADDRESS(2,COLUMN())),OFFSET($BN$2,0,0,ROW()-1,60),ROW()-1,FALSE))</f>
        <v>12.86592353</v>
      </c>
      <c r="V104">
        <f ca="1">IF(AND(ISNUMBER($V$316),$B$226=1),$V$316,HLOOKUP(INDIRECT(ADDRESS(2,COLUMN())),OFFSET($BN$2,0,0,ROW()-1,60),ROW()-1,FALSE))</f>
        <v>10.51813011</v>
      </c>
      <c r="W104">
        <f ca="1">IF(AND(ISNUMBER($W$316),$B$226=1),$W$316,HLOOKUP(INDIRECT(ADDRESS(2,COLUMN())),OFFSET($BN$2,0,0,ROW()-1,60),ROW()-1,FALSE))</f>
        <v>21.751760130000001</v>
      </c>
      <c r="X104">
        <f ca="1">IF(AND(ISNUMBER($X$316),$B$226=1),$X$316,HLOOKUP(INDIRECT(ADDRESS(2,COLUMN())),OFFSET($BN$2,0,0,ROW()-1,60),ROW()-1,FALSE))</f>
        <v>36.11604243</v>
      </c>
      <c r="Y104">
        <f ca="1">IF(AND(ISNUMBER($Y$316),$B$226=1),$Y$316,HLOOKUP(INDIRECT(ADDRESS(2,COLUMN())),OFFSET($BN$2,0,0,ROW()-1,60),ROW()-1,FALSE))</f>
        <v>60.901814520000002</v>
      </c>
      <c r="Z104">
        <f ca="1">IF(AND(ISNUMBER($Z$316),$B$226=1),$Z$316,HLOOKUP(INDIRECT(ADDRESS(2,COLUMN())),OFFSET($BN$2,0,0,ROW()-1,60),ROW()-1,FALSE))</f>
        <v>60.05120728</v>
      </c>
      <c r="AA104">
        <f ca="1">IF(AND(ISNUMBER($AA$316),$B$226=1),$AA$316,HLOOKUP(INDIRECT(ADDRESS(2,COLUMN())),OFFSET($BN$2,0,0,ROW()-1,60),ROW()-1,FALSE))</f>
        <v>47.794291540000003</v>
      </c>
      <c r="AB104">
        <f ca="1">IF(AND(ISNUMBER($AB$316),$B$226=1),$AB$316,HLOOKUP(INDIRECT(ADDRESS(2,COLUMN())),OFFSET($BN$2,0,0,ROW()-1,60),ROW()-1,FALSE))</f>
        <v>20.14566263</v>
      </c>
      <c r="AC104">
        <f ca="1">IF(AND(ISNUMBER($AC$316),$B$226=1),$AC$316,HLOOKUP(INDIRECT(ADDRESS(2,COLUMN())),OFFSET($BN$2,0,0,ROW()-1,60),ROW()-1,FALSE))</f>
        <v>7.1459039579999999</v>
      </c>
      <c r="AD104">
        <f ca="1">IF(AND(ISNUMBER($AD$316),$B$226=1),$AD$316,HLOOKUP(INDIRECT(ADDRESS(2,COLUMN())),OFFSET($BN$2,0,0,ROW()-1,60),ROW()-1,FALSE))</f>
        <v>8.3118283710000007</v>
      </c>
      <c r="AE104">
        <f ca="1">IF(AND(ISNUMBER($AE$316),$B$226=1),$AE$316,HLOOKUP(INDIRECT(ADDRESS(2,COLUMN())),OFFSET($BN$2,0,0,ROW()-1,60),ROW()-1,FALSE))</f>
        <v>11.140090170000001</v>
      </c>
      <c r="AF104">
        <f ca="1">IF(AND(ISNUMBER($AF$316),$B$226=1),$AF$316,HLOOKUP(INDIRECT(ADDRESS(2,COLUMN())),OFFSET($BN$2,0,0,ROW()-1,60),ROW()-1,FALSE))</f>
        <v>17.031963470000001</v>
      </c>
      <c r="AG104">
        <f ca="1">IF(AND(ISNUMBER($AG$316),$B$226=1),$AG$316,HLOOKUP(INDIRECT(ADDRESS(2,COLUMN())),OFFSET($BN$2,0,0,ROW()-1,60),ROW()-1,FALSE))</f>
        <v>27.382177989999999</v>
      </c>
      <c r="AH104">
        <f ca="1">IF(AND(ISNUMBER($AH$316),$B$226=1),$AH$316,HLOOKUP(INDIRECT(ADDRESS(2,COLUMN())),OFFSET($BN$2,0,0,ROW()-1,60),ROW()-1,FALSE))</f>
        <v>22.547909000000001</v>
      </c>
      <c r="AI104">
        <f ca="1">IF(AND(ISNUMBER($AI$316),$B$226=1),$AI$316,HLOOKUP(INDIRECT(ADDRESS(2,COLUMN())),OFFSET($BN$2,0,0,ROW()-1,60),ROW()-1,FALSE))</f>
        <v>15.74968992</v>
      </c>
      <c r="AJ104">
        <f ca="1">IF(AND(ISNUMBER($AJ$316),$B$226=1),$AJ$316,HLOOKUP(INDIRECT(ADDRESS(2,COLUMN())),OFFSET($BN$2,0,0,ROW()-1,60),ROW()-1,FALSE))</f>
        <v>8.5340469819999996</v>
      </c>
      <c r="AK104">
        <f ca="1">IF(AND(ISNUMBER($AK$316),$B$226=1),$AK$316,HLOOKUP(INDIRECT(ADDRESS(2,COLUMN())),OFFSET($BN$2,0,0,ROW()-1,60),ROW()-1,FALSE))</f>
        <v>12.357817620000001</v>
      </c>
      <c r="AL104">
        <f ca="1">IF(AND(ISNUMBER($AL$316),$B$226=1),$AL$316,HLOOKUP(INDIRECT(ADDRESS(2,COLUMN())),OFFSET($BN$2,0,0,ROW()-1,60),ROW()-1,FALSE))</f>
        <v>10.33800323</v>
      </c>
      <c r="AM104">
        <f ca="1">IF(AND(ISNUMBER($AM$316),$B$226=1),$AM$316,HLOOKUP(INDIRECT(ADDRESS(2,COLUMN())),OFFSET($BN$2,0,0,ROW()-1,60),ROW()-1,FALSE))</f>
        <v>18.87222856</v>
      </c>
      <c r="AN104">
        <f ca="1">IF(AND(ISNUMBER($AN$316),$B$226=1),$AN$316,HLOOKUP(INDIRECT(ADDRESS(2,COLUMN())),OFFSET($BN$2,0,0,ROW()-1,60),ROW()-1,FALSE))</f>
        <v>43.214725090000002</v>
      </c>
      <c r="AO104">
        <f ca="1">IF(AND(ISNUMBER($AO$316),$B$226=1),$AO$316,HLOOKUP(INDIRECT(ADDRESS(2,COLUMN())),OFFSET($BN$2,0,0,ROW()-1,60),ROW()-1,FALSE))</f>
        <v>51.585407429999997</v>
      </c>
      <c r="AP104">
        <f ca="1">IF(AND(ISNUMBER($AP$316),$B$226=1),$AP$316,HLOOKUP(INDIRECT(ADDRESS(2,COLUMN())),OFFSET($BN$2,0,0,ROW()-1,60),ROW()-1,FALSE))</f>
        <v>85.516908209999997</v>
      </c>
      <c r="AQ104">
        <f ca="1">IF(AND(ISNUMBER($AQ$316),$B$226=1),$AQ$316,HLOOKUP(INDIRECT(ADDRESS(2,COLUMN())),OFFSET($BN$2,0,0,ROW()-1,60),ROW()-1,FALSE))</f>
        <v>78.317376850000002</v>
      </c>
      <c r="AR104">
        <f ca="1">IF(AND(ISNUMBER($AR$316),$B$226=1),$AR$316,HLOOKUP(INDIRECT(ADDRESS(2,COLUMN())),OFFSET($BN$2,0,0,ROW()-1,60),ROW()-1,FALSE))</f>
        <v>49.74845887</v>
      </c>
      <c r="AS104">
        <f ca="1">IF(AND(ISNUMBER($AS$316),$B$226=1),$AS$316,HLOOKUP(INDIRECT(ADDRESS(2,COLUMN())),OFFSET($BN$2,0,0,ROW()-1,60),ROW()-1,FALSE))</f>
        <v>34.983563449999998</v>
      </c>
      <c r="AT104">
        <f ca="1">IF(AND(ISNUMBER($AT$316),$B$226=1),$AT$316,HLOOKUP(INDIRECT(ADDRESS(2,COLUMN())),OFFSET($BN$2,0,0,ROW()-1,60),ROW()-1,FALSE))</f>
        <v>10.535590320000001</v>
      </c>
      <c r="AU104">
        <f ca="1">IF(AND(ISNUMBER($AU$316),$B$226=1),$AU$316,HLOOKUP(INDIRECT(ADDRESS(2,COLUMN())),OFFSET($BN$2,0,0,ROW()-1,60),ROW()-1,FALSE))</f>
        <v>17.121775509999999</v>
      </c>
      <c r="AV104">
        <f ca="1">IF(AND(ISNUMBER($AV$316),$B$226=1),$AV$316,HLOOKUP(INDIRECT(ADDRESS(2,COLUMN())),OFFSET($BN$2,0,0,ROW()-1,60),ROW()-1,FALSE))</f>
        <v>13.448553049999999</v>
      </c>
      <c r="AW104">
        <f ca="1">IF(AND(ISNUMBER($AW$316),$B$226=1),$AW$316,HLOOKUP(INDIRECT(ADDRESS(2,COLUMN())),OFFSET($BN$2,0,0,ROW()-1,60),ROW()-1,FALSE))</f>
        <v>29.811385170000001</v>
      </c>
      <c r="AX104">
        <f ca="1">IF(AND(ISNUMBER($AX$316),$B$226=1),$AX$316,HLOOKUP(INDIRECT(ADDRESS(2,COLUMN())),OFFSET($BN$2,0,0,ROW()-1,60),ROW()-1,FALSE))</f>
        <v>41.624442260000002</v>
      </c>
      <c r="AY104">
        <f ca="1">IF(AND(ISNUMBER($AY$316),$B$226=1),$AY$316,HLOOKUP(INDIRECT(ADDRESS(2,COLUMN())),OFFSET($BN$2,0,0,ROW()-1,60),ROW()-1,FALSE))</f>
        <v>103.8611868</v>
      </c>
      <c r="AZ104">
        <f ca="1">IF(AND(ISNUMBER($AZ$316),$B$226=1),$AZ$316,HLOOKUP(INDIRECT(ADDRESS(2,COLUMN())),OFFSET($BN$2,0,0,ROW()-1,60),ROW()-1,FALSE))</f>
        <v>62.02135973</v>
      </c>
      <c r="BA104">
        <f ca="1">IF(AND(ISNUMBER($BA$316),$B$226=1),$BA$316,HLOOKUP(INDIRECT(ADDRESS(2,COLUMN())),OFFSET($BN$2,0,0,ROW()-1,60),ROW()-1,FALSE))</f>
        <v>50.468729930000002</v>
      </c>
      <c r="BB104">
        <f ca="1">IF(AND(ISNUMBER($BB$316),$B$226=1),$BB$316,HLOOKUP(INDIRECT(ADDRESS(2,COLUMN())),OFFSET($BN$2,0,0,ROW()-1,60),ROW()-1,FALSE))</f>
        <v>42.25927918</v>
      </c>
      <c r="BC104">
        <f ca="1">IF(AND(ISNUMBER($BC$316),$B$226=1),$BC$316,HLOOKUP(INDIRECT(ADDRESS(2,COLUMN())),OFFSET($BN$2,0,0,ROW()-1,60),ROW()-1,FALSE))</f>
        <v>-3.541642865</v>
      </c>
      <c r="BD104">
        <f ca="1">IF(AND(ISNUMBER($BD$316),$B$226=1),$BD$316,HLOOKUP(INDIRECT(ADDRESS(2,COLUMN())),OFFSET($BN$2,0,0,ROW()-1,60),ROW()-1,FALSE))</f>
        <v>81.598864710000001</v>
      </c>
      <c r="BE104">
        <f ca="1">IF(AND(ISNUMBER($BE$316),$B$226=1),$BE$316,HLOOKUP(INDIRECT(ADDRESS(2,COLUMN())),OFFSET($BN$2,0,0,ROW()-1,60),ROW()-1,FALSE))</f>
        <v>105.1910158</v>
      </c>
      <c r="BF104">
        <f ca="1">IF(AND(ISNUMBER($BF$316),$B$226=1),$BF$316,HLOOKUP(INDIRECT(ADDRESS(2,COLUMN())),OFFSET($BN$2,0,0,ROW()-1,60),ROW()-1,FALSE))</f>
        <v>0.73696761600000005</v>
      </c>
      <c r="BG104">
        <f ca="1">IF(AND(ISNUMBER($BG$316),$B$226=1),$BG$316,HLOOKUP(INDIRECT(ADDRESS(2,COLUMN())),OFFSET($BN$2,0,0,ROW()-1,60),ROW()-1,FALSE))</f>
        <v>37.345042450000001</v>
      </c>
      <c r="BH104" t="str">
        <f ca="1">IF(AND(ISNUMBER($BH$316),$B$226=1),$BH$316,HLOOKUP(INDIRECT(ADDRESS(2,COLUMN())),OFFSET($BN$2,0,0,ROW()-1,60),ROW()-1,FALSE))</f>
        <v/>
      </c>
      <c r="BI104" t="str">
        <f ca="1">IF(AND(ISNUMBER($BI$316),$B$226=1),$BI$316,HLOOKUP(INDIRECT(ADDRESS(2,COLUMN())),OFFSET($BN$2,0,0,ROW()-1,60),ROW()-1,FALSE))</f>
        <v/>
      </c>
      <c r="BJ104" t="str">
        <f ca="1">IF(AND(ISNUMBER($BJ$316),$B$226=1),$BJ$316,HLOOKUP(INDIRECT(ADDRESS(2,COLUMN())),OFFSET($BN$2,0,0,ROW()-1,60),ROW()-1,FALSE))</f>
        <v/>
      </c>
      <c r="BK104" t="str">
        <f ca="1">IF(AND(ISNUMBER($BK$316),$B$226=1),$BK$316,HLOOKUP(INDIRECT(ADDRESS(2,COLUMN())),OFFSET($BN$2,0,0,ROW()-1,60),ROW()-1,FALSE))</f>
        <v/>
      </c>
      <c r="BL104" t="str">
        <f ca="1">IF(AND(ISNUMBER($BL$316),$B$226=1),$BL$316,HLOOKUP(INDIRECT(ADDRESS(2,COLUMN())),OFFSET($BN$2,0,0,ROW()-1,60),ROW()-1,FALSE))</f>
        <v/>
      </c>
      <c r="BM104" t="str">
        <f ca="1">IF(AND(ISNUMBER($BM$316),$B$226=1),$BM$316,HLOOKUP(INDIRECT(ADDRESS(2,COLUMN())),OFFSET($BN$2,0,0,ROW()-1,60),ROW()-1,FALSE))</f>
        <v/>
      </c>
      <c r="BN104" t="str">
        <f>""</f>
        <v/>
      </c>
      <c r="BO104">
        <f>16.61059079</f>
        <v>16.61059079</v>
      </c>
      <c r="BP104">
        <f>-2.38674137</f>
        <v>-2.3867413700000002</v>
      </c>
      <c r="BQ104">
        <f>-3.997877233</f>
        <v>-3.9978772330000001</v>
      </c>
      <c r="BR104">
        <f>-2.977599956</f>
        <v>-2.9775999560000002</v>
      </c>
      <c r="BS104">
        <f>1.486553448</f>
        <v>1.486553448</v>
      </c>
      <c r="BT104">
        <f>15.36804163</f>
        <v>15.36804163</v>
      </c>
      <c r="BU104">
        <f>7.50755118</f>
        <v>7.5075511800000001</v>
      </c>
      <c r="BV104">
        <f>5.703133991</f>
        <v>5.7031339909999996</v>
      </c>
      <c r="BW104">
        <f>3.228116514</f>
        <v>3.2281165139999999</v>
      </c>
      <c r="BX104">
        <f>1.022601268</f>
        <v>1.0226012680000001</v>
      </c>
      <c r="BY104">
        <f>3.135960864</f>
        <v>3.1359608639999998</v>
      </c>
      <c r="BZ104">
        <f>4.816854972</f>
        <v>4.8168549719999998</v>
      </c>
      <c r="CA104">
        <f>8.702333293</f>
        <v>8.7023332930000006</v>
      </c>
      <c r="CB104">
        <f>16.18685583</f>
        <v>16.186855829999999</v>
      </c>
      <c r="CC104">
        <f>12.86592353</f>
        <v>12.86592353</v>
      </c>
      <c r="CD104">
        <f>10.51813011</f>
        <v>10.51813011</v>
      </c>
      <c r="CE104">
        <f>21.75176013</f>
        <v>21.751760130000001</v>
      </c>
      <c r="CF104">
        <f>36.11604243</f>
        <v>36.11604243</v>
      </c>
      <c r="CG104">
        <f>60.90181452</f>
        <v>60.901814520000002</v>
      </c>
      <c r="CH104">
        <f>60.05120728</f>
        <v>60.05120728</v>
      </c>
      <c r="CI104">
        <f>47.79429154</f>
        <v>47.794291540000003</v>
      </c>
      <c r="CJ104">
        <f>20.14566263</f>
        <v>20.14566263</v>
      </c>
      <c r="CK104">
        <f>7.145903958</f>
        <v>7.1459039579999999</v>
      </c>
      <c r="CL104">
        <f>8.311828371</f>
        <v>8.3118283710000007</v>
      </c>
      <c r="CM104">
        <f>11.14009017</f>
        <v>11.140090170000001</v>
      </c>
      <c r="CN104">
        <f>17.03196347</f>
        <v>17.031963470000001</v>
      </c>
      <c r="CO104">
        <f>27.38217799</f>
        <v>27.382177989999999</v>
      </c>
      <c r="CP104">
        <f>22.547909</f>
        <v>22.547909000000001</v>
      </c>
      <c r="CQ104">
        <f>15.74968992</f>
        <v>15.74968992</v>
      </c>
      <c r="CR104">
        <f>8.534046982</f>
        <v>8.5340469819999996</v>
      </c>
      <c r="CS104">
        <f>12.35781762</f>
        <v>12.357817620000001</v>
      </c>
      <c r="CT104">
        <f>10.33800323</f>
        <v>10.33800323</v>
      </c>
      <c r="CU104">
        <f>18.87222856</f>
        <v>18.87222856</v>
      </c>
      <c r="CV104">
        <f>43.21472509</f>
        <v>43.214725090000002</v>
      </c>
      <c r="CW104">
        <f>51.58540743</f>
        <v>51.585407429999997</v>
      </c>
      <c r="CX104">
        <f>85.51690821</f>
        <v>85.516908209999997</v>
      </c>
      <c r="CY104">
        <f>78.31737685</f>
        <v>78.317376850000002</v>
      </c>
      <c r="CZ104">
        <f>49.74845887</f>
        <v>49.74845887</v>
      </c>
      <c r="DA104">
        <f>34.98356345</f>
        <v>34.983563449999998</v>
      </c>
      <c r="DB104">
        <f>10.53559032</f>
        <v>10.535590320000001</v>
      </c>
      <c r="DC104">
        <f>17.12177551</f>
        <v>17.121775509999999</v>
      </c>
      <c r="DD104">
        <f>13.44855305</f>
        <v>13.448553049999999</v>
      </c>
      <c r="DE104">
        <f>29.81138517</f>
        <v>29.811385170000001</v>
      </c>
      <c r="DF104">
        <f>41.62444226</f>
        <v>41.624442260000002</v>
      </c>
      <c r="DG104">
        <f>103.8611868</f>
        <v>103.8611868</v>
      </c>
      <c r="DH104">
        <f>62.02135973</f>
        <v>62.02135973</v>
      </c>
      <c r="DI104">
        <f>50.46872993</f>
        <v>50.468729930000002</v>
      </c>
      <c r="DJ104">
        <f>42.25927918</f>
        <v>42.25927918</v>
      </c>
      <c r="DK104">
        <f>-3.541642865</f>
        <v>-3.541642865</v>
      </c>
      <c r="DL104">
        <f>81.59886471</f>
        <v>81.598864710000001</v>
      </c>
      <c r="DM104">
        <f>105.1910158</f>
        <v>105.1910158</v>
      </c>
      <c r="DN104">
        <f>0.736967616</f>
        <v>0.73696761600000005</v>
      </c>
      <c r="DO104">
        <f>37.34504245</f>
        <v>37.345042450000001</v>
      </c>
      <c r="DP104" t="str">
        <f>""</f>
        <v/>
      </c>
      <c r="DQ104" t="str">
        <f>""</f>
        <v/>
      </c>
      <c r="DR104" t="str">
        <f>""</f>
        <v/>
      </c>
      <c r="DS104" t="str">
        <f>""</f>
        <v/>
      </c>
      <c r="DT104" t="str">
        <f>""</f>
        <v/>
      </c>
      <c r="DU104" t="str">
        <f>""</f>
        <v/>
      </c>
    </row>
    <row r="105" spans="1:125">
      <c r="A105" t="str">
        <f>"    AvalonBay Communities Inc"</f>
        <v xml:space="preserve">    AvalonBay Communities Inc</v>
      </c>
      <c r="B105" t="str">
        <f>"AVB US Equity"</f>
        <v>AVB US Equity</v>
      </c>
      <c r="C105" t="str">
        <f t="shared" si="33"/>
        <v>RR551</v>
      </c>
      <c r="D105" t="str">
        <f t="shared" si="34"/>
        <v>NOI_GROWTH</v>
      </c>
      <c r="E105" t="str">
        <f t="shared" si="35"/>
        <v>动态</v>
      </c>
      <c r="F105" t="str">
        <f ca="1">IF(AND(ISNUMBER($F$317),$B$226=1),$F$317,HLOOKUP(INDIRECT(ADDRESS(2,COLUMN())),OFFSET($BN$2,0,0,ROW()-1,60),ROW()-1,FALSE))</f>
        <v/>
      </c>
      <c r="G105">
        <f ca="1">IF(AND(ISNUMBER($G$317),$B$226=1),$G$317,HLOOKUP(INDIRECT(ADDRESS(2,COLUMN())),OFFSET($BN$2,0,0,ROW()-1,60),ROW()-1,FALSE))</f>
        <v>7.2674962240000003</v>
      </c>
      <c r="H105">
        <f ca="1">IF(AND(ISNUMBER($H$317),$B$226=1),$H$317,HLOOKUP(INDIRECT(ADDRESS(2,COLUMN())),OFFSET($BN$2,0,0,ROW()-1,60),ROW()-1,FALSE))</f>
        <v>8.0956215700000005</v>
      </c>
      <c r="I105">
        <f ca="1">IF(AND(ISNUMBER($I$317),$B$226=1),$I$317,HLOOKUP(INDIRECT(ADDRESS(2,COLUMN())),OFFSET($BN$2,0,0,ROW()-1,60),ROW()-1,FALSE))</f>
        <v>5.6906072339999998</v>
      </c>
      <c r="J105">
        <f ca="1">IF(AND(ISNUMBER($J$317),$B$226=1),$J$317,HLOOKUP(INDIRECT(ADDRESS(2,COLUMN())),OFFSET($BN$2,0,0,ROW()-1,60),ROW()-1,FALSE))</f>
        <v>2.15195822</v>
      </c>
      <c r="K105">
        <f ca="1">IF(AND(ISNUMBER($K$317),$B$226=1),$K$317,HLOOKUP(INDIRECT(ADDRESS(2,COLUMN())),OFFSET($BN$2,0,0,ROW()-1,60),ROW()-1,FALSE))</f>
        <v>8.3415935710000007</v>
      </c>
      <c r="L105">
        <f ca="1">IF(AND(ISNUMBER($L$317),$B$226=1),$L$317,HLOOKUP(INDIRECT(ADDRESS(2,COLUMN())),OFFSET($BN$2,0,0,ROW()-1,60),ROW()-1,FALSE))</f>
        <v>9.6051625049999991</v>
      </c>
      <c r="M105">
        <f ca="1">IF(AND(ISNUMBER($M$317),$B$226=1),$M$317,HLOOKUP(INDIRECT(ADDRESS(2,COLUMN())),OFFSET($BN$2,0,0,ROW()-1,60),ROW()-1,FALSE))</f>
        <v>10.72843737</v>
      </c>
      <c r="N105">
        <f ca="1">IF(AND(ISNUMBER($N$317),$B$226=1),$N$317,HLOOKUP(INDIRECT(ADDRESS(2,COLUMN())),OFFSET($BN$2,0,0,ROW()-1,60),ROW()-1,FALSE))</f>
        <v>20.309999789999999</v>
      </c>
      <c r="O105">
        <f ca="1">IF(AND(ISNUMBER($O$317),$B$226=1),$O$317,HLOOKUP(INDIRECT(ADDRESS(2,COLUMN())),OFFSET($BN$2,0,0,ROW()-1,60),ROW()-1,FALSE))</f>
        <v>12.327865409999999</v>
      </c>
      <c r="P105">
        <f ca="1">IF(AND(ISNUMBER($P$317),$B$226=1),$P$317,HLOOKUP(INDIRECT(ADDRESS(2,COLUMN())),OFFSET($BN$2,0,0,ROW()-1,60),ROW()-1,FALSE))</f>
        <v>9.2840224209999995</v>
      </c>
      <c r="Q105">
        <f ca="1">IF(AND(ISNUMBER($Q$317),$B$226=1),$Q$317,HLOOKUP(INDIRECT(ADDRESS(2,COLUMN())),OFFSET($BN$2,0,0,ROW()-1,60),ROW()-1,FALSE))</f>
        <v>11.37309861</v>
      </c>
      <c r="R105">
        <f ca="1">IF(AND(ISNUMBER($R$317),$B$226=1),$R$317,HLOOKUP(INDIRECT(ADDRESS(2,COLUMN())),OFFSET($BN$2,0,0,ROW()-1,60),ROW()-1,FALSE))</f>
        <v>9.7111959829999996</v>
      </c>
      <c r="S105">
        <f ca="1">IF(AND(ISNUMBER($S$317),$B$226=1),$S$317,HLOOKUP(INDIRECT(ADDRESS(2,COLUMN())),OFFSET($BN$2,0,0,ROW()-1,60),ROW()-1,FALSE))</f>
        <v>11.65735553</v>
      </c>
      <c r="T105">
        <f ca="1">IF(AND(ISNUMBER($T$317),$B$226=1),$T$317,HLOOKUP(INDIRECT(ADDRESS(2,COLUMN())),OFFSET($BN$2,0,0,ROW()-1,60),ROW()-1,FALSE))</f>
        <v>12.880083239999999</v>
      </c>
      <c r="U105">
        <f ca="1">IF(AND(ISNUMBER($U$317),$B$226=1),$U$317,HLOOKUP(INDIRECT(ADDRESS(2,COLUMN())),OFFSET($BN$2,0,0,ROW()-1,60),ROW()-1,FALSE))</f>
        <v>9.2723755220000008</v>
      </c>
      <c r="V105">
        <f ca="1">IF(AND(ISNUMBER($V$317),$B$226=1),$V$317,HLOOKUP(INDIRECT(ADDRESS(2,COLUMN())),OFFSET($BN$2,0,0,ROW()-1,60),ROW()-1,FALSE))</f>
        <v>62.680874289999998</v>
      </c>
      <c r="W105">
        <f ca="1">IF(AND(ISNUMBER($W$317),$B$226=1),$W$317,HLOOKUP(INDIRECT(ADDRESS(2,COLUMN())),OFFSET($BN$2,0,0,ROW()-1,60),ROW()-1,FALSE))</f>
        <v>58.874899839999998</v>
      </c>
      <c r="X105">
        <f ca="1">IF(AND(ISNUMBER($X$317),$B$226=1),$X$317,HLOOKUP(INDIRECT(ADDRESS(2,COLUMN())),OFFSET($BN$2,0,0,ROW()-1,60),ROW()-1,FALSE))</f>
        <v>47.807375710000002</v>
      </c>
      <c r="Y105">
        <f ca="1">IF(AND(ISNUMBER($Y$317),$B$226=1),$Y$317,HLOOKUP(INDIRECT(ADDRESS(2,COLUMN())),OFFSET($BN$2,0,0,ROW()-1,60),ROW()-1,FALSE))</f>
        <v>53.199388509999999</v>
      </c>
      <c r="Z105">
        <f ca="1">IF(AND(ISNUMBER($Z$317),$B$226=1),$Z$317,HLOOKUP(INDIRECT(ADDRESS(2,COLUMN())),OFFSET($BN$2,0,0,ROW()-1,60),ROW()-1,FALSE))</f>
        <v>-1.0787829000000001E-2</v>
      </c>
      <c r="AA105">
        <f ca="1">IF(AND(ISNUMBER($AA$317),$B$226=1),$AA$317,HLOOKUP(INDIRECT(ADDRESS(2,COLUMN())),OFFSET($BN$2,0,0,ROW()-1,60),ROW()-1,FALSE))</f>
        <v>2.9668713229999999</v>
      </c>
      <c r="AB105">
        <f ca="1">IF(AND(ISNUMBER($AB$317),$B$226=1),$AB$317,HLOOKUP(INDIRECT(ADDRESS(2,COLUMN())),OFFSET($BN$2,0,0,ROW()-1,60),ROW()-1,FALSE))</f>
        <v>10.58400896</v>
      </c>
      <c r="AC105">
        <f ca="1">IF(AND(ISNUMBER($AC$317),$B$226=1),$AC$317,HLOOKUP(INDIRECT(ADDRESS(2,COLUMN())),OFFSET($BN$2,0,0,ROW()-1,60),ROW()-1,FALSE))</f>
        <v>8.0214876919999991</v>
      </c>
      <c r="AD105">
        <f ca="1">IF(AND(ISNUMBER($AD$317),$B$226=1),$AD$317,HLOOKUP(INDIRECT(ADDRESS(2,COLUMN())),OFFSET($BN$2,0,0,ROW()-1,60),ROW()-1,FALSE))</f>
        <v>12.06203822</v>
      </c>
      <c r="AE105">
        <f ca="1">IF(AND(ISNUMBER($AE$317),$B$226=1),$AE$317,HLOOKUP(INDIRECT(ADDRESS(2,COLUMN())),OFFSET($BN$2,0,0,ROW()-1,60),ROW()-1,FALSE))</f>
        <v>13.437513600000001</v>
      </c>
      <c r="AF105">
        <f ca="1">IF(AND(ISNUMBER($AF$317),$B$226=1),$AF$317,HLOOKUP(INDIRECT(ADDRESS(2,COLUMN())),OFFSET($BN$2,0,0,ROW()-1,60),ROW()-1,FALSE))</f>
        <v>11.74538169</v>
      </c>
      <c r="AG105">
        <f ca="1">IF(AND(ISNUMBER($AG$317),$B$226=1),$AG$317,HLOOKUP(INDIRECT(ADDRESS(2,COLUMN())),OFFSET($BN$2,0,0,ROW()-1,60),ROW()-1,FALSE))</f>
        <v>12.862956909999999</v>
      </c>
      <c r="AH105">
        <f ca="1">IF(AND(ISNUMBER($AH$317),$B$226=1),$AH$317,HLOOKUP(INDIRECT(ADDRESS(2,COLUMN())),OFFSET($BN$2,0,0,ROW()-1,60),ROW()-1,FALSE))</f>
        <v>10.395584899999999</v>
      </c>
      <c r="AI105">
        <f ca="1">IF(AND(ISNUMBER($AI$317),$B$226=1),$AI$317,HLOOKUP(INDIRECT(ADDRESS(2,COLUMN())),OFFSET($BN$2,0,0,ROW()-1,60),ROW()-1,FALSE))</f>
        <v>9.0904773960000007</v>
      </c>
      <c r="AJ105">
        <f ca="1">IF(AND(ISNUMBER($AJ$317),$B$226=1),$AJ$317,HLOOKUP(INDIRECT(ADDRESS(2,COLUMN())),OFFSET($BN$2,0,0,ROW()-1,60),ROW()-1,FALSE))</f>
        <v>6.6848974910000001</v>
      </c>
      <c r="AK105">
        <f ca="1">IF(AND(ISNUMBER($AK$317),$B$226=1),$AK$317,HLOOKUP(INDIRECT(ADDRESS(2,COLUMN())),OFFSET($BN$2,0,0,ROW()-1,60),ROW()-1,FALSE))</f>
        <v>4.070839898</v>
      </c>
      <c r="AL105">
        <f ca="1">IF(AND(ISNUMBER($AL$317),$B$226=1),$AL$317,HLOOKUP(INDIRECT(ADDRESS(2,COLUMN())),OFFSET($BN$2,0,0,ROW()-1,60),ROW()-1,FALSE))</f>
        <v>1.0423029020000001</v>
      </c>
      <c r="AM105">
        <f ca="1">IF(AND(ISNUMBER($AM$317),$B$226=1),$AM$317,HLOOKUP(INDIRECT(ADDRESS(2,COLUMN())),OFFSET($BN$2,0,0,ROW()-1,60),ROW()-1,FALSE))</f>
        <v>-1.4891394179999999</v>
      </c>
      <c r="AN105">
        <f ca="1">IF(AND(ISNUMBER($AN$317),$B$226=1),$AN$317,HLOOKUP(INDIRECT(ADDRESS(2,COLUMN())),OFFSET($BN$2,0,0,ROW()-1,60),ROW()-1,FALSE))</f>
        <v>-3.5076545119999998</v>
      </c>
      <c r="AO105">
        <f ca="1">IF(AND(ISNUMBER($AO$317),$B$226=1),$AO$317,HLOOKUP(INDIRECT(ADDRESS(2,COLUMN())),OFFSET($BN$2,0,0,ROW()-1,60),ROW()-1,FALSE))</f>
        <v>-3.5984675030000002</v>
      </c>
      <c r="AP105">
        <f ca="1">IF(AND(ISNUMBER($AP$317),$B$226=1),$AP$317,HLOOKUP(INDIRECT(ADDRESS(2,COLUMN())),OFFSET($BN$2,0,0,ROW()-1,60),ROW()-1,FALSE))</f>
        <v>0.51346244299999999</v>
      </c>
      <c r="AQ105">
        <f ca="1">IF(AND(ISNUMBER($AQ$317),$B$226=1),$AQ$317,HLOOKUP(INDIRECT(ADDRESS(2,COLUMN())),OFFSET($BN$2,0,0,ROW()-1,60),ROW()-1,FALSE))</f>
        <v>8.5889414730000002</v>
      </c>
      <c r="AR105">
        <f ca="1">IF(AND(ISNUMBER($AR$317),$B$226=1),$AR$317,HLOOKUP(INDIRECT(ADDRESS(2,COLUMN())),OFFSET($BN$2,0,0,ROW()-1,60),ROW()-1,FALSE))</f>
        <v>9.9574787390000008</v>
      </c>
      <c r="AS105">
        <f ca="1">IF(AND(ISNUMBER($AS$317),$B$226=1),$AS$317,HLOOKUP(INDIRECT(ADDRESS(2,COLUMN())),OFFSET($BN$2,0,0,ROW()-1,60),ROW()-1,FALSE))</f>
        <v>11.908442580000001</v>
      </c>
      <c r="AT105">
        <f ca="1">IF(AND(ISNUMBER($AT$317),$B$226=1),$AT$317,HLOOKUP(INDIRECT(ADDRESS(2,COLUMN())),OFFSET($BN$2,0,0,ROW()-1,60),ROW()-1,FALSE))</f>
        <v>7.9604045619999999</v>
      </c>
      <c r="AU105">
        <f ca="1">IF(AND(ISNUMBER($AU$317),$B$226=1),$AU$317,HLOOKUP(INDIRECT(ADDRESS(2,COLUMN())),OFFSET($BN$2,0,0,ROW()-1,60),ROW()-1,FALSE))</f>
        <v>3.1076232789999998</v>
      </c>
      <c r="AV105">
        <f ca="1">IF(AND(ISNUMBER($AV$317),$B$226=1),$AV$317,HLOOKUP(INDIRECT(ADDRESS(2,COLUMN())),OFFSET($BN$2,0,0,ROW()-1,60),ROW()-1,FALSE))</f>
        <v>7.2156470129999999</v>
      </c>
      <c r="AW105">
        <f ca="1">IF(AND(ISNUMBER($AW$317),$B$226=1),$AW$317,HLOOKUP(INDIRECT(ADDRESS(2,COLUMN())),OFFSET($BN$2,0,0,ROW()-1,60),ROW()-1,FALSE))</f>
        <v>7.7704039839999997</v>
      </c>
      <c r="AX105">
        <f ca="1">IF(AND(ISNUMBER($AX$317),$B$226=1),$AX$317,HLOOKUP(INDIRECT(ADDRESS(2,COLUMN())),OFFSET($BN$2,0,0,ROW()-1,60),ROW()-1,FALSE))</f>
        <v>9.0527639840000003</v>
      </c>
      <c r="AY105">
        <f ca="1">IF(AND(ISNUMBER($AY$317),$B$226=1),$AY$317,HLOOKUP(INDIRECT(ADDRESS(2,COLUMN())),OFFSET($BN$2,0,0,ROW()-1,60),ROW()-1,FALSE))</f>
        <v>7.514781793</v>
      </c>
      <c r="AZ105">
        <f ca="1">IF(AND(ISNUMBER($AZ$317),$B$226=1),$AZ$317,HLOOKUP(INDIRECT(ADDRESS(2,COLUMN())),OFFSET($BN$2,0,0,ROW()-1,60),ROW()-1,FALSE))</f>
        <v>8.0933791979999992</v>
      </c>
      <c r="BA105">
        <f ca="1">IF(AND(ISNUMBER($BA$317),$B$226=1),$BA$317,HLOOKUP(INDIRECT(ADDRESS(2,COLUMN())),OFFSET($BN$2,0,0,ROW()-1,60),ROW()-1,FALSE))</f>
        <v>5.1366913439999999</v>
      </c>
      <c r="BB105">
        <f ca="1">IF(AND(ISNUMBER($BB$317),$B$226=1),$BB$317,HLOOKUP(INDIRECT(ADDRESS(2,COLUMN())),OFFSET($BN$2,0,0,ROW()-1,60),ROW()-1,FALSE))</f>
        <v>7.0953927200000004</v>
      </c>
      <c r="BC105">
        <f ca="1">IF(AND(ISNUMBER($BC$317),$B$226=1),$BC$317,HLOOKUP(INDIRECT(ADDRESS(2,COLUMN())),OFFSET($BN$2,0,0,ROW()-1,60),ROW()-1,FALSE))</f>
        <v>26.453833370000002</v>
      </c>
      <c r="BD105">
        <f ca="1">IF(AND(ISNUMBER($BD$317),$B$226=1),$BD$317,HLOOKUP(INDIRECT(ADDRESS(2,COLUMN())),OFFSET($BN$2,0,0,ROW()-1,60),ROW()-1,FALSE))</f>
        <v>9.8746164709999995</v>
      </c>
      <c r="BE105">
        <f ca="1">IF(AND(ISNUMBER($BE$317),$B$226=1),$BE$317,HLOOKUP(INDIRECT(ADDRESS(2,COLUMN())),OFFSET($BN$2,0,0,ROW()-1,60),ROW()-1,FALSE))</f>
        <v>4.1295081470000001</v>
      </c>
      <c r="BF105">
        <f ca="1">IF(AND(ISNUMBER($BF$317),$B$226=1),$BF$317,HLOOKUP(INDIRECT(ADDRESS(2,COLUMN())),OFFSET($BN$2,0,0,ROW()-1,60),ROW()-1,FALSE))</f>
        <v>4.3273516729999999</v>
      </c>
      <c r="BG105">
        <f ca="1">IF(AND(ISNUMBER($BG$317),$B$226=1),$BG$317,HLOOKUP(INDIRECT(ADDRESS(2,COLUMN())),OFFSET($BN$2,0,0,ROW()-1,60),ROW()-1,FALSE))</f>
        <v>-9.7617174670000004</v>
      </c>
      <c r="BH105">
        <f ca="1">IF(AND(ISNUMBER($BH$317),$B$226=1),$BH$317,HLOOKUP(INDIRECT(ADDRESS(2,COLUMN())),OFFSET($BN$2,0,0,ROW()-1,60),ROW()-1,FALSE))</f>
        <v>3.6010867050000002</v>
      </c>
      <c r="BI105">
        <f ca="1">IF(AND(ISNUMBER($BI$317),$B$226=1),$BI$317,HLOOKUP(INDIRECT(ADDRESS(2,COLUMN())),OFFSET($BN$2,0,0,ROW()-1,60),ROW()-1,FALSE))</f>
        <v>6.8949545429999999</v>
      </c>
      <c r="BJ105">
        <f ca="1">IF(AND(ISNUMBER($BJ$317),$B$226=1),$BJ$317,HLOOKUP(INDIRECT(ADDRESS(2,COLUMN())),OFFSET($BN$2,0,0,ROW()-1,60),ROW()-1,FALSE))</f>
        <v>3.9011845219999999</v>
      </c>
      <c r="BK105">
        <f ca="1">IF(AND(ISNUMBER($BK$317),$B$226=1),$BK$317,HLOOKUP(INDIRECT(ADDRESS(2,COLUMN())),OFFSET($BN$2,0,0,ROW()-1,60),ROW()-1,FALSE))</f>
        <v>0.28246442799999999</v>
      </c>
      <c r="BL105">
        <f ca="1">IF(AND(ISNUMBER($BL$317),$B$226=1),$BL$317,HLOOKUP(INDIRECT(ADDRESS(2,COLUMN())),OFFSET($BN$2,0,0,ROW()-1,60),ROW()-1,FALSE))</f>
        <v>-1.3776345910000001</v>
      </c>
      <c r="BM105">
        <f ca="1">IF(AND(ISNUMBER($BM$317),$B$226=1),$BM$317,HLOOKUP(INDIRECT(ADDRESS(2,COLUMN())),OFFSET($BN$2,0,0,ROW()-1,60),ROW()-1,FALSE))</f>
        <v>-8.5755928459999993</v>
      </c>
      <c r="BN105" t="str">
        <f>""</f>
        <v/>
      </c>
      <c r="BO105">
        <f>7.267496224</f>
        <v>7.2674962240000003</v>
      </c>
      <c r="BP105">
        <f>8.09562157</f>
        <v>8.0956215700000005</v>
      </c>
      <c r="BQ105">
        <f>5.690607234</f>
        <v>5.6906072339999998</v>
      </c>
      <c r="BR105">
        <f>2.15195822</f>
        <v>2.15195822</v>
      </c>
      <c r="BS105">
        <f>8.341593571</f>
        <v>8.3415935710000007</v>
      </c>
      <c r="BT105">
        <f>9.605162505</f>
        <v>9.6051625049999991</v>
      </c>
      <c r="BU105">
        <f>10.72843737</f>
        <v>10.72843737</v>
      </c>
      <c r="BV105">
        <f>20.30999979</f>
        <v>20.309999789999999</v>
      </c>
      <c r="BW105">
        <f>12.32786541</f>
        <v>12.327865409999999</v>
      </c>
      <c r="BX105">
        <f>9.284022421</f>
        <v>9.2840224209999995</v>
      </c>
      <c r="BY105">
        <f>11.37309861</f>
        <v>11.37309861</v>
      </c>
      <c r="BZ105">
        <f>9.711195983</f>
        <v>9.7111959829999996</v>
      </c>
      <c r="CA105">
        <f>11.65735553</f>
        <v>11.65735553</v>
      </c>
      <c r="CB105">
        <f>12.88008324</f>
        <v>12.880083239999999</v>
      </c>
      <c r="CC105">
        <f>9.272375522</f>
        <v>9.2723755220000008</v>
      </c>
      <c r="CD105">
        <f>62.68087429</f>
        <v>62.680874289999998</v>
      </c>
      <c r="CE105">
        <f>58.87489984</f>
        <v>58.874899839999998</v>
      </c>
      <c r="CF105">
        <f>47.80737571</f>
        <v>47.807375710000002</v>
      </c>
      <c r="CG105">
        <f>53.19938851</f>
        <v>53.199388509999999</v>
      </c>
      <c r="CH105">
        <f>-0.010787829</f>
        <v>-1.0787829000000001E-2</v>
      </c>
      <c r="CI105">
        <f>2.966871323</f>
        <v>2.9668713229999999</v>
      </c>
      <c r="CJ105">
        <f>10.58400896</f>
        <v>10.58400896</v>
      </c>
      <c r="CK105">
        <f>8.021487692</f>
        <v>8.0214876919999991</v>
      </c>
      <c r="CL105">
        <f>12.06203822</f>
        <v>12.06203822</v>
      </c>
      <c r="CM105">
        <f>13.4375136</f>
        <v>13.437513600000001</v>
      </c>
      <c r="CN105">
        <f>11.74538169</f>
        <v>11.74538169</v>
      </c>
      <c r="CO105">
        <f>12.86295691</f>
        <v>12.862956909999999</v>
      </c>
      <c r="CP105">
        <f>10.3955849</f>
        <v>10.395584899999999</v>
      </c>
      <c r="CQ105">
        <f>9.090477396</f>
        <v>9.0904773960000007</v>
      </c>
      <c r="CR105">
        <f>6.684897491</f>
        <v>6.6848974910000001</v>
      </c>
      <c r="CS105">
        <f>4.070839898</f>
        <v>4.070839898</v>
      </c>
      <c r="CT105">
        <f>1.042302902</f>
        <v>1.0423029020000001</v>
      </c>
      <c r="CU105">
        <f>-1.489139418</f>
        <v>-1.4891394179999999</v>
      </c>
      <c r="CV105">
        <f>-3.507654512</f>
        <v>-3.5076545119999998</v>
      </c>
      <c r="CW105">
        <f>-3.598467503</f>
        <v>-3.5984675030000002</v>
      </c>
      <c r="CX105">
        <f>0.513462443</f>
        <v>0.51346244299999999</v>
      </c>
      <c r="CY105">
        <f>8.588941473</f>
        <v>8.5889414730000002</v>
      </c>
      <c r="CZ105">
        <f>9.957478739</f>
        <v>9.9574787390000008</v>
      </c>
      <c r="DA105">
        <f>11.90844258</f>
        <v>11.908442580000001</v>
      </c>
      <c r="DB105">
        <f>7.960404562</f>
        <v>7.9604045619999999</v>
      </c>
      <c r="DC105">
        <f>3.107623279</f>
        <v>3.1076232789999998</v>
      </c>
      <c r="DD105">
        <f>7.215647013</f>
        <v>7.2156470129999999</v>
      </c>
      <c r="DE105">
        <f>7.770403984</f>
        <v>7.7704039839999997</v>
      </c>
      <c r="DF105">
        <f>9.052763984</f>
        <v>9.0527639840000003</v>
      </c>
      <c r="DG105">
        <f>7.514781793</f>
        <v>7.514781793</v>
      </c>
      <c r="DH105">
        <f>8.093379198</f>
        <v>8.0933791979999992</v>
      </c>
      <c r="DI105">
        <f>5.136691344</f>
        <v>5.1366913439999999</v>
      </c>
      <c r="DJ105">
        <f>7.09539272</f>
        <v>7.0953927200000004</v>
      </c>
      <c r="DK105">
        <f>26.45383337</f>
        <v>26.453833370000002</v>
      </c>
      <c r="DL105">
        <f>9.874616471</f>
        <v>9.8746164709999995</v>
      </c>
      <c r="DM105">
        <f>4.129508147</f>
        <v>4.1295081470000001</v>
      </c>
      <c r="DN105">
        <f>4.327351673</f>
        <v>4.3273516729999999</v>
      </c>
      <c r="DO105">
        <f>-9.761717467</f>
        <v>-9.7617174670000004</v>
      </c>
      <c r="DP105">
        <f>3.601086705</f>
        <v>3.6010867050000002</v>
      </c>
      <c r="DQ105">
        <f>6.894954543</f>
        <v>6.8949545429999999</v>
      </c>
      <c r="DR105">
        <f>3.901184522</f>
        <v>3.9011845219999999</v>
      </c>
      <c r="DS105">
        <f>0.282464428</f>
        <v>0.28246442799999999</v>
      </c>
      <c r="DT105">
        <f>-1.377634591</f>
        <v>-1.3776345910000001</v>
      </c>
      <c r="DU105">
        <f>-8.575592846</f>
        <v>-8.5755928459999993</v>
      </c>
    </row>
    <row r="106" spans="1:125">
      <c r="A106" t="str">
        <f>"    Camden Property Trust"</f>
        <v xml:space="preserve">    Camden Property Trust</v>
      </c>
      <c r="B106" t="str">
        <f>"CPT US Equity"</f>
        <v>CPT US Equity</v>
      </c>
      <c r="C106" t="str">
        <f t="shared" si="33"/>
        <v>RR551</v>
      </c>
      <c r="D106" t="str">
        <f t="shared" si="34"/>
        <v>NOI_GROWTH</v>
      </c>
      <c r="E106" t="str">
        <f t="shared" si="35"/>
        <v>动态</v>
      </c>
      <c r="F106" t="str">
        <f ca="1">IF(AND(ISNUMBER($F$318),$B$226=1),$F$318,HLOOKUP(INDIRECT(ADDRESS(2,COLUMN())),OFFSET($BN$2,0,0,ROW()-1,60),ROW()-1,FALSE))</f>
        <v/>
      </c>
      <c r="G106">
        <f ca="1">IF(AND(ISNUMBER($G$318),$B$226=1),$G$318,HLOOKUP(INDIRECT(ADDRESS(2,COLUMN())),OFFSET($BN$2,0,0,ROW()-1,60),ROW()-1,FALSE))</f>
        <v>4.1624403269999997</v>
      </c>
      <c r="H106">
        <f ca="1">IF(AND(ISNUMBER($H$318),$B$226=1),$H$318,HLOOKUP(INDIRECT(ADDRESS(2,COLUMN())),OFFSET($BN$2,0,0,ROW()-1,60),ROW()-1,FALSE))</f>
        <v>-1.1836627239999999</v>
      </c>
      <c r="I106">
        <f ca="1">IF(AND(ISNUMBER($I$318),$B$226=1),$I$318,HLOOKUP(INDIRECT(ADDRESS(2,COLUMN())),OFFSET($BN$2,0,0,ROW()-1,60),ROW()-1,FALSE))</f>
        <v>1.041888156</v>
      </c>
      <c r="J106">
        <f ca="1">IF(AND(ISNUMBER($J$318),$B$226=1),$J$318,HLOOKUP(INDIRECT(ADDRESS(2,COLUMN())),OFFSET($BN$2,0,0,ROW()-1,60),ROW()-1,FALSE))</f>
        <v>-1.130804782</v>
      </c>
      <c r="K106">
        <f ca="1">IF(AND(ISNUMBER($K$318),$B$226=1),$K$318,HLOOKUP(INDIRECT(ADDRESS(2,COLUMN())),OFFSET($BN$2,0,0,ROW()-1,60),ROW()-1,FALSE))</f>
        <v>1.8191982259999999</v>
      </c>
      <c r="L106">
        <f ca="1">IF(AND(ISNUMBER($L$318),$B$226=1),$L$318,HLOOKUP(INDIRECT(ADDRESS(2,COLUMN())),OFFSET($BN$2,0,0,ROW()-1,60),ROW()-1,FALSE))</f>
        <v>3.6398177060000001</v>
      </c>
      <c r="M106">
        <f ca="1">IF(AND(ISNUMBER($M$318),$B$226=1),$M$318,HLOOKUP(INDIRECT(ADDRESS(2,COLUMN())),OFFSET($BN$2,0,0,ROW()-1,60),ROW()-1,FALSE))</f>
        <v>4.375107184</v>
      </c>
      <c r="N106">
        <f ca="1">IF(AND(ISNUMBER($N$318),$B$226=1),$N$318,HLOOKUP(INDIRECT(ADDRESS(2,COLUMN())),OFFSET($BN$2,0,0,ROW()-1,60),ROW()-1,FALSE))</f>
        <v>0.65261092899999995</v>
      </c>
      <c r="O106">
        <f ca="1">IF(AND(ISNUMBER($O$318),$B$226=1),$O$318,HLOOKUP(INDIRECT(ADDRESS(2,COLUMN())),OFFSET($BN$2,0,0,ROW()-1,60),ROW()-1,FALSE))</f>
        <v>-1.5025524729999999</v>
      </c>
      <c r="P106">
        <f ca="1">IF(AND(ISNUMBER($P$318),$B$226=1),$P$318,HLOOKUP(INDIRECT(ADDRESS(2,COLUMN())),OFFSET($BN$2,0,0,ROW()-1,60),ROW()-1,FALSE))</f>
        <v>-2.0643858800000001</v>
      </c>
      <c r="Q106">
        <f ca="1">IF(AND(ISNUMBER($Q$318),$B$226=1),$Q$318,HLOOKUP(INDIRECT(ADDRESS(2,COLUMN())),OFFSET($BN$2,0,0,ROW()-1,60),ROW()-1,FALSE))</f>
        <v>-0.47788765599999999</v>
      </c>
      <c r="R106">
        <f ca="1">IF(AND(ISNUMBER($R$318),$B$226=1),$R$318,HLOOKUP(INDIRECT(ADDRESS(2,COLUMN())),OFFSET($BN$2,0,0,ROW()-1,60),ROW()-1,FALSE))</f>
        <v>2.3924824739999999</v>
      </c>
      <c r="S106">
        <f ca="1">IF(AND(ISNUMBER($S$318),$B$226=1),$S$318,HLOOKUP(INDIRECT(ADDRESS(2,COLUMN())),OFFSET($BN$2,0,0,ROW()-1,60),ROW()-1,FALSE))</f>
        <v>4.7368163819999998</v>
      </c>
      <c r="T106">
        <f ca="1">IF(AND(ISNUMBER($T$318),$B$226=1),$T$318,HLOOKUP(INDIRECT(ADDRESS(2,COLUMN())),OFFSET($BN$2,0,0,ROW()-1,60),ROW()-1,FALSE))</f>
        <v>5.2474247209999998</v>
      </c>
      <c r="U106">
        <f ca="1">IF(AND(ISNUMBER($U$318),$B$226=1),$U$318,HLOOKUP(INDIRECT(ADDRESS(2,COLUMN())),OFFSET($BN$2,0,0,ROW()-1,60),ROW()-1,FALSE))</f>
        <v>6.9457567429999996</v>
      </c>
      <c r="V106">
        <f ca="1">IF(AND(ISNUMBER($V$318),$B$226=1),$V$318,HLOOKUP(INDIRECT(ADDRESS(2,COLUMN())),OFFSET($BN$2,0,0,ROW()-1,60),ROW()-1,FALSE))</f>
        <v>11.26785497</v>
      </c>
      <c r="W106">
        <f ca="1">IF(AND(ISNUMBER($W$318),$B$226=1),$W$318,HLOOKUP(INDIRECT(ADDRESS(2,COLUMN())),OFFSET($BN$2,0,0,ROW()-1,60),ROW()-1,FALSE))</f>
        <v>15.32781711</v>
      </c>
      <c r="X106">
        <f ca="1">IF(AND(ISNUMBER($X$318),$B$226=1),$X$318,HLOOKUP(INDIRECT(ADDRESS(2,COLUMN())),OFFSET($BN$2,0,0,ROW()-1,60),ROW()-1,FALSE))</f>
        <v>14.03983893</v>
      </c>
      <c r="Y106">
        <f ca="1">IF(AND(ISNUMBER($Y$318),$B$226=1),$Y$318,HLOOKUP(INDIRECT(ADDRESS(2,COLUMN())),OFFSET($BN$2,0,0,ROW()-1,60),ROW()-1,FALSE))</f>
        <v>12.496678340000001</v>
      </c>
      <c r="Z106">
        <f ca="1">IF(AND(ISNUMBER($Z$318),$B$226=1),$Z$318,HLOOKUP(INDIRECT(ADDRESS(2,COLUMN())),OFFSET($BN$2,0,0,ROW()-1,60),ROW()-1,FALSE))</f>
        <v>14.89645704</v>
      </c>
      <c r="AA106">
        <f ca="1">IF(AND(ISNUMBER($AA$318),$B$226=1),$AA$318,HLOOKUP(INDIRECT(ADDRESS(2,COLUMN())),OFFSET($BN$2,0,0,ROW()-1,60),ROW()-1,FALSE))</f>
        <v>18.788917609999999</v>
      </c>
      <c r="AB106">
        <f ca="1">IF(AND(ISNUMBER($AB$318),$B$226=1),$AB$318,HLOOKUP(INDIRECT(ADDRESS(2,COLUMN())),OFFSET($BN$2,0,0,ROW()-1,60),ROW()-1,FALSE))</f>
        <v>18.617823179999998</v>
      </c>
      <c r="AC106">
        <f ca="1">IF(AND(ISNUMBER($AC$318),$B$226=1),$AC$318,HLOOKUP(INDIRECT(ADDRESS(2,COLUMN())),OFFSET($BN$2,0,0,ROW()-1,60),ROW()-1,FALSE))</f>
        <v>18.154961539999999</v>
      </c>
      <c r="AD106">
        <f ca="1">IF(AND(ISNUMBER($AD$318),$B$226=1),$AD$318,HLOOKUP(INDIRECT(ADDRESS(2,COLUMN())),OFFSET($BN$2,0,0,ROW()-1,60),ROW()-1,FALSE))</f>
        <v>14.03078975</v>
      </c>
      <c r="AE106">
        <f ca="1">IF(AND(ISNUMBER($AE$318),$B$226=1),$AE$318,HLOOKUP(INDIRECT(ADDRESS(2,COLUMN())),OFFSET($BN$2,0,0,ROW()-1,60),ROW()-1,FALSE))</f>
        <v>8.0365151469999994</v>
      </c>
      <c r="AF106">
        <f ca="1">IF(AND(ISNUMBER($AF$318),$B$226=1),$AF$318,HLOOKUP(INDIRECT(ADDRESS(2,COLUMN())),OFFSET($BN$2,0,0,ROW()-1,60),ROW()-1,FALSE))</f>
        <v>10.105335009999999</v>
      </c>
      <c r="AG106">
        <f ca="1">IF(AND(ISNUMBER($AG$318),$B$226=1),$AG$318,HLOOKUP(INDIRECT(ADDRESS(2,COLUMN())),OFFSET($BN$2,0,0,ROW()-1,60),ROW()-1,FALSE))</f>
        <v>10.430095659999999</v>
      </c>
      <c r="AH106">
        <f ca="1">IF(AND(ISNUMBER($AH$318),$B$226=1),$AH$318,HLOOKUP(INDIRECT(ADDRESS(2,COLUMN())),OFFSET($BN$2,0,0,ROW()-1,60),ROW()-1,FALSE))</f>
        <v>10.4362443</v>
      </c>
      <c r="AI106">
        <f ca="1">IF(AND(ISNUMBER($AI$318),$B$226=1),$AI$318,HLOOKUP(INDIRECT(ADDRESS(2,COLUMN())),OFFSET($BN$2,0,0,ROW()-1,60),ROW()-1,FALSE))</f>
        <v>2.1245789259999999</v>
      </c>
      <c r="AJ106">
        <f ca="1">IF(AND(ISNUMBER($AJ$318),$B$226=1),$AJ$318,HLOOKUP(INDIRECT(ADDRESS(2,COLUMN())),OFFSET($BN$2,0,0,ROW()-1,60),ROW()-1,FALSE))</f>
        <v>-0.91459665499999998</v>
      </c>
      <c r="AK106">
        <f ca="1">IF(AND(ISNUMBER($AK$318),$B$226=1),$AK$318,HLOOKUP(INDIRECT(ADDRESS(2,COLUMN())),OFFSET($BN$2,0,0,ROW()-1,60),ROW()-1,FALSE))</f>
        <v>-7.5974252929999997</v>
      </c>
      <c r="AL106">
        <f ca="1">IF(AND(ISNUMBER($AL$318),$B$226=1),$AL$318,HLOOKUP(INDIRECT(ADDRESS(2,COLUMN())),OFFSET($BN$2,0,0,ROW()-1,60),ROW()-1,FALSE))</f>
        <v>-12.821693740000001</v>
      </c>
      <c r="AM106">
        <f ca="1">IF(AND(ISNUMBER($AM$318),$B$226=1),$AM$318,HLOOKUP(INDIRECT(ADDRESS(2,COLUMN())),OFFSET($BN$2,0,0,ROW()-1,60),ROW()-1,FALSE))</f>
        <v>-3.6855736120000002</v>
      </c>
      <c r="AN106">
        <f ca="1">IF(AND(ISNUMBER($AN$318),$B$226=1),$AN$318,HLOOKUP(INDIRECT(ADDRESS(2,COLUMN())),OFFSET($BN$2,0,0,ROW()-1,60),ROW()-1,FALSE))</f>
        <v>-6.6414097930000002</v>
      </c>
      <c r="AO106">
        <f ca="1">IF(AND(ISNUMBER($AO$318),$B$226=1),$AO$318,HLOOKUP(INDIRECT(ADDRESS(2,COLUMN())),OFFSET($BN$2,0,0,ROW()-1,60),ROW()-1,FALSE))</f>
        <v>-6.777083899</v>
      </c>
      <c r="AP106">
        <f ca="1">IF(AND(ISNUMBER($AP$318),$B$226=1),$AP$318,HLOOKUP(INDIRECT(ADDRESS(2,COLUMN())),OFFSET($BN$2,0,0,ROW()-1,60),ROW()-1,FALSE))</f>
        <v>-2.6335099880000001</v>
      </c>
      <c r="AQ106">
        <f ca="1">IF(AND(ISNUMBER($AQ$318),$B$226=1),$AQ$318,HLOOKUP(INDIRECT(ADDRESS(2,COLUMN())),OFFSET($BN$2,0,0,ROW()-1,60),ROW()-1,FALSE))</f>
        <v>-2.6217332259999999</v>
      </c>
      <c r="AR106">
        <f ca="1">IF(AND(ISNUMBER($AR$318),$B$226=1),$AR$318,HLOOKUP(INDIRECT(ADDRESS(2,COLUMN())),OFFSET($BN$2,0,0,ROW()-1,60),ROW()-1,FALSE))</f>
        <v>-2.4730234709999999</v>
      </c>
      <c r="AS106">
        <f ca="1">IF(AND(ISNUMBER($AS$318),$B$226=1),$AS$318,HLOOKUP(INDIRECT(ADDRESS(2,COLUMN())),OFFSET($BN$2,0,0,ROW()-1,60),ROW()-1,FALSE))</f>
        <v>-2.3361883799999998</v>
      </c>
      <c r="AT106">
        <f ca="1">IF(AND(ISNUMBER($AT$318),$B$226=1),$AT$318,HLOOKUP(INDIRECT(ADDRESS(2,COLUMN())),OFFSET($BN$2,0,0,ROW()-1,60),ROW()-1,FALSE))</f>
        <v>-1.1365468320000001</v>
      </c>
      <c r="AU106">
        <f ca="1">IF(AND(ISNUMBER($AU$318),$B$226=1),$AU$318,HLOOKUP(INDIRECT(ADDRESS(2,COLUMN())),OFFSET($BN$2,0,0,ROW()-1,60),ROW()-1,FALSE))</f>
        <v>-4.8857960010000001</v>
      </c>
      <c r="AV106">
        <f ca="1">IF(AND(ISNUMBER($AV$318),$B$226=1),$AV$318,HLOOKUP(INDIRECT(ADDRESS(2,COLUMN())),OFFSET($BN$2,0,0,ROW()-1,60),ROW()-1,FALSE))</f>
        <v>-11.648180440000001</v>
      </c>
      <c r="AW106">
        <f ca="1">IF(AND(ISNUMBER($AW$318),$B$226=1),$AW$318,HLOOKUP(INDIRECT(ADDRESS(2,COLUMN())),OFFSET($BN$2,0,0,ROW()-1,60),ROW()-1,FALSE))</f>
        <v>3.6600283130000002</v>
      </c>
      <c r="AX106">
        <f ca="1">IF(AND(ISNUMBER($AX$318),$B$226=1),$AX$318,HLOOKUP(INDIRECT(ADDRESS(2,COLUMN())),OFFSET($BN$2,0,0,ROW()-1,60),ROW()-1,FALSE))</f>
        <v>-1.34655145</v>
      </c>
      <c r="AY106">
        <f ca="1">IF(AND(ISNUMBER($AY$318),$B$226=1),$AY$318,HLOOKUP(INDIRECT(ADDRESS(2,COLUMN())),OFFSET($BN$2,0,0,ROW()-1,60),ROW()-1,FALSE))</f>
        <v>26.074674730000002</v>
      </c>
      <c r="AZ106">
        <f ca="1">IF(AND(ISNUMBER($AZ$318),$B$226=1),$AZ$318,HLOOKUP(INDIRECT(ADDRESS(2,COLUMN())),OFFSET($BN$2,0,0,ROW()-1,60),ROW()-1,FALSE))</f>
        <v>2.8395940890000002</v>
      </c>
      <c r="BA106">
        <f ca="1">IF(AND(ISNUMBER($BA$318),$B$226=1),$BA$318,HLOOKUP(INDIRECT(ADDRESS(2,COLUMN())),OFFSET($BN$2,0,0,ROW()-1,60),ROW()-1,FALSE))</f>
        <v>5.712874308</v>
      </c>
      <c r="BB106">
        <f ca="1">IF(AND(ISNUMBER($BB$318),$B$226=1),$BB$318,HLOOKUP(INDIRECT(ADDRESS(2,COLUMN())),OFFSET($BN$2,0,0,ROW()-1,60),ROW()-1,FALSE))</f>
        <v>27.700770080000002</v>
      </c>
      <c r="BC106">
        <f ca="1">IF(AND(ISNUMBER($BC$318),$B$226=1),$BC$318,HLOOKUP(INDIRECT(ADDRESS(2,COLUMN())),OFFSET($BN$2,0,0,ROW()-1,60),ROW()-1,FALSE))</f>
        <v>22.835915329999999</v>
      </c>
      <c r="BD106">
        <f ca="1">IF(AND(ISNUMBER($BD$318),$B$226=1),$BD$318,HLOOKUP(INDIRECT(ADDRESS(2,COLUMN())),OFFSET($BN$2,0,0,ROW()-1,60),ROW()-1,FALSE))</f>
        <v>64.102671119999997</v>
      </c>
      <c r="BE106">
        <f ca="1">IF(AND(ISNUMBER($BE$318),$B$226=1),$BE$318,HLOOKUP(INDIRECT(ADDRESS(2,COLUMN())),OFFSET($BN$2,0,0,ROW()-1,60),ROW()-1,FALSE))</f>
        <v>37.888415819999999</v>
      </c>
      <c r="BF106">
        <f ca="1">IF(AND(ISNUMBER($BF$318),$B$226=1),$BF$318,HLOOKUP(INDIRECT(ADDRESS(2,COLUMN())),OFFSET($BN$2,0,0,ROW()-1,60),ROW()-1,FALSE))</f>
        <v>12.06471649</v>
      </c>
      <c r="BG106">
        <f ca="1">IF(AND(ISNUMBER($BG$318),$B$226=1),$BG$318,HLOOKUP(INDIRECT(ADDRESS(2,COLUMN())),OFFSET($BN$2,0,0,ROW()-1,60),ROW()-1,FALSE))</f>
        <v>-9.5719811799999999</v>
      </c>
      <c r="BH106">
        <f ca="1">IF(AND(ISNUMBER($BH$318),$B$226=1),$BH$318,HLOOKUP(INDIRECT(ADDRESS(2,COLUMN())),OFFSET($BN$2,0,0,ROW()-1,60),ROW()-1,FALSE))</f>
        <v>-3.2642228339999999</v>
      </c>
      <c r="BI106">
        <f ca="1">IF(AND(ISNUMBER($BI$318),$B$226=1),$BI$318,HLOOKUP(INDIRECT(ADDRESS(2,COLUMN())),OFFSET($BN$2,0,0,ROW()-1,60),ROW()-1,FALSE))</f>
        <v>2.0401864380000001</v>
      </c>
      <c r="BJ106">
        <f ca="1">IF(AND(ISNUMBER($BJ$318),$B$226=1),$BJ$318,HLOOKUP(INDIRECT(ADDRESS(2,COLUMN())),OFFSET($BN$2,0,0,ROW()-1,60),ROW()-1,FALSE))</f>
        <v>9.2702743830000003</v>
      </c>
      <c r="BK106">
        <f ca="1">IF(AND(ISNUMBER($BK$318),$B$226=1),$BK$318,HLOOKUP(INDIRECT(ADDRESS(2,COLUMN())),OFFSET($BN$2,0,0,ROW()-1,60),ROW()-1,FALSE))</f>
        <v>2.681753821</v>
      </c>
      <c r="BL106">
        <f ca="1">IF(AND(ISNUMBER($BL$318),$B$226=1),$BL$318,HLOOKUP(INDIRECT(ADDRESS(2,COLUMN())),OFFSET($BN$2,0,0,ROW()-1,60),ROW()-1,FALSE))</f>
        <v>-4.9266852800000001</v>
      </c>
      <c r="BM106">
        <f ca="1">IF(AND(ISNUMBER($BM$318),$B$226=1),$BM$318,HLOOKUP(INDIRECT(ADDRESS(2,COLUMN())),OFFSET($BN$2,0,0,ROW()-1,60),ROW()-1,FALSE))</f>
        <v>-4.806661311</v>
      </c>
      <c r="BN106" t="str">
        <f>""</f>
        <v/>
      </c>
      <c r="BO106">
        <f>4.162440327</f>
        <v>4.1624403269999997</v>
      </c>
      <c r="BP106">
        <f>-1.183662724</f>
        <v>-1.1836627239999999</v>
      </c>
      <c r="BQ106">
        <f>1.041888156</f>
        <v>1.041888156</v>
      </c>
      <c r="BR106">
        <f>-1.130804782</f>
        <v>-1.130804782</v>
      </c>
      <c r="BS106">
        <f>1.819198226</f>
        <v>1.8191982259999999</v>
      </c>
      <c r="BT106">
        <f>3.639817706</f>
        <v>3.6398177060000001</v>
      </c>
      <c r="BU106">
        <f>4.375107184</f>
        <v>4.375107184</v>
      </c>
      <c r="BV106">
        <f>0.652610929</f>
        <v>0.65261092899999995</v>
      </c>
      <c r="BW106">
        <f>-1.502552473</f>
        <v>-1.5025524729999999</v>
      </c>
      <c r="BX106">
        <f>-2.06438588</f>
        <v>-2.0643858800000001</v>
      </c>
      <c r="BY106">
        <f>-0.477887656</f>
        <v>-0.47788765599999999</v>
      </c>
      <c r="BZ106">
        <f>2.392482474</f>
        <v>2.3924824739999999</v>
      </c>
      <c r="CA106">
        <f>4.736816382</f>
        <v>4.7368163819999998</v>
      </c>
      <c r="CB106">
        <f>5.247424721</f>
        <v>5.2474247209999998</v>
      </c>
      <c r="CC106">
        <f>6.945756743</f>
        <v>6.9457567429999996</v>
      </c>
      <c r="CD106">
        <f>11.26785497</f>
        <v>11.26785497</v>
      </c>
      <c r="CE106">
        <f>15.32781711</f>
        <v>15.32781711</v>
      </c>
      <c r="CF106">
        <f>14.03983893</f>
        <v>14.03983893</v>
      </c>
      <c r="CG106">
        <f>12.49667834</f>
        <v>12.496678340000001</v>
      </c>
      <c r="CH106">
        <f>14.89645704</f>
        <v>14.89645704</v>
      </c>
      <c r="CI106">
        <f>18.78891761</f>
        <v>18.788917609999999</v>
      </c>
      <c r="CJ106">
        <f>18.61782318</f>
        <v>18.617823179999998</v>
      </c>
      <c r="CK106">
        <f>18.15496154</f>
        <v>18.154961539999999</v>
      </c>
      <c r="CL106">
        <f>14.03078975</f>
        <v>14.03078975</v>
      </c>
      <c r="CM106">
        <f>8.036515147</f>
        <v>8.0365151469999994</v>
      </c>
      <c r="CN106">
        <f>10.10533501</f>
        <v>10.105335009999999</v>
      </c>
      <c r="CO106">
        <f>10.43009566</f>
        <v>10.430095659999999</v>
      </c>
      <c r="CP106">
        <f>10.4362443</f>
        <v>10.4362443</v>
      </c>
      <c r="CQ106">
        <f>2.124578926</f>
        <v>2.1245789259999999</v>
      </c>
      <c r="CR106">
        <f>-0.914596655</f>
        <v>-0.91459665499999998</v>
      </c>
      <c r="CS106">
        <f>-7.597425293</f>
        <v>-7.5974252929999997</v>
      </c>
      <c r="CT106">
        <f>-12.82169374</f>
        <v>-12.821693740000001</v>
      </c>
      <c r="CU106">
        <f>-3.685573612</f>
        <v>-3.6855736120000002</v>
      </c>
      <c r="CV106">
        <f>-6.641409793</f>
        <v>-6.6414097930000002</v>
      </c>
      <c r="CW106">
        <f>-6.777083899</f>
        <v>-6.777083899</v>
      </c>
      <c r="CX106">
        <f>-2.633509988</f>
        <v>-2.6335099880000001</v>
      </c>
      <c r="CY106">
        <f>-2.621733226</f>
        <v>-2.6217332259999999</v>
      </c>
      <c r="CZ106">
        <f>-2.473023471</f>
        <v>-2.4730234709999999</v>
      </c>
      <c r="DA106">
        <f>-2.33618838</f>
        <v>-2.3361883799999998</v>
      </c>
      <c r="DB106">
        <f>-1.136546832</f>
        <v>-1.1365468320000001</v>
      </c>
      <c r="DC106">
        <f>-4.885796001</f>
        <v>-4.8857960010000001</v>
      </c>
      <c r="DD106">
        <f>-11.64818044</f>
        <v>-11.648180440000001</v>
      </c>
      <c r="DE106">
        <f>3.660028313</f>
        <v>3.6600283130000002</v>
      </c>
      <c r="DF106">
        <f>-1.34655145</f>
        <v>-1.34655145</v>
      </c>
      <c r="DG106">
        <f>26.07467473</f>
        <v>26.074674730000002</v>
      </c>
      <c r="DH106">
        <f>2.839594089</f>
        <v>2.8395940890000002</v>
      </c>
      <c r="DI106">
        <f>5.712874308</f>
        <v>5.712874308</v>
      </c>
      <c r="DJ106">
        <f>27.70077008</f>
        <v>27.700770080000002</v>
      </c>
      <c r="DK106">
        <f>22.83591533</f>
        <v>22.835915329999999</v>
      </c>
      <c r="DL106">
        <f>64.10267112</f>
        <v>64.102671119999997</v>
      </c>
      <c r="DM106">
        <f>37.88841582</f>
        <v>37.888415819999999</v>
      </c>
      <c r="DN106">
        <f>12.06471649</f>
        <v>12.06471649</v>
      </c>
      <c r="DO106">
        <f>-9.57198118</f>
        <v>-9.5719811799999999</v>
      </c>
      <c r="DP106">
        <f>-3.264222834</f>
        <v>-3.2642228339999999</v>
      </c>
      <c r="DQ106">
        <f>2.040186438</f>
        <v>2.0401864380000001</v>
      </c>
      <c r="DR106">
        <f>9.270274383</f>
        <v>9.2702743830000003</v>
      </c>
      <c r="DS106">
        <f>2.681753821</f>
        <v>2.681753821</v>
      </c>
      <c r="DT106">
        <f>-4.92668528</f>
        <v>-4.9266852800000001</v>
      </c>
      <c r="DU106">
        <f>-4.806661311</f>
        <v>-4.806661311</v>
      </c>
    </row>
    <row r="107" spans="1:125">
      <c r="A107" t="str">
        <f>"    Education Realty Trust Inc"</f>
        <v xml:space="preserve">    Education Realty Trust Inc</v>
      </c>
      <c r="B107" t="str">
        <f>"EDR US Equity"</f>
        <v>EDR US Equity</v>
      </c>
      <c r="C107" t="str">
        <f t="shared" si="33"/>
        <v>RR551</v>
      </c>
      <c r="D107" t="str">
        <f t="shared" si="34"/>
        <v>NOI_GROWTH</v>
      </c>
      <c r="E107" t="str">
        <f t="shared" si="35"/>
        <v>动态</v>
      </c>
      <c r="F107" t="str">
        <f ca="1">IF(AND(ISNUMBER($F$319),$B$226=1),$F$319,HLOOKUP(INDIRECT(ADDRESS(2,COLUMN())),OFFSET($BN$2,0,0,ROW()-1,60),ROW()-1,FALSE))</f>
        <v/>
      </c>
      <c r="G107">
        <f ca="1">IF(AND(ISNUMBER($G$319),$B$226=1),$G$319,HLOOKUP(INDIRECT(ADDRESS(2,COLUMN())),OFFSET($BN$2,0,0,ROW()-1,60),ROW()-1,FALSE))</f>
        <v>14.326602319999999</v>
      </c>
      <c r="H107">
        <f ca="1">IF(AND(ISNUMBER($H$319),$B$226=1),$H$319,HLOOKUP(INDIRECT(ADDRESS(2,COLUMN())),OFFSET($BN$2,0,0,ROW()-1,60),ROW()-1,FALSE))</f>
        <v>17.099411849999999</v>
      </c>
      <c r="I107">
        <f ca="1">IF(AND(ISNUMBER($I$319),$B$226=1),$I$319,HLOOKUP(INDIRECT(ADDRESS(2,COLUMN())),OFFSET($BN$2,0,0,ROW()-1,60),ROW()-1,FALSE))</f>
        <v>14.14863922</v>
      </c>
      <c r="J107">
        <f ca="1">IF(AND(ISNUMBER($J$319),$B$226=1),$J$319,HLOOKUP(INDIRECT(ADDRESS(2,COLUMN())),OFFSET($BN$2,0,0,ROW()-1,60),ROW()-1,FALSE))</f>
        <v>17.86356718</v>
      </c>
      <c r="K107">
        <f ca="1">IF(AND(ISNUMBER($K$319),$B$226=1),$K$319,HLOOKUP(INDIRECT(ADDRESS(2,COLUMN())),OFFSET($BN$2,0,0,ROW()-1,60),ROW()-1,FALSE))</f>
        <v>14.32794728</v>
      </c>
      <c r="L107">
        <f ca="1">IF(AND(ISNUMBER($L$319),$B$226=1),$L$319,HLOOKUP(INDIRECT(ADDRESS(2,COLUMN())),OFFSET($BN$2,0,0,ROW()-1,60),ROW()-1,FALSE))</f>
        <v>12.899829950000001</v>
      </c>
      <c r="M107">
        <f ca="1">IF(AND(ISNUMBER($M$319),$B$226=1),$M$319,HLOOKUP(INDIRECT(ADDRESS(2,COLUMN())),OFFSET($BN$2,0,0,ROW()-1,60),ROW()-1,FALSE))</f>
        <v>14.94652406</v>
      </c>
      <c r="N107">
        <f ca="1">IF(AND(ISNUMBER($N$319),$B$226=1),$N$319,HLOOKUP(INDIRECT(ADDRESS(2,COLUMN())),OFFSET($BN$2,0,0,ROW()-1,60),ROW()-1,FALSE))</f>
        <v>23.732344130000001</v>
      </c>
      <c r="O107">
        <f ca="1">IF(AND(ISNUMBER($O$319),$B$226=1),$O$319,HLOOKUP(INDIRECT(ADDRESS(2,COLUMN())),OFFSET($BN$2,0,0,ROW()-1,60),ROW()-1,FALSE))</f>
        <v>13.97998817</v>
      </c>
      <c r="P107">
        <f ca="1">IF(AND(ISNUMBER($P$319),$B$226=1),$P$319,HLOOKUP(INDIRECT(ADDRESS(2,COLUMN())),OFFSET($BN$2,0,0,ROW()-1,60),ROW()-1,FALSE))</f>
        <v>6.6177422840000002</v>
      </c>
      <c r="Q107">
        <f ca="1">IF(AND(ISNUMBER($Q$319),$B$226=1),$Q$319,HLOOKUP(INDIRECT(ADDRESS(2,COLUMN())),OFFSET($BN$2,0,0,ROW()-1,60),ROW()-1,FALSE))</f>
        <v>19.95349397</v>
      </c>
      <c r="R107">
        <f ca="1">IF(AND(ISNUMBER($R$319),$B$226=1),$R$319,HLOOKUP(INDIRECT(ADDRESS(2,COLUMN())),OFFSET($BN$2,0,0,ROW()-1,60),ROW()-1,FALSE))</f>
        <v>23.120432829999999</v>
      </c>
      <c r="S107">
        <f ca="1">IF(AND(ISNUMBER($S$319),$B$226=1),$S$319,HLOOKUP(INDIRECT(ADDRESS(2,COLUMN())),OFFSET($BN$2,0,0,ROW()-1,60),ROW()-1,FALSE))</f>
        <v>27.21531414</v>
      </c>
      <c r="T107">
        <f ca="1">IF(AND(ISNUMBER($T$319),$B$226=1),$T$319,HLOOKUP(INDIRECT(ADDRESS(2,COLUMN())),OFFSET($BN$2,0,0,ROW()-1,60),ROW()-1,FALSE))</f>
        <v>48.23702566</v>
      </c>
      <c r="U107">
        <f ca="1">IF(AND(ISNUMBER($U$319),$B$226=1),$U$319,HLOOKUP(INDIRECT(ADDRESS(2,COLUMN())),OFFSET($BN$2,0,0,ROW()-1,60),ROW()-1,FALSE))</f>
        <v>32.008467850000002</v>
      </c>
      <c r="V107">
        <f ca="1">IF(AND(ISNUMBER($V$319),$B$226=1),$V$319,HLOOKUP(INDIRECT(ADDRESS(2,COLUMN())),OFFSET($BN$2,0,0,ROW()-1,60),ROW()-1,FALSE))</f>
        <v>32.353761740000003</v>
      </c>
      <c r="W107">
        <f ca="1">IF(AND(ISNUMBER($W$319),$B$226=1),$W$319,HLOOKUP(INDIRECT(ADDRESS(2,COLUMN())),OFFSET($BN$2,0,0,ROW()-1,60),ROW()-1,FALSE))</f>
        <v>39.029161549999998</v>
      </c>
      <c r="X107">
        <f ca="1">IF(AND(ISNUMBER($X$319),$B$226=1),$X$319,HLOOKUP(INDIRECT(ADDRESS(2,COLUMN())),OFFSET($BN$2,0,0,ROW()-1,60),ROW()-1,FALSE))</f>
        <v>63.736378879999997</v>
      </c>
      <c r="Y107">
        <f ca="1">IF(AND(ISNUMBER($Y$319),$B$226=1),$Y$319,HLOOKUP(INDIRECT(ADDRESS(2,COLUMN())),OFFSET($BN$2,0,0,ROW()-1,60),ROW()-1,FALSE))</f>
        <v>26.786553040000001</v>
      </c>
      <c r="Z107">
        <f ca="1">IF(AND(ISNUMBER($Z$319),$B$226=1),$Z$319,HLOOKUP(INDIRECT(ADDRESS(2,COLUMN())),OFFSET($BN$2,0,0,ROW()-1,60),ROW()-1,FALSE))</f>
        <v>22.50640843</v>
      </c>
      <c r="AA107">
        <f ca="1">IF(AND(ISNUMBER($AA$319),$B$226=1),$AA$319,HLOOKUP(INDIRECT(ADDRESS(2,COLUMN())),OFFSET($BN$2,0,0,ROW()-1,60),ROW()-1,FALSE))</f>
        <v>26.830534879999998</v>
      </c>
      <c r="AB107">
        <f ca="1">IF(AND(ISNUMBER($AB$319),$B$226=1),$AB$319,HLOOKUP(INDIRECT(ADDRESS(2,COLUMN())),OFFSET($BN$2,0,0,ROW()-1,60),ROW()-1,FALSE))</f>
        <v>17.479074350000001</v>
      </c>
      <c r="AC107">
        <f ca="1">IF(AND(ISNUMBER($AC$319),$B$226=1),$AC$319,HLOOKUP(INDIRECT(ADDRESS(2,COLUMN())),OFFSET($BN$2,0,0,ROW()-1,60),ROW()-1,FALSE))</f>
        <v>0.73678518299999995</v>
      </c>
      <c r="AD107">
        <f ca="1">IF(AND(ISNUMBER($AD$319),$B$226=1),$AD$319,HLOOKUP(INDIRECT(ADDRESS(2,COLUMN())),OFFSET($BN$2,0,0,ROW()-1,60),ROW()-1,FALSE))</f>
        <v>16.027759419999999</v>
      </c>
      <c r="AE107">
        <f ca="1">IF(AND(ISNUMBER($AE$319),$B$226=1),$AE$319,HLOOKUP(INDIRECT(ADDRESS(2,COLUMN())),OFFSET($BN$2,0,0,ROW()-1,60),ROW()-1,FALSE))</f>
        <v>6.0583807600000004</v>
      </c>
      <c r="AF107">
        <f ca="1">IF(AND(ISNUMBER($AF$319),$B$226=1),$AF$319,HLOOKUP(INDIRECT(ADDRESS(2,COLUMN())),OFFSET($BN$2,0,0,ROW()-1,60),ROW()-1,FALSE))</f>
        <v>-13.5652729</v>
      </c>
      <c r="AG107">
        <f ca="1">IF(AND(ISNUMBER($AG$319),$B$226=1),$AG$319,HLOOKUP(INDIRECT(ADDRESS(2,COLUMN())),OFFSET($BN$2,0,0,ROW()-1,60),ROW()-1,FALSE))</f>
        <v>3.9488476669999999</v>
      </c>
      <c r="AH107">
        <f ca="1">IF(AND(ISNUMBER($AH$319),$B$226=1),$AH$319,HLOOKUP(INDIRECT(ADDRESS(2,COLUMN())),OFFSET($BN$2,0,0,ROW()-1,60),ROW()-1,FALSE))</f>
        <v>-2.7822399280000001</v>
      </c>
      <c r="AI107">
        <f ca="1">IF(AND(ISNUMBER($AI$319),$B$226=1),$AI$319,HLOOKUP(INDIRECT(ADDRESS(2,COLUMN())),OFFSET($BN$2,0,0,ROW()-1,60),ROW()-1,FALSE))</f>
        <v>-12.516730020000001</v>
      </c>
      <c r="AJ107">
        <f ca="1">IF(AND(ISNUMBER($AJ$319),$B$226=1),$AJ$319,HLOOKUP(INDIRECT(ADDRESS(2,COLUMN())),OFFSET($BN$2,0,0,ROW()-1,60),ROW()-1,FALSE))</f>
        <v>-11.12897126</v>
      </c>
      <c r="AK107">
        <f ca="1">IF(AND(ISNUMBER($AK$319),$B$226=1),$AK$319,HLOOKUP(INDIRECT(ADDRESS(2,COLUMN())),OFFSET($BN$2,0,0,ROW()-1,60),ROW()-1,FALSE))</f>
        <v>-16.257722860000001</v>
      </c>
      <c r="AL107">
        <f ca="1">IF(AND(ISNUMBER($AL$319),$B$226=1),$AL$319,HLOOKUP(INDIRECT(ADDRESS(2,COLUMN())),OFFSET($BN$2,0,0,ROW()-1,60),ROW()-1,FALSE))</f>
        <v>-15.82107313</v>
      </c>
      <c r="AM107">
        <f ca="1">IF(AND(ISNUMBER($AM$319),$B$226=1),$AM$319,HLOOKUP(INDIRECT(ADDRESS(2,COLUMN())),OFFSET($BN$2,0,0,ROW()-1,60),ROW()-1,FALSE))</f>
        <v>-16.77137638</v>
      </c>
      <c r="AN107">
        <f ca="1">IF(AND(ISNUMBER($AN$319),$B$226=1),$AN$319,HLOOKUP(INDIRECT(ADDRESS(2,COLUMN())),OFFSET($BN$2,0,0,ROW()-1,60),ROW()-1,FALSE))</f>
        <v>-3.6618691929999998</v>
      </c>
      <c r="AO107">
        <f ca="1">IF(AND(ISNUMBER($AO$319),$B$226=1),$AO$319,HLOOKUP(INDIRECT(ADDRESS(2,COLUMN())),OFFSET($BN$2,0,0,ROW()-1,60),ROW()-1,FALSE))</f>
        <v>-18.01736614</v>
      </c>
      <c r="AP107">
        <f ca="1">IF(AND(ISNUMBER($AP$319),$B$226=1),$AP$319,HLOOKUP(INDIRECT(ADDRESS(2,COLUMN())),OFFSET($BN$2,0,0,ROW()-1,60),ROW()-1,FALSE))</f>
        <v>8.7657371459999993</v>
      </c>
      <c r="AQ107">
        <f ca="1">IF(AND(ISNUMBER($AQ$319),$B$226=1),$AQ$319,HLOOKUP(INDIRECT(ADDRESS(2,COLUMN())),OFFSET($BN$2,0,0,ROW()-1,60),ROW()-1,FALSE))</f>
        <v>67.335222189999996</v>
      </c>
      <c r="AR107">
        <f ca="1">IF(AND(ISNUMBER($AR$319),$B$226=1),$AR$319,HLOOKUP(INDIRECT(ADDRESS(2,COLUMN())),OFFSET($BN$2,0,0,ROW()-1,60),ROW()-1,FALSE))</f>
        <v>-10.12689316</v>
      </c>
      <c r="AS107">
        <f ca="1">IF(AND(ISNUMBER($AS$319),$B$226=1),$AS$319,HLOOKUP(INDIRECT(ADDRESS(2,COLUMN())),OFFSET($BN$2,0,0,ROW()-1,60),ROW()-1,FALSE))</f>
        <v>23.334126609999998</v>
      </c>
      <c r="AT107">
        <f ca="1">IF(AND(ISNUMBER($AT$319),$B$226=1),$AT$319,HLOOKUP(INDIRECT(ADDRESS(2,COLUMN())),OFFSET($BN$2,0,0,ROW()-1,60),ROW()-1,FALSE))</f>
        <v>-7.1553419270000003</v>
      </c>
      <c r="AU107">
        <f ca="1">IF(AND(ISNUMBER($AU$319),$B$226=1),$AU$319,HLOOKUP(INDIRECT(ADDRESS(2,COLUMN())),OFFSET($BN$2,0,0,ROW()-1,60),ROW()-1,FALSE))</f>
        <v>-22.71967733</v>
      </c>
      <c r="AV107">
        <f ca="1">IF(AND(ISNUMBER($AV$319),$B$226=1),$AV$319,HLOOKUP(INDIRECT(ADDRESS(2,COLUMN())),OFFSET($BN$2,0,0,ROW()-1,60),ROW()-1,FALSE))</f>
        <v>10.643115939999999</v>
      </c>
      <c r="AW107">
        <f ca="1">IF(AND(ISNUMBER($AW$319),$B$226=1),$AW$319,HLOOKUP(INDIRECT(ADDRESS(2,COLUMN())),OFFSET($BN$2,0,0,ROW()-1,60),ROW()-1,FALSE))</f>
        <v>5.3660982949999996</v>
      </c>
      <c r="AX107">
        <f ca="1">IF(AND(ISNUMBER($AX$319),$B$226=1),$AX$319,HLOOKUP(INDIRECT(ADDRESS(2,COLUMN())),OFFSET($BN$2,0,0,ROW()-1,60),ROW()-1,FALSE))</f>
        <v>2.0911169350000001</v>
      </c>
      <c r="AY107">
        <f ca="1">IF(AND(ISNUMBER($AY$319),$B$226=1),$AY$319,HLOOKUP(INDIRECT(ADDRESS(2,COLUMN())),OFFSET($BN$2,0,0,ROW()-1,60),ROW()-1,FALSE))</f>
        <v>38.862217950000002</v>
      </c>
      <c r="AZ107">
        <f ca="1">IF(AND(ISNUMBER($AZ$319),$B$226=1),$AZ$319,HLOOKUP(INDIRECT(ADDRESS(2,COLUMN())),OFFSET($BN$2,0,0,ROW()-1,60),ROW()-1,FALSE))</f>
        <v>32.025831140000001</v>
      </c>
      <c r="BA107">
        <f ca="1">IF(AND(ISNUMBER($BA$319),$B$226=1),$BA$319,HLOOKUP(INDIRECT(ADDRESS(2,COLUMN())),OFFSET($BN$2,0,0,ROW()-1,60),ROW()-1,FALSE))</f>
        <v>40.96854012</v>
      </c>
      <c r="BB107">
        <f ca="1">IF(AND(ISNUMBER($BB$319),$B$226=1),$BB$319,HLOOKUP(INDIRECT(ADDRESS(2,COLUMN())),OFFSET($BN$2,0,0,ROW()-1,60),ROW()-1,FALSE))</f>
        <v>117.8714615</v>
      </c>
      <c r="BC107" t="str">
        <f ca="1">IF(AND(ISNUMBER($BC$319),$B$226=1),$BC$319,HLOOKUP(INDIRECT(ADDRESS(2,COLUMN())),OFFSET($BN$2,0,0,ROW()-1,60),ROW()-1,FALSE))</f>
        <v/>
      </c>
      <c r="BD107" t="str">
        <f ca="1">IF(AND(ISNUMBER($BD$319),$B$226=1),$BD$319,HLOOKUP(INDIRECT(ADDRESS(2,COLUMN())),OFFSET($BN$2,0,0,ROW()-1,60),ROW()-1,FALSE))</f>
        <v/>
      </c>
      <c r="BE107" t="str">
        <f ca="1">IF(AND(ISNUMBER($BE$319),$B$226=1),$BE$319,HLOOKUP(INDIRECT(ADDRESS(2,COLUMN())),OFFSET($BN$2,0,0,ROW()-1,60),ROW()-1,FALSE))</f>
        <v/>
      </c>
      <c r="BF107" t="str">
        <f ca="1">IF(AND(ISNUMBER($BF$319),$B$226=1),$BF$319,HLOOKUP(INDIRECT(ADDRESS(2,COLUMN())),OFFSET($BN$2,0,0,ROW()-1,60),ROW()-1,FALSE))</f>
        <v/>
      </c>
      <c r="BG107" t="str">
        <f ca="1">IF(AND(ISNUMBER($BG$319),$B$226=1),$BG$319,HLOOKUP(INDIRECT(ADDRESS(2,COLUMN())),OFFSET($BN$2,0,0,ROW()-1,60),ROW()-1,FALSE))</f>
        <v/>
      </c>
      <c r="BH107" t="str">
        <f ca="1">IF(AND(ISNUMBER($BH$319),$B$226=1),$BH$319,HLOOKUP(INDIRECT(ADDRESS(2,COLUMN())),OFFSET($BN$2,0,0,ROW()-1,60),ROW()-1,FALSE))</f>
        <v/>
      </c>
      <c r="BI107" t="str">
        <f ca="1">IF(AND(ISNUMBER($BI$319),$B$226=1),$BI$319,HLOOKUP(INDIRECT(ADDRESS(2,COLUMN())),OFFSET($BN$2,0,0,ROW()-1,60),ROW()-1,FALSE))</f>
        <v/>
      </c>
      <c r="BJ107" t="str">
        <f ca="1">IF(AND(ISNUMBER($BJ$319),$B$226=1),$BJ$319,HLOOKUP(INDIRECT(ADDRESS(2,COLUMN())),OFFSET($BN$2,0,0,ROW()-1,60),ROW()-1,FALSE))</f>
        <v/>
      </c>
      <c r="BK107" t="str">
        <f ca="1">IF(AND(ISNUMBER($BK$319),$B$226=1),$BK$319,HLOOKUP(INDIRECT(ADDRESS(2,COLUMN())),OFFSET($BN$2,0,0,ROW()-1,60),ROW()-1,FALSE))</f>
        <v/>
      </c>
      <c r="BL107" t="str">
        <f ca="1">IF(AND(ISNUMBER($BL$319),$B$226=1),$BL$319,HLOOKUP(INDIRECT(ADDRESS(2,COLUMN())),OFFSET($BN$2,0,0,ROW()-1,60),ROW()-1,FALSE))</f>
        <v/>
      </c>
      <c r="BM107" t="str">
        <f ca="1">IF(AND(ISNUMBER($BM$319),$B$226=1),$BM$319,HLOOKUP(INDIRECT(ADDRESS(2,COLUMN())),OFFSET($BN$2,0,0,ROW()-1,60),ROW()-1,FALSE))</f>
        <v/>
      </c>
      <c r="BN107" t="str">
        <f>""</f>
        <v/>
      </c>
      <c r="BO107">
        <f>14.32660232</f>
        <v>14.326602319999999</v>
      </c>
      <c r="BP107">
        <f>17.09941185</f>
        <v>17.099411849999999</v>
      </c>
      <c r="BQ107">
        <f>14.14863922</f>
        <v>14.14863922</v>
      </c>
      <c r="BR107">
        <f>17.86356718</f>
        <v>17.86356718</v>
      </c>
      <c r="BS107">
        <f>14.32794728</f>
        <v>14.32794728</v>
      </c>
      <c r="BT107">
        <f>12.89982995</f>
        <v>12.899829950000001</v>
      </c>
      <c r="BU107">
        <f>14.94652406</f>
        <v>14.94652406</v>
      </c>
      <c r="BV107">
        <f>23.73234413</f>
        <v>23.732344130000001</v>
      </c>
      <c r="BW107">
        <f>13.97998817</f>
        <v>13.97998817</v>
      </c>
      <c r="BX107">
        <f>6.617742284</f>
        <v>6.6177422840000002</v>
      </c>
      <c r="BY107">
        <f>19.95349397</f>
        <v>19.95349397</v>
      </c>
      <c r="BZ107">
        <f>23.12043283</f>
        <v>23.120432829999999</v>
      </c>
      <c r="CA107">
        <f>27.21531414</f>
        <v>27.21531414</v>
      </c>
      <c r="CB107">
        <f>48.23702566</f>
        <v>48.23702566</v>
      </c>
      <c r="CC107">
        <f>32.00846785</f>
        <v>32.008467850000002</v>
      </c>
      <c r="CD107">
        <f>32.35376174</f>
        <v>32.353761740000003</v>
      </c>
      <c r="CE107">
        <f>39.02916155</f>
        <v>39.029161549999998</v>
      </c>
      <c r="CF107">
        <f>63.73637888</f>
        <v>63.736378879999997</v>
      </c>
      <c r="CG107">
        <f>26.78655304</f>
        <v>26.786553040000001</v>
      </c>
      <c r="CH107">
        <f>22.50640843</f>
        <v>22.50640843</v>
      </c>
      <c r="CI107">
        <f>26.83053488</f>
        <v>26.830534879999998</v>
      </c>
      <c r="CJ107">
        <f>17.47907435</f>
        <v>17.479074350000001</v>
      </c>
      <c r="CK107">
        <f>0.736785183</f>
        <v>0.73678518299999995</v>
      </c>
      <c r="CL107">
        <f>16.02775942</f>
        <v>16.027759419999999</v>
      </c>
      <c r="CM107">
        <f>6.05838076</f>
        <v>6.0583807600000004</v>
      </c>
      <c r="CN107">
        <f>-13.5652729</f>
        <v>-13.5652729</v>
      </c>
      <c r="CO107">
        <f>3.948847667</f>
        <v>3.9488476669999999</v>
      </c>
      <c r="CP107">
        <f>-2.782239928</f>
        <v>-2.7822399280000001</v>
      </c>
      <c r="CQ107">
        <f>-12.51673002</f>
        <v>-12.516730020000001</v>
      </c>
      <c r="CR107">
        <f>-11.12897126</f>
        <v>-11.12897126</v>
      </c>
      <c r="CS107">
        <f>-16.25772286</f>
        <v>-16.257722860000001</v>
      </c>
      <c r="CT107">
        <f>-15.82107313</f>
        <v>-15.82107313</v>
      </c>
      <c r="CU107">
        <f>-16.77137638</f>
        <v>-16.77137638</v>
      </c>
      <c r="CV107">
        <f>-3.661869193</f>
        <v>-3.6618691929999998</v>
      </c>
      <c r="CW107">
        <f>-18.01736614</f>
        <v>-18.01736614</v>
      </c>
      <c r="CX107">
        <f>8.765737146</f>
        <v>8.7657371459999993</v>
      </c>
      <c r="CY107">
        <f>67.33522219</f>
        <v>67.335222189999996</v>
      </c>
      <c r="CZ107">
        <f>-10.12689316</f>
        <v>-10.12689316</v>
      </c>
      <c r="DA107">
        <f>23.33412661</f>
        <v>23.334126609999998</v>
      </c>
      <c r="DB107">
        <f>-7.155341927</f>
        <v>-7.1553419270000003</v>
      </c>
      <c r="DC107">
        <f>-22.71967733</f>
        <v>-22.71967733</v>
      </c>
      <c r="DD107">
        <f>10.64311594</f>
        <v>10.643115939999999</v>
      </c>
      <c r="DE107">
        <f>5.366098295</f>
        <v>5.3660982949999996</v>
      </c>
      <c r="DF107">
        <f>2.091116935</f>
        <v>2.0911169350000001</v>
      </c>
      <c r="DG107">
        <f>38.86221795</f>
        <v>38.862217950000002</v>
      </c>
      <c r="DH107">
        <f>32.02583114</f>
        <v>32.025831140000001</v>
      </c>
      <c r="DI107">
        <f>40.96854012</f>
        <v>40.96854012</v>
      </c>
      <c r="DJ107">
        <f>117.8714615</f>
        <v>117.8714615</v>
      </c>
      <c r="DK107" t="str">
        <f>""</f>
        <v/>
      </c>
      <c r="DL107" t="str">
        <f>""</f>
        <v/>
      </c>
      <c r="DM107" t="str">
        <f>""</f>
        <v/>
      </c>
      <c r="DN107" t="str">
        <f>""</f>
        <v/>
      </c>
      <c r="DO107" t="str">
        <f>""</f>
        <v/>
      </c>
      <c r="DP107" t="str">
        <f>""</f>
        <v/>
      </c>
      <c r="DQ107" t="str">
        <f>""</f>
        <v/>
      </c>
      <c r="DR107" t="str">
        <f>""</f>
        <v/>
      </c>
      <c r="DS107" t="str">
        <f>""</f>
        <v/>
      </c>
      <c r="DT107" t="str">
        <f>""</f>
        <v/>
      </c>
      <c r="DU107" t="str">
        <f>""</f>
        <v/>
      </c>
    </row>
    <row r="108" spans="1:125">
      <c r="A108" t="str">
        <f>"    Equity Residential"</f>
        <v xml:space="preserve">    Equity Residential</v>
      </c>
      <c r="B108" t="str">
        <f>"EQR US Equity"</f>
        <v>EQR US Equity</v>
      </c>
      <c r="C108" t="str">
        <f t="shared" si="33"/>
        <v>RR551</v>
      </c>
      <c r="D108" t="str">
        <f t="shared" si="34"/>
        <v>NOI_GROWTH</v>
      </c>
      <c r="E108" t="str">
        <f t="shared" si="35"/>
        <v>动态</v>
      </c>
      <c r="F108" t="str">
        <f ca="1">IF(AND(ISNUMBER($F$320),$B$226=1),$F$320,HLOOKUP(INDIRECT(ADDRESS(2,COLUMN())),OFFSET($BN$2,0,0,ROW()-1,60),ROW()-1,FALSE))</f>
        <v/>
      </c>
      <c r="G108">
        <f ca="1">IF(AND(ISNUMBER($G$320),$B$226=1),$G$320,HLOOKUP(INDIRECT(ADDRESS(2,COLUMN())),OFFSET($BN$2,0,0,ROW()-1,60),ROW()-1,FALSE))</f>
        <v>4.1734946309999996</v>
      </c>
      <c r="H108">
        <f ca="1">IF(AND(ISNUMBER($H$320),$B$226=1),$H$320,HLOOKUP(INDIRECT(ADDRESS(2,COLUMN())),OFFSET($BN$2,0,0,ROW()-1,60),ROW()-1,FALSE))</f>
        <v>3.3553783309999998</v>
      </c>
      <c r="I108">
        <f ca="1">IF(AND(ISNUMBER($I$320),$B$226=1),$I$320,HLOOKUP(INDIRECT(ADDRESS(2,COLUMN())),OFFSET($BN$2,0,0,ROW()-1,60),ROW()-1,FALSE))</f>
        <v>0.906750308</v>
      </c>
      <c r="J108">
        <f ca="1">IF(AND(ISNUMBER($J$320),$B$226=1),$J$320,HLOOKUP(INDIRECT(ADDRESS(2,COLUMN())),OFFSET($BN$2,0,0,ROW()-1,60),ROW()-1,FALSE))</f>
        <v>-2.1453522290000002</v>
      </c>
      <c r="K108">
        <f ca="1">IF(AND(ISNUMBER($K$320),$B$226=1),$K$320,HLOOKUP(INDIRECT(ADDRESS(2,COLUMN())),OFFSET($BN$2,0,0,ROW()-1,60),ROW()-1,FALSE))</f>
        <v>-14.56598436</v>
      </c>
      <c r="L108">
        <f ca="1">IF(AND(ISNUMBER($L$320),$B$226=1),$L$320,HLOOKUP(INDIRECT(ADDRESS(2,COLUMN())),OFFSET($BN$2,0,0,ROW()-1,60),ROW()-1,FALSE))</f>
        <v>-14.47200597</v>
      </c>
      <c r="M108">
        <f ca="1">IF(AND(ISNUMBER($M$320),$B$226=1),$M$320,HLOOKUP(INDIRECT(ADDRESS(2,COLUMN())),OFFSET($BN$2,0,0,ROW()-1,60),ROW()-1,FALSE))</f>
        <v>-12.221720489999999</v>
      </c>
      <c r="N108">
        <f ca="1">IF(AND(ISNUMBER($N$320),$B$226=1),$N$320,HLOOKUP(INDIRECT(ADDRESS(2,COLUMN())),OFFSET($BN$2,0,0,ROW()-1,60),ROW()-1,FALSE))</f>
        <v>-6.0994327510000002</v>
      </c>
      <c r="O108">
        <f ca="1">IF(AND(ISNUMBER($O$320),$B$226=1),$O$320,HLOOKUP(INDIRECT(ADDRESS(2,COLUMN())),OFFSET($BN$2,0,0,ROW()-1,60),ROW()-1,FALSE))</f>
        <v>6.3679063170000001</v>
      </c>
      <c r="P108">
        <f ca="1">IF(AND(ISNUMBER($P$320),$B$226=1),$P$320,HLOOKUP(INDIRECT(ADDRESS(2,COLUMN())),OFFSET($BN$2,0,0,ROW()-1,60),ROW()-1,FALSE))</f>
        <v>5.6656246970000002</v>
      </c>
      <c r="Q108">
        <f ca="1">IF(AND(ISNUMBER($Q$320),$B$226=1),$Q$320,HLOOKUP(INDIRECT(ADDRESS(2,COLUMN())),OFFSET($BN$2,0,0,ROW()-1,60),ROW()-1,FALSE))</f>
        <v>5.5525476749999996</v>
      </c>
      <c r="R108">
        <f ca="1">IF(AND(ISNUMBER($R$320),$B$226=1),$R$320,HLOOKUP(INDIRECT(ADDRESS(2,COLUMN())),OFFSET($BN$2,0,0,ROW()-1,60),ROW()-1,FALSE))</f>
        <v>7.6148874879999999</v>
      </c>
      <c r="S108">
        <f ca="1">IF(AND(ISNUMBER($S$320),$B$226=1),$S$320,HLOOKUP(INDIRECT(ADDRESS(2,COLUMN())),OFFSET($BN$2,0,0,ROW()-1,60),ROW()-1,FALSE))</f>
        <v>7.5179266519999999</v>
      </c>
      <c r="T108">
        <f ca="1">IF(AND(ISNUMBER($T$320),$B$226=1),$T$320,HLOOKUP(INDIRECT(ADDRESS(2,COLUMN())),OFFSET($BN$2,0,0,ROW()-1,60),ROW()-1,FALSE))</f>
        <v>7.8172231129999998</v>
      </c>
      <c r="U108">
        <f ca="1">IF(AND(ISNUMBER($U$320),$B$226=1),$U$320,HLOOKUP(INDIRECT(ADDRESS(2,COLUMN())),OFFSET($BN$2,0,0,ROW()-1,60),ROW()-1,FALSE))</f>
        <v>7.1478508349999998</v>
      </c>
      <c r="V108">
        <f ca="1">IF(AND(ISNUMBER($V$320),$B$226=1),$V$320,HLOOKUP(INDIRECT(ADDRESS(2,COLUMN())),OFFSET($BN$2,0,0,ROW()-1,60),ROW()-1,FALSE))</f>
        <v>26.829314459999999</v>
      </c>
      <c r="W108">
        <f ca="1">IF(AND(ISNUMBER($W$320),$B$226=1),$W$320,HLOOKUP(INDIRECT(ADDRESS(2,COLUMN())),OFFSET($BN$2,0,0,ROW()-1,60),ROW()-1,FALSE))</f>
        <v>41.118560889999998</v>
      </c>
      <c r="X108">
        <f ca="1">IF(AND(ISNUMBER($X$320),$B$226=1),$X$320,HLOOKUP(INDIRECT(ADDRESS(2,COLUMN())),OFFSET($BN$2,0,0,ROW()-1,60),ROW()-1,FALSE))</f>
        <v>40.768662429999999</v>
      </c>
      <c r="Y108">
        <f ca="1">IF(AND(ISNUMBER($Y$320),$B$226=1),$Y$320,HLOOKUP(INDIRECT(ADDRESS(2,COLUMN())),OFFSET($BN$2,0,0,ROW()-1,60),ROW()-1,FALSE))</f>
        <v>40.355406780000003</v>
      </c>
      <c r="Z108">
        <f ca="1">IF(AND(ISNUMBER($Z$320),$B$226=1),$Z$320,HLOOKUP(INDIRECT(ADDRESS(2,COLUMN())),OFFSET($BN$2,0,0,ROW()-1,60),ROW()-1,FALSE))</f>
        <v>14.67132159</v>
      </c>
      <c r="AA108">
        <f ca="1">IF(AND(ISNUMBER($AA$320),$B$226=1),$AA$320,HLOOKUP(INDIRECT(ADDRESS(2,COLUMN())),OFFSET($BN$2,0,0,ROW()-1,60),ROW()-1,FALSE))</f>
        <v>-7.454368595</v>
      </c>
      <c r="AB108">
        <f ca="1">IF(AND(ISNUMBER($AB$320),$B$226=1),$AB$320,HLOOKUP(INDIRECT(ADDRESS(2,COLUMN())),OFFSET($BN$2,0,0,ROW()-1,60),ROW()-1,FALSE))</f>
        <v>-7.0795166319999998</v>
      </c>
      <c r="AC108">
        <f ca="1">IF(AND(ISNUMBER($AC$320),$B$226=1),$AC$320,HLOOKUP(INDIRECT(ADDRESS(2,COLUMN())),OFFSET($BN$2,0,0,ROW()-1,60),ROW()-1,FALSE))</f>
        <v>-5.8410901099999997</v>
      </c>
      <c r="AD108">
        <f ca="1">IF(AND(ISNUMBER($AD$320),$B$226=1),$AD$320,HLOOKUP(INDIRECT(ADDRESS(2,COLUMN())),OFFSET($BN$2,0,0,ROW()-1,60),ROW()-1,FALSE))</f>
        <v>-3.2993867219999999</v>
      </c>
      <c r="AE108">
        <f ca="1">IF(AND(ISNUMBER($AE$320),$B$226=1),$AE$320,HLOOKUP(INDIRECT(ADDRESS(2,COLUMN())),OFFSET($BN$2,0,0,ROW()-1,60),ROW()-1,FALSE))</f>
        <v>12.070713380000001</v>
      </c>
      <c r="AF108">
        <f ca="1">IF(AND(ISNUMBER($AF$320),$B$226=1),$AF$320,HLOOKUP(INDIRECT(ADDRESS(2,COLUMN())),OFFSET($BN$2,0,0,ROW()-1,60),ROW()-1,FALSE))</f>
        <v>14.9096248</v>
      </c>
      <c r="AG108">
        <f ca="1">IF(AND(ISNUMBER($AG$320),$B$226=1),$AG$320,HLOOKUP(INDIRECT(ADDRESS(2,COLUMN())),OFFSET($BN$2,0,0,ROW()-1,60),ROW()-1,FALSE))</f>
        <v>11.754023030000001</v>
      </c>
      <c r="AH108">
        <f ca="1">IF(AND(ISNUMBER($AH$320),$B$226=1),$AH$320,HLOOKUP(INDIRECT(ADDRESS(2,COLUMN())),OFFSET($BN$2,0,0,ROW()-1,60),ROW()-1,FALSE))</f>
        <v>7.1484531679999996</v>
      </c>
      <c r="AI108">
        <f ca="1">IF(AND(ISNUMBER($AI$320),$B$226=1),$AI$320,HLOOKUP(INDIRECT(ADDRESS(2,COLUMN())),OFFSET($BN$2,0,0,ROW()-1,60),ROW()-1,FALSE))</f>
        <v>3.565739845</v>
      </c>
      <c r="AJ108">
        <f ca="1">IF(AND(ISNUMBER($AJ$320),$B$226=1),$AJ$320,HLOOKUP(INDIRECT(ADDRESS(2,COLUMN())),OFFSET($BN$2,0,0,ROW()-1,60),ROW()-1,FALSE))</f>
        <v>-3.147495057</v>
      </c>
      <c r="AK108">
        <f ca="1">IF(AND(ISNUMBER($AK$320),$B$226=1),$AK$320,HLOOKUP(INDIRECT(ADDRESS(2,COLUMN())),OFFSET($BN$2,0,0,ROW()-1,60),ROW()-1,FALSE))</f>
        <v>-6.3279200180000004</v>
      </c>
      <c r="AL108">
        <f ca="1">IF(AND(ISNUMBER($AL$320),$B$226=1),$AL$320,HLOOKUP(INDIRECT(ADDRESS(2,COLUMN())),OFFSET($BN$2,0,0,ROW()-1,60),ROW()-1,FALSE))</f>
        <v>-6.2612881690000002</v>
      </c>
      <c r="AM108">
        <f ca="1">IF(AND(ISNUMBER($AM$320),$B$226=1),$AM$320,HLOOKUP(INDIRECT(ADDRESS(2,COLUMN())),OFFSET($BN$2,0,0,ROW()-1,60),ROW()-1,FALSE))</f>
        <v>-8.9456952689999998</v>
      </c>
      <c r="AN108">
        <f ca="1">IF(AND(ISNUMBER($AN$320),$B$226=1),$AN$320,HLOOKUP(INDIRECT(ADDRESS(2,COLUMN())),OFFSET($BN$2,0,0,ROW()-1,60),ROW()-1,FALSE))</f>
        <v>-6.82418937</v>
      </c>
      <c r="AO108">
        <f ca="1">IF(AND(ISNUMBER($AO$320),$B$226=1),$AO$320,HLOOKUP(INDIRECT(ADDRESS(2,COLUMN())),OFFSET($BN$2,0,0,ROW()-1,60),ROW()-1,FALSE))</f>
        <v>-5.9291738450000002</v>
      </c>
      <c r="AP108">
        <f ca="1">IF(AND(ISNUMBER($AP$320),$B$226=1),$AP$320,HLOOKUP(INDIRECT(ADDRESS(2,COLUMN())),OFFSET($BN$2,0,0,ROW()-1,60),ROW()-1,FALSE))</f>
        <v>-2.910402189</v>
      </c>
      <c r="AQ108">
        <f ca="1">IF(AND(ISNUMBER($AQ$320),$B$226=1),$AQ$320,HLOOKUP(INDIRECT(ADDRESS(2,COLUMN())),OFFSET($BN$2,0,0,ROW()-1,60),ROW()-1,FALSE))</f>
        <v>-4.9893773540000002</v>
      </c>
      <c r="AR108">
        <f ca="1">IF(AND(ISNUMBER($AR$320),$B$226=1),$AR$320,HLOOKUP(INDIRECT(ADDRESS(2,COLUMN())),OFFSET($BN$2,0,0,ROW()-1,60),ROW()-1,FALSE))</f>
        <v>2.718221121</v>
      </c>
      <c r="AS108">
        <f ca="1">IF(AND(ISNUMBER($AS$320),$B$226=1),$AS$320,HLOOKUP(INDIRECT(ADDRESS(2,COLUMN())),OFFSET($BN$2,0,0,ROW()-1,60),ROW()-1,FALSE))</f>
        <v>6.566040331</v>
      </c>
      <c r="AT108">
        <f ca="1">IF(AND(ISNUMBER($AT$320),$B$226=1),$AT$320,HLOOKUP(INDIRECT(ADDRESS(2,COLUMN())),OFFSET($BN$2,0,0,ROW()-1,60),ROW()-1,FALSE))</f>
        <v>8.7788766630000001</v>
      </c>
      <c r="AU108">
        <f ca="1">IF(AND(ISNUMBER($AU$320),$B$226=1),$AU$320,HLOOKUP(INDIRECT(ADDRESS(2,COLUMN())),OFFSET($BN$2,0,0,ROW()-1,60),ROW()-1,FALSE))</f>
        <v>72.727956539999994</v>
      </c>
      <c r="AV108">
        <f ca="1">IF(AND(ISNUMBER($AV$320),$B$226=1),$AV$320,HLOOKUP(INDIRECT(ADDRESS(2,COLUMN())),OFFSET($BN$2,0,0,ROW()-1,60),ROW()-1,FALSE))</f>
        <v>-1.0419214240000001</v>
      </c>
      <c r="AW108">
        <f ca="1">IF(AND(ISNUMBER($AW$320),$B$226=1),$AW$320,HLOOKUP(INDIRECT(ADDRESS(2,COLUMN())),OFFSET($BN$2,0,0,ROW()-1,60),ROW()-1,FALSE))</f>
        <v>0.356784249</v>
      </c>
      <c r="AX108">
        <f ca="1">IF(AND(ISNUMBER($AX$320),$B$226=1),$AX$320,HLOOKUP(INDIRECT(ADDRESS(2,COLUMN())),OFFSET($BN$2,0,0,ROW()-1,60),ROW()-1,FALSE))</f>
        <v>0.35342400499999999</v>
      </c>
      <c r="AY108">
        <f ca="1">IF(AND(ISNUMBER($AY$320),$B$226=1),$AY$320,HLOOKUP(INDIRECT(ADDRESS(2,COLUMN())),OFFSET($BN$2,0,0,ROW()-1,60),ROW()-1,FALSE))</f>
        <v>-15.35991851</v>
      </c>
      <c r="AZ108">
        <f ca="1">IF(AND(ISNUMBER($AZ$320),$B$226=1),$AZ$320,HLOOKUP(INDIRECT(ADDRESS(2,COLUMN())),OFFSET($BN$2,0,0,ROW()-1,60),ROW()-1,FALSE))</f>
        <v>27.0757677</v>
      </c>
      <c r="BA108">
        <f ca="1">IF(AND(ISNUMBER($BA$320),$B$226=1),$BA$320,HLOOKUP(INDIRECT(ADDRESS(2,COLUMN())),OFFSET($BN$2,0,0,ROW()-1,60),ROW()-1,FALSE))</f>
        <v>21.844584680000001</v>
      </c>
      <c r="BB108">
        <f ca="1">IF(AND(ISNUMBER($BB$320),$B$226=1),$BB$320,HLOOKUP(INDIRECT(ADDRESS(2,COLUMN())),OFFSET($BN$2,0,0,ROW()-1,60),ROW()-1,FALSE))</f>
        <v>6.7925563860000002</v>
      </c>
      <c r="BC108">
        <f ca="1">IF(AND(ISNUMBER($BC$320),$B$226=1),$BC$320,HLOOKUP(INDIRECT(ADDRESS(2,COLUMN())),OFFSET($BN$2,0,0,ROW()-1,60),ROW()-1,FALSE))</f>
        <v>-3.5636755939999998</v>
      </c>
      <c r="BD108">
        <f ca="1">IF(AND(ISNUMBER($BD$320),$B$226=1),$BD$320,HLOOKUP(INDIRECT(ADDRESS(2,COLUMN())),OFFSET($BN$2,0,0,ROW()-1,60),ROW()-1,FALSE))</f>
        <v>-3.5216850200000001</v>
      </c>
      <c r="BE108">
        <f ca="1">IF(AND(ISNUMBER($BE$320),$B$226=1),$BE$320,HLOOKUP(INDIRECT(ADDRESS(2,COLUMN())),OFFSET($BN$2,0,0,ROW()-1,60),ROW()-1,FALSE))</f>
        <v>-14.38439249</v>
      </c>
      <c r="BF108">
        <f ca="1">IF(AND(ISNUMBER($BF$320),$B$226=1),$BF$320,HLOOKUP(INDIRECT(ADDRESS(2,COLUMN())),OFFSET($BN$2,0,0,ROW()-1,60),ROW()-1,FALSE))</f>
        <v>-5.0873113539999997</v>
      </c>
      <c r="BG108">
        <f ca="1">IF(AND(ISNUMBER($BG$320),$B$226=1),$BG$320,HLOOKUP(INDIRECT(ADDRESS(2,COLUMN())),OFFSET($BN$2,0,0,ROW()-1,60),ROW()-1,FALSE))</f>
        <v>-20.854204379999999</v>
      </c>
      <c r="BH108">
        <f ca="1">IF(AND(ISNUMBER($BH$320),$B$226=1),$BH$320,HLOOKUP(INDIRECT(ADDRESS(2,COLUMN())),OFFSET($BN$2,0,0,ROW()-1,60),ROW()-1,FALSE))</f>
        <v>-3.6293821550000001</v>
      </c>
      <c r="BI108">
        <f ca="1">IF(AND(ISNUMBER($BI$320),$B$226=1),$BI$320,HLOOKUP(INDIRECT(ADDRESS(2,COLUMN())),OFFSET($BN$2,0,0,ROW()-1,60),ROW()-1,FALSE))</f>
        <v>7.4470150640000004</v>
      </c>
      <c r="BJ108">
        <f ca="1">IF(AND(ISNUMBER($BJ$320),$B$226=1),$BJ$320,HLOOKUP(INDIRECT(ADDRESS(2,COLUMN())),OFFSET($BN$2,0,0,ROW()-1,60),ROW()-1,FALSE))</f>
        <v>4.1365395710000001</v>
      </c>
      <c r="BK108">
        <f ca="1">IF(AND(ISNUMBER($BK$320),$B$226=1),$BK$320,HLOOKUP(INDIRECT(ADDRESS(2,COLUMN())),OFFSET($BN$2,0,0,ROW()-1,60),ROW()-1,FALSE))</f>
        <v>8.1824444449999998</v>
      </c>
      <c r="BL108">
        <f ca="1">IF(AND(ISNUMBER($BL$320),$B$226=1),$BL$320,HLOOKUP(INDIRECT(ADDRESS(2,COLUMN())),OFFSET($BN$2,0,0,ROW()-1,60),ROW()-1,FALSE))</f>
        <v>-9.0679436849999995</v>
      </c>
      <c r="BM108">
        <f ca="1">IF(AND(ISNUMBER($BM$320),$B$226=1),$BM$320,HLOOKUP(INDIRECT(ADDRESS(2,COLUMN())),OFFSET($BN$2,0,0,ROW()-1,60),ROW()-1,FALSE))</f>
        <v>-10.974611100000001</v>
      </c>
      <c r="BN108" t="str">
        <f>""</f>
        <v/>
      </c>
      <c r="BO108">
        <f>4.173494631</f>
        <v>4.1734946309999996</v>
      </c>
      <c r="BP108">
        <f>3.355378331</f>
        <v>3.3553783309999998</v>
      </c>
      <c r="BQ108">
        <f>0.906750308</f>
        <v>0.906750308</v>
      </c>
      <c r="BR108">
        <f>-2.145352229</f>
        <v>-2.1453522290000002</v>
      </c>
      <c r="BS108">
        <f>-14.56598436</f>
        <v>-14.56598436</v>
      </c>
      <c r="BT108">
        <f>-14.47200597</f>
        <v>-14.47200597</v>
      </c>
      <c r="BU108">
        <f>-12.22172049</f>
        <v>-12.221720489999999</v>
      </c>
      <c r="BV108">
        <f>-6.099432751</f>
        <v>-6.0994327510000002</v>
      </c>
      <c r="BW108">
        <f>6.367906317</f>
        <v>6.3679063170000001</v>
      </c>
      <c r="BX108">
        <f>5.665624697</f>
        <v>5.6656246970000002</v>
      </c>
      <c r="BY108">
        <f>5.552547675</f>
        <v>5.5525476749999996</v>
      </c>
      <c r="BZ108">
        <f>7.614887488</f>
        <v>7.6148874879999999</v>
      </c>
      <c r="CA108">
        <f>7.517926652</f>
        <v>7.5179266519999999</v>
      </c>
      <c r="CB108">
        <f>7.817223113</f>
        <v>7.8172231129999998</v>
      </c>
      <c r="CC108">
        <f>7.147850835</f>
        <v>7.1478508349999998</v>
      </c>
      <c r="CD108">
        <f>26.82931446</f>
        <v>26.829314459999999</v>
      </c>
      <c r="CE108">
        <f>41.11856089</f>
        <v>41.118560889999998</v>
      </c>
      <c r="CF108">
        <f>40.76866243</f>
        <v>40.768662429999999</v>
      </c>
      <c r="CG108">
        <f>40.35540678</f>
        <v>40.355406780000003</v>
      </c>
      <c r="CH108">
        <f>14.67132159</f>
        <v>14.67132159</v>
      </c>
      <c r="CI108">
        <f>-7.454368595</f>
        <v>-7.454368595</v>
      </c>
      <c r="CJ108">
        <f>-7.079516632</f>
        <v>-7.0795166319999998</v>
      </c>
      <c r="CK108">
        <f>-5.84109011</f>
        <v>-5.8410901099999997</v>
      </c>
      <c r="CL108">
        <f>-3.299386722</f>
        <v>-3.2993867219999999</v>
      </c>
      <c r="CM108">
        <f>12.07071338</f>
        <v>12.070713380000001</v>
      </c>
      <c r="CN108">
        <f>14.9096248</f>
        <v>14.9096248</v>
      </c>
      <c r="CO108">
        <f>11.75402303</f>
        <v>11.754023030000001</v>
      </c>
      <c r="CP108">
        <f>7.148453168</f>
        <v>7.1484531679999996</v>
      </c>
      <c r="CQ108">
        <f>3.565739845</f>
        <v>3.565739845</v>
      </c>
      <c r="CR108">
        <f>-3.147495057</f>
        <v>-3.147495057</v>
      </c>
      <c r="CS108">
        <f>-6.327920018</f>
        <v>-6.3279200180000004</v>
      </c>
      <c r="CT108">
        <f>-6.261288169</f>
        <v>-6.2612881690000002</v>
      </c>
      <c r="CU108">
        <f>-8.945695269</f>
        <v>-8.9456952689999998</v>
      </c>
      <c r="CV108">
        <f>-6.82418937</f>
        <v>-6.82418937</v>
      </c>
      <c r="CW108">
        <f>-5.929173845</f>
        <v>-5.9291738450000002</v>
      </c>
      <c r="CX108">
        <f>-2.910402189</f>
        <v>-2.910402189</v>
      </c>
      <c r="CY108">
        <f>-4.989377354</f>
        <v>-4.9893773540000002</v>
      </c>
      <c r="CZ108">
        <f>2.718221121</f>
        <v>2.718221121</v>
      </c>
      <c r="DA108">
        <f>6.566040331</f>
        <v>6.566040331</v>
      </c>
      <c r="DB108">
        <f>8.778876663</f>
        <v>8.7788766630000001</v>
      </c>
      <c r="DC108">
        <f>72.72795654</f>
        <v>72.727956539999994</v>
      </c>
      <c r="DD108">
        <f>-1.041921424</f>
        <v>-1.0419214240000001</v>
      </c>
      <c r="DE108">
        <f>0.356784249</f>
        <v>0.356784249</v>
      </c>
      <c r="DF108">
        <f>0.353424005</f>
        <v>0.35342400499999999</v>
      </c>
      <c r="DG108">
        <f>-15.35991851</f>
        <v>-15.35991851</v>
      </c>
      <c r="DH108">
        <f>27.0757677</f>
        <v>27.0757677</v>
      </c>
      <c r="DI108">
        <f>21.84458468</f>
        <v>21.844584680000001</v>
      </c>
      <c r="DJ108">
        <f>6.792556386</f>
        <v>6.7925563860000002</v>
      </c>
      <c r="DK108">
        <f>-3.563675594</f>
        <v>-3.5636755939999998</v>
      </c>
      <c r="DL108">
        <f>-3.52168502</f>
        <v>-3.5216850200000001</v>
      </c>
      <c r="DM108">
        <f>-14.38439249</f>
        <v>-14.38439249</v>
      </c>
      <c r="DN108">
        <f>-5.087311354</f>
        <v>-5.0873113539999997</v>
      </c>
      <c r="DO108">
        <f>-20.85420438</f>
        <v>-20.854204379999999</v>
      </c>
      <c r="DP108">
        <f>-3.629382155</f>
        <v>-3.6293821550000001</v>
      </c>
      <c r="DQ108">
        <f>7.447015064</f>
        <v>7.4470150640000004</v>
      </c>
      <c r="DR108">
        <f>4.136539571</f>
        <v>4.1365395710000001</v>
      </c>
      <c r="DS108">
        <f>8.182444445</f>
        <v>8.1824444449999998</v>
      </c>
      <c r="DT108">
        <f>-9.067943685</f>
        <v>-9.0679436849999995</v>
      </c>
      <c r="DU108">
        <f>-10.9746111</f>
        <v>-10.974611100000001</v>
      </c>
    </row>
    <row r="109" spans="1:125">
      <c r="A109" t="str">
        <f>"    Essex Property Trust Inc"</f>
        <v xml:space="preserve">    Essex Property Trust Inc</v>
      </c>
      <c r="B109" t="str">
        <f>"ESS US Equity"</f>
        <v>ESS US Equity</v>
      </c>
      <c r="C109" t="str">
        <f t="shared" si="33"/>
        <v>RR551</v>
      </c>
      <c r="D109" t="str">
        <f t="shared" si="34"/>
        <v>NOI_GROWTH</v>
      </c>
      <c r="E109" t="str">
        <f t="shared" si="35"/>
        <v>动态</v>
      </c>
      <c r="F109" t="str">
        <f ca="1">IF(AND(ISNUMBER($F$321),$B$226=1),$F$321,HLOOKUP(INDIRECT(ADDRESS(2,COLUMN())),OFFSET($BN$2,0,0,ROW()-1,60),ROW()-1,FALSE))</f>
        <v/>
      </c>
      <c r="G109">
        <f ca="1">IF(AND(ISNUMBER($G$321),$B$226=1),$G$321,HLOOKUP(INDIRECT(ADDRESS(2,COLUMN())),OFFSET($BN$2,0,0,ROW()-1,60),ROW()-1,FALSE))</f>
        <v>4.9538995220000004</v>
      </c>
      <c r="H109">
        <f ca="1">IF(AND(ISNUMBER($H$321),$B$226=1),$H$321,HLOOKUP(INDIRECT(ADDRESS(2,COLUMN())),OFFSET($BN$2,0,0,ROW()-1,60),ROW()-1,FALSE))</f>
        <v>4.5350506939999997</v>
      </c>
      <c r="I109">
        <f ca="1">IF(AND(ISNUMBER($I$321),$B$226=1),$I$321,HLOOKUP(INDIRECT(ADDRESS(2,COLUMN())),OFFSET($BN$2,0,0,ROW()-1,60),ROW()-1,FALSE))</f>
        <v>6.7783833160000002</v>
      </c>
      <c r="J109">
        <f ca="1">IF(AND(ISNUMBER($J$321),$B$226=1),$J$321,HLOOKUP(INDIRECT(ADDRESS(2,COLUMN())),OFFSET($BN$2,0,0,ROW()-1,60),ROW()-1,FALSE))</f>
        <v>7.3637307019999998</v>
      </c>
      <c r="K109">
        <f ca="1">IF(AND(ISNUMBER($K$321),$B$226=1),$K$321,HLOOKUP(INDIRECT(ADDRESS(2,COLUMN())),OFFSET($BN$2,0,0,ROW()-1,60),ROW()-1,FALSE))</f>
        <v>5.2313533540000003</v>
      </c>
      <c r="L109">
        <f ca="1">IF(AND(ISNUMBER($L$321),$B$226=1),$L$321,HLOOKUP(INDIRECT(ADDRESS(2,COLUMN())),OFFSET($BN$2,0,0,ROW()-1,60),ROW()-1,FALSE))</f>
        <v>9.1697663259999995</v>
      </c>
      <c r="M109">
        <f ca="1">IF(AND(ISNUMBER($M$321),$B$226=1),$M$321,HLOOKUP(INDIRECT(ADDRESS(2,COLUMN())),OFFSET($BN$2,0,0,ROW()-1,60),ROW()-1,FALSE))</f>
        <v>9.4262076330000006</v>
      </c>
      <c r="N109">
        <f ca="1">IF(AND(ISNUMBER($N$321),$B$226=1),$N$321,HLOOKUP(INDIRECT(ADDRESS(2,COLUMN())),OFFSET($BN$2,0,0,ROW()-1,60),ROW()-1,FALSE))</f>
        <v>12.26865336</v>
      </c>
      <c r="O109">
        <f ca="1">IF(AND(ISNUMBER($O$321),$B$226=1),$O$321,HLOOKUP(INDIRECT(ADDRESS(2,COLUMN())),OFFSET($BN$2,0,0,ROW()-1,60),ROW()-1,FALSE))</f>
        <v>14.66479934</v>
      </c>
      <c r="P109">
        <f ca="1">IF(AND(ISNUMBER($P$321),$B$226=1),$P$321,HLOOKUP(INDIRECT(ADDRESS(2,COLUMN())),OFFSET($BN$2,0,0,ROW()-1,60),ROW()-1,FALSE))</f>
        <v>15.15007303</v>
      </c>
      <c r="Q109">
        <f ca="1">IF(AND(ISNUMBER($Q$321),$B$226=1),$Q$321,HLOOKUP(INDIRECT(ADDRESS(2,COLUMN())),OFFSET($BN$2,0,0,ROW()-1,60),ROW()-1,FALSE))</f>
        <v>16.94092947</v>
      </c>
      <c r="R109">
        <f ca="1">IF(AND(ISNUMBER($R$321),$B$226=1),$R$321,HLOOKUP(INDIRECT(ADDRESS(2,COLUMN())),OFFSET($BN$2,0,0,ROW()-1,60),ROW()-1,FALSE))</f>
        <v>80.033669720000006</v>
      </c>
      <c r="S109">
        <f ca="1">IF(AND(ISNUMBER($S$321),$B$226=1),$S$321,HLOOKUP(INDIRECT(ADDRESS(2,COLUMN())),OFFSET($BN$2,0,0,ROW()-1,60),ROW()-1,FALSE))</f>
        <v>79.235101110000002</v>
      </c>
      <c r="T109">
        <f ca="1">IF(AND(ISNUMBER($T$321),$B$226=1),$T$321,HLOOKUP(INDIRECT(ADDRESS(2,COLUMN())),OFFSET($BN$2,0,0,ROW()-1,60),ROW()-1,FALSE))</f>
        <v>76.414220369999995</v>
      </c>
      <c r="U109">
        <f ca="1">IF(AND(ISNUMBER($U$321),$B$226=1),$U$321,HLOOKUP(INDIRECT(ADDRESS(2,COLUMN())),OFFSET($BN$2,0,0,ROW()-1,60),ROW()-1,FALSE))</f>
        <v>71.899842960000001</v>
      </c>
      <c r="V109">
        <f ca="1">IF(AND(ISNUMBER($V$321),$B$226=1),$V$321,HLOOKUP(INDIRECT(ADDRESS(2,COLUMN())),OFFSET($BN$2,0,0,ROW()-1,60),ROW()-1,FALSE))</f>
        <v>8.7269199220000004</v>
      </c>
      <c r="W109">
        <f ca="1">IF(AND(ISNUMBER($W$321),$B$226=1),$W$321,HLOOKUP(INDIRECT(ADDRESS(2,COLUMN())),OFFSET($BN$2,0,0,ROW()-1,60),ROW()-1,FALSE))</f>
        <v>10.62380398</v>
      </c>
      <c r="X109">
        <f ca="1">IF(AND(ISNUMBER($X$321),$B$226=1),$X$321,HLOOKUP(INDIRECT(ADDRESS(2,COLUMN())),OFFSET($BN$2,0,0,ROW()-1,60),ROW()-1,FALSE))</f>
        <v>13.6362141</v>
      </c>
      <c r="Y109">
        <f ca="1">IF(AND(ISNUMBER($Y$321),$B$226=1),$Y$321,HLOOKUP(INDIRECT(ADDRESS(2,COLUMN())),OFFSET($BN$2,0,0,ROW()-1,60),ROW()-1,FALSE))</f>
        <v>15.79749924</v>
      </c>
      <c r="Z109">
        <f ca="1">IF(AND(ISNUMBER($Z$321),$B$226=1),$Z$321,HLOOKUP(INDIRECT(ADDRESS(2,COLUMN())),OFFSET($BN$2,0,0,ROW()-1,60),ROW()-1,FALSE))</f>
        <v>16.099588919999999</v>
      </c>
      <c r="AA109">
        <f ca="1">IF(AND(ISNUMBER($AA$321),$B$226=1),$AA$321,HLOOKUP(INDIRECT(ADDRESS(2,COLUMN())),OFFSET($BN$2,0,0,ROW()-1,60),ROW()-1,FALSE))</f>
        <v>15.61038368</v>
      </c>
      <c r="AB109">
        <f ca="1">IF(AND(ISNUMBER($AB$321),$B$226=1),$AB$321,HLOOKUP(INDIRECT(ADDRESS(2,COLUMN())),OFFSET($BN$2,0,0,ROW()-1,60),ROW()-1,FALSE))</f>
        <v>18.196547079999998</v>
      </c>
      <c r="AC109">
        <f ca="1">IF(AND(ISNUMBER($AC$321),$B$226=1),$AC$321,HLOOKUP(INDIRECT(ADDRESS(2,COLUMN())),OFFSET($BN$2,0,0,ROW()-1,60),ROW()-1,FALSE))</f>
        <v>17.290214890000001</v>
      </c>
      <c r="AD109">
        <f ca="1">IF(AND(ISNUMBER($AD$321),$B$226=1),$AD$321,HLOOKUP(INDIRECT(ADDRESS(2,COLUMN())),OFFSET($BN$2,0,0,ROW()-1,60),ROW()-1,FALSE))</f>
        <v>17.830411999999999</v>
      </c>
      <c r="AE109">
        <f ca="1">IF(AND(ISNUMBER($AE$321),$B$226=1),$AE$321,HLOOKUP(INDIRECT(ADDRESS(2,COLUMN())),OFFSET($BN$2,0,0,ROW()-1,60),ROW()-1,FALSE))</f>
        <v>18.09752357</v>
      </c>
      <c r="AF109">
        <f ca="1">IF(AND(ISNUMBER($AF$321),$B$226=1),$AF$321,HLOOKUP(INDIRECT(ADDRESS(2,COLUMN())),OFFSET($BN$2,0,0,ROW()-1,60),ROW()-1,FALSE))</f>
        <v>15.80732802</v>
      </c>
      <c r="AG109">
        <f ca="1">IF(AND(ISNUMBER($AG$321),$B$226=1),$AG$321,HLOOKUP(INDIRECT(ADDRESS(2,COLUMN())),OFFSET($BN$2,0,0,ROW()-1,60),ROW()-1,FALSE))</f>
        <v>15.4724024</v>
      </c>
      <c r="AH109">
        <f ca="1">IF(AND(ISNUMBER($AH$321),$B$226=1),$AH$321,HLOOKUP(INDIRECT(ADDRESS(2,COLUMN())),OFFSET($BN$2,0,0,ROW()-1,60),ROW()-1,FALSE))</f>
        <v>9.1035306410000008</v>
      </c>
      <c r="AI109">
        <f ca="1">IF(AND(ISNUMBER($AI$321),$B$226=1),$AI$321,HLOOKUP(INDIRECT(ADDRESS(2,COLUMN())),OFFSET($BN$2,0,0,ROW()-1,60),ROW()-1,FALSE))</f>
        <v>9.5121837439999997</v>
      </c>
      <c r="AJ109">
        <f ca="1">IF(AND(ISNUMBER($AJ$321),$B$226=1),$AJ$321,HLOOKUP(INDIRECT(ADDRESS(2,COLUMN())),OFFSET($BN$2,0,0,ROW()-1,60),ROW()-1,FALSE))</f>
        <v>1.5796294879999999</v>
      </c>
      <c r="AK109">
        <f ca="1">IF(AND(ISNUMBER($AK$321),$B$226=1),$AK$321,HLOOKUP(INDIRECT(ADDRESS(2,COLUMN())),OFFSET($BN$2,0,0,ROW()-1,60),ROW()-1,FALSE))</f>
        <v>-6.3482284849999999</v>
      </c>
      <c r="AL109">
        <f ca="1">IF(AND(ISNUMBER($AL$321),$B$226=1),$AL$321,HLOOKUP(INDIRECT(ADDRESS(2,COLUMN())),OFFSET($BN$2,0,0,ROW()-1,60),ROW()-1,FALSE))</f>
        <v>-6.9497694059999997</v>
      </c>
      <c r="AM109">
        <f ca="1">IF(AND(ISNUMBER($AM$321),$B$226=1),$AM$321,HLOOKUP(INDIRECT(ADDRESS(2,COLUMN())),OFFSET($BN$2,0,0,ROW()-1,60),ROW()-1,FALSE))</f>
        <v>-9.1991189179999999</v>
      </c>
      <c r="AN109">
        <f ca="1">IF(AND(ISNUMBER($AN$321),$B$226=1),$AN$321,HLOOKUP(INDIRECT(ADDRESS(2,COLUMN())),OFFSET($BN$2,0,0,ROW()-1,60),ROW()-1,FALSE))</f>
        <v>-5.2855801859999998</v>
      </c>
      <c r="AO109">
        <f ca="1">IF(AND(ISNUMBER($AO$321),$B$226=1),$AO$321,HLOOKUP(INDIRECT(ADDRESS(2,COLUMN())),OFFSET($BN$2,0,0,ROW()-1,60),ROW()-1,FALSE))</f>
        <v>1.7685825100000001</v>
      </c>
      <c r="AP109">
        <f ca="1">IF(AND(ISNUMBER($AP$321),$B$226=1),$AP$321,HLOOKUP(INDIRECT(ADDRESS(2,COLUMN())),OFFSET($BN$2,0,0,ROW()-1,60),ROW()-1,FALSE))</f>
        <v>5.5434192969999998</v>
      </c>
      <c r="AQ109">
        <f ca="1">IF(AND(ISNUMBER($AQ$321),$B$226=1),$AQ$321,HLOOKUP(INDIRECT(ADDRESS(2,COLUMN())),OFFSET($BN$2,0,0,ROW()-1,60),ROW()-1,FALSE))</f>
        <v>6.2978416829999997</v>
      </c>
      <c r="AR109">
        <f ca="1">IF(AND(ISNUMBER($AR$321),$B$226=1),$AR$321,HLOOKUP(INDIRECT(ADDRESS(2,COLUMN())),OFFSET($BN$2,0,0,ROW()-1,60),ROW()-1,FALSE))</f>
        <v>6.292020999</v>
      </c>
      <c r="AS109">
        <f ca="1">IF(AND(ISNUMBER($AS$321),$B$226=1),$AS$321,HLOOKUP(INDIRECT(ADDRESS(2,COLUMN())),OFFSET($BN$2,0,0,ROW()-1,60),ROW()-1,FALSE))</f>
        <v>6.0438795860000001</v>
      </c>
      <c r="AT109">
        <f ca="1">IF(AND(ISNUMBER($AT$321),$B$226=1),$AT$321,HLOOKUP(INDIRECT(ADDRESS(2,COLUMN())),OFFSET($BN$2,0,0,ROW()-1,60),ROW()-1,FALSE))</f>
        <v>11.60983113</v>
      </c>
      <c r="AU109">
        <f ca="1">IF(AND(ISNUMBER($AU$321),$B$226=1),$AU$321,HLOOKUP(INDIRECT(ADDRESS(2,COLUMN())),OFFSET($BN$2,0,0,ROW()-1,60),ROW()-1,FALSE))</f>
        <v>11.620036860000001</v>
      </c>
      <c r="AV109">
        <f ca="1">IF(AND(ISNUMBER($AV$321),$B$226=1),$AV$321,HLOOKUP(INDIRECT(ADDRESS(2,COLUMN())),OFFSET($BN$2,0,0,ROW()-1,60),ROW()-1,FALSE))</f>
        <v>10.55748833</v>
      </c>
      <c r="AW109">
        <f ca="1">IF(AND(ISNUMBER($AW$321),$B$226=1),$AW$321,HLOOKUP(INDIRECT(ADDRESS(2,COLUMN())),OFFSET($BN$2,0,0,ROW()-1,60),ROW()-1,FALSE))</f>
        <v>15.206626290000001</v>
      </c>
      <c r="AX109">
        <f ca="1">IF(AND(ISNUMBER($AX$321),$B$226=1),$AX$321,HLOOKUP(INDIRECT(ADDRESS(2,COLUMN())),OFFSET($BN$2,0,0,ROW()-1,60),ROW()-1,FALSE))</f>
        <v>12.69662714</v>
      </c>
      <c r="AY109">
        <f ca="1">IF(AND(ISNUMBER($AY$321),$B$226=1),$AY$321,HLOOKUP(INDIRECT(ADDRESS(2,COLUMN())),OFFSET($BN$2,0,0,ROW()-1,60),ROW()-1,FALSE))</f>
        <v>24.439718970000001</v>
      </c>
      <c r="AZ109">
        <f ca="1">IF(AND(ISNUMBER($AZ$321),$B$226=1),$AZ$321,HLOOKUP(INDIRECT(ADDRESS(2,COLUMN())),OFFSET($BN$2,0,0,ROW()-1,60),ROW()-1,FALSE))</f>
        <v>6.8217251010000002</v>
      </c>
      <c r="BA109">
        <f ca="1">IF(AND(ISNUMBER($BA$321),$B$226=1),$BA$321,HLOOKUP(INDIRECT(ADDRESS(2,COLUMN())),OFFSET($BN$2,0,0,ROW()-1,60),ROW()-1,FALSE))</f>
        <v>5.3322826369999996</v>
      </c>
      <c r="BB109">
        <f ca="1">IF(AND(ISNUMBER($BB$321),$B$226=1),$BB$321,HLOOKUP(INDIRECT(ADDRESS(2,COLUMN())),OFFSET($BN$2,0,0,ROW()-1,60),ROW()-1,FALSE))</f>
        <v>-6.1556832339999996</v>
      </c>
      <c r="BC109">
        <f ca="1">IF(AND(ISNUMBER($BC$321),$B$226=1),$BC$321,HLOOKUP(INDIRECT(ADDRESS(2,COLUMN())),OFFSET($BN$2,0,0,ROW()-1,60),ROW()-1,FALSE))</f>
        <v>3.9484279529999999</v>
      </c>
      <c r="BD109">
        <f ca="1">IF(AND(ISNUMBER($BD$321),$B$226=1),$BD$321,HLOOKUP(INDIRECT(ADDRESS(2,COLUMN())),OFFSET($BN$2,0,0,ROW()-1,60),ROW()-1,FALSE))</f>
        <v>-11.752095730000001</v>
      </c>
      <c r="BE109">
        <f ca="1">IF(AND(ISNUMBER($BE$321),$B$226=1),$BE$321,HLOOKUP(INDIRECT(ADDRESS(2,COLUMN())),OFFSET($BN$2,0,0,ROW()-1,60),ROW()-1,FALSE))</f>
        <v>21.515708400000001</v>
      </c>
      <c r="BF109">
        <f ca="1">IF(AND(ISNUMBER($BF$321),$B$226=1),$BF$321,HLOOKUP(INDIRECT(ADDRESS(2,COLUMN())),OFFSET($BN$2,0,0,ROW()-1,60),ROW()-1,FALSE))</f>
        <v>36.350550980000001</v>
      </c>
      <c r="BG109">
        <f ca="1">IF(AND(ISNUMBER($BG$321),$B$226=1),$BG$321,HLOOKUP(INDIRECT(ADDRESS(2,COLUMN())),OFFSET($BN$2,0,0,ROW()-1,60),ROW()-1,FALSE))</f>
        <v>13.2614915</v>
      </c>
      <c r="BH109">
        <f ca="1">IF(AND(ISNUMBER($BH$321),$B$226=1),$BH$321,HLOOKUP(INDIRECT(ADDRESS(2,COLUMN())),OFFSET($BN$2,0,0,ROW()-1,60),ROW()-1,FALSE))</f>
        <v>55.102858740000002</v>
      </c>
      <c r="BI109">
        <f ca="1">IF(AND(ISNUMBER($BI$321),$B$226=1),$BI$321,HLOOKUP(INDIRECT(ADDRESS(2,COLUMN())),OFFSET($BN$2,0,0,ROW()-1,60),ROW()-1,FALSE))</f>
        <v>7.3945254719999998</v>
      </c>
      <c r="BJ109">
        <f ca="1">IF(AND(ISNUMBER($BJ$321),$B$226=1),$BJ$321,HLOOKUP(INDIRECT(ADDRESS(2,COLUMN())),OFFSET($BN$2,0,0,ROW()-1,60),ROW()-1,FALSE))</f>
        <v>-2.428972694</v>
      </c>
      <c r="BK109">
        <f ca="1">IF(AND(ISNUMBER($BK$321),$B$226=1),$BK$321,HLOOKUP(INDIRECT(ADDRESS(2,COLUMN())),OFFSET($BN$2,0,0,ROW()-1,60),ROW()-1,FALSE))</f>
        <v>32.952616079999999</v>
      </c>
      <c r="BL109">
        <f ca="1">IF(AND(ISNUMBER($BL$321),$B$226=1),$BL$321,HLOOKUP(INDIRECT(ADDRESS(2,COLUMN())),OFFSET($BN$2,0,0,ROW()-1,60),ROW()-1,FALSE))</f>
        <v>30.885633410000001</v>
      </c>
      <c r="BM109">
        <f ca="1">IF(AND(ISNUMBER($BM$321),$B$226=1),$BM$321,HLOOKUP(INDIRECT(ADDRESS(2,COLUMN())),OFFSET($BN$2,0,0,ROW()-1,60),ROW()-1,FALSE))</f>
        <v>37.170002779999997</v>
      </c>
      <c r="BN109" t="str">
        <f>""</f>
        <v/>
      </c>
      <c r="BO109">
        <f>4.953899522</f>
        <v>4.9538995220000004</v>
      </c>
      <c r="BP109">
        <f>4.535050694</f>
        <v>4.5350506939999997</v>
      </c>
      <c r="BQ109">
        <f>6.778383316</f>
        <v>6.7783833160000002</v>
      </c>
      <c r="BR109">
        <f>7.363730702</f>
        <v>7.3637307019999998</v>
      </c>
      <c r="BS109">
        <f>5.231353354</f>
        <v>5.2313533540000003</v>
      </c>
      <c r="BT109">
        <f>9.169766326</f>
        <v>9.1697663259999995</v>
      </c>
      <c r="BU109">
        <f>9.426207633</f>
        <v>9.4262076330000006</v>
      </c>
      <c r="BV109">
        <f>12.26865336</f>
        <v>12.26865336</v>
      </c>
      <c r="BW109">
        <f>14.66479934</f>
        <v>14.66479934</v>
      </c>
      <c r="BX109">
        <f>15.15007303</f>
        <v>15.15007303</v>
      </c>
      <c r="BY109">
        <f>16.94092947</f>
        <v>16.94092947</v>
      </c>
      <c r="BZ109">
        <f>80.03366972</f>
        <v>80.033669720000006</v>
      </c>
      <c r="CA109">
        <f>79.23510111</f>
        <v>79.235101110000002</v>
      </c>
      <c r="CB109">
        <f>76.41422037</f>
        <v>76.414220369999995</v>
      </c>
      <c r="CC109">
        <f>71.89984296</f>
        <v>71.899842960000001</v>
      </c>
      <c r="CD109">
        <f>8.726919922</f>
        <v>8.7269199220000004</v>
      </c>
      <c r="CE109">
        <f>10.62380398</f>
        <v>10.62380398</v>
      </c>
      <c r="CF109">
        <f>13.6362141</f>
        <v>13.6362141</v>
      </c>
      <c r="CG109">
        <f>15.79749924</f>
        <v>15.79749924</v>
      </c>
      <c r="CH109">
        <f>16.09958892</f>
        <v>16.099588919999999</v>
      </c>
      <c r="CI109">
        <f>15.61038368</f>
        <v>15.61038368</v>
      </c>
      <c r="CJ109">
        <f>18.19654708</f>
        <v>18.196547079999998</v>
      </c>
      <c r="CK109">
        <f>17.29021489</f>
        <v>17.290214890000001</v>
      </c>
      <c r="CL109">
        <f>17.830412</f>
        <v>17.830411999999999</v>
      </c>
      <c r="CM109">
        <f>18.09752357</f>
        <v>18.09752357</v>
      </c>
      <c r="CN109">
        <f>15.80732802</f>
        <v>15.80732802</v>
      </c>
      <c r="CO109">
        <f>15.4724024</f>
        <v>15.4724024</v>
      </c>
      <c r="CP109">
        <f>9.103530641</f>
        <v>9.1035306410000008</v>
      </c>
      <c r="CQ109">
        <f>9.512183744</f>
        <v>9.5121837439999997</v>
      </c>
      <c r="CR109">
        <f>1.579629488</f>
        <v>1.5796294879999999</v>
      </c>
      <c r="CS109">
        <f>-6.348228485</f>
        <v>-6.3482284849999999</v>
      </c>
      <c r="CT109">
        <f>-6.949769406</f>
        <v>-6.9497694059999997</v>
      </c>
      <c r="CU109">
        <f>-9.199118918</f>
        <v>-9.1991189179999999</v>
      </c>
      <c r="CV109">
        <f>-5.285580186</f>
        <v>-5.2855801859999998</v>
      </c>
      <c r="CW109">
        <f>1.76858251</f>
        <v>1.7685825100000001</v>
      </c>
      <c r="CX109">
        <f>5.543419297</f>
        <v>5.5434192969999998</v>
      </c>
      <c r="CY109">
        <f>6.297841683</f>
        <v>6.2978416829999997</v>
      </c>
      <c r="CZ109">
        <f>6.292020999</f>
        <v>6.292020999</v>
      </c>
      <c r="DA109">
        <f>6.043879586</f>
        <v>6.0438795860000001</v>
      </c>
      <c r="DB109">
        <f>11.60983113</f>
        <v>11.60983113</v>
      </c>
      <c r="DC109">
        <f>11.62003686</f>
        <v>11.620036860000001</v>
      </c>
      <c r="DD109">
        <f>10.55748833</f>
        <v>10.55748833</v>
      </c>
      <c r="DE109">
        <f>15.20662629</f>
        <v>15.206626290000001</v>
      </c>
      <c r="DF109">
        <f>12.69662714</f>
        <v>12.69662714</v>
      </c>
      <c r="DG109">
        <f>24.43971897</f>
        <v>24.439718970000001</v>
      </c>
      <c r="DH109">
        <f>6.821725101</f>
        <v>6.8217251010000002</v>
      </c>
      <c r="DI109">
        <f>5.332282637</f>
        <v>5.3322826369999996</v>
      </c>
      <c r="DJ109">
        <f>-6.155683234</f>
        <v>-6.1556832339999996</v>
      </c>
      <c r="DK109">
        <f>3.948427953</f>
        <v>3.9484279529999999</v>
      </c>
      <c r="DL109">
        <f>-11.75209573</f>
        <v>-11.752095730000001</v>
      </c>
      <c r="DM109">
        <f>21.5157084</f>
        <v>21.515708400000001</v>
      </c>
      <c r="DN109">
        <f>36.35055098</f>
        <v>36.350550980000001</v>
      </c>
      <c r="DO109">
        <f>13.2614915</f>
        <v>13.2614915</v>
      </c>
      <c r="DP109">
        <f>55.10285874</f>
        <v>55.102858740000002</v>
      </c>
      <c r="DQ109">
        <f>7.394525472</f>
        <v>7.3945254719999998</v>
      </c>
      <c r="DR109">
        <f>-2.428972694</f>
        <v>-2.428972694</v>
      </c>
      <c r="DS109">
        <f>32.95261608</f>
        <v>32.952616079999999</v>
      </c>
      <c r="DT109">
        <f>30.88563341</f>
        <v>30.885633410000001</v>
      </c>
      <c r="DU109">
        <f>37.17000278</f>
        <v>37.170002779999997</v>
      </c>
    </row>
    <row r="110" spans="1:125">
      <c r="A110" t="str">
        <f>"    Mid-America Apartment Communit"</f>
        <v xml:space="preserve">    Mid-America Apartment Communit</v>
      </c>
      <c r="B110" t="str">
        <f>"MAA US Equity"</f>
        <v>MAA US Equity</v>
      </c>
      <c r="C110" t="str">
        <f t="shared" si="33"/>
        <v>RR551</v>
      </c>
      <c r="D110" t="str">
        <f t="shared" si="34"/>
        <v>NOI_GROWTH</v>
      </c>
      <c r="E110" t="str">
        <f t="shared" si="35"/>
        <v>动态</v>
      </c>
      <c r="F110" t="str">
        <f ca="1">IF(AND(ISNUMBER($F$322),$B$226=1),$F$322,HLOOKUP(INDIRECT(ADDRESS(2,COLUMN())),OFFSET($BN$2,0,0,ROW()-1,60),ROW()-1,FALSE))</f>
        <v/>
      </c>
      <c r="G110">
        <f ca="1">IF(AND(ISNUMBER($G$322),$B$226=1),$G$322,HLOOKUP(INDIRECT(ADDRESS(2,COLUMN())),OFFSET($BN$2,0,0,ROW()-1,60),ROW()-1,FALSE))</f>
        <v>24.478032049999999</v>
      </c>
      <c r="H110">
        <f ca="1">IF(AND(ISNUMBER($H$322),$B$226=1),$H$322,HLOOKUP(INDIRECT(ADDRESS(2,COLUMN())),OFFSET($BN$2,0,0,ROW()-1,60),ROW()-1,FALSE))</f>
        <v>41.940590370000002</v>
      </c>
      <c r="I110">
        <f ca="1">IF(AND(ISNUMBER($I$322),$B$226=1),$I$322,HLOOKUP(INDIRECT(ADDRESS(2,COLUMN())),OFFSET($BN$2,0,0,ROW()-1,60),ROW()-1,FALSE))</f>
        <v>44.224654319999999</v>
      </c>
      <c r="J110">
        <f ca="1">IF(AND(ISNUMBER($J$322),$B$226=1),$J$322,HLOOKUP(INDIRECT(ADDRESS(2,COLUMN())),OFFSET($BN$2,0,0,ROW()-1,60),ROW()-1,FALSE))</f>
        <v>46.503903370000003</v>
      </c>
      <c r="K110">
        <f ca="1">IF(AND(ISNUMBER($K$322),$B$226=1),$K$322,HLOOKUP(INDIRECT(ADDRESS(2,COLUMN())),OFFSET($BN$2,0,0,ROW()-1,60),ROW()-1,FALSE))</f>
        <v>19.643960119999999</v>
      </c>
      <c r="L110">
        <f ca="1">IF(AND(ISNUMBER($L$322),$B$226=1),$L$322,HLOOKUP(INDIRECT(ADDRESS(2,COLUMN())),OFFSET($BN$2,0,0,ROW()-1,60),ROW()-1,FALSE))</f>
        <v>7.02529074</v>
      </c>
      <c r="M110">
        <f ca="1">IF(AND(ISNUMBER($M$322),$B$226=1),$M$322,HLOOKUP(INDIRECT(ADDRESS(2,COLUMN())),OFFSET($BN$2,0,0,ROW()-1,60),ROW()-1,FALSE))</f>
        <v>7.5886629829999999</v>
      </c>
      <c r="N110">
        <f ca="1">IF(AND(ISNUMBER($N$322),$B$226=1),$N$322,HLOOKUP(INDIRECT(ADDRESS(2,COLUMN())),OFFSET($BN$2,0,0,ROW()-1,60),ROW()-1,FALSE))</f>
        <v>7.9332273449999997</v>
      </c>
      <c r="O110">
        <f ca="1">IF(AND(ISNUMBER($O$322),$B$226=1),$O$322,HLOOKUP(INDIRECT(ADDRESS(2,COLUMN())),OFFSET($BN$2,0,0,ROW()-1,60),ROW()-1,FALSE))</f>
        <v>8.3927119700000006</v>
      </c>
      <c r="P110">
        <f ca="1">IF(AND(ISNUMBER($P$322),$B$226=1),$P$322,HLOOKUP(INDIRECT(ADDRESS(2,COLUMN())),OFFSET($BN$2,0,0,ROW()-1,60),ROW()-1,FALSE))</f>
        <v>10.2794968</v>
      </c>
      <c r="Q110">
        <f ca="1">IF(AND(ISNUMBER($Q$322),$B$226=1),$Q$322,HLOOKUP(INDIRECT(ADDRESS(2,COLUMN())),OFFSET($BN$2,0,0,ROW()-1,60),ROW()-1,FALSE))</f>
        <v>10.67575143</v>
      </c>
      <c r="R110">
        <f ca="1">IF(AND(ISNUMBER($R$322),$B$226=1),$R$322,HLOOKUP(INDIRECT(ADDRESS(2,COLUMN())),OFFSET($BN$2,0,0,ROW()-1,60),ROW()-1,FALSE))</f>
        <v>7.7876121359999999</v>
      </c>
      <c r="S110">
        <f ca="1">IF(AND(ISNUMBER($S$322),$B$226=1),$S$322,HLOOKUP(INDIRECT(ADDRESS(2,COLUMN())),OFFSET($BN$2,0,0,ROW()-1,60),ROW()-1,FALSE))</f>
        <v>9.2119808849999991</v>
      </c>
      <c r="T110">
        <f ca="1">IF(AND(ISNUMBER($T$322),$B$226=1),$T$322,HLOOKUP(INDIRECT(ADDRESS(2,COLUMN())),OFFSET($BN$2,0,0,ROW()-1,60),ROW()-1,FALSE))</f>
        <v>84.54481629</v>
      </c>
      <c r="U110">
        <f ca="1">IF(AND(ISNUMBER($U$322),$B$226=1),$U$322,HLOOKUP(INDIRECT(ADDRESS(2,COLUMN())),OFFSET($BN$2,0,0,ROW()-1,60),ROW()-1,FALSE))</f>
        <v>83.381836590000006</v>
      </c>
      <c r="V110">
        <f ca="1">IF(AND(ISNUMBER($V$322),$B$226=1),$V$322,HLOOKUP(INDIRECT(ADDRESS(2,COLUMN())),OFFSET($BN$2,0,0,ROW()-1,60),ROW()-1,FALSE))</f>
        <v>87.478515090000002</v>
      </c>
      <c r="W110">
        <f ca="1">IF(AND(ISNUMBER($W$322),$B$226=1),$W$322,HLOOKUP(INDIRECT(ADDRESS(2,COLUMN())),OFFSET($BN$2,0,0,ROW()-1,60),ROW()-1,FALSE))</f>
        <v>61.515858729999998</v>
      </c>
      <c r="X110">
        <f ca="1">IF(AND(ISNUMBER($X$322),$B$226=1),$X$322,HLOOKUP(INDIRECT(ADDRESS(2,COLUMN())),OFFSET($BN$2,0,0,ROW()-1,60),ROW()-1,FALSE))</f>
        <v>13.492695879999999</v>
      </c>
      <c r="Y110">
        <f ca="1">IF(AND(ISNUMBER($Y$322),$B$226=1),$Y$322,HLOOKUP(INDIRECT(ADDRESS(2,COLUMN())),OFFSET($BN$2,0,0,ROW()-1,60),ROW()-1,FALSE))</f>
        <v>15.220322919999999</v>
      </c>
      <c r="Z110">
        <f ca="1">IF(AND(ISNUMBER($Z$322),$B$226=1),$Z$322,HLOOKUP(INDIRECT(ADDRESS(2,COLUMN())),OFFSET($BN$2,0,0,ROW()-1,60),ROW()-1,FALSE))</f>
        <v>17.86099699</v>
      </c>
      <c r="AA110">
        <f ca="1">IF(AND(ISNUMBER($AA$322),$B$226=1),$AA$322,HLOOKUP(INDIRECT(ADDRESS(2,COLUMN())),OFFSET($BN$2,0,0,ROW()-1,60),ROW()-1,FALSE))</f>
        <v>16.481069040000001</v>
      </c>
      <c r="AB110">
        <f ca="1">IF(AND(ISNUMBER($AB$322),$B$226=1),$AB$322,HLOOKUP(INDIRECT(ADDRESS(2,COLUMN())),OFFSET($BN$2,0,0,ROW()-1,60),ROW()-1,FALSE))</f>
        <v>16.724882709999999</v>
      </c>
      <c r="AC110">
        <f ca="1">IF(AND(ISNUMBER($AC$322),$B$226=1),$AC$322,HLOOKUP(INDIRECT(ADDRESS(2,COLUMN())),OFFSET($BN$2,0,0,ROW()-1,60),ROW()-1,FALSE))</f>
        <v>15.907314700000001</v>
      </c>
      <c r="AD110">
        <f ca="1">IF(AND(ISNUMBER($AD$322),$B$226=1),$AD$322,HLOOKUP(INDIRECT(ADDRESS(2,COLUMN())),OFFSET($BN$2,0,0,ROW()-1,60),ROW()-1,FALSE))</f>
        <v>13.60879291</v>
      </c>
      <c r="AE110">
        <f ca="1">IF(AND(ISNUMBER($AE$322),$B$226=1),$AE$322,HLOOKUP(INDIRECT(ADDRESS(2,COLUMN())),OFFSET($BN$2,0,0,ROW()-1,60),ROW()-1,FALSE))</f>
        <v>12.103688200000001</v>
      </c>
      <c r="AF110">
        <f ca="1">IF(AND(ISNUMBER($AF$322),$B$226=1),$AF$322,HLOOKUP(INDIRECT(ADDRESS(2,COLUMN())),OFFSET($BN$2,0,0,ROW()-1,60),ROW()-1,FALSE))</f>
        <v>12.13785751</v>
      </c>
      <c r="AG110">
        <f ca="1">IF(AND(ISNUMBER($AG$322),$B$226=1),$AG$322,HLOOKUP(INDIRECT(ADDRESS(2,COLUMN())),OFFSET($BN$2,0,0,ROW()-1,60),ROW()-1,FALSE))</f>
        <v>7.857565954</v>
      </c>
      <c r="AH110">
        <f ca="1">IF(AND(ISNUMBER($AH$322),$B$226=1),$AH$322,HLOOKUP(INDIRECT(ADDRESS(2,COLUMN())),OFFSET($BN$2,0,0,ROW()-1,60),ROW()-1,FALSE))</f>
        <v>4.2047695889999996</v>
      </c>
      <c r="AI110">
        <f ca="1">IF(AND(ISNUMBER($AI$322),$B$226=1),$AI$322,HLOOKUP(INDIRECT(ADDRESS(2,COLUMN())),OFFSET($BN$2,0,0,ROW()-1,60),ROW()-1,FALSE))</f>
        <v>7.865502287</v>
      </c>
      <c r="AJ110">
        <f ca="1">IF(AND(ISNUMBER($AJ$322),$B$226=1),$AJ$322,HLOOKUP(INDIRECT(ADDRESS(2,COLUMN())),OFFSET($BN$2,0,0,ROW()-1,60),ROW()-1,FALSE))</f>
        <v>-1.8538257999999998E-2</v>
      </c>
      <c r="AK110">
        <f ca="1">IF(AND(ISNUMBER($AK$322),$B$226=1),$AK$322,HLOOKUP(INDIRECT(ADDRESS(2,COLUMN())),OFFSET($BN$2,0,0,ROW()-1,60),ROW()-1,FALSE))</f>
        <v>-5.0550496420000002</v>
      </c>
      <c r="AL110">
        <f ca="1">IF(AND(ISNUMBER($AL$322),$B$226=1),$AL$322,HLOOKUP(INDIRECT(ADDRESS(2,COLUMN())),OFFSET($BN$2,0,0,ROW()-1,60),ROW()-1,FALSE))</f>
        <v>-4.5156871980000002</v>
      </c>
      <c r="AM110">
        <f ca="1">IF(AND(ISNUMBER($AM$322),$B$226=1),$AM$322,HLOOKUP(INDIRECT(ADDRESS(2,COLUMN())),OFFSET($BN$2,0,0,ROW()-1,60),ROW()-1,FALSE))</f>
        <v>-0.10681858599999999</v>
      </c>
      <c r="AN110">
        <f ca="1">IF(AND(ISNUMBER($AN$322),$B$226=1),$AN$322,HLOOKUP(INDIRECT(ADDRESS(2,COLUMN())),OFFSET($BN$2,0,0,ROW()-1,60),ROW()-1,FALSE))</f>
        <v>-2.390807718</v>
      </c>
      <c r="AO110">
        <f ca="1">IF(AND(ISNUMBER($AO$322),$B$226=1),$AO$322,HLOOKUP(INDIRECT(ADDRESS(2,COLUMN())),OFFSET($BN$2,0,0,ROW()-1,60),ROW()-1,FALSE))</f>
        <v>2.5964803270000001</v>
      </c>
      <c r="AP110">
        <f ca="1">IF(AND(ISNUMBER($AP$322),$B$226=1),$AP$322,HLOOKUP(INDIRECT(ADDRESS(2,COLUMN())),OFFSET($BN$2,0,0,ROW()-1,60),ROW()-1,FALSE))</f>
        <v>2.7735620810000001</v>
      </c>
      <c r="AQ110">
        <f ca="1">IF(AND(ISNUMBER($AQ$322),$B$226=1),$AQ$322,HLOOKUP(INDIRECT(ADDRESS(2,COLUMN())),OFFSET($BN$2,0,0,ROW()-1,60),ROW()-1,FALSE))</f>
        <v>2.8628983030000001</v>
      </c>
      <c r="AR110" t="str">
        <f ca="1">IF(AND(ISNUMBER($AR$322),$B$226=1),$AR$322,HLOOKUP(INDIRECT(ADDRESS(2,COLUMN())),OFFSET($BN$2,0,0,ROW()-1,60),ROW()-1,FALSE))</f>
        <v/>
      </c>
      <c r="AS110">
        <f ca="1">IF(AND(ISNUMBER($AS$322),$B$226=1),$AS$322,HLOOKUP(INDIRECT(ADDRESS(2,COLUMN())),OFFSET($BN$2,0,0,ROW()-1,60),ROW()-1,FALSE))</f>
        <v>7.221719888</v>
      </c>
      <c r="AT110">
        <f ca="1">IF(AND(ISNUMBER($AT$322),$B$226=1),$AT$322,HLOOKUP(INDIRECT(ADDRESS(2,COLUMN())),OFFSET($BN$2,0,0,ROW()-1,60),ROW()-1,FALSE))</f>
        <v>7.8852451239999999</v>
      </c>
      <c r="AU110">
        <f ca="1">IF(AND(ISNUMBER($AU$322),$B$226=1),$AU$322,HLOOKUP(INDIRECT(ADDRESS(2,COLUMN())),OFFSET($BN$2,0,0,ROW()-1,60),ROW()-1,FALSE))</f>
        <v>-9.5400246650000007</v>
      </c>
      <c r="AV110" t="str">
        <f ca="1">IF(AND(ISNUMBER($AV$322),$B$226=1),$AV$322,HLOOKUP(INDIRECT(ADDRESS(2,COLUMN())),OFFSET($BN$2,0,0,ROW()-1,60),ROW()-1,FALSE))</f>
        <v/>
      </c>
      <c r="AW110">
        <f ca="1">IF(AND(ISNUMBER($AW$322),$B$226=1),$AW$322,HLOOKUP(INDIRECT(ADDRESS(2,COLUMN())),OFFSET($BN$2,0,0,ROW()-1,60),ROW()-1,FALSE))</f>
        <v>3.726922697</v>
      </c>
      <c r="AX110">
        <f ca="1">IF(AND(ISNUMBER($AX$322),$B$226=1),$AX$322,HLOOKUP(INDIRECT(ADDRESS(2,COLUMN())),OFFSET($BN$2,0,0,ROW()-1,60),ROW()-1,FALSE))</f>
        <v>4.1417486280000002</v>
      </c>
      <c r="AY110">
        <f ca="1">IF(AND(ISNUMBER($AY$322),$B$226=1),$AY$322,HLOOKUP(INDIRECT(ADDRESS(2,COLUMN())),OFFSET($BN$2,0,0,ROW()-1,60),ROW()-1,FALSE))</f>
        <v>6.7367387030000003</v>
      </c>
      <c r="AZ110">
        <f ca="1">IF(AND(ISNUMBER($AZ$322),$B$226=1),$AZ$322,HLOOKUP(INDIRECT(ADDRESS(2,COLUMN())),OFFSET($BN$2,0,0,ROW()-1,60),ROW()-1,FALSE))</f>
        <v>0.74105707399999998</v>
      </c>
      <c r="BA110">
        <f ca="1">IF(AND(ISNUMBER($BA$322),$B$226=1),$BA$322,HLOOKUP(INDIRECT(ADDRESS(2,COLUMN())),OFFSET($BN$2,0,0,ROW()-1,60),ROW()-1,FALSE))</f>
        <v>2.8429282159999998</v>
      </c>
      <c r="BB110">
        <f ca="1">IF(AND(ISNUMBER($BB$322),$B$226=1),$BB$322,HLOOKUP(INDIRECT(ADDRESS(2,COLUMN())),OFFSET($BN$2,0,0,ROW()-1,60),ROW()-1,FALSE))</f>
        <v>3.074454265</v>
      </c>
      <c r="BC110">
        <f ca="1">IF(AND(ISNUMBER($BC$322),$B$226=1),$BC$322,HLOOKUP(INDIRECT(ADDRESS(2,COLUMN())),OFFSET($BN$2,0,0,ROW()-1,60),ROW()-1,FALSE))</f>
        <v>36.791174140000003</v>
      </c>
      <c r="BD110">
        <f ca="1">IF(AND(ISNUMBER($BD$322),$B$226=1),$BD$322,HLOOKUP(INDIRECT(ADDRESS(2,COLUMN())),OFFSET($BN$2,0,0,ROW()-1,60),ROW()-1,FALSE))</f>
        <v>19.936127259999999</v>
      </c>
      <c r="BE110">
        <f ca="1">IF(AND(ISNUMBER($BE$322),$B$226=1),$BE$322,HLOOKUP(INDIRECT(ADDRESS(2,COLUMN())),OFFSET($BN$2,0,0,ROW()-1,60),ROW()-1,FALSE))</f>
        <v>18.37384694</v>
      </c>
      <c r="BF110">
        <f ca="1">IF(AND(ISNUMBER($BF$322),$B$226=1),$BF$322,HLOOKUP(INDIRECT(ADDRESS(2,COLUMN())),OFFSET($BN$2,0,0,ROW()-1,60),ROW()-1,FALSE))</f>
        <v>17.264557400000001</v>
      </c>
      <c r="BG110">
        <f ca="1">IF(AND(ISNUMBER($BG$322),$B$226=1),$BG$322,HLOOKUP(INDIRECT(ADDRESS(2,COLUMN())),OFFSET($BN$2,0,0,ROW()-1,60),ROW()-1,FALSE))</f>
        <v>6.8485358869999997</v>
      </c>
      <c r="BH110">
        <f ca="1">IF(AND(ISNUMBER($BH$322),$B$226=1),$BH$322,HLOOKUP(INDIRECT(ADDRESS(2,COLUMN())),OFFSET($BN$2,0,0,ROW()-1,60),ROW()-1,FALSE))</f>
        <v>13.465742049999999</v>
      </c>
      <c r="BI110">
        <f ca="1">IF(AND(ISNUMBER($BI$322),$B$226=1),$BI$322,HLOOKUP(INDIRECT(ADDRESS(2,COLUMN())),OFFSET($BN$2,0,0,ROW()-1,60),ROW()-1,FALSE))</f>
        <v>9.9762077849999997</v>
      </c>
      <c r="BJ110">
        <f ca="1">IF(AND(ISNUMBER($BJ$322),$B$226=1),$BJ$322,HLOOKUP(INDIRECT(ADDRESS(2,COLUMN())),OFFSET($BN$2,0,0,ROW()-1,60),ROW()-1,FALSE))</f>
        <v>10.938424980000001</v>
      </c>
      <c r="BK110">
        <f ca="1">IF(AND(ISNUMBER($BK$322),$B$226=1),$BK$322,HLOOKUP(INDIRECT(ADDRESS(2,COLUMN())),OFFSET($BN$2,0,0,ROW()-1,60),ROW()-1,FALSE))</f>
        <v>7.143953733</v>
      </c>
      <c r="BL110">
        <f ca="1">IF(AND(ISNUMBER($BL$322),$B$226=1),$BL$322,HLOOKUP(INDIRECT(ADDRESS(2,COLUMN())),OFFSET($BN$2,0,0,ROW()-1,60),ROW()-1,FALSE))</f>
        <v>-5.8725100279999998</v>
      </c>
      <c r="BM110">
        <f ca="1">IF(AND(ISNUMBER($BM$322),$B$226=1),$BM$322,HLOOKUP(INDIRECT(ADDRESS(2,COLUMN())),OFFSET($BN$2,0,0,ROW()-1,60),ROW()-1,FALSE))</f>
        <v>-2.769573142</v>
      </c>
      <c r="BN110" t="str">
        <f>""</f>
        <v/>
      </c>
      <c r="BO110">
        <f>24.47803205</f>
        <v>24.478032049999999</v>
      </c>
      <c r="BP110">
        <f>41.94059037</f>
        <v>41.940590370000002</v>
      </c>
      <c r="BQ110">
        <f>44.22465432</f>
        <v>44.224654319999999</v>
      </c>
      <c r="BR110">
        <f>46.50390337</f>
        <v>46.503903370000003</v>
      </c>
      <c r="BS110">
        <f>19.64396012</f>
        <v>19.643960119999999</v>
      </c>
      <c r="BT110">
        <f>7.02529074</f>
        <v>7.02529074</v>
      </c>
      <c r="BU110">
        <f>7.588662983</f>
        <v>7.5886629829999999</v>
      </c>
      <c r="BV110">
        <f>7.933227345</f>
        <v>7.9332273449999997</v>
      </c>
      <c r="BW110">
        <f>8.39271197</f>
        <v>8.3927119700000006</v>
      </c>
      <c r="BX110">
        <f>10.2794968</f>
        <v>10.2794968</v>
      </c>
      <c r="BY110">
        <f>10.67575143</f>
        <v>10.67575143</v>
      </c>
      <c r="BZ110">
        <f>7.787612136</f>
        <v>7.7876121359999999</v>
      </c>
      <c r="CA110">
        <f>9.211980885</f>
        <v>9.2119808849999991</v>
      </c>
      <c r="CB110">
        <f>84.54481629</f>
        <v>84.54481629</v>
      </c>
      <c r="CC110">
        <f>83.38183659</f>
        <v>83.381836590000006</v>
      </c>
      <c r="CD110">
        <f>87.47851509</f>
        <v>87.478515090000002</v>
      </c>
      <c r="CE110">
        <f>61.51585873</f>
        <v>61.515858729999998</v>
      </c>
      <c r="CF110">
        <f>13.49269588</f>
        <v>13.492695879999999</v>
      </c>
      <c r="CG110">
        <f>15.22032292</f>
        <v>15.220322919999999</v>
      </c>
      <c r="CH110">
        <f>17.86099699</f>
        <v>17.86099699</v>
      </c>
      <c r="CI110">
        <f>16.48106904</f>
        <v>16.481069040000001</v>
      </c>
      <c r="CJ110">
        <f>16.72488271</f>
        <v>16.724882709999999</v>
      </c>
      <c r="CK110">
        <f>15.9073147</f>
        <v>15.907314700000001</v>
      </c>
      <c r="CL110">
        <f>13.60879291</f>
        <v>13.60879291</v>
      </c>
      <c r="CM110">
        <f>12.1036882</f>
        <v>12.103688200000001</v>
      </c>
      <c r="CN110">
        <f>12.13785751</f>
        <v>12.13785751</v>
      </c>
      <c r="CO110">
        <f>7.857565954</f>
        <v>7.857565954</v>
      </c>
      <c r="CP110">
        <f>4.204769589</f>
        <v>4.2047695889999996</v>
      </c>
      <c r="CQ110">
        <f>7.865502287</f>
        <v>7.865502287</v>
      </c>
      <c r="CR110">
        <f>-0.018538258</f>
        <v>-1.8538257999999998E-2</v>
      </c>
      <c r="CS110">
        <f>-5.055049642</f>
        <v>-5.0550496420000002</v>
      </c>
      <c r="CT110">
        <f>-4.515687198</f>
        <v>-4.5156871980000002</v>
      </c>
      <c r="CU110">
        <f>-0.106818586</f>
        <v>-0.10681858599999999</v>
      </c>
      <c r="CV110">
        <f>-2.390807718</f>
        <v>-2.390807718</v>
      </c>
      <c r="CW110">
        <f>2.596480327</f>
        <v>2.5964803270000001</v>
      </c>
      <c r="CX110">
        <f>2.773562081</f>
        <v>2.7735620810000001</v>
      </c>
      <c r="CY110">
        <f>2.862898303</f>
        <v>2.8628983030000001</v>
      </c>
      <c r="CZ110" t="str">
        <f>""</f>
        <v/>
      </c>
      <c r="DA110">
        <f>7.221719888</f>
        <v>7.221719888</v>
      </c>
      <c r="DB110">
        <f>7.885245124</f>
        <v>7.8852451239999999</v>
      </c>
      <c r="DC110">
        <f>-9.540024665</f>
        <v>-9.5400246650000007</v>
      </c>
      <c r="DD110" t="str">
        <f>""</f>
        <v/>
      </c>
      <c r="DE110">
        <f>3.726922697</f>
        <v>3.726922697</v>
      </c>
      <c r="DF110">
        <f>4.141748628</f>
        <v>4.1417486280000002</v>
      </c>
      <c r="DG110">
        <f>6.736738703</f>
        <v>6.7367387030000003</v>
      </c>
      <c r="DH110">
        <f>0.741057074</f>
        <v>0.74105707399999998</v>
      </c>
      <c r="DI110">
        <f>2.842928216</f>
        <v>2.8429282159999998</v>
      </c>
      <c r="DJ110">
        <f>3.074454265</f>
        <v>3.074454265</v>
      </c>
      <c r="DK110">
        <f>36.79117414</f>
        <v>36.791174140000003</v>
      </c>
      <c r="DL110">
        <f>19.93612726</f>
        <v>19.936127259999999</v>
      </c>
      <c r="DM110">
        <f>18.37384694</f>
        <v>18.37384694</v>
      </c>
      <c r="DN110">
        <f>17.2645574</f>
        <v>17.264557400000001</v>
      </c>
      <c r="DO110">
        <f>6.848535887</f>
        <v>6.8485358869999997</v>
      </c>
      <c r="DP110">
        <f>13.46574205</f>
        <v>13.465742049999999</v>
      </c>
      <c r="DQ110">
        <f>9.976207785</f>
        <v>9.9762077849999997</v>
      </c>
      <c r="DR110">
        <f>10.93842498</f>
        <v>10.938424980000001</v>
      </c>
      <c r="DS110">
        <f>7.143953733</f>
        <v>7.143953733</v>
      </c>
      <c r="DT110">
        <f>-5.872510028</f>
        <v>-5.8725100279999998</v>
      </c>
      <c r="DU110">
        <f>-2.769573142</f>
        <v>-2.769573142</v>
      </c>
    </row>
    <row r="111" spans="1:125">
      <c r="A111" t="str">
        <f>"    UDR Inc"</f>
        <v xml:space="preserve">    UDR Inc</v>
      </c>
      <c r="B111" t="str">
        <f>"UDR US Equity"</f>
        <v>UDR US Equity</v>
      </c>
      <c r="C111" t="str">
        <f t="shared" si="33"/>
        <v>RR551</v>
      </c>
      <c r="D111" t="str">
        <f t="shared" si="34"/>
        <v>NOI_GROWTH</v>
      </c>
      <c r="E111" t="str">
        <f t="shared" si="35"/>
        <v>动态</v>
      </c>
      <c r="F111" t="str">
        <f ca="1">IF(AND(ISNUMBER($F$323),$B$226=1),$F$323,HLOOKUP(INDIRECT(ADDRESS(2,COLUMN())),OFFSET($BN$2,0,0,ROW()-1,60),ROW()-1,FALSE))</f>
        <v/>
      </c>
      <c r="G111">
        <f ca="1">IF(AND(ISNUMBER($G$323),$B$226=1),$G$323,HLOOKUP(INDIRECT(ADDRESS(2,COLUMN())),OFFSET($BN$2,0,0,ROW()-1,60),ROW()-1,FALSE))</f>
        <v>3.7169732259999999</v>
      </c>
      <c r="H111">
        <f ca="1">IF(AND(ISNUMBER($H$323),$B$226=1),$H$323,HLOOKUP(INDIRECT(ADDRESS(2,COLUMN())),OFFSET($BN$2,0,0,ROW()-1,60),ROW()-1,FALSE))</f>
        <v>2.5313131680000001</v>
      </c>
      <c r="I111">
        <f ca="1">IF(AND(ISNUMBER($I$323),$B$226=1),$I$323,HLOOKUP(INDIRECT(ADDRESS(2,COLUMN())),OFFSET($BN$2,0,0,ROW()-1,60),ROW()-1,FALSE))</f>
        <v>4.3986792770000003</v>
      </c>
      <c r="J111">
        <f ca="1">IF(AND(ISNUMBER($J$323),$B$226=1),$J$323,HLOOKUP(INDIRECT(ADDRESS(2,COLUMN())),OFFSET($BN$2,0,0,ROW()-1,60),ROW()-1,FALSE))</f>
        <v>4.4962124809999997</v>
      </c>
      <c r="K111">
        <f ca="1">IF(AND(ISNUMBER($K$323),$B$226=1),$K$323,HLOOKUP(INDIRECT(ADDRESS(2,COLUMN())),OFFSET($BN$2,0,0,ROW()-1,60),ROW()-1,FALSE))</f>
        <v>3.0184170360000002</v>
      </c>
      <c r="L111">
        <f ca="1">IF(AND(ISNUMBER($L$323),$B$226=1),$L$323,HLOOKUP(INDIRECT(ADDRESS(2,COLUMN())),OFFSET($BN$2,0,0,ROW()-1,60),ROW()-1,FALSE))</f>
        <v>10.95834717</v>
      </c>
      <c r="M111">
        <f ca="1">IF(AND(ISNUMBER($M$323),$B$226=1),$M$323,HLOOKUP(INDIRECT(ADDRESS(2,COLUMN())),OFFSET($BN$2,0,0,ROW()-1,60),ROW()-1,FALSE))</f>
        <v>11.232457930000001</v>
      </c>
      <c r="N111">
        <f ca="1">IF(AND(ISNUMBER($N$323),$B$226=1),$N$323,HLOOKUP(INDIRECT(ADDRESS(2,COLUMN())),OFFSET($BN$2,0,0,ROW()-1,60),ROW()-1,FALSE))</f>
        <v>14.413878629999999</v>
      </c>
      <c r="O111">
        <f ca="1">IF(AND(ISNUMBER($O$323),$B$226=1),$O$323,HLOOKUP(INDIRECT(ADDRESS(2,COLUMN())),OFFSET($BN$2,0,0,ROW()-1,60),ROW()-1,FALSE))</f>
        <v>15.56429516</v>
      </c>
      <c r="P111">
        <f ca="1">IF(AND(ISNUMBER($P$323),$B$226=1),$P$323,HLOOKUP(INDIRECT(ADDRESS(2,COLUMN())),OFFSET($BN$2,0,0,ROW()-1,60),ROW()-1,FALSE))</f>
        <v>9.9630418909999996</v>
      </c>
      <c r="Q111">
        <f ca="1">IF(AND(ISNUMBER($Q$323),$B$226=1),$Q$323,HLOOKUP(INDIRECT(ADDRESS(2,COLUMN())),OFFSET($BN$2,0,0,ROW()-1,60),ROW()-1,FALSE))</f>
        <v>7.1954980869999998</v>
      </c>
      <c r="R111">
        <f ca="1">IF(AND(ISNUMBER($R$323),$B$226=1),$R$323,HLOOKUP(INDIRECT(ADDRESS(2,COLUMN())),OFFSET($BN$2,0,0,ROW()-1,60),ROW()-1,FALSE))</f>
        <v>8.6909566750000007</v>
      </c>
      <c r="S111">
        <f ca="1">IF(AND(ISNUMBER($S$323),$B$226=1),$S$323,HLOOKUP(INDIRECT(ADDRESS(2,COLUMN())),OFFSET($BN$2,0,0,ROW()-1,60),ROW()-1,FALSE))</f>
        <v>10.7017951</v>
      </c>
      <c r="T111">
        <f ca="1">IF(AND(ISNUMBER($T$323),$B$226=1),$T$323,HLOOKUP(INDIRECT(ADDRESS(2,COLUMN())),OFFSET($BN$2,0,0,ROW()-1,60),ROW()-1,FALSE))</f>
        <v>10.02024872</v>
      </c>
      <c r="U111">
        <f ca="1">IF(AND(ISNUMBER($U$323),$B$226=1),$U$323,HLOOKUP(INDIRECT(ADDRESS(2,COLUMN())),OFFSET($BN$2,0,0,ROW()-1,60),ROW()-1,FALSE))</f>
        <v>10.46988771</v>
      </c>
      <c r="V111">
        <f ca="1">IF(AND(ISNUMBER($V$323),$B$226=1),$V$323,HLOOKUP(INDIRECT(ADDRESS(2,COLUMN())),OFFSET($BN$2,0,0,ROW()-1,60),ROW()-1,FALSE))</f>
        <v>6.7416108509999999</v>
      </c>
      <c r="W111">
        <f ca="1">IF(AND(ISNUMBER($W$323),$B$226=1),$W$323,HLOOKUP(INDIRECT(ADDRESS(2,COLUMN())),OFFSET($BN$2,0,0,ROW()-1,60),ROW()-1,FALSE))</f>
        <v>5.4821580829999998</v>
      </c>
      <c r="X111">
        <f ca="1">IF(AND(ISNUMBER($X$323),$B$226=1),$X$323,HLOOKUP(INDIRECT(ADDRESS(2,COLUMN())),OFFSET($BN$2,0,0,ROW()-1,60),ROW()-1,FALSE))</f>
        <v>3.995873687</v>
      </c>
      <c r="Y111">
        <f ca="1">IF(AND(ISNUMBER($Y$323),$B$226=1),$Y$323,HLOOKUP(INDIRECT(ADDRESS(2,COLUMN())),OFFSET($BN$2,0,0,ROW()-1,60),ROW()-1,FALSE))</f>
        <v>5.7512580880000002</v>
      </c>
      <c r="Z111">
        <f ca="1">IF(AND(ISNUMBER($Z$323),$B$226=1),$Z$323,HLOOKUP(INDIRECT(ADDRESS(2,COLUMN())),OFFSET($BN$2,0,0,ROW()-1,60),ROW()-1,FALSE))</f>
        <v>5.9168486250000001</v>
      </c>
      <c r="AA111">
        <f ca="1">IF(AND(ISNUMBER($AA$323),$B$226=1),$AA$323,HLOOKUP(INDIRECT(ADDRESS(2,COLUMN())),OFFSET($BN$2,0,0,ROW()-1,60),ROW()-1,FALSE))</f>
        <v>7.5913496040000004</v>
      </c>
      <c r="AB111">
        <f ca="1">IF(AND(ISNUMBER($AB$323),$B$226=1),$AB$323,HLOOKUP(INDIRECT(ADDRESS(2,COLUMN())),OFFSET($BN$2,0,0,ROW()-1,60),ROW()-1,FALSE))</f>
        <v>10.111241489999999</v>
      </c>
      <c r="AC111">
        <f ca="1">IF(AND(ISNUMBER($AC$323),$B$226=1),$AC$323,HLOOKUP(INDIRECT(ADDRESS(2,COLUMN())),OFFSET($BN$2,0,0,ROW()-1,60),ROW()-1,FALSE))</f>
        <v>18.612846220000002</v>
      </c>
      <c r="AD111">
        <f ca="1">IF(AND(ISNUMBER($AD$323),$B$226=1),$AD$323,HLOOKUP(INDIRECT(ADDRESS(2,COLUMN())),OFFSET($BN$2,0,0,ROW()-1,60),ROW()-1,FALSE))</f>
        <v>29.82182113</v>
      </c>
      <c r="AE111">
        <f ca="1">IF(AND(ISNUMBER($AE$323),$B$226=1),$AE$323,HLOOKUP(INDIRECT(ADDRESS(2,COLUMN())),OFFSET($BN$2,0,0,ROW()-1,60),ROW()-1,FALSE))</f>
        <v>14.80245665</v>
      </c>
      <c r="AF111">
        <f ca="1">IF(AND(ISNUMBER($AF$323),$B$226=1),$AF$323,HLOOKUP(INDIRECT(ADDRESS(2,COLUMN())),OFFSET($BN$2,0,0,ROW()-1,60),ROW()-1,FALSE))</f>
        <v>15.061405690000001</v>
      </c>
      <c r="AG111">
        <f ca="1">IF(AND(ISNUMBER($AG$323),$B$226=1),$AG$323,HLOOKUP(INDIRECT(ADDRESS(2,COLUMN())),OFFSET($BN$2,0,0,ROW()-1,60),ROW()-1,FALSE))</f>
        <v>6.8264629699999997</v>
      </c>
      <c r="AH111">
        <f ca="1">IF(AND(ISNUMBER($AH$323),$B$226=1),$AH$323,HLOOKUP(INDIRECT(ADDRESS(2,COLUMN())),OFFSET($BN$2,0,0,ROW()-1,60),ROW()-1,FALSE))</f>
        <v>-3.4894757410000001</v>
      </c>
      <c r="AI111">
        <f ca="1">IF(AND(ISNUMBER($AI$323),$B$226=1),$AI$323,HLOOKUP(INDIRECT(ADDRESS(2,COLUMN())),OFFSET($BN$2,0,0,ROW()-1,60),ROW()-1,FALSE))</f>
        <v>0.52303886600000005</v>
      </c>
      <c r="AJ111">
        <f ca="1">IF(AND(ISNUMBER($AJ$323),$B$226=1),$AJ$323,HLOOKUP(INDIRECT(ADDRESS(2,COLUMN())),OFFSET($BN$2,0,0,ROW()-1,60),ROW()-1,FALSE))</f>
        <v>-1.22480769</v>
      </c>
      <c r="AK111">
        <f ca="1">IF(AND(ISNUMBER($AK$323),$B$226=1),$AK$323,HLOOKUP(INDIRECT(ADDRESS(2,COLUMN())),OFFSET($BN$2,0,0,ROW()-1,60),ROW()-1,FALSE))</f>
        <v>-6.2689023759999998</v>
      </c>
      <c r="AL111">
        <f ca="1">IF(AND(ISNUMBER($AL$323),$B$226=1),$AL$323,HLOOKUP(INDIRECT(ADDRESS(2,COLUMN())),OFFSET($BN$2,0,0,ROW()-1,60),ROW()-1,FALSE))</f>
        <v>-5.6431815070000004</v>
      </c>
      <c r="AM111">
        <f ca="1">IF(AND(ISNUMBER($AM$323),$B$226=1),$AM$323,HLOOKUP(INDIRECT(ADDRESS(2,COLUMN())),OFFSET($BN$2,0,0,ROW()-1,60),ROW()-1,FALSE))</f>
        <v>0.37454759700000001</v>
      </c>
      <c r="AN111">
        <f ca="1">IF(AND(ISNUMBER($AN$323),$B$226=1),$AN$323,HLOOKUP(INDIRECT(ADDRESS(2,COLUMN())),OFFSET($BN$2,0,0,ROW()-1,60),ROW()-1,FALSE))</f>
        <v>2.4159181799999998</v>
      </c>
      <c r="AO111">
        <f ca="1">IF(AND(ISNUMBER($AO$323),$B$226=1),$AO$323,HLOOKUP(INDIRECT(ADDRESS(2,COLUMN())),OFFSET($BN$2,0,0,ROW()-1,60),ROW()-1,FALSE))</f>
        <v>8.3059439590000004</v>
      </c>
      <c r="AP111">
        <f ca="1">IF(AND(ISNUMBER($AP$323),$B$226=1),$AP$323,HLOOKUP(INDIRECT(ADDRESS(2,COLUMN())),OFFSET($BN$2,0,0,ROW()-1,60),ROW()-1,FALSE))</f>
        <v>18.552799220000001</v>
      </c>
      <c r="AQ111">
        <f ca="1">IF(AND(ISNUMBER($AQ$323),$B$226=1),$AQ$323,HLOOKUP(INDIRECT(ADDRESS(2,COLUMN())),OFFSET($BN$2,0,0,ROW()-1,60),ROW()-1,FALSE))</f>
        <v>16.161517400000001</v>
      </c>
      <c r="AR111">
        <f ca="1">IF(AND(ISNUMBER($AR$323),$B$226=1),$AR$323,HLOOKUP(INDIRECT(ADDRESS(2,COLUMN())),OFFSET($BN$2,0,0,ROW()-1,60),ROW()-1,FALSE))</f>
        <v>8.7041216299999995</v>
      </c>
      <c r="AS111">
        <f ca="1">IF(AND(ISNUMBER($AS$323),$B$226=1),$AS$323,HLOOKUP(INDIRECT(ADDRESS(2,COLUMN())),OFFSET($BN$2,0,0,ROW()-1,60),ROW()-1,FALSE))</f>
        <v>12.81848235</v>
      </c>
      <c r="AT111">
        <f ca="1">IF(AND(ISNUMBER($AT$323),$B$226=1),$AT$323,HLOOKUP(INDIRECT(ADDRESS(2,COLUMN())),OFFSET($BN$2,0,0,ROW()-1,60),ROW()-1,FALSE))</f>
        <v>5.5283138249999997</v>
      </c>
      <c r="AU111">
        <f ca="1">IF(AND(ISNUMBER($AU$323),$B$226=1),$AU$323,HLOOKUP(INDIRECT(ADDRESS(2,COLUMN())),OFFSET($BN$2,0,0,ROW()-1,60),ROW()-1,FALSE))</f>
        <v>9.7012924330000008</v>
      </c>
      <c r="AV111">
        <f ca="1">IF(AND(ISNUMBER($AV$323),$B$226=1),$AV$323,HLOOKUP(INDIRECT(ADDRESS(2,COLUMN())),OFFSET($BN$2,0,0,ROW()-1,60),ROW()-1,FALSE))</f>
        <v>-32.992685629999997</v>
      </c>
      <c r="AW111">
        <f ca="1">IF(AND(ISNUMBER($AW$323),$B$226=1),$AW$323,HLOOKUP(INDIRECT(ADDRESS(2,COLUMN())),OFFSET($BN$2,0,0,ROW()-1,60),ROW()-1,FALSE))</f>
        <v>-21.430617139999999</v>
      </c>
      <c r="AX111">
        <f ca="1">IF(AND(ISNUMBER($AX$323),$B$226=1),$AX$323,HLOOKUP(INDIRECT(ADDRESS(2,COLUMN())),OFFSET($BN$2,0,0,ROW()-1,60),ROW()-1,FALSE))</f>
        <v>-22.73518898</v>
      </c>
      <c r="AY111">
        <f ca="1">IF(AND(ISNUMBER($AY$323),$B$226=1),$AY$323,HLOOKUP(INDIRECT(ADDRESS(2,COLUMN())),OFFSET($BN$2,0,0,ROW()-1,60),ROW()-1,FALSE))</f>
        <v>-42.879898300000001</v>
      </c>
      <c r="AZ111">
        <f ca="1">IF(AND(ISNUMBER($AZ$323),$B$226=1),$AZ$323,HLOOKUP(INDIRECT(ADDRESS(2,COLUMN())),OFFSET($BN$2,0,0,ROW()-1,60),ROW()-1,FALSE))</f>
        <v>9.7942063180000005</v>
      </c>
      <c r="BA111">
        <f ca="1">IF(AND(ISNUMBER($BA$323),$B$226=1),$BA$323,HLOOKUP(INDIRECT(ADDRESS(2,COLUMN())),OFFSET($BN$2,0,0,ROW()-1,60),ROW()-1,FALSE))</f>
        <v>6.79878917</v>
      </c>
      <c r="BB111">
        <f ca="1">IF(AND(ISNUMBER($BB$323),$B$226=1),$BB$323,HLOOKUP(INDIRECT(ADDRESS(2,COLUMN())),OFFSET($BN$2,0,0,ROW()-1,60),ROW()-1,FALSE))</f>
        <v>4.7819776750000003</v>
      </c>
      <c r="BC111">
        <f ca="1">IF(AND(ISNUMBER($BC$323),$B$226=1),$BC$323,HLOOKUP(INDIRECT(ADDRESS(2,COLUMN())),OFFSET($BN$2,0,0,ROW()-1,60),ROW()-1,FALSE))</f>
        <v>60.992479350000004</v>
      </c>
      <c r="BD111">
        <f ca="1">IF(AND(ISNUMBER($BD$323),$B$226=1),$BD$323,HLOOKUP(INDIRECT(ADDRESS(2,COLUMN())),OFFSET($BN$2,0,0,ROW()-1,60),ROW()-1,FALSE))</f>
        <v>29.495303839999998</v>
      </c>
      <c r="BE111">
        <f ca="1">IF(AND(ISNUMBER($BE$323),$B$226=1),$BE$323,HLOOKUP(INDIRECT(ADDRESS(2,COLUMN())),OFFSET($BN$2,0,0,ROW()-1,60),ROW()-1,FALSE))</f>
        <v>-12.433385980000001</v>
      </c>
      <c r="BF111">
        <f ca="1">IF(AND(ISNUMBER($BF$323),$B$226=1),$BF$323,HLOOKUP(INDIRECT(ADDRESS(2,COLUMN())),OFFSET($BN$2,0,0,ROW()-1,60),ROW()-1,FALSE))</f>
        <v>-11.98752689</v>
      </c>
      <c r="BG111">
        <f ca="1">IF(AND(ISNUMBER($BG$323),$B$226=1),$BG$323,HLOOKUP(INDIRECT(ADDRESS(2,COLUMN())),OFFSET($BN$2,0,0,ROW()-1,60),ROW()-1,FALSE))</f>
        <v>-22.218279809999999</v>
      </c>
      <c r="BH111">
        <f ca="1">IF(AND(ISNUMBER($BH$323),$B$226=1),$BH$323,HLOOKUP(INDIRECT(ADDRESS(2,COLUMN())),OFFSET($BN$2,0,0,ROW()-1,60),ROW()-1,FALSE))</f>
        <v>-10.308849349999999</v>
      </c>
      <c r="BI111">
        <f ca="1">IF(AND(ISNUMBER($BI$323),$B$226=1),$BI$323,HLOOKUP(INDIRECT(ADDRESS(2,COLUMN())),OFFSET($BN$2,0,0,ROW()-1,60),ROW()-1,FALSE))</f>
        <v>7.7418327639999998</v>
      </c>
      <c r="BJ111">
        <f ca="1">IF(AND(ISNUMBER($BJ$323),$B$226=1),$BJ$323,HLOOKUP(INDIRECT(ADDRESS(2,COLUMN())),OFFSET($BN$2,0,0,ROW()-1,60),ROW()-1,FALSE))</f>
        <v>5.715250266</v>
      </c>
      <c r="BK111">
        <f ca="1">IF(AND(ISNUMBER($BK$323),$B$226=1),$BK$323,HLOOKUP(INDIRECT(ADDRESS(2,COLUMN())),OFFSET($BN$2,0,0,ROW()-1,60),ROW()-1,FALSE))</f>
        <v>16.942721460000001</v>
      </c>
      <c r="BL111">
        <f ca="1">IF(AND(ISNUMBER($BL$323),$B$226=1),$BL$323,HLOOKUP(INDIRECT(ADDRESS(2,COLUMN())),OFFSET($BN$2,0,0,ROW()-1,60),ROW()-1,FALSE))</f>
        <v>-4.2971899249999996</v>
      </c>
      <c r="BM111">
        <f ca="1">IF(AND(ISNUMBER($BM$323),$B$226=1),$BM$323,HLOOKUP(INDIRECT(ADDRESS(2,COLUMN())),OFFSET($BN$2,0,0,ROW()-1,60),ROW()-1,FALSE))</f>
        <v>-2.0287792229999999</v>
      </c>
      <c r="BN111" t="str">
        <f>""</f>
        <v/>
      </c>
      <c r="BO111">
        <f>3.716973226</f>
        <v>3.7169732259999999</v>
      </c>
      <c r="BP111">
        <f>2.531313168</f>
        <v>2.5313131680000001</v>
      </c>
      <c r="BQ111">
        <f>4.398679277</f>
        <v>4.3986792770000003</v>
      </c>
      <c r="BR111">
        <f>4.496212481</f>
        <v>4.4962124809999997</v>
      </c>
      <c r="BS111">
        <f>3.018417036</f>
        <v>3.0184170360000002</v>
      </c>
      <c r="BT111">
        <f>10.95834717</f>
        <v>10.95834717</v>
      </c>
      <c r="BU111">
        <f>11.23245793</f>
        <v>11.232457930000001</v>
      </c>
      <c r="BV111">
        <f>14.41387863</f>
        <v>14.413878629999999</v>
      </c>
      <c r="BW111">
        <f>15.56429516</f>
        <v>15.56429516</v>
      </c>
      <c r="BX111">
        <f>9.963041891</f>
        <v>9.9630418909999996</v>
      </c>
      <c r="BY111">
        <f>7.195498087</f>
        <v>7.1954980869999998</v>
      </c>
      <c r="BZ111">
        <f>8.690956675</f>
        <v>8.6909566750000007</v>
      </c>
      <c r="CA111">
        <f>10.7017951</f>
        <v>10.7017951</v>
      </c>
      <c r="CB111">
        <f>10.02024872</f>
        <v>10.02024872</v>
      </c>
      <c r="CC111">
        <f>10.46988771</f>
        <v>10.46988771</v>
      </c>
      <c r="CD111">
        <f>6.741610851</f>
        <v>6.7416108509999999</v>
      </c>
      <c r="CE111">
        <f>5.482158083</f>
        <v>5.4821580829999998</v>
      </c>
      <c r="CF111">
        <f>3.995873687</f>
        <v>3.995873687</v>
      </c>
      <c r="CG111">
        <f>5.751258088</f>
        <v>5.7512580880000002</v>
      </c>
      <c r="CH111">
        <f>5.916848625</f>
        <v>5.9168486250000001</v>
      </c>
      <c r="CI111">
        <f>7.591349604</f>
        <v>7.5913496040000004</v>
      </c>
      <c r="CJ111">
        <f>10.11124149</f>
        <v>10.111241489999999</v>
      </c>
      <c r="CK111">
        <f>18.61284622</f>
        <v>18.612846220000002</v>
      </c>
      <c r="CL111">
        <f>29.82182113</f>
        <v>29.82182113</v>
      </c>
      <c r="CM111">
        <f>14.80245665</f>
        <v>14.80245665</v>
      </c>
      <c r="CN111">
        <f>15.06140569</f>
        <v>15.061405690000001</v>
      </c>
      <c r="CO111">
        <f>6.82646297</f>
        <v>6.8264629699999997</v>
      </c>
      <c r="CP111">
        <f>-3.489475741</f>
        <v>-3.4894757410000001</v>
      </c>
      <c r="CQ111">
        <f>0.523038866</f>
        <v>0.52303886600000005</v>
      </c>
      <c r="CR111">
        <f>-1.22480769</f>
        <v>-1.22480769</v>
      </c>
      <c r="CS111">
        <f>-6.268902376</f>
        <v>-6.2689023759999998</v>
      </c>
      <c r="CT111">
        <f>-5.643181507</f>
        <v>-5.6431815070000004</v>
      </c>
      <c r="CU111">
        <f>0.374547597</f>
        <v>0.37454759700000001</v>
      </c>
      <c r="CV111">
        <f>2.41591818</f>
        <v>2.4159181799999998</v>
      </c>
      <c r="CW111">
        <f>8.305943959</f>
        <v>8.3059439590000004</v>
      </c>
      <c r="CX111">
        <f>18.55279922</f>
        <v>18.552799220000001</v>
      </c>
      <c r="CY111">
        <f>16.1615174</f>
        <v>16.161517400000001</v>
      </c>
      <c r="CZ111">
        <f>8.70412163</f>
        <v>8.7041216299999995</v>
      </c>
      <c r="DA111">
        <f>12.81848235</f>
        <v>12.81848235</v>
      </c>
      <c r="DB111">
        <f>5.528313825</f>
        <v>5.5283138249999997</v>
      </c>
      <c r="DC111">
        <f>9.701292433</f>
        <v>9.7012924330000008</v>
      </c>
      <c r="DD111">
        <f>-32.99268563</f>
        <v>-32.992685629999997</v>
      </c>
      <c r="DE111">
        <f>-21.43061714</f>
        <v>-21.430617139999999</v>
      </c>
      <c r="DF111">
        <f>-22.73518898</f>
        <v>-22.73518898</v>
      </c>
      <c r="DG111">
        <f>-42.8798983</f>
        <v>-42.879898300000001</v>
      </c>
      <c r="DH111">
        <f>9.794206318</f>
        <v>9.7942063180000005</v>
      </c>
      <c r="DI111">
        <f>6.79878917</f>
        <v>6.79878917</v>
      </c>
      <c r="DJ111">
        <f>4.781977675</f>
        <v>4.7819776750000003</v>
      </c>
      <c r="DK111">
        <f>60.99247935</f>
        <v>60.992479350000004</v>
      </c>
      <c r="DL111">
        <f>29.49530384</f>
        <v>29.495303839999998</v>
      </c>
      <c r="DM111">
        <f>-12.43338598</f>
        <v>-12.433385980000001</v>
      </c>
      <c r="DN111">
        <f>-11.98752689</f>
        <v>-11.98752689</v>
      </c>
      <c r="DO111">
        <f>-22.21827981</f>
        <v>-22.218279809999999</v>
      </c>
      <c r="DP111">
        <f>-10.30884935</f>
        <v>-10.308849349999999</v>
      </c>
      <c r="DQ111">
        <f>7.741832764</f>
        <v>7.7418327639999998</v>
      </c>
      <c r="DR111">
        <f>5.715250266</f>
        <v>5.715250266</v>
      </c>
      <c r="DS111">
        <f>16.94272146</f>
        <v>16.942721460000001</v>
      </c>
      <c r="DT111">
        <f>-4.297189925</f>
        <v>-4.2971899249999996</v>
      </c>
      <c r="DU111">
        <f>-2.028779223</f>
        <v>-2.0287792229999999</v>
      </c>
    </row>
    <row r="112" spans="1:125">
      <c r="A112" t="str">
        <f>"FFO增长同比(%)"</f>
        <v>FFO增长同比(%)</v>
      </c>
      <c r="B112" t="str">
        <f>""</f>
        <v/>
      </c>
      <c r="E112" t="str">
        <f>"Median"</f>
        <v>Median</v>
      </c>
      <c r="F112" t="str">
        <f ca="1">IF(ISERROR(IF(MEDIAN($F$113:$F$120) = 0, "", MEDIAN($F$113:$F$120))), "", (IF(MEDIAN($F$113:$F$120) = 0, "", MEDIAN($F$113:$F$120))))</f>
        <v/>
      </c>
      <c r="G112" t="str">
        <f ca="1">IF(ISERROR(IF(MEDIAN($G$113:$G$120) = 0, "", MEDIAN($G$113:$G$120))), "", (IF(MEDIAN($G$113:$G$120) = 0, "", MEDIAN($G$113:$G$120))))</f>
        <v/>
      </c>
      <c r="H112" t="str">
        <f ca="1">IF(ISERROR(IF(MEDIAN($H$113:$H$120) = 0, "", MEDIAN($H$113:$H$120))), "", (IF(MEDIAN($H$113:$H$120) = 0, "", MEDIAN($H$113:$H$120))))</f>
        <v/>
      </c>
      <c r="I112" t="str">
        <f ca="1">IF(ISERROR(IF(MEDIAN($I$113:$I$120) = 0, "", MEDIAN($I$113:$I$120))), "", (IF(MEDIAN($I$113:$I$120) = 0, "", MEDIAN($I$113:$I$120))))</f>
        <v/>
      </c>
      <c r="J112" t="str">
        <f ca="1">IF(ISERROR(IF(MEDIAN($J$113:$J$120) = 0, "", MEDIAN($J$113:$J$120))), "", (IF(MEDIAN($J$113:$J$120) = 0, "", MEDIAN($J$113:$J$120))))</f>
        <v/>
      </c>
      <c r="K112" t="str">
        <f ca="1">IF(ISERROR(IF(MEDIAN($K$113:$K$120) = 0, "", MEDIAN($K$113:$K$120))), "", (IF(MEDIAN($K$113:$K$120) = 0, "", MEDIAN($K$113:$K$120))))</f>
        <v/>
      </c>
      <c r="L112" t="str">
        <f ca="1">IF(ISERROR(IF(MEDIAN($L$113:$L$120) = 0, "", MEDIAN($L$113:$L$120))), "", (IF(MEDIAN($L$113:$L$120) = 0, "", MEDIAN($L$113:$L$120))))</f>
        <v/>
      </c>
      <c r="M112" t="str">
        <f ca="1">IF(ISERROR(IF(MEDIAN($M$113:$M$120) = 0, "", MEDIAN($M$113:$M$120))), "", (IF(MEDIAN($M$113:$M$120) = 0, "", MEDIAN($M$113:$M$120))))</f>
        <v/>
      </c>
      <c r="N112" t="str">
        <f ca="1">IF(ISERROR(IF(MEDIAN($N$113:$N$120) = 0, "", MEDIAN($N$113:$N$120))), "", (IF(MEDIAN($N$113:$N$120) = 0, "", MEDIAN($N$113:$N$120))))</f>
        <v/>
      </c>
      <c r="O112" t="str">
        <f ca="1">IF(ISERROR(IF(MEDIAN($O$113:$O$120) = 0, "", MEDIAN($O$113:$O$120))), "", (IF(MEDIAN($O$113:$O$120) = 0, "", MEDIAN($O$113:$O$120))))</f>
        <v/>
      </c>
      <c r="P112" t="str">
        <f ca="1">IF(ISERROR(IF(MEDIAN($P$113:$P$120) = 0, "", MEDIAN($P$113:$P$120))), "", (IF(MEDIAN($P$113:$P$120) = 0, "", MEDIAN($P$113:$P$120))))</f>
        <v/>
      </c>
      <c r="Q112" t="str">
        <f ca="1">IF(ISERROR(IF(MEDIAN($Q$113:$Q$120) = 0, "", MEDIAN($Q$113:$Q$120))), "", (IF(MEDIAN($Q$113:$Q$120) = 0, "", MEDIAN($Q$113:$Q$120))))</f>
        <v/>
      </c>
      <c r="R112" t="str">
        <f ca="1">IF(ISERROR(IF(MEDIAN($R$113:$R$120) = 0, "", MEDIAN($R$113:$R$120))), "", (IF(MEDIAN($R$113:$R$120) = 0, "", MEDIAN($R$113:$R$120))))</f>
        <v/>
      </c>
      <c r="S112" t="str">
        <f ca="1">IF(ISERROR(IF(MEDIAN($S$113:$S$120) = 0, "", MEDIAN($S$113:$S$120))), "", (IF(MEDIAN($S$113:$S$120) = 0, "", MEDIAN($S$113:$S$120))))</f>
        <v/>
      </c>
      <c r="T112" t="str">
        <f ca="1">IF(ISERROR(IF(MEDIAN($T$113:$T$120) = 0, "", MEDIAN($T$113:$T$120))), "", (IF(MEDIAN($T$113:$T$120) = 0, "", MEDIAN($T$113:$T$120))))</f>
        <v/>
      </c>
      <c r="U112" t="str">
        <f ca="1">IF(ISERROR(IF(MEDIAN($U$113:$U$120) = 0, "", MEDIAN($U$113:$U$120))), "", (IF(MEDIAN($U$113:$U$120) = 0, "", MEDIAN($U$113:$U$120))))</f>
        <v/>
      </c>
      <c r="V112" t="str">
        <f ca="1">IF(ISERROR(IF(MEDIAN($V$113:$V$120) = 0, "", MEDIAN($V$113:$V$120))), "", (IF(MEDIAN($V$113:$V$120) = 0, "", MEDIAN($V$113:$V$120))))</f>
        <v/>
      </c>
      <c r="W112" t="str">
        <f ca="1">IF(ISERROR(IF(MEDIAN($W$113:$W$120) = 0, "", MEDIAN($W$113:$W$120))), "", (IF(MEDIAN($W$113:$W$120) = 0, "", MEDIAN($W$113:$W$120))))</f>
        <v/>
      </c>
      <c r="X112" t="str">
        <f ca="1">IF(ISERROR(IF(MEDIAN($X$113:$X$120) = 0, "", MEDIAN($X$113:$X$120))), "", (IF(MEDIAN($X$113:$X$120) = 0, "", MEDIAN($X$113:$X$120))))</f>
        <v/>
      </c>
      <c r="Y112" t="str">
        <f ca="1">IF(ISERROR(IF(MEDIAN($Y$113:$Y$120) = 0, "", MEDIAN($Y$113:$Y$120))), "", (IF(MEDIAN($Y$113:$Y$120) = 0, "", MEDIAN($Y$113:$Y$120))))</f>
        <v/>
      </c>
      <c r="Z112" t="str">
        <f ca="1">IF(ISERROR(IF(MEDIAN($Z$113:$Z$120) = 0, "", MEDIAN($Z$113:$Z$120))), "", (IF(MEDIAN($Z$113:$Z$120) = 0, "", MEDIAN($Z$113:$Z$120))))</f>
        <v/>
      </c>
      <c r="AA112" t="str">
        <f ca="1">IF(ISERROR(IF(MEDIAN($AA$113:$AA$120) = 0, "", MEDIAN($AA$113:$AA$120))), "", (IF(MEDIAN($AA$113:$AA$120) = 0, "", MEDIAN($AA$113:$AA$120))))</f>
        <v/>
      </c>
      <c r="AB112" t="str">
        <f ca="1">IF(ISERROR(IF(MEDIAN($AB$113:$AB$120) = 0, "", MEDIAN($AB$113:$AB$120))), "", (IF(MEDIAN($AB$113:$AB$120) = 0, "", MEDIAN($AB$113:$AB$120))))</f>
        <v/>
      </c>
      <c r="AC112" t="str">
        <f ca="1">IF(ISERROR(IF(MEDIAN($AC$113:$AC$120) = 0, "", MEDIAN($AC$113:$AC$120))), "", (IF(MEDIAN($AC$113:$AC$120) = 0, "", MEDIAN($AC$113:$AC$120))))</f>
        <v/>
      </c>
      <c r="AD112" t="str">
        <f ca="1">IF(ISERROR(IF(MEDIAN($AD$113:$AD$120) = 0, "", MEDIAN($AD$113:$AD$120))), "", (IF(MEDIAN($AD$113:$AD$120) = 0, "", MEDIAN($AD$113:$AD$120))))</f>
        <v/>
      </c>
      <c r="AE112" t="str">
        <f ca="1">IF(ISERROR(IF(MEDIAN($AE$113:$AE$120) = 0, "", MEDIAN($AE$113:$AE$120))), "", (IF(MEDIAN($AE$113:$AE$120) = 0, "", MEDIAN($AE$113:$AE$120))))</f>
        <v/>
      </c>
      <c r="AF112" t="str">
        <f ca="1">IF(ISERROR(IF(MEDIAN($AF$113:$AF$120) = 0, "", MEDIAN($AF$113:$AF$120))), "", (IF(MEDIAN($AF$113:$AF$120) = 0, "", MEDIAN($AF$113:$AF$120))))</f>
        <v/>
      </c>
      <c r="AG112" t="str">
        <f ca="1">IF(ISERROR(IF(MEDIAN($AG$113:$AG$120) = 0, "", MEDIAN($AG$113:$AG$120))), "", (IF(MEDIAN($AG$113:$AG$120) = 0, "", MEDIAN($AG$113:$AG$120))))</f>
        <v/>
      </c>
      <c r="AH112" t="str">
        <f ca="1">IF(ISERROR(IF(MEDIAN($AH$113:$AH$120) = 0, "", MEDIAN($AH$113:$AH$120))), "", (IF(MEDIAN($AH$113:$AH$120) = 0, "", MEDIAN($AH$113:$AH$120))))</f>
        <v/>
      </c>
      <c r="AI112" t="str">
        <f ca="1">IF(ISERROR(IF(MEDIAN($AI$113:$AI$120) = 0, "", MEDIAN($AI$113:$AI$120))), "", (IF(MEDIAN($AI$113:$AI$120) = 0, "", MEDIAN($AI$113:$AI$120))))</f>
        <v/>
      </c>
      <c r="AJ112" t="str">
        <f ca="1">IF(ISERROR(IF(MEDIAN($AJ$113:$AJ$120) = 0, "", MEDIAN($AJ$113:$AJ$120))), "", (IF(MEDIAN($AJ$113:$AJ$120) = 0, "", MEDIAN($AJ$113:$AJ$120))))</f>
        <v/>
      </c>
      <c r="AK112" t="str">
        <f ca="1">IF(ISERROR(IF(MEDIAN($AK$113:$AK$120) = 0, "", MEDIAN($AK$113:$AK$120))), "", (IF(MEDIAN($AK$113:$AK$120) = 0, "", MEDIAN($AK$113:$AK$120))))</f>
        <v/>
      </c>
      <c r="AL112" t="str">
        <f ca="1">IF(ISERROR(IF(MEDIAN($AL$113:$AL$120) = 0, "", MEDIAN($AL$113:$AL$120))), "", (IF(MEDIAN($AL$113:$AL$120) = 0, "", MEDIAN($AL$113:$AL$120))))</f>
        <v/>
      </c>
      <c r="AM112" t="str">
        <f ca="1">IF(ISERROR(IF(MEDIAN($AM$113:$AM$120) = 0, "", MEDIAN($AM$113:$AM$120))), "", (IF(MEDIAN($AM$113:$AM$120) = 0, "", MEDIAN($AM$113:$AM$120))))</f>
        <v/>
      </c>
      <c r="AN112" t="str">
        <f ca="1">IF(ISERROR(IF(MEDIAN($AN$113:$AN$120) = 0, "", MEDIAN($AN$113:$AN$120))), "", (IF(MEDIAN($AN$113:$AN$120) = 0, "", MEDIAN($AN$113:$AN$120))))</f>
        <v/>
      </c>
      <c r="AO112" t="str">
        <f ca="1">IF(ISERROR(IF(MEDIAN($AO$113:$AO$120) = 0, "", MEDIAN($AO$113:$AO$120))), "", (IF(MEDIAN($AO$113:$AO$120) = 0, "", MEDIAN($AO$113:$AO$120))))</f>
        <v/>
      </c>
      <c r="AP112" t="str">
        <f ca="1">IF(ISERROR(IF(MEDIAN($AP$113:$AP$120) = 0, "", MEDIAN($AP$113:$AP$120))), "", (IF(MEDIAN($AP$113:$AP$120) = 0, "", MEDIAN($AP$113:$AP$120))))</f>
        <v/>
      </c>
      <c r="AQ112" t="str">
        <f ca="1">IF(ISERROR(IF(MEDIAN($AQ$113:$AQ$120) = 0, "", MEDIAN($AQ$113:$AQ$120))), "", (IF(MEDIAN($AQ$113:$AQ$120) = 0, "", MEDIAN($AQ$113:$AQ$120))))</f>
        <v/>
      </c>
      <c r="AR112" t="str">
        <f ca="1">IF(ISERROR(IF(MEDIAN($AR$113:$AR$120) = 0, "", MEDIAN($AR$113:$AR$120))), "", (IF(MEDIAN($AR$113:$AR$120) = 0, "", MEDIAN($AR$113:$AR$120))))</f>
        <v/>
      </c>
      <c r="AS112" t="str">
        <f ca="1">IF(ISERROR(IF(MEDIAN($AS$113:$AS$120) = 0, "", MEDIAN($AS$113:$AS$120))), "", (IF(MEDIAN($AS$113:$AS$120) = 0, "", MEDIAN($AS$113:$AS$120))))</f>
        <v/>
      </c>
      <c r="AT112" t="str">
        <f ca="1">IF(ISERROR(IF(MEDIAN($AT$113:$AT$120) = 0, "", MEDIAN($AT$113:$AT$120))), "", (IF(MEDIAN($AT$113:$AT$120) = 0, "", MEDIAN($AT$113:$AT$120))))</f>
        <v/>
      </c>
      <c r="AU112" t="str">
        <f ca="1">IF(ISERROR(IF(MEDIAN($AU$113:$AU$120) = 0, "", MEDIAN($AU$113:$AU$120))), "", (IF(MEDIAN($AU$113:$AU$120) = 0, "", MEDIAN($AU$113:$AU$120))))</f>
        <v/>
      </c>
      <c r="AV112" t="str">
        <f ca="1">IF(ISERROR(IF(MEDIAN($AV$113:$AV$120) = 0, "", MEDIAN($AV$113:$AV$120))), "", (IF(MEDIAN($AV$113:$AV$120) = 0, "", MEDIAN($AV$113:$AV$120))))</f>
        <v/>
      </c>
      <c r="AW112" t="str">
        <f ca="1">IF(ISERROR(IF(MEDIAN($AW$113:$AW$120) = 0, "", MEDIAN($AW$113:$AW$120))), "", (IF(MEDIAN($AW$113:$AW$120) = 0, "", MEDIAN($AW$113:$AW$120))))</f>
        <v/>
      </c>
      <c r="AX112" t="str">
        <f ca="1">IF(ISERROR(IF(MEDIAN($AX$113:$AX$120) = 0, "", MEDIAN($AX$113:$AX$120))), "", (IF(MEDIAN($AX$113:$AX$120) = 0, "", MEDIAN($AX$113:$AX$120))))</f>
        <v/>
      </c>
      <c r="AY112" t="str">
        <f ca="1">IF(ISERROR(IF(MEDIAN($AY$113:$AY$120) = 0, "", MEDIAN($AY$113:$AY$120))), "", (IF(MEDIAN($AY$113:$AY$120) = 0, "", MEDIAN($AY$113:$AY$120))))</f>
        <v/>
      </c>
      <c r="AZ112" t="str">
        <f ca="1">IF(ISERROR(IF(MEDIAN($AZ$113:$AZ$120) = 0, "", MEDIAN($AZ$113:$AZ$120))), "", (IF(MEDIAN($AZ$113:$AZ$120) = 0, "", MEDIAN($AZ$113:$AZ$120))))</f>
        <v/>
      </c>
      <c r="BA112" t="str">
        <f ca="1">IF(ISERROR(IF(MEDIAN($BA$113:$BA$120) = 0, "", MEDIAN($BA$113:$BA$120))), "", (IF(MEDIAN($BA$113:$BA$120) = 0, "", MEDIAN($BA$113:$BA$120))))</f>
        <v/>
      </c>
      <c r="BB112" t="str">
        <f ca="1">IF(ISERROR(IF(MEDIAN($BB$113:$BB$120) = 0, "", MEDIAN($BB$113:$BB$120))), "", (IF(MEDIAN($BB$113:$BB$120) = 0, "", MEDIAN($BB$113:$BB$120))))</f>
        <v/>
      </c>
      <c r="BC112" t="str">
        <f ca="1">IF(ISERROR(IF(MEDIAN($BC$113:$BC$120) = 0, "", MEDIAN($BC$113:$BC$120))), "", (IF(MEDIAN($BC$113:$BC$120) = 0, "", MEDIAN($BC$113:$BC$120))))</f>
        <v/>
      </c>
      <c r="BD112" t="str">
        <f ca="1">IF(ISERROR(IF(MEDIAN($BD$113:$BD$120) = 0, "", MEDIAN($BD$113:$BD$120))), "", (IF(MEDIAN($BD$113:$BD$120) = 0, "", MEDIAN($BD$113:$BD$120))))</f>
        <v/>
      </c>
      <c r="BE112" t="str">
        <f ca="1">IF(ISERROR(IF(MEDIAN($BE$113:$BE$120) = 0, "", MEDIAN($BE$113:$BE$120))), "", (IF(MEDIAN($BE$113:$BE$120) = 0, "", MEDIAN($BE$113:$BE$120))))</f>
        <v/>
      </c>
      <c r="BF112" t="str">
        <f ca="1">IF(ISERROR(IF(MEDIAN($BF$113:$BF$120) = 0, "", MEDIAN($BF$113:$BF$120))), "", (IF(MEDIAN($BF$113:$BF$120) = 0, "", MEDIAN($BF$113:$BF$120))))</f>
        <v/>
      </c>
      <c r="BG112" t="str">
        <f ca="1">IF(ISERROR(IF(MEDIAN($BG$113:$BG$120) = 0, "", MEDIAN($BG$113:$BG$120))), "", (IF(MEDIAN($BG$113:$BG$120) = 0, "", MEDIAN($BG$113:$BG$120))))</f>
        <v/>
      </c>
      <c r="BH112" t="str">
        <f ca="1">IF(ISERROR(IF(MEDIAN($BH$113:$BH$120) = 0, "", MEDIAN($BH$113:$BH$120))), "", (IF(MEDIAN($BH$113:$BH$120) = 0, "", MEDIAN($BH$113:$BH$120))))</f>
        <v/>
      </c>
      <c r="BI112" t="str">
        <f ca="1">IF(ISERROR(IF(MEDIAN($BI$113:$BI$120) = 0, "", MEDIAN($BI$113:$BI$120))), "", (IF(MEDIAN($BI$113:$BI$120) = 0, "", MEDIAN($BI$113:$BI$120))))</f>
        <v/>
      </c>
      <c r="BJ112" t="str">
        <f ca="1">IF(ISERROR(IF(MEDIAN($BJ$113:$BJ$120) = 0, "", MEDIAN($BJ$113:$BJ$120))), "", (IF(MEDIAN($BJ$113:$BJ$120) = 0, "", MEDIAN($BJ$113:$BJ$120))))</f>
        <v/>
      </c>
      <c r="BK112" t="str">
        <f ca="1">IF(ISERROR(IF(MEDIAN($BK$113:$BK$120) = 0, "", MEDIAN($BK$113:$BK$120))), "", (IF(MEDIAN($BK$113:$BK$120) = 0, "", MEDIAN($BK$113:$BK$120))))</f>
        <v/>
      </c>
      <c r="BL112" t="str">
        <f ca="1">IF(ISERROR(IF(MEDIAN($BL$113:$BL$120) = 0, "", MEDIAN($BL$113:$BL$120))), "", (IF(MEDIAN($BL$113:$BL$120) = 0, "", MEDIAN($BL$113:$BL$120))))</f>
        <v/>
      </c>
      <c r="BM112" t="str">
        <f ca="1">IF(ISERROR(IF(MEDIAN($BM$113:$BM$120) = 0, "", MEDIAN($BM$113:$BM$120))), "", (IF(MEDIAN($BM$113:$BM$120) = 0, "", MEDIAN($BM$113:$BM$120))))</f>
        <v/>
      </c>
      <c r="BN112" t="str">
        <f>""</f>
        <v/>
      </c>
      <c r="BO112" t="str">
        <f>""</f>
        <v/>
      </c>
      <c r="BP112" t="str">
        <f>""</f>
        <v/>
      </c>
      <c r="BQ112" t="str">
        <f>""</f>
        <v/>
      </c>
      <c r="BR112" t="str">
        <f>""</f>
        <v/>
      </c>
      <c r="BS112" t="str">
        <f>""</f>
        <v/>
      </c>
      <c r="BT112" t="str">
        <f>""</f>
        <v/>
      </c>
      <c r="BU112" t="str">
        <f>""</f>
        <v/>
      </c>
      <c r="BV112" t="str">
        <f>""</f>
        <v/>
      </c>
      <c r="BW112" t="str">
        <f>""</f>
        <v/>
      </c>
      <c r="BX112" t="str">
        <f>""</f>
        <v/>
      </c>
      <c r="BY112" t="str">
        <f>""</f>
        <v/>
      </c>
      <c r="BZ112" t="str">
        <f>""</f>
        <v/>
      </c>
      <c r="CA112" t="str">
        <f>""</f>
        <v/>
      </c>
      <c r="CB112" t="str">
        <f>""</f>
        <v/>
      </c>
      <c r="CC112" t="str">
        <f>""</f>
        <v/>
      </c>
      <c r="CD112" t="str">
        <f>""</f>
        <v/>
      </c>
      <c r="CE112" t="str">
        <f>""</f>
        <v/>
      </c>
      <c r="CF112" t="str">
        <f>""</f>
        <v/>
      </c>
      <c r="CG112" t="str">
        <f>""</f>
        <v/>
      </c>
      <c r="CH112" t="str">
        <f>""</f>
        <v/>
      </c>
      <c r="CI112" t="str">
        <f>""</f>
        <v/>
      </c>
      <c r="CJ112" t="str">
        <f>""</f>
        <v/>
      </c>
      <c r="CK112" t="str">
        <f>""</f>
        <v/>
      </c>
      <c r="CL112" t="str">
        <f>""</f>
        <v/>
      </c>
      <c r="CM112" t="str">
        <f>""</f>
        <v/>
      </c>
      <c r="CN112" t="str">
        <f>""</f>
        <v/>
      </c>
      <c r="CO112" t="str">
        <f>""</f>
        <v/>
      </c>
      <c r="CP112" t="str">
        <f>""</f>
        <v/>
      </c>
      <c r="CQ112" t="str">
        <f>""</f>
        <v/>
      </c>
      <c r="CR112" t="str">
        <f>""</f>
        <v/>
      </c>
      <c r="CS112" t="str">
        <f>""</f>
        <v/>
      </c>
      <c r="CT112" t="str">
        <f>""</f>
        <v/>
      </c>
      <c r="CU112" t="str">
        <f>""</f>
        <v/>
      </c>
      <c r="CV112" t="str">
        <f>""</f>
        <v/>
      </c>
      <c r="CW112" t="str">
        <f>""</f>
        <v/>
      </c>
      <c r="CX112" t="str">
        <f>""</f>
        <v/>
      </c>
      <c r="CY112" t="str">
        <f>""</f>
        <v/>
      </c>
      <c r="CZ112" t="str">
        <f>""</f>
        <v/>
      </c>
      <c r="DA112" t="str">
        <f>""</f>
        <v/>
      </c>
      <c r="DB112" t="str">
        <f>""</f>
        <v/>
      </c>
      <c r="DC112" t="str">
        <f>""</f>
        <v/>
      </c>
      <c r="DD112" t="str">
        <f>""</f>
        <v/>
      </c>
      <c r="DE112" t="str">
        <f>""</f>
        <v/>
      </c>
      <c r="DF112" t="str">
        <f>""</f>
        <v/>
      </c>
      <c r="DG112" t="str">
        <f>""</f>
        <v/>
      </c>
      <c r="DH112" t="str">
        <f>""</f>
        <v/>
      </c>
      <c r="DI112" t="str">
        <f>""</f>
        <v/>
      </c>
      <c r="DJ112" t="str">
        <f>""</f>
        <v/>
      </c>
      <c r="DK112" t="str">
        <f>""</f>
        <v/>
      </c>
      <c r="DL112" t="str">
        <f>""</f>
        <v/>
      </c>
      <c r="DM112" t="str">
        <f>""</f>
        <v/>
      </c>
      <c r="DN112" t="str">
        <f>""</f>
        <v/>
      </c>
      <c r="DO112" t="str">
        <f>""</f>
        <v/>
      </c>
      <c r="DP112" t="str">
        <f>""</f>
        <v/>
      </c>
      <c r="DQ112" t="str">
        <f>""</f>
        <v/>
      </c>
      <c r="DR112" t="str">
        <f>""</f>
        <v/>
      </c>
      <c r="DS112" t="str">
        <f>""</f>
        <v/>
      </c>
      <c r="DT112" t="str">
        <f>""</f>
        <v/>
      </c>
      <c r="DU112" t="str">
        <f>""</f>
        <v/>
      </c>
    </row>
    <row r="113" spans="1:125">
      <c r="A113" t="str">
        <f>"    American Campus Communities In"</f>
        <v xml:space="preserve">    American Campus Communities In</v>
      </c>
      <c r="B113" t="str">
        <f>"ACC US Equity"</f>
        <v>ACC US Equity</v>
      </c>
      <c r="C113" t="str">
        <f t="shared" ref="C113:C120" si="36">"BE592"</f>
        <v>BE592</v>
      </c>
      <c r="D113" t="str">
        <f t="shared" ref="D113:D120" si="37">"BEST_FFOPS_YOY_GTH"</f>
        <v>BEST_FFOPS_YOY_GTH</v>
      </c>
      <c r="E113" t="str">
        <f t="shared" ref="E113:E120" si="38">"动态"</f>
        <v>动态</v>
      </c>
      <c r="F113" t="str">
        <f ca="1">IF(AND(ISNUMBER($F$324),$B$226=1),$F$324,HLOOKUP(INDIRECT(ADDRESS(2,COLUMN())),OFFSET($BN$2,0,0,ROW()-1,60),ROW()-1,FALSE))</f>
        <v/>
      </c>
      <c r="G113" t="str">
        <f ca="1">IF(AND(ISNUMBER($G$324),$B$226=1),$G$324,HLOOKUP(INDIRECT(ADDRESS(2,COLUMN())),OFFSET($BN$2,0,0,ROW()-1,60),ROW()-1,FALSE))</f>
        <v/>
      </c>
      <c r="H113" t="str">
        <f ca="1">IF(AND(ISNUMBER($H$324),$B$226=1),$H$324,HLOOKUP(INDIRECT(ADDRESS(2,COLUMN())),OFFSET($BN$2,0,0,ROW()-1,60),ROW()-1,FALSE))</f>
        <v/>
      </c>
      <c r="I113" t="str">
        <f ca="1">IF(AND(ISNUMBER($I$324),$B$226=1),$I$324,HLOOKUP(INDIRECT(ADDRESS(2,COLUMN())),OFFSET($BN$2,0,0,ROW()-1,60),ROW()-1,FALSE))</f>
        <v/>
      </c>
      <c r="J113" t="str">
        <f ca="1">IF(AND(ISNUMBER($J$324),$B$226=1),$J$324,HLOOKUP(INDIRECT(ADDRESS(2,COLUMN())),OFFSET($BN$2,0,0,ROW()-1,60),ROW()-1,FALSE))</f>
        <v/>
      </c>
      <c r="K113" t="str">
        <f ca="1">IF(AND(ISNUMBER($K$324),$B$226=1),$K$324,HLOOKUP(INDIRECT(ADDRESS(2,COLUMN())),OFFSET($BN$2,0,0,ROW()-1,60),ROW()-1,FALSE))</f>
        <v/>
      </c>
      <c r="L113" t="str">
        <f ca="1">IF(AND(ISNUMBER($L$324),$B$226=1),$L$324,HLOOKUP(INDIRECT(ADDRESS(2,COLUMN())),OFFSET($BN$2,0,0,ROW()-1,60),ROW()-1,FALSE))</f>
        <v/>
      </c>
      <c r="M113" t="str">
        <f ca="1">IF(AND(ISNUMBER($M$324),$B$226=1),$M$324,HLOOKUP(INDIRECT(ADDRESS(2,COLUMN())),OFFSET($BN$2,0,0,ROW()-1,60),ROW()-1,FALSE))</f>
        <v/>
      </c>
      <c r="N113" t="str">
        <f ca="1">IF(AND(ISNUMBER($N$324),$B$226=1),$N$324,HLOOKUP(INDIRECT(ADDRESS(2,COLUMN())),OFFSET($BN$2,0,0,ROW()-1,60),ROW()-1,FALSE))</f>
        <v/>
      </c>
      <c r="O113" t="str">
        <f ca="1">IF(AND(ISNUMBER($O$324),$B$226=1),$O$324,HLOOKUP(INDIRECT(ADDRESS(2,COLUMN())),OFFSET($BN$2,0,0,ROW()-1,60),ROW()-1,FALSE))</f>
        <v/>
      </c>
      <c r="P113" t="str">
        <f ca="1">IF(AND(ISNUMBER($P$324),$B$226=1),$P$324,HLOOKUP(INDIRECT(ADDRESS(2,COLUMN())),OFFSET($BN$2,0,0,ROW()-1,60),ROW()-1,FALSE))</f>
        <v/>
      </c>
      <c r="Q113" t="str">
        <f ca="1">IF(AND(ISNUMBER($Q$324),$B$226=1),$Q$324,HLOOKUP(INDIRECT(ADDRESS(2,COLUMN())),OFFSET($BN$2,0,0,ROW()-1,60),ROW()-1,FALSE))</f>
        <v/>
      </c>
      <c r="R113" t="str">
        <f ca="1">IF(AND(ISNUMBER($R$324),$B$226=1),$R$324,HLOOKUP(INDIRECT(ADDRESS(2,COLUMN())),OFFSET($BN$2,0,0,ROW()-1,60),ROW()-1,FALSE))</f>
        <v/>
      </c>
      <c r="S113" t="str">
        <f ca="1">IF(AND(ISNUMBER($S$324),$B$226=1),$S$324,HLOOKUP(INDIRECT(ADDRESS(2,COLUMN())),OFFSET($BN$2,0,0,ROW()-1,60),ROW()-1,FALSE))</f>
        <v/>
      </c>
      <c r="T113" t="str">
        <f ca="1">IF(AND(ISNUMBER($T$324),$B$226=1),$T$324,HLOOKUP(INDIRECT(ADDRESS(2,COLUMN())),OFFSET($BN$2,0,0,ROW()-1,60),ROW()-1,FALSE))</f>
        <v/>
      </c>
      <c r="U113" t="str">
        <f ca="1">IF(AND(ISNUMBER($U$324),$B$226=1),$U$324,HLOOKUP(INDIRECT(ADDRESS(2,COLUMN())),OFFSET($BN$2,0,0,ROW()-1,60),ROW()-1,FALSE))</f>
        <v/>
      </c>
      <c r="V113" t="str">
        <f ca="1">IF(AND(ISNUMBER($V$324),$B$226=1),$V$324,HLOOKUP(INDIRECT(ADDRESS(2,COLUMN())),OFFSET($BN$2,0,0,ROW()-1,60),ROW()-1,FALSE))</f>
        <v/>
      </c>
      <c r="W113" t="str">
        <f ca="1">IF(AND(ISNUMBER($W$324),$B$226=1),$W$324,HLOOKUP(INDIRECT(ADDRESS(2,COLUMN())),OFFSET($BN$2,0,0,ROW()-1,60),ROW()-1,FALSE))</f>
        <v/>
      </c>
      <c r="X113" t="str">
        <f ca="1">IF(AND(ISNUMBER($X$324),$B$226=1),$X$324,HLOOKUP(INDIRECT(ADDRESS(2,COLUMN())),OFFSET($BN$2,0,0,ROW()-1,60),ROW()-1,FALSE))</f>
        <v/>
      </c>
      <c r="Y113" t="str">
        <f ca="1">IF(AND(ISNUMBER($Y$324),$B$226=1),$Y$324,HLOOKUP(INDIRECT(ADDRESS(2,COLUMN())),OFFSET($BN$2,0,0,ROW()-1,60),ROW()-1,FALSE))</f>
        <v/>
      </c>
      <c r="Z113" t="str">
        <f ca="1">IF(AND(ISNUMBER($Z$324),$B$226=1),$Z$324,HLOOKUP(INDIRECT(ADDRESS(2,COLUMN())),OFFSET($BN$2,0,0,ROW()-1,60),ROW()-1,FALSE))</f>
        <v/>
      </c>
      <c r="AA113" t="str">
        <f ca="1">IF(AND(ISNUMBER($AA$324),$B$226=1),$AA$324,HLOOKUP(INDIRECT(ADDRESS(2,COLUMN())),OFFSET($BN$2,0,0,ROW()-1,60),ROW()-1,FALSE))</f>
        <v/>
      </c>
      <c r="AB113" t="str">
        <f ca="1">IF(AND(ISNUMBER($AB$324),$B$226=1),$AB$324,HLOOKUP(INDIRECT(ADDRESS(2,COLUMN())),OFFSET($BN$2,0,0,ROW()-1,60),ROW()-1,FALSE))</f>
        <v/>
      </c>
      <c r="AC113" t="str">
        <f ca="1">IF(AND(ISNUMBER($AC$324),$B$226=1),$AC$324,HLOOKUP(INDIRECT(ADDRESS(2,COLUMN())),OFFSET($BN$2,0,0,ROW()-1,60),ROW()-1,FALSE))</f>
        <v/>
      </c>
      <c r="AD113" t="str">
        <f ca="1">IF(AND(ISNUMBER($AD$324),$B$226=1),$AD$324,HLOOKUP(INDIRECT(ADDRESS(2,COLUMN())),OFFSET($BN$2,0,0,ROW()-1,60),ROW()-1,FALSE))</f>
        <v/>
      </c>
      <c r="AE113" t="str">
        <f ca="1">IF(AND(ISNUMBER($AE$324),$B$226=1),$AE$324,HLOOKUP(INDIRECT(ADDRESS(2,COLUMN())),OFFSET($BN$2,0,0,ROW()-1,60),ROW()-1,FALSE))</f>
        <v/>
      </c>
      <c r="AF113" t="str">
        <f ca="1">IF(AND(ISNUMBER($AF$324),$B$226=1),$AF$324,HLOOKUP(INDIRECT(ADDRESS(2,COLUMN())),OFFSET($BN$2,0,0,ROW()-1,60),ROW()-1,FALSE))</f>
        <v/>
      </c>
      <c r="AG113" t="str">
        <f ca="1">IF(AND(ISNUMBER($AG$324),$B$226=1),$AG$324,HLOOKUP(INDIRECT(ADDRESS(2,COLUMN())),OFFSET($BN$2,0,0,ROW()-1,60),ROW()-1,FALSE))</f>
        <v/>
      </c>
      <c r="AH113" t="str">
        <f ca="1">IF(AND(ISNUMBER($AH$324),$B$226=1),$AH$324,HLOOKUP(INDIRECT(ADDRESS(2,COLUMN())),OFFSET($BN$2,0,0,ROW()-1,60),ROW()-1,FALSE))</f>
        <v/>
      </c>
      <c r="AI113" t="str">
        <f ca="1">IF(AND(ISNUMBER($AI$324),$B$226=1),$AI$324,HLOOKUP(INDIRECT(ADDRESS(2,COLUMN())),OFFSET($BN$2,0,0,ROW()-1,60),ROW()-1,FALSE))</f>
        <v/>
      </c>
      <c r="AJ113" t="str">
        <f ca="1">IF(AND(ISNUMBER($AJ$324),$B$226=1),$AJ$324,HLOOKUP(INDIRECT(ADDRESS(2,COLUMN())),OFFSET($BN$2,0,0,ROW()-1,60),ROW()-1,FALSE))</f>
        <v/>
      </c>
      <c r="AK113" t="str">
        <f ca="1">IF(AND(ISNUMBER($AK$324),$B$226=1),$AK$324,HLOOKUP(INDIRECT(ADDRESS(2,COLUMN())),OFFSET($BN$2,0,0,ROW()-1,60),ROW()-1,FALSE))</f>
        <v/>
      </c>
      <c r="AL113" t="str">
        <f ca="1">IF(AND(ISNUMBER($AL$324),$B$226=1),$AL$324,HLOOKUP(INDIRECT(ADDRESS(2,COLUMN())),OFFSET($BN$2,0,0,ROW()-1,60),ROW()-1,FALSE))</f>
        <v/>
      </c>
      <c r="AM113" t="str">
        <f ca="1">IF(AND(ISNUMBER($AM$324),$B$226=1),$AM$324,HLOOKUP(INDIRECT(ADDRESS(2,COLUMN())),OFFSET($BN$2,0,0,ROW()-1,60),ROW()-1,FALSE))</f>
        <v/>
      </c>
      <c r="AN113" t="str">
        <f ca="1">IF(AND(ISNUMBER($AN$324),$B$226=1),$AN$324,HLOOKUP(INDIRECT(ADDRESS(2,COLUMN())),OFFSET($BN$2,0,0,ROW()-1,60),ROW()-1,FALSE))</f>
        <v/>
      </c>
      <c r="AO113" t="str">
        <f ca="1">IF(AND(ISNUMBER($AO$324),$B$226=1),$AO$324,HLOOKUP(INDIRECT(ADDRESS(2,COLUMN())),OFFSET($BN$2,0,0,ROW()-1,60),ROW()-1,FALSE))</f>
        <v/>
      </c>
      <c r="AP113" t="str">
        <f ca="1">IF(AND(ISNUMBER($AP$324),$B$226=1),$AP$324,HLOOKUP(INDIRECT(ADDRESS(2,COLUMN())),OFFSET($BN$2,0,0,ROW()-1,60),ROW()-1,FALSE))</f>
        <v/>
      </c>
      <c r="AQ113" t="str">
        <f ca="1">IF(AND(ISNUMBER($AQ$324),$B$226=1),$AQ$324,HLOOKUP(INDIRECT(ADDRESS(2,COLUMN())),OFFSET($BN$2,0,0,ROW()-1,60),ROW()-1,FALSE))</f>
        <v/>
      </c>
      <c r="AR113" t="str">
        <f ca="1">IF(AND(ISNUMBER($AR$324),$B$226=1),$AR$324,HLOOKUP(INDIRECT(ADDRESS(2,COLUMN())),OFFSET($BN$2,0,0,ROW()-1,60),ROW()-1,FALSE))</f>
        <v/>
      </c>
      <c r="AS113" t="str">
        <f ca="1">IF(AND(ISNUMBER($AS$324),$B$226=1),$AS$324,HLOOKUP(INDIRECT(ADDRESS(2,COLUMN())),OFFSET($BN$2,0,0,ROW()-1,60),ROW()-1,FALSE))</f>
        <v/>
      </c>
      <c r="AT113" t="str">
        <f ca="1">IF(AND(ISNUMBER($AT$324),$B$226=1),$AT$324,HLOOKUP(INDIRECT(ADDRESS(2,COLUMN())),OFFSET($BN$2,0,0,ROW()-1,60),ROW()-1,FALSE))</f>
        <v/>
      </c>
      <c r="AU113" t="str">
        <f ca="1">IF(AND(ISNUMBER($AU$324),$B$226=1),$AU$324,HLOOKUP(INDIRECT(ADDRESS(2,COLUMN())),OFFSET($BN$2,0,0,ROW()-1,60),ROW()-1,FALSE))</f>
        <v/>
      </c>
      <c r="AV113" t="str">
        <f ca="1">IF(AND(ISNUMBER($AV$324),$B$226=1),$AV$324,HLOOKUP(INDIRECT(ADDRESS(2,COLUMN())),OFFSET($BN$2,0,0,ROW()-1,60),ROW()-1,FALSE))</f>
        <v/>
      </c>
      <c r="AW113" t="str">
        <f ca="1">IF(AND(ISNUMBER($AW$324),$B$226=1),$AW$324,HLOOKUP(INDIRECT(ADDRESS(2,COLUMN())),OFFSET($BN$2,0,0,ROW()-1,60),ROW()-1,FALSE))</f>
        <v/>
      </c>
      <c r="AX113" t="str">
        <f ca="1">IF(AND(ISNUMBER($AX$324),$B$226=1),$AX$324,HLOOKUP(INDIRECT(ADDRESS(2,COLUMN())),OFFSET($BN$2,0,0,ROW()-1,60),ROW()-1,FALSE))</f>
        <v/>
      </c>
      <c r="AY113" t="str">
        <f ca="1">IF(AND(ISNUMBER($AY$324),$B$226=1),$AY$324,HLOOKUP(INDIRECT(ADDRESS(2,COLUMN())),OFFSET($BN$2,0,0,ROW()-1,60),ROW()-1,FALSE))</f>
        <v/>
      </c>
      <c r="AZ113" t="str">
        <f ca="1">IF(AND(ISNUMBER($AZ$324),$B$226=1),$AZ$324,HLOOKUP(INDIRECT(ADDRESS(2,COLUMN())),OFFSET($BN$2,0,0,ROW()-1,60),ROW()-1,FALSE))</f>
        <v/>
      </c>
      <c r="BA113" t="str">
        <f ca="1">IF(AND(ISNUMBER($BA$324),$B$226=1),$BA$324,HLOOKUP(INDIRECT(ADDRESS(2,COLUMN())),OFFSET($BN$2,0,0,ROW()-1,60),ROW()-1,FALSE))</f>
        <v/>
      </c>
      <c r="BB113" t="str">
        <f ca="1">IF(AND(ISNUMBER($BB$324),$B$226=1),$BB$324,HLOOKUP(INDIRECT(ADDRESS(2,COLUMN())),OFFSET($BN$2,0,0,ROW()-1,60),ROW()-1,FALSE))</f>
        <v/>
      </c>
      <c r="BC113" t="str">
        <f ca="1">IF(AND(ISNUMBER($BC$324),$B$226=1),$BC$324,HLOOKUP(INDIRECT(ADDRESS(2,COLUMN())),OFFSET($BN$2,0,0,ROW()-1,60),ROW()-1,FALSE))</f>
        <v/>
      </c>
      <c r="BD113" t="str">
        <f ca="1">IF(AND(ISNUMBER($BD$324),$B$226=1),$BD$324,HLOOKUP(INDIRECT(ADDRESS(2,COLUMN())),OFFSET($BN$2,0,0,ROW()-1,60),ROW()-1,FALSE))</f>
        <v/>
      </c>
      <c r="BE113" t="str">
        <f ca="1">IF(AND(ISNUMBER($BE$324),$B$226=1),$BE$324,HLOOKUP(INDIRECT(ADDRESS(2,COLUMN())),OFFSET($BN$2,0,0,ROW()-1,60),ROW()-1,FALSE))</f>
        <v/>
      </c>
      <c r="BF113" t="str">
        <f ca="1">IF(AND(ISNUMBER($BF$324),$B$226=1),$BF$324,HLOOKUP(INDIRECT(ADDRESS(2,COLUMN())),OFFSET($BN$2,0,0,ROW()-1,60),ROW()-1,FALSE))</f>
        <v/>
      </c>
      <c r="BG113" t="str">
        <f ca="1">IF(AND(ISNUMBER($BG$324),$B$226=1),$BG$324,HLOOKUP(INDIRECT(ADDRESS(2,COLUMN())),OFFSET($BN$2,0,0,ROW()-1,60),ROW()-1,FALSE))</f>
        <v/>
      </c>
      <c r="BH113" t="str">
        <f ca="1">IF(AND(ISNUMBER($BH$324),$B$226=1),$BH$324,HLOOKUP(INDIRECT(ADDRESS(2,COLUMN())),OFFSET($BN$2,0,0,ROW()-1,60),ROW()-1,FALSE))</f>
        <v/>
      </c>
      <c r="BI113" t="str">
        <f ca="1">IF(AND(ISNUMBER($BI$324),$B$226=1),$BI$324,HLOOKUP(INDIRECT(ADDRESS(2,COLUMN())),OFFSET($BN$2,0,0,ROW()-1,60),ROW()-1,FALSE))</f>
        <v/>
      </c>
      <c r="BJ113" t="str">
        <f ca="1">IF(AND(ISNUMBER($BJ$324),$B$226=1),$BJ$324,HLOOKUP(INDIRECT(ADDRESS(2,COLUMN())),OFFSET($BN$2,0,0,ROW()-1,60),ROW()-1,FALSE))</f>
        <v/>
      </c>
      <c r="BK113" t="str">
        <f ca="1">IF(AND(ISNUMBER($BK$324),$B$226=1),$BK$324,HLOOKUP(INDIRECT(ADDRESS(2,COLUMN())),OFFSET($BN$2,0,0,ROW()-1,60),ROW()-1,FALSE))</f>
        <v/>
      </c>
      <c r="BL113" t="str">
        <f ca="1">IF(AND(ISNUMBER($BL$324),$B$226=1),$BL$324,HLOOKUP(INDIRECT(ADDRESS(2,COLUMN())),OFFSET($BN$2,0,0,ROW()-1,60),ROW()-1,FALSE))</f>
        <v/>
      </c>
      <c r="BM113" t="str">
        <f ca="1">IF(AND(ISNUMBER($BM$324),$B$226=1),$BM$324,HLOOKUP(INDIRECT(ADDRESS(2,COLUMN())),OFFSET($BN$2,0,0,ROW()-1,60),ROW()-1,FALSE))</f>
        <v/>
      </c>
      <c r="BN113" t="str">
        <f>""</f>
        <v/>
      </c>
      <c r="BO113" t="str">
        <f>""</f>
        <v/>
      </c>
      <c r="BP113" t="str">
        <f>""</f>
        <v/>
      </c>
      <c r="BQ113" t="str">
        <f>""</f>
        <v/>
      </c>
      <c r="BR113" t="str">
        <f>""</f>
        <v/>
      </c>
      <c r="BS113" t="str">
        <f>""</f>
        <v/>
      </c>
      <c r="BT113" t="str">
        <f>""</f>
        <v/>
      </c>
      <c r="BU113" t="str">
        <f>""</f>
        <v/>
      </c>
      <c r="BV113" t="str">
        <f>""</f>
        <v/>
      </c>
      <c r="BW113" t="str">
        <f>""</f>
        <v/>
      </c>
      <c r="BX113" t="str">
        <f>""</f>
        <v/>
      </c>
      <c r="BY113" t="str">
        <f>""</f>
        <v/>
      </c>
      <c r="BZ113" t="str">
        <f>""</f>
        <v/>
      </c>
      <c r="CA113" t="str">
        <f>""</f>
        <v/>
      </c>
      <c r="CB113" t="str">
        <f>""</f>
        <v/>
      </c>
      <c r="CC113" t="str">
        <f>""</f>
        <v/>
      </c>
      <c r="CD113" t="str">
        <f>""</f>
        <v/>
      </c>
      <c r="CE113" t="str">
        <f>""</f>
        <v/>
      </c>
      <c r="CF113" t="str">
        <f>""</f>
        <v/>
      </c>
      <c r="CG113" t="str">
        <f>""</f>
        <v/>
      </c>
      <c r="CH113" t="str">
        <f>""</f>
        <v/>
      </c>
      <c r="CI113" t="str">
        <f>""</f>
        <v/>
      </c>
      <c r="CJ113" t="str">
        <f>""</f>
        <v/>
      </c>
      <c r="CK113" t="str">
        <f>""</f>
        <v/>
      </c>
      <c r="CL113" t="str">
        <f>""</f>
        <v/>
      </c>
      <c r="CM113" t="str">
        <f>""</f>
        <v/>
      </c>
      <c r="CN113" t="str">
        <f>""</f>
        <v/>
      </c>
      <c r="CO113" t="str">
        <f>""</f>
        <v/>
      </c>
      <c r="CP113" t="str">
        <f>""</f>
        <v/>
      </c>
      <c r="CQ113" t="str">
        <f>""</f>
        <v/>
      </c>
      <c r="CR113" t="str">
        <f>""</f>
        <v/>
      </c>
      <c r="CS113" t="str">
        <f>""</f>
        <v/>
      </c>
      <c r="CT113" t="str">
        <f>""</f>
        <v/>
      </c>
      <c r="CU113" t="str">
        <f>""</f>
        <v/>
      </c>
      <c r="CV113" t="str">
        <f>""</f>
        <v/>
      </c>
      <c r="CW113" t="str">
        <f>""</f>
        <v/>
      </c>
      <c r="CX113" t="str">
        <f>""</f>
        <v/>
      </c>
      <c r="CY113" t="str">
        <f>""</f>
        <v/>
      </c>
      <c r="CZ113" t="str">
        <f>""</f>
        <v/>
      </c>
      <c r="DA113" t="str">
        <f>""</f>
        <v/>
      </c>
      <c r="DB113" t="str">
        <f>""</f>
        <v/>
      </c>
      <c r="DC113" t="str">
        <f>""</f>
        <v/>
      </c>
      <c r="DD113" t="str">
        <f>""</f>
        <v/>
      </c>
      <c r="DE113" t="str">
        <f>""</f>
        <v/>
      </c>
      <c r="DF113" t="str">
        <f>""</f>
        <v/>
      </c>
      <c r="DG113" t="str">
        <f>""</f>
        <v/>
      </c>
      <c r="DH113" t="str">
        <f>""</f>
        <v/>
      </c>
      <c r="DI113" t="str">
        <f>""</f>
        <v/>
      </c>
      <c r="DJ113" t="str">
        <f>""</f>
        <v/>
      </c>
      <c r="DK113" t="str">
        <f>""</f>
        <v/>
      </c>
      <c r="DL113" t="str">
        <f>""</f>
        <v/>
      </c>
      <c r="DM113" t="str">
        <f>""</f>
        <v/>
      </c>
      <c r="DN113" t="str">
        <f>""</f>
        <v/>
      </c>
      <c r="DO113" t="str">
        <f>""</f>
        <v/>
      </c>
      <c r="DP113" t="str">
        <f>""</f>
        <v/>
      </c>
      <c r="DQ113" t="str">
        <f>""</f>
        <v/>
      </c>
      <c r="DR113" t="str">
        <f>""</f>
        <v/>
      </c>
      <c r="DS113" t="str">
        <f>""</f>
        <v/>
      </c>
      <c r="DT113" t="str">
        <f>""</f>
        <v/>
      </c>
      <c r="DU113" t="str">
        <f>""</f>
        <v/>
      </c>
    </row>
    <row r="114" spans="1:125">
      <c r="A114" t="str">
        <f>"    AvalonBay Communities Inc"</f>
        <v xml:space="preserve">    AvalonBay Communities Inc</v>
      </c>
      <c r="B114" t="str">
        <f>"AVB US Equity"</f>
        <v>AVB US Equity</v>
      </c>
      <c r="C114" t="str">
        <f t="shared" si="36"/>
        <v>BE592</v>
      </c>
      <c r="D114" t="str">
        <f t="shared" si="37"/>
        <v>BEST_FFOPS_YOY_GTH</v>
      </c>
      <c r="E114" t="str">
        <f t="shared" si="38"/>
        <v>动态</v>
      </c>
      <c r="F114" t="str">
        <f ca="1">IF(AND(ISNUMBER($F$325),$B$226=1),$F$325,HLOOKUP(INDIRECT(ADDRESS(2,COLUMN())),OFFSET($BN$2,0,0,ROW()-1,60),ROW()-1,FALSE))</f>
        <v/>
      </c>
      <c r="G114" t="str">
        <f ca="1">IF(AND(ISNUMBER($G$325),$B$226=1),$G$325,HLOOKUP(INDIRECT(ADDRESS(2,COLUMN())),OFFSET($BN$2,0,0,ROW()-1,60),ROW()-1,FALSE))</f>
        <v/>
      </c>
      <c r="H114" t="str">
        <f ca="1">IF(AND(ISNUMBER($H$325),$B$226=1),$H$325,HLOOKUP(INDIRECT(ADDRESS(2,COLUMN())),OFFSET($BN$2,0,0,ROW()-1,60),ROW()-1,FALSE))</f>
        <v/>
      </c>
      <c r="I114" t="str">
        <f ca="1">IF(AND(ISNUMBER($I$325),$B$226=1),$I$325,HLOOKUP(INDIRECT(ADDRESS(2,COLUMN())),OFFSET($BN$2,0,0,ROW()-1,60),ROW()-1,FALSE))</f>
        <v/>
      </c>
      <c r="J114" t="str">
        <f ca="1">IF(AND(ISNUMBER($J$325),$B$226=1),$J$325,HLOOKUP(INDIRECT(ADDRESS(2,COLUMN())),OFFSET($BN$2,0,0,ROW()-1,60),ROW()-1,FALSE))</f>
        <v/>
      </c>
      <c r="K114" t="str">
        <f ca="1">IF(AND(ISNUMBER($K$325),$B$226=1),$K$325,HLOOKUP(INDIRECT(ADDRESS(2,COLUMN())),OFFSET($BN$2,0,0,ROW()-1,60),ROW()-1,FALSE))</f>
        <v/>
      </c>
      <c r="L114" t="str">
        <f ca="1">IF(AND(ISNUMBER($L$325),$B$226=1),$L$325,HLOOKUP(INDIRECT(ADDRESS(2,COLUMN())),OFFSET($BN$2,0,0,ROW()-1,60),ROW()-1,FALSE))</f>
        <v/>
      </c>
      <c r="M114" t="str">
        <f ca="1">IF(AND(ISNUMBER($M$325),$B$226=1),$M$325,HLOOKUP(INDIRECT(ADDRESS(2,COLUMN())),OFFSET($BN$2,0,0,ROW()-1,60),ROW()-1,FALSE))</f>
        <v/>
      </c>
      <c r="N114" t="str">
        <f ca="1">IF(AND(ISNUMBER($N$325),$B$226=1),$N$325,HLOOKUP(INDIRECT(ADDRESS(2,COLUMN())),OFFSET($BN$2,0,0,ROW()-1,60),ROW()-1,FALSE))</f>
        <v/>
      </c>
      <c r="O114" t="str">
        <f ca="1">IF(AND(ISNUMBER($O$325),$B$226=1),$O$325,HLOOKUP(INDIRECT(ADDRESS(2,COLUMN())),OFFSET($BN$2,0,0,ROW()-1,60),ROW()-1,FALSE))</f>
        <v/>
      </c>
      <c r="P114" t="str">
        <f ca="1">IF(AND(ISNUMBER($P$325),$B$226=1),$P$325,HLOOKUP(INDIRECT(ADDRESS(2,COLUMN())),OFFSET($BN$2,0,0,ROW()-1,60),ROW()-1,FALSE))</f>
        <v/>
      </c>
      <c r="Q114" t="str">
        <f ca="1">IF(AND(ISNUMBER($Q$325),$B$226=1),$Q$325,HLOOKUP(INDIRECT(ADDRESS(2,COLUMN())),OFFSET($BN$2,0,0,ROW()-1,60),ROW()-1,FALSE))</f>
        <v/>
      </c>
      <c r="R114" t="str">
        <f ca="1">IF(AND(ISNUMBER($R$325),$B$226=1),$R$325,HLOOKUP(INDIRECT(ADDRESS(2,COLUMN())),OFFSET($BN$2,0,0,ROW()-1,60),ROW()-1,FALSE))</f>
        <v/>
      </c>
      <c r="S114" t="str">
        <f ca="1">IF(AND(ISNUMBER($S$325),$B$226=1),$S$325,HLOOKUP(INDIRECT(ADDRESS(2,COLUMN())),OFFSET($BN$2,0,0,ROW()-1,60),ROW()-1,FALSE))</f>
        <v/>
      </c>
      <c r="T114" t="str">
        <f ca="1">IF(AND(ISNUMBER($T$325),$B$226=1),$T$325,HLOOKUP(INDIRECT(ADDRESS(2,COLUMN())),OFFSET($BN$2,0,0,ROW()-1,60),ROW()-1,FALSE))</f>
        <v/>
      </c>
      <c r="U114" t="str">
        <f ca="1">IF(AND(ISNUMBER($U$325),$B$226=1),$U$325,HLOOKUP(INDIRECT(ADDRESS(2,COLUMN())),OFFSET($BN$2,0,0,ROW()-1,60),ROW()-1,FALSE))</f>
        <v/>
      </c>
      <c r="V114" t="str">
        <f ca="1">IF(AND(ISNUMBER($V$325),$B$226=1),$V$325,HLOOKUP(INDIRECT(ADDRESS(2,COLUMN())),OFFSET($BN$2,0,0,ROW()-1,60),ROW()-1,FALSE))</f>
        <v/>
      </c>
      <c r="W114" t="str">
        <f ca="1">IF(AND(ISNUMBER($W$325),$B$226=1),$W$325,HLOOKUP(INDIRECT(ADDRESS(2,COLUMN())),OFFSET($BN$2,0,0,ROW()-1,60),ROW()-1,FALSE))</f>
        <v/>
      </c>
      <c r="X114" t="str">
        <f ca="1">IF(AND(ISNUMBER($X$325),$B$226=1),$X$325,HLOOKUP(INDIRECT(ADDRESS(2,COLUMN())),OFFSET($BN$2,0,0,ROW()-1,60),ROW()-1,FALSE))</f>
        <v/>
      </c>
      <c r="Y114" t="str">
        <f ca="1">IF(AND(ISNUMBER($Y$325),$B$226=1),$Y$325,HLOOKUP(INDIRECT(ADDRESS(2,COLUMN())),OFFSET($BN$2,0,0,ROW()-1,60),ROW()-1,FALSE))</f>
        <v/>
      </c>
      <c r="Z114" t="str">
        <f ca="1">IF(AND(ISNUMBER($Z$325),$B$226=1),$Z$325,HLOOKUP(INDIRECT(ADDRESS(2,COLUMN())),OFFSET($BN$2,0,0,ROW()-1,60),ROW()-1,FALSE))</f>
        <v/>
      </c>
      <c r="AA114" t="str">
        <f ca="1">IF(AND(ISNUMBER($AA$325),$B$226=1),$AA$325,HLOOKUP(INDIRECT(ADDRESS(2,COLUMN())),OFFSET($BN$2,0,0,ROW()-1,60),ROW()-1,FALSE))</f>
        <v/>
      </c>
      <c r="AB114" t="str">
        <f ca="1">IF(AND(ISNUMBER($AB$325),$B$226=1),$AB$325,HLOOKUP(INDIRECT(ADDRESS(2,COLUMN())),OFFSET($BN$2,0,0,ROW()-1,60),ROW()-1,FALSE))</f>
        <v/>
      </c>
      <c r="AC114" t="str">
        <f ca="1">IF(AND(ISNUMBER($AC$325),$B$226=1),$AC$325,HLOOKUP(INDIRECT(ADDRESS(2,COLUMN())),OFFSET($BN$2,0,0,ROW()-1,60),ROW()-1,FALSE))</f>
        <v/>
      </c>
      <c r="AD114" t="str">
        <f ca="1">IF(AND(ISNUMBER($AD$325),$B$226=1),$AD$325,HLOOKUP(INDIRECT(ADDRESS(2,COLUMN())),OFFSET($BN$2,0,0,ROW()-1,60),ROW()-1,FALSE))</f>
        <v/>
      </c>
      <c r="AE114" t="str">
        <f ca="1">IF(AND(ISNUMBER($AE$325),$B$226=1),$AE$325,HLOOKUP(INDIRECT(ADDRESS(2,COLUMN())),OFFSET($BN$2,0,0,ROW()-1,60),ROW()-1,FALSE))</f>
        <v/>
      </c>
      <c r="AF114" t="str">
        <f ca="1">IF(AND(ISNUMBER($AF$325),$B$226=1),$AF$325,HLOOKUP(INDIRECT(ADDRESS(2,COLUMN())),OFFSET($BN$2,0,0,ROW()-1,60),ROW()-1,FALSE))</f>
        <v/>
      </c>
      <c r="AG114" t="str">
        <f ca="1">IF(AND(ISNUMBER($AG$325),$B$226=1),$AG$325,HLOOKUP(INDIRECT(ADDRESS(2,COLUMN())),OFFSET($BN$2,0,0,ROW()-1,60),ROW()-1,FALSE))</f>
        <v/>
      </c>
      <c r="AH114" t="str">
        <f ca="1">IF(AND(ISNUMBER($AH$325),$B$226=1),$AH$325,HLOOKUP(INDIRECT(ADDRESS(2,COLUMN())),OFFSET($BN$2,0,0,ROW()-1,60),ROW()-1,FALSE))</f>
        <v/>
      </c>
      <c r="AI114" t="str">
        <f ca="1">IF(AND(ISNUMBER($AI$325),$B$226=1),$AI$325,HLOOKUP(INDIRECT(ADDRESS(2,COLUMN())),OFFSET($BN$2,0,0,ROW()-1,60),ROW()-1,FALSE))</f>
        <v/>
      </c>
      <c r="AJ114" t="str">
        <f ca="1">IF(AND(ISNUMBER($AJ$325),$B$226=1),$AJ$325,HLOOKUP(INDIRECT(ADDRESS(2,COLUMN())),OFFSET($BN$2,0,0,ROW()-1,60),ROW()-1,FALSE))</f>
        <v/>
      </c>
      <c r="AK114" t="str">
        <f ca="1">IF(AND(ISNUMBER($AK$325),$B$226=1),$AK$325,HLOOKUP(INDIRECT(ADDRESS(2,COLUMN())),OFFSET($BN$2,0,0,ROW()-1,60),ROW()-1,FALSE))</f>
        <v/>
      </c>
      <c r="AL114" t="str">
        <f ca="1">IF(AND(ISNUMBER($AL$325),$B$226=1),$AL$325,HLOOKUP(INDIRECT(ADDRESS(2,COLUMN())),OFFSET($BN$2,0,0,ROW()-1,60),ROW()-1,FALSE))</f>
        <v/>
      </c>
      <c r="AM114" t="str">
        <f ca="1">IF(AND(ISNUMBER($AM$325),$B$226=1),$AM$325,HLOOKUP(INDIRECT(ADDRESS(2,COLUMN())),OFFSET($BN$2,0,0,ROW()-1,60),ROW()-1,FALSE))</f>
        <v/>
      </c>
      <c r="AN114" t="str">
        <f ca="1">IF(AND(ISNUMBER($AN$325),$B$226=1),$AN$325,HLOOKUP(INDIRECT(ADDRESS(2,COLUMN())),OFFSET($BN$2,0,0,ROW()-1,60),ROW()-1,FALSE))</f>
        <v/>
      </c>
      <c r="AO114" t="str">
        <f ca="1">IF(AND(ISNUMBER($AO$325),$B$226=1),$AO$325,HLOOKUP(INDIRECT(ADDRESS(2,COLUMN())),OFFSET($BN$2,0,0,ROW()-1,60),ROW()-1,FALSE))</f>
        <v/>
      </c>
      <c r="AP114" t="str">
        <f ca="1">IF(AND(ISNUMBER($AP$325),$B$226=1),$AP$325,HLOOKUP(INDIRECT(ADDRESS(2,COLUMN())),OFFSET($BN$2,0,0,ROW()-1,60),ROW()-1,FALSE))</f>
        <v/>
      </c>
      <c r="AQ114" t="str">
        <f ca="1">IF(AND(ISNUMBER($AQ$325),$B$226=1),$AQ$325,HLOOKUP(INDIRECT(ADDRESS(2,COLUMN())),OFFSET($BN$2,0,0,ROW()-1,60),ROW()-1,FALSE))</f>
        <v/>
      </c>
      <c r="AR114" t="str">
        <f ca="1">IF(AND(ISNUMBER($AR$325),$B$226=1),$AR$325,HLOOKUP(INDIRECT(ADDRESS(2,COLUMN())),OFFSET($BN$2,0,0,ROW()-1,60),ROW()-1,FALSE))</f>
        <v/>
      </c>
      <c r="AS114" t="str">
        <f ca="1">IF(AND(ISNUMBER($AS$325),$B$226=1),$AS$325,HLOOKUP(INDIRECT(ADDRESS(2,COLUMN())),OFFSET($BN$2,0,0,ROW()-1,60),ROW()-1,FALSE))</f>
        <v/>
      </c>
      <c r="AT114" t="str">
        <f ca="1">IF(AND(ISNUMBER($AT$325),$B$226=1),$AT$325,HLOOKUP(INDIRECT(ADDRESS(2,COLUMN())),OFFSET($BN$2,0,0,ROW()-1,60),ROW()-1,FALSE))</f>
        <v/>
      </c>
      <c r="AU114" t="str">
        <f ca="1">IF(AND(ISNUMBER($AU$325),$B$226=1),$AU$325,HLOOKUP(INDIRECT(ADDRESS(2,COLUMN())),OFFSET($BN$2,0,0,ROW()-1,60),ROW()-1,FALSE))</f>
        <v/>
      </c>
      <c r="AV114" t="str">
        <f ca="1">IF(AND(ISNUMBER($AV$325),$B$226=1),$AV$325,HLOOKUP(INDIRECT(ADDRESS(2,COLUMN())),OFFSET($BN$2,0,0,ROW()-1,60),ROW()-1,FALSE))</f>
        <v/>
      </c>
      <c r="AW114" t="str">
        <f ca="1">IF(AND(ISNUMBER($AW$325),$B$226=1),$AW$325,HLOOKUP(INDIRECT(ADDRESS(2,COLUMN())),OFFSET($BN$2,0,0,ROW()-1,60),ROW()-1,FALSE))</f>
        <v/>
      </c>
      <c r="AX114" t="str">
        <f ca="1">IF(AND(ISNUMBER($AX$325),$B$226=1),$AX$325,HLOOKUP(INDIRECT(ADDRESS(2,COLUMN())),OFFSET($BN$2,0,0,ROW()-1,60),ROW()-1,FALSE))</f>
        <v/>
      </c>
      <c r="AY114" t="str">
        <f ca="1">IF(AND(ISNUMBER($AY$325),$B$226=1),$AY$325,HLOOKUP(INDIRECT(ADDRESS(2,COLUMN())),OFFSET($BN$2,0,0,ROW()-1,60),ROW()-1,FALSE))</f>
        <v/>
      </c>
      <c r="AZ114" t="str">
        <f ca="1">IF(AND(ISNUMBER($AZ$325),$B$226=1),$AZ$325,HLOOKUP(INDIRECT(ADDRESS(2,COLUMN())),OFFSET($BN$2,0,0,ROW()-1,60),ROW()-1,FALSE))</f>
        <v/>
      </c>
      <c r="BA114" t="str">
        <f ca="1">IF(AND(ISNUMBER($BA$325),$B$226=1),$BA$325,HLOOKUP(INDIRECT(ADDRESS(2,COLUMN())),OFFSET($BN$2,0,0,ROW()-1,60),ROW()-1,FALSE))</f>
        <v/>
      </c>
      <c r="BB114" t="str">
        <f ca="1">IF(AND(ISNUMBER($BB$325),$B$226=1),$BB$325,HLOOKUP(INDIRECT(ADDRESS(2,COLUMN())),OFFSET($BN$2,0,0,ROW()-1,60),ROW()-1,FALSE))</f>
        <v/>
      </c>
      <c r="BC114" t="str">
        <f ca="1">IF(AND(ISNUMBER($BC$325),$B$226=1),$BC$325,HLOOKUP(INDIRECT(ADDRESS(2,COLUMN())),OFFSET($BN$2,0,0,ROW()-1,60),ROW()-1,FALSE))</f>
        <v/>
      </c>
      <c r="BD114" t="str">
        <f ca="1">IF(AND(ISNUMBER($BD$325),$B$226=1),$BD$325,HLOOKUP(INDIRECT(ADDRESS(2,COLUMN())),OFFSET($BN$2,0,0,ROW()-1,60),ROW()-1,FALSE))</f>
        <v/>
      </c>
      <c r="BE114" t="str">
        <f ca="1">IF(AND(ISNUMBER($BE$325),$B$226=1),$BE$325,HLOOKUP(INDIRECT(ADDRESS(2,COLUMN())),OFFSET($BN$2,0,0,ROW()-1,60),ROW()-1,FALSE))</f>
        <v/>
      </c>
      <c r="BF114" t="str">
        <f ca="1">IF(AND(ISNUMBER($BF$325),$B$226=1),$BF$325,HLOOKUP(INDIRECT(ADDRESS(2,COLUMN())),OFFSET($BN$2,0,0,ROW()-1,60),ROW()-1,FALSE))</f>
        <v/>
      </c>
      <c r="BG114" t="str">
        <f ca="1">IF(AND(ISNUMBER($BG$325),$B$226=1),$BG$325,HLOOKUP(INDIRECT(ADDRESS(2,COLUMN())),OFFSET($BN$2,0,0,ROW()-1,60),ROW()-1,FALSE))</f>
        <v/>
      </c>
      <c r="BH114" t="str">
        <f ca="1">IF(AND(ISNUMBER($BH$325),$B$226=1),$BH$325,HLOOKUP(INDIRECT(ADDRESS(2,COLUMN())),OFFSET($BN$2,0,0,ROW()-1,60),ROW()-1,FALSE))</f>
        <v/>
      </c>
      <c r="BI114" t="str">
        <f ca="1">IF(AND(ISNUMBER($BI$325),$B$226=1),$BI$325,HLOOKUP(INDIRECT(ADDRESS(2,COLUMN())),OFFSET($BN$2,0,0,ROW()-1,60),ROW()-1,FALSE))</f>
        <v/>
      </c>
      <c r="BJ114" t="str">
        <f ca="1">IF(AND(ISNUMBER($BJ$325),$B$226=1),$BJ$325,HLOOKUP(INDIRECT(ADDRESS(2,COLUMN())),OFFSET($BN$2,0,0,ROW()-1,60),ROW()-1,FALSE))</f>
        <v/>
      </c>
      <c r="BK114" t="str">
        <f ca="1">IF(AND(ISNUMBER($BK$325),$B$226=1),$BK$325,HLOOKUP(INDIRECT(ADDRESS(2,COLUMN())),OFFSET($BN$2,0,0,ROW()-1,60),ROW()-1,FALSE))</f>
        <v/>
      </c>
      <c r="BL114" t="str">
        <f ca="1">IF(AND(ISNUMBER($BL$325),$B$226=1),$BL$325,HLOOKUP(INDIRECT(ADDRESS(2,COLUMN())),OFFSET($BN$2,0,0,ROW()-1,60),ROW()-1,FALSE))</f>
        <v/>
      </c>
      <c r="BM114" t="str">
        <f ca="1">IF(AND(ISNUMBER($BM$325),$B$226=1),$BM$325,HLOOKUP(INDIRECT(ADDRESS(2,COLUMN())),OFFSET($BN$2,0,0,ROW()-1,60),ROW()-1,FALSE))</f>
        <v/>
      </c>
      <c r="BN114" t="str">
        <f>""</f>
        <v/>
      </c>
      <c r="BO114" t="str">
        <f>""</f>
        <v/>
      </c>
      <c r="BP114" t="str">
        <f>""</f>
        <v/>
      </c>
      <c r="BQ114" t="str">
        <f>""</f>
        <v/>
      </c>
      <c r="BR114" t="str">
        <f>""</f>
        <v/>
      </c>
      <c r="BS114" t="str">
        <f>""</f>
        <v/>
      </c>
      <c r="BT114" t="str">
        <f>""</f>
        <v/>
      </c>
      <c r="BU114" t="str">
        <f>""</f>
        <v/>
      </c>
      <c r="BV114" t="str">
        <f>""</f>
        <v/>
      </c>
      <c r="BW114" t="str">
        <f>""</f>
        <v/>
      </c>
      <c r="BX114" t="str">
        <f>""</f>
        <v/>
      </c>
      <c r="BY114" t="str">
        <f>""</f>
        <v/>
      </c>
      <c r="BZ114" t="str">
        <f>""</f>
        <v/>
      </c>
      <c r="CA114" t="str">
        <f>""</f>
        <v/>
      </c>
      <c r="CB114" t="str">
        <f>""</f>
        <v/>
      </c>
      <c r="CC114" t="str">
        <f>""</f>
        <v/>
      </c>
      <c r="CD114" t="str">
        <f>""</f>
        <v/>
      </c>
      <c r="CE114" t="str">
        <f>""</f>
        <v/>
      </c>
      <c r="CF114" t="str">
        <f>""</f>
        <v/>
      </c>
      <c r="CG114" t="str">
        <f>""</f>
        <v/>
      </c>
      <c r="CH114" t="str">
        <f>""</f>
        <v/>
      </c>
      <c r="CI114" t="str">
        <f>""</f>
        <v/>
      </c>
      <c r="CJ114" t="str">
        <f>""</f>
        <v/>
      </c>
      <c r="CK114" t="str">
        <f>""</f>
        <v/>
      </c>
      <c r="CL114" t="str">
        <f>""</f>
        <v/>
      </c>
      <c r="CM114" t="str">
        <f>""</f>
        <v/>
      </c>
      <c r="CN114" t="str">
        <f>""</f>
        <v/>
      </c>
      <c r="CO114" t="str">
        <f>""</f>
        <v/>
      </c>
      <c r="CP114" t="str">
        <f>""</f>
        <v/>
      </c>
      <c r="CQ114" t="str">
        <f>""</f>
        <v/>
      </c>
      <c r="CR114" t="str">
        <f>""</f>
        <v/>
      </c>
      <c r="CS114" t="str">
        <f>""</f>
        <v/>
      </c>
      <c r="CT114" t="str">
        <f>""</f>
        <v/>
      </c>
      <c r="CU114" t="str">
        <f>""</f>
        <v/>
      </c>
      <c r="CV114" t="str">
        <f>""</f>
        <v/>
      </c>
      <c r="CW114" t="str">
        <f>""</f>
        <v/>
      </c>
      <c r="CX114" t="str">
        <f>""</f>
        <v/>
      </c>
      <c r="CY114" t="str">
        <f>""</f>
        <v/>
      </c>
      <c r="CZ114" t="str">
        <f>""</f>
        <v/>
      </c>
      <c r="DA114" t="str">
        <f>""</f>
        <v/>
      </c>
      <c r="DB114" t="str">
        <f>""</f>
        <v/>
      </c>
      <c r="DC114" t="str">
        <f>""</f>
        <v/>
      </c>
      <c r="DD114" t="str">
        <f>""</f>
        <v/>
      </c>
      <c r="DE114" t="str">
        <f>""</f>
        <v/>
      </c>
      <c r="DF114" t="str">
        <f>""</f>
        <v/>
      </c>
      <c r="DG114" t="str">
        <f>""</f>
        <v/>
      </c>
      <c r="DH114" t="str">
        <f>""</f>
        <v/>
      </c>
      <c r="DI114" t="str">
        <f>""</f>
        <v/>
      </c>
      <c r="DJ114" t="str">
        <f>""</f>
        <v/>
      </c>
      <c r="DK114" t="str">
        <f>""</f>
        <v/>
      </c>
      <c r="DL114" t="str">
        <f>""</f>
        <v/>
      </c>
      <c r="DM114" t="str">
        <f>""</f>
        <v/>
      </c>
      <c r="DN114" t="str">
        <f>""</f>
        <v/>
      </c>
      <c r="DO114" t="str">
        <f>""</f>
        <v/>
      </c>
      <c r="DP114" t="str">
        <f>""</f>
        <v/>
      </c>
      <c r="DQ114" t="str">
        <f>""</f>
        <v/>
      </c>
      <c r="DR114" t="str">
        <f>""</f>
        <v/>
      </c>
      <c r="DS114" t="str">
        <f>""</f>
        <v/>
      </c>
      <c r="DT114" t="str">
        <f>""</f>
        <v/>
      </c>
      <c r="DU114" t="str">
        <f>""</f>
        <v/>
      </c>
    </row>
    <row r="115" spans="1:125">
      <c r="A115" t="str">
        <f>"    Camden Property Trust"</f>
        <v xml:space="preserve">    Camden Property Trust</v>
      </c>
      <c r="B115" t="str">
        <f>"CPT US Equity"</f>
        <v>CPT US Equity</v>
      </c>
      <c r="C115" t="str">
        <f t="shared" si="36"/>
        <v>BE592</v>
      </c>
      <c r="D115" t="str">
        <f t="shared" si="37"/>
        <v>BEST_FFOPS_YOY_GTH</v>
      </c>
      <c r="E115" t="str">
        <f t="shared" si="38"/>
        <v>动态</v>
      </c>
      <c r="F115" t="str">
        <f ca="1">IF(AND(ISNUMBER($F$326),$B$226=1),$F$326,HLOOKUP(INDIRECT(ADDRESS(2,COLUMN())),OFFSET($BN$2,0,0,ROW()-1,60),ROW()-1,FALSE))</f>
        <v/>
      </c>
      <c r="G115" t="str">
        <f ca="1">IF(AND(ISNUMBER($G$326),$B$226=1),$G$326,HLOOKUP(INDIRECT(ADDRESS(2,COLUMN())),OFFSET($BN$2,0,0,ROW()-1,60),ROW()-1,FALSE))</f>
        <v/>
      </c>
      <c r="H115" t="str">
        <f ca="1">IF(AND(ISNUMBER($H$326),$B$226=1),$H$326,HLOOKUP(INDIRECT(ADDRESS(2,COLUMN())),OFFSET($BN$2,0,0,ROW()-1,60),ROW()-1,FALSE))</f>
        <v/>
      </c>
      <c r="I115" t="str">
        <f ca="1">IF(AND(ISNUMBER($I$326),$B$226=1),$I$326,HLOOKUP(INDIRECT(ADDRESS(2,COLUMN())),OFFSET($BN$2,0,0,ROW()-1,60),ROW()-1,FALSE))</f>
        <v/>
      </c>
      <c r="J115" t="str">
        <f ca="1">IF(AND(ISNUMBER($J$326),$B$226=1),$J$326,HLOOKUP(INDIRECT(ADDRESS(2,COLUMN())),OFFSET($BN$2,0,0,ROW()-1,60),ROW()-1,FALSE))</f>
        <v/>
      </c>
      <c r="K115" t="str">
        <f ca="1">IF(AND(ISNUMBER($K$326),$B$226=1),$K$326,HLOOKUP(INDIRECT(ADDRESS(2,COLUMN())),OFFSET($BN$2,0,0,ROW()-1,60),ROW()-1,FALSE))</f>
        <v/>
      </c>
      <c r="L115" t="str">
        <f ca="1">IF(AND(ISNUMBER($L$326),$B$226=1),$L$326,HLOOKUP(INDIRECT(ADDRESS(2,COLUMN())),OFFSET($BN$2,0,0,ROW()-1,60),ROW()-1,FALSE))</f>
        <v/>
      </c>
      <c r="M115" t="str">
        <f ca="1">IF(AND(ISNUMBER($M$326),$B$226=1),$M$326,HLOOKUP(INDIRECT(ADDRESS(2,COLUMN())),OFFSET($BN$2,0,0,ROW()-1,60),ROW()-1,FALSE))</f>
        <v/>
      </c>
      <c r="N115" t="str">
        <f ca="1">IF(AND(ISNUMBER($N$326),$B$226=1),$N$326,HLOOKUP(INDIRECT(ADDRESS(2,COLUMN())),OFFSET($BN$2,0,0,ROW()-1,60),ROW()-1,FALSE))</f>
        <v/>
      </c>
      <c r="O115" t="str">
        <f ca="1">IF(AND(ISNUMBER($O$326),$B$226=1),$O$326,HLOOKUP(INDIRECT(ADDRESS(2,COLUMN())),OFFSET($BN$2,0,0,ROW()-1,60),ROW()-1,FALSE))</f>
        <v/>
      </c>
      <c r="P115" t="str">
        <f ca="1">IF(AND(ISNUMBER($P$326),$B$226=1),$P$326,HLOOKUP(INDIRECT(ADDRESS(2,COLUMN())),OFFSET($BN$2,0,0,ROW()-1,60),ROW()-1,FALSE))</f>
        <v/>
      </c>
      <c r="Q115" t="str">
        <f ca="1">IF(AND(ISNUMBER($Q$326),$B$226=1),$Q$326,HLOOKUP(INDIRECT(ADDRESS(2,COLUMN())),OFFSET($BN$2,0,0,ROW()-1,60),ROW()-1,FALSE))</f>
        <v/>
      </c>
      <c r="R115" t="str">
        <f ca="1">IF(AND(ISNUMBER($R$326),$B$226=1),$R$326,HLOOKUP(INDIRECT(ADDRESS(2,COLUMN())),OFFSET($BN$2,0,0,ROW()-1,60),ROW()-1,FALSE))</f>
        <v/>
      </c>
      <c r="S115" t="str">
        <f ca="1">IF(AND(ISNUMBER($S$326),$B$226=1),$S$326,HLOOKUP(INDIRECT(ADDRESS(2,COLUMN())),OFFSET($BN$2,0,0,ROW()-1,60),ROW()-1,FALSE))</f>
        <v/>
      </c>
      <c r="T115" t="str">
        <f ca="1">IF(AND(ISNUMBER($T$326),$B$226=1),$T$326,HLOOKUP(INDIRECT(ADDRESS(2,COLUMN())),OFFSET($BN$2,0,0,ROW()-1,60),ROW()-1,FALSE))</f>
        <v/>
      </c>
      <c r="U115" t="str">
        <f ca="1">IF(AND(ISNUMBER($U$326),$B$226=1),$U$326,HLOOKUP(INDIRECT(ADDRESS(2,COLUMN())),OFFSET($BN$2,0,0,ROW()-1,60),ROW()-1,FALSE))</f>
        <v/>
      </c>
      <c r="V115" t="str">
        <f ca="1">IF(AND(ISNUMBER($V$326),$B$226=1),$V$326,HLOOKUP(INDIRECT(ADDRESS(2,COLUMN())),OFFSET($BN$2,0,0,ROW()-1,60),ROW()-1,FALSE))</f>
        <v/>
      </c>
      <c r="W115" t="str">
        <f ca="1">IF(AND(ISNUMBER($W$326),$B$226=1),$W$326,HLOOKUP(INDIRECT(ADDRESS(2,COLUMN())),OFFSET($BN$2,0,0,ROW()-1,60),ROW()-1,FALSE))</f>
        <v/>
      </c>
      <c r="X115" t="str">
        <f ca="1">IF(AND(ISNUMBER($X$326),$B$226=1),$X$326,HLOOKUP(INDIRECT(ADDRESS(2,COLUMN())),OFFSET($BN$2,0,0,ROW()-1,60),ROW()-1,FALSE))</f>
        <v/>
      </c>
      <c r="Y115" t="str">
        <f ca="1">IF(AND(ISNUMBER($Y$326),$B$226=1),$Y$326,HLOOKUP(INDIRECT(ADDRESS(2,COLUMN())),OFFSET($BN$2,0,0,ROW()-1,60),ROW()-1,FALSE))</f>
        <v/>
      </c>
      <c r="Z115" t="str">
        <f ca="1">IF(AND(ISNUMBER($Z$326),$B$226=1),$Z$326,HLOOKUP(INDIRECT(ADDRESS(2,COLUMN())),OFFSET($BN$2,0,0,ROW()-1,60),ROW()-1,FALSE))</f>
        <v/>
      </c>
      <c r="AA115" t="str">
        <f ca="1">IF(AND(ISNUMBER($AA$326),$B$226=1),$AA$326,HLOOKUP(INDIRECT(ADDRESS(2,COLUMN())),OFFSET($BN$2,0,0,ROW()-1,60),ROW()-1,FALSE))</f>
        <v/>
      </c>
      <c r="AB115" t="str">
        <f ca="1">IF(AND(ISNUMBER($AB$326),$B$226=1),$AB$326,HLOOKUP(INDIRECT(ADDRESS(2,COLUMN())),OFFSET($BN$2,0,0,ROW()-1,60),ROW()-1,FALSE))</f>
        <v/>
      </c>
      <c r="AC115" t="str">
        <f ca="1">IF(AND(ISNUMBER($AC$326),$B$226=1),$AC$326,HLOOKUP(INDIRECT(ADDRESS(2,COLUMN())),OFFSET($BN$2,0,0,ROW()-1,60),ROW()-1,FALSE))</f>
        <v/>
      </c>
      <c r="AD115" t="str">
        <f ca="1">IF(AND(ISNUMBER($AD$326),$B$226=1),$AD$326,HLOOKUP(INDIRECT(ADDRESS(2,COLUMN())),OFFSET($BN$2,0,0,ROW()-1,60),ROW()-1,FALSE))</f>
        <v/>
      </c>
      <c r="AE115" t="str">
        <f ca="1">IF(AND(ISNUMBER($AE$326),$B$226=1),$AE$326,HLOOKUP(INDIRECT(ADDRESS(2,COLUMN())),OFFSET($BN$2,0,0,ROW()-1,60),ROW()-1,FALSE))</f>
        <v/>
      </c>
      <c r="AF115" t="str">
        <f ca="1">IF(AND(ISNUMBER($AF$326),$B$226=1),$AF$326,HLOOKUP(INDIRECT(ADDRESS(2,COLUMN())),OFFSET($BN$2,0,0,ROW()-1,60),ROW()-1,FALSE))</f>
        <v/>
      </c>
      <c r="AG115" t="str">
        <f ca="1">IF(AND(ISNUMBER($AG$326),$B$226=1),$AG$326,HLOOKUP(INDIRECT(ADDRESS(2,COLUMN())),OFFSET($BN$2,0,0,ROW()-1,60),ROW()-1,FALSE))</f>
        <v/>
      </c>
      <c r="AH115" t="str">
        <f ca="1">IF(AND(ISNUMBER($AH$326),$B$226=1),$AH$326,HLOOKUP(INDIRECT(ADDRESS(2,COLUMN())),OFFSET($BN$2,0,0,ROW()-1,60),ROW()-1,FALSE))</f>
        <v/>
      </c>
      <c r="AI115" t="str">
        <f ca="1">IF(AND(ISNUMBER($AI$326),$B$226=1),$AI$326,HLOOKUP(INDIRECT(ADDRESS(2,COLUMN())),OFFSET($BN$2,0,0,ROW()-1,60),ROW()-1,FALSE))</f>
        <v/>
      </c>
      <c r="AJ115" t="str">
        <f ca="1">IF(AND(ISNUMBER($AJ$326),$B$226=1),$AJ$326,HLOOKUP(INDIRECT(ADDRESS(2,COLUMN())),OFFSET($BN$2,0,0,ROW()-1,60),ROW()-1,FALSE))</f>
        <v/>
      </c>
      <c r="AK115" t="str">
        <f ca="1">IF(AND(ISNUMBER($AK$326),$B$226=1),$AK$326,HLOOKUP(INDIRECT(ADDRESS(2,COLUMN())),OFFSET($BN$2,0,0,ROW()-1,60),ROW()-1,FALSE))</f>
        <v/>
      </c>
      <c r="AL115" t="str">
        <f ca="1">IF(AND(ISNUMBER($AL$326),$B$226=1),$AL$326,HLOOKUP(INDIRECT(ADDRESS(2,COLUMN())),OFFSET($BN$2,0,0,ROW()-1,60),ROW()-1,FALSE))</f>
        <v/>
      </c>
      <c r="AM115" t="str">
        <f ca="1">IF(AND(ISNUMBER($AM$326),$B$226=1),$AM$326,HLOOKUP(INDIRECT(ADDRESS(2,COLUMN())),OFFSET($BN$2,0,0,ROW()-1,60),ROW()-1,FALSE))</f>
        <v/>
      </c>
      <c r="AN115" t="str">
        <f ca="1">IF(AND(ISNUMBER($AN$326),$B$226=1),$AN$326,HLOOKUP(INDIRECT(ADDRESS(2,COLUMN())),OFFSET($BN$2,0,0,ROW()-1,60),ROW()-1,FALSE))</f>
        <v/>
      </c>
      <c r="AO115" t="str">
        <f ca="1">IF(AND(ISNUMBER($AO$326),$B$226=1),$AO$326,HLOOKUP(INDIRECT(ADDRESS(2,COLUMN())),OFFSET($BN$2,0,0,ROW()-1,60),ROW()-1,FALSE))</f>
        <v/>
      </c>
      <c r="AP115" t="str">
        <f ca="1">IF(AND(ISNUMBER($AP$326),$B$226=1),$AP$326,HLOOKUP(INDIRECT(ADDRESS(2,COLUMN())),OFFSET($BN$2,0,0,ROW()-1,60),ROW()-1,FALSE))</f>
        <v/>
      </c>
      <c r="AQ115" t="str">
        <f ca="1">IF(AND(ISNUMBER($AQ$326),$B$226=1),$AQ$326,HLOOKUP(INDIRECT(ADDRESS(2,COLUMN())),OFFSET($BN$2,0,0,ROW()-1,60),ROW()-1,FALSE))</f>
        <v/>
      </c>
      <c r="AR115" t="str">
        <f ca="1">IF(AND(ISNUMBER($AR$326),$B$226=1),$AR$326,HLOOKUP(INDIRECT(ADDRESS(2,COLUMN())),OFFSET($BN$2,0,0,ROW()-1,60),ROW()-1,FALSE))</f>
        <v/>
      </c>
      <c r="AS115" t="str">
        <f ca="1">IF(AND(ISNUMBER($AS$326),$B$226=1),$AS$326,HLOOKUP(INDIRECT(ADDRESS(2,COLUMN())),OFFSET($BN$2,0,0,ROW()-1,60),ROW()-1,FALSE))</f>
        <v/>
      </c>
      <c r="AT115" t="str">
        <f ca="1">IF(AND(ISNUMBER($AT$326),$B$226=1),$AT$326,HLOOKUP(INDIRECT(ADDRESS(2,COLUMN())),OFFSET($BN$2,0,0,ROW()-1,60),ROW()-1,FALSE))</f>
        <v/>
      </c>
      <c r="AU115" t="str">
        <f ca="1">IF(AND(ISNUMBER($AU$326),$B$226=1),$AU$326,HLOOKUP(INDIRECT(ADDRESS(2,COLUMN())),OFFSET($BN$2,0,0,ROW()-1,60),ROW()-1,FALSE))</f>
        <v/>
      </c>
      <c r="AV115" t="str">
        <f ca="1">IF(AND(ISNUMBER($AV$326),$B$226=1),$AV$326,HLOOKUP(INDIRECT(ADDRESS(2,COLUMN())),OFFSET($BN$2,0,0,ROW()-1,60),ROW()-1,FALSE))</f>
        <v/>
      </c>
      <c r="AW115" t="str">
        <f ca="1">IF(AND(ISNUMBER($AW$326),$B$226=1),$AW$326,HLOOKUP(INDIRECT(ADDRESS(2,COLUMN())),OFFSET($BN$2,0,0,ROW()-1,60),ROW()-1,FALSE))</f>
        <v/>
      </c>
      <c r="AX115" t="str">
        <f ca="1">IF(AND(ISNUMBER($AX$326),$B$226=1),$AX$326,HLOOKUP(INDIRECT(ADDRESS(2,COLUMN())),OFFSET($BN$2,0,0,ROW()-1,60),ROW()-1,FALSE))</f>
        <v/>
      </c>
      <c r="AY115" t="str">
        <f ca="1">IF(AND(ISNUMBER($AY$326),$B$226=1),$AY$326,HLOOKUP(INDIRECT(ADDRESS(2,COLUMN())),OFFSET($BN$2,0,0,ROW()-1,60),ROW()-1,FALSE))</f>
        <v/>
      </c>
      <c r="AZ115" t="str">
        <f ca="1">IF(AND(ISNUMBER($AZ$326),$B$226=1),$AZ$326,HLOOKUP(INDIRECT(ADDRESS(2,COLUMN())),OFFSET($BN$2,0,0,ROW()-1,60),ROW()-1,FALSE))</f>
        <v/>
      </c>
      <c r="BA115" t="str">
        <f ca="1">IF(AND(ISNUMBER($BA$326),$B$226=1),$BA$326,HLOOKUP(INDIRECT(ADDRESS(2,COLUMN())),OFFSET($BN$2,0,0,ROW()-1,60),ROW()-1,FALSE))</f>
        <v/>
      </c>
      <c r="BB115" t="str">
        <f ca="1">IF(AND(ISNUMBER($BB$326),$B$226=1),$BB$326,HLOOKUP(INDIRECT(ADDRESS(2,COLUMN())),OFFSET($BN$2,0,0,ROW()-1,60),ROW()-1,FALSE))</f>
        <v/>
      </c>
      <c r="BC115" t="str">
        <f ca="1">IF(AND(ISNUMBER($BC$326),$B$226=1),$BC$326,HLOOKUP(INDIRECT(ADDRESS(2,COLUMN())),OFFSET($BN$2,0,0,ROW()-1,60),ROW()-1,FALSE))</f>
        <v/>
      </c>
      <c r="BD115" t="str">
        <f ca="1">IF(AND(ISNUMBER($BD$326),$B$226=1),$BD$326,HLOOKUP(INDIRECT(ADDRESS(2,COLUMN())),OFFSET($BN$2,0,0,ROW()-1,60),ROW()-1,FALSE))</f>
        <v/>
      </c>
      <c r="BE115" t="str">
        <f ca="1">IF(AND(ISNUMBER($BE$326),$B$226=1),$BE$326,HLOOKUP(INDIRECT(ADDRESS(2,COLUMN())),OFFSET($BN$2,0,0,ROW()-1,60),ROW()-1,FALSE))</f>
        <v/>
      </c>
      <c r="BF115" t="str">
        <f ca="1">IF(AND(ISNUMBER($BF$326),$B$226=1),$BF$326,HLOOKUP(INDIRECT(ADDRESS(2,COLUMN())),OFFSET($BN$2,0,0,ROW()-1,60),ROW()-1,FALSE))</f>
        <v/>
      </c>
      <c r="BG115" t="str">
        <f ca="1">IF(AND(ISNUMBER($BG$326),$B$226=1),$BG$326,HLOOKUP(INDIRECT(ADDRESS(2,COLUMN())),OFFSET($BN$2,0,0,ROW()-1,60),ROW()-1,FALSE))</f>
        <v/>
      </c>
      <c r="BH115" t="str">
        <f ca="1">IF(AND(ISNUMBER($BH$326),$B$226=1),$BH$326,HLOOKUP(INDIRECT(ADDRESS(2,COLUMN())),OFFSET($BN$2,0,0,ROW()-1,60),ROW()-1,FALSE))</f>
        <v/>
      </c>
      <c r="BI115" t="str">
        <f ca="1">IF(AND(ISNUMBER($BI$326),$B$226=1),$BI$326,HLOOKUP(INDIRECT(ADDRESS(2,COLUMN())),OFFSET($BN$2,0,0,ROW()-1,60),ROW()-1,FALSE))</f>
        <v/>
      </c>
      <c r="BJ115" t="str">
        <f ca="1">IF(AND(ISNUMBER($BJ$326),$B$226=1),$BJ$326,HLOOKUP(INDIRECT(ADDRESS(2,COLUMN())),OFFSET($BN$2,0,0,ROW()-1,60),ROW()-1,FALSE))</f>
        <v/>
      </c>
      <c r="BK115" t="str">
        <f ca="1">IF(AND(ISNUMBER($BK$326),$B$226=1),$BK$326,HLOOKUP(INDIRECT(ADDRESS(2,COLUMN())),OFFSET($BN$2,0,0,ROW()-1,60),ROW()-1,FALSE))</f>
        <v/>
      </c>
      <c r="BL115" t="str">
        <f ca="1">IF(AND(ISNUMBER($BL$326),$B$226=1),$BL$326,HLOOKUP(INDIRECT(ADDRESS(2,COLUMN())),OFFSET($BN$2,0,0,ROW()-1,60),ROW()-1,FALSE))</f>
        <v/>
      </c>
      <c r="BM115" t="str">
        <f ca="1">IF(AND(ISNUMBER($BM$326),$B$226=1),$BM$326,HLOOKUP(INDIRECT(ADDRESS(2,COLUMN())),OFFSET($BN$2,0,0,ROW()-1,60),ROW()-1,FALSE))</f>
        <v/>
      </c>
      <c r="BN115" t="str">
        <f>""</f>
        <v/>
      </c>
      <c r="BO115" t="str">
        <f>""</f>
        <v/>
      </c>
      <c r="BP115" t="str">
        <f>""</f>
        <v/>
      </c>
      <c r="BQ115" t="str">
        <f>""</f>
        <v/>
      </c>
      <c r="BR115" t="str">
        <f>""</f>
        <v/>
      </c>
      <c r="BS115" t="str">
        <f>""</f>
        <v/>
      </c>
      <c r="BT115" t="str">
        <f>""</f>
        <v/>
      </c>
      <c r="BU115" t="str">
        <f>""</f>
        <v/>
      </c>
      <c r="BV115" t="str">
        <f>""</f>
        <v/>
      </c>
      <c r="BW115" t="str">
        <f>""</f>
        <v/>
      </c>
      <c r="BX115" t="str">
        <f>""</f>
        <v/>
      </c>
      <c r="BY115" t="str">
        <f>""</f>
        <v/>
      </c>
      <c r="BZ115" t="str">
        <f>""</f>
        <v/>
      </c>
      <c r="CA115" t="str">
        <f>""</f>
        <v/>
      </c>
      <c r="CB115" t="str">
        <f>""</f>
        <v/>
      </c>
      <c r="CC115" t="str">
        <f>""</f>
        <v/>
      </c>
      <c r="CD115" t="str">
        <f>""</f>
        <v/>
      </c>
      <c r="CE115" t="str">
        <f>""</f>
        <v/>
      </c>
      <c r="CF115" t="str">
        <f>""</f>
        <v/>
      </c>
      <c r="CG115" t="str">
        <f>""</f>
        <v/>
      </c>
      <c r="CH115" t="str">
        <f>""</f>
        <v/>
      </c>
      <c r="CI115" t="str">
        <f>""</f>
        <v/>
      </c>
      <c r="CJ115" t="str">
        <f>""</f>
        <v/>
      </c>
      <c r="CK115" t="str">
        <f>""</f>
        <v/>
      </c>
      <c r="CL115" t="str">
        <f>""</f>
        <v/>
      </c>
      <c r="CM115" t="str">
        <f>""</f>
        <v/>
      </c>
      <c r="CN115" t="str">
        <f>""</f>
        <v/>
      </c>
      <c r="CO115" t="str">
        <f>""</f>
        <v/>
      </c>
      <c r="CP115" t="str">
        <f>""</f>
        <v/>
      </c>
      <c r="CQ115" t="str">
        <f>""</f>
        <v/>
      </c>
      <c r="CR115" t="str">
        <f>""</f>
        <v/>
      </c>
      <c r="CS115" t="str">
        <f>""</f>
        <v/>
      </c>
      <c r="CT115" t="str">
        <f>""</f>
        <v/>
      </c>
      <c r="CU115" t="str">
        <f>""</f>
        <v/>
      </c>
      <c r="CV115" t="str">
        <f>""</f>
        <v/>
      </c>
      <c r="CW115" t="str">
        <f>""</f>
        <v/>
      </c>
      <c r="CX115" t="str">
        <f>""</f>
        <v/>
      </c>
      <c r="CY115" t="str">
        <f>""</f>
        <v/>
      </c>
      <c r="CZ115" t="str">
        <f>""</f>
        <v/>
      </c>
      <c r="DA115" t="str">
        <f>""</f>
        <v/>
      </c>
      <c r="DB115" t="str">
        <f>""</f>
        <v/>
      </c>
      <c r="DC115" t="str">
        <f>""</f>
        <v/>
      </c>
      <c r="DD115" t="str">
        <f>""</f>
        <v/>
      </c>
      <c r="DE115" t="str">
        <f>""</f>
        <v/>
      </c>
      <c r="DF115" t="str">
        <f>""</f>
        <v/>
      </c>
      <c r="DG115" t="str">
        <f>""</f>
        <v/>
      </c>
      <c r="DH115" t="str">
        <f>""</f>
        <v/>
      </c>
      <c r="DI115" t="str">
        <f>""</f>
        <v/>
      </c>
      <c r="DJ115" t="str">
        <f>""</f>
        <v/>
      </c>
      <c r="DK115" t="str">
        <f>""</f>
        <v/>
      </c>
      <c r="DL115" t="str">
        <f>""</f>
        <v/>
      </c>
      <c r="DM115" t="str">
        <f>""</f>
        <v/>
      </c>
      <c r="DN115" t="str">
        <f>""</f>
        <v/>
      </c>
      <c r="DO115" t="str">
        <f>""</f>
        <v/>
      </c>
      <c r="DP115" t="str">
        <f>""</f>
        <v/>
      </c>
      <c r="DQ115" t="str">
        <f>""</f>
        <v/>
      </c>
      <c r="DR115" t="str">
        <f>""</f>
        <v/>
      </c>
      <c r="DS115" t="str">
        <f>""</f>
        <v/>
      </c>
      <c r="DT115" t="str">
        <f>""</f>
        <v/>
      </c>
      <c r="DU115" t="str">
        <f>""</f>
        <v/>
      </c>
    </row>
    <row r="116" spans="1:125">
      <c r="A116" t="str">
        <f>"    Education Realty Trust Inc"</f>
        <v xml:space="preserve">    Education Realty Trust Inc</v>
      </c>
      <c r="B116" t="str">
        <f>"EDR US Equity"</f>
        <v>EDR US Equity</v>
      </c>
      <c r="C116" t="str">
        <f t="shared" si="36"/>
        <v>BE592</v>
      </c>
      <c r="D116" t="str">
        <f t="shared" si="37"/>
        <v>BEST_FFOPS_YOY_GTH</v>
      </c>
      <c r="E116" t="str">
        <f t="shared" si="38"/>
        <v>动态</v>
      </c>
      <c r="F116" t="str">
        <f ca="1">IF(AND(ISNUMBER($F$327),$B$226=1),$F$327,HLOOKUP(INDIRECT(ADDRESS(2,COLUMN())),OFFSET($BN$2,0,0,ROW()-1,60),ROW()-1,FALSE))</f>
        <v/>
      </c>
      <c r="G116" t="str">
        <f ca="1">IF(AND(ISNUMBER($G$327),$B$226=1),$G$327,HLOOKUP(INDIRECT(ADDRESS(2,COLUMN())),OFFSET($BN$2,0,0,ROW()-1,60),ROW()-1,FALSE))</f>
        <v/>
      </c>
      <c r="H116" t="str">
        <f ca="1">IF(AND(ISNUMBER($H$327),$B$226=1),$H$327,HLOOKUP(INDIRECT(ADDRESS(2,COLUMN())),OFFSET($BN$2,0,0,ROW()-1,60),ROW()-1,FALSE))</f>
        <v/>
      </c>
      <c r="I116" t="str">
        <f ca="1">IF(AND(ISNUMBER($I$327),$B$226=1),$I$327,HLOOKUP(INDIRECT(ADDRESS(2,COLUMN())),OFFSET($BN$2,0,0,ROW()-1,60),ROW()-1,FALSE))</f>
        <v/>
      </c>
      <c r="J116" t="str">
        <f ca="1">IF(AND(ISNUMBER($J$327),$B$226=1),$J$327,HLOOKUP(INDIRECT(ADDRESS(2,COLUMN())),OFFSET($BN$2,0,0,ROW()-1,60),ROW()-1,FALSE))</f>
        <v/>
      </c>
      <c r="K116" t="str">
        <f ca="1">IF(AND(ISNUMBER($K$327),$B$226=1),$K$327,HLOOKUP(INDIRECT(ADDRESS(2,COLUMN())),OFFSET($BN$2,0,0,ROW()-1,60),ROW()-1,FALSE))</f>
        <v/>
      </c>
      <c r="L116" t="str">
        <f ca="1">IF(AND(ISNUMBER($L$327),$B$226=1),$L$327,HLOOKUP(INDIRECT(ADDRESS(2,COLUMN())),OFFSET($BN$2,0,0,ROW()-1,60),ROW()-1,FALSE))</f>
        <v/>
      </c>
      <c r="M116" t="str">
        <f ca="1">IF(AND(ISNUMBER($M$327),$B$226=1),$M$327,HLOOKUP(INDIRECT(ADDRESS(2,COLUMN())),OFFSET($BN$2,0,0,ROW()-1,60),ROW()-1,FALSE))</f>
        <v/>
      </c>
      <c r="N116" t="str">
        <f ca="1">IF(AND(ISNUMBER($N$327),$B$226=1),$N$327,HLOOKUP(INDIRECT(ADDRESS(2,COLUMN())),OFFSET($BN$2,0,0,ROW()-1,60),ROW()-1,FALSE))</f>
        <v/>
      </c>
      <c r="O116" t="str">
        <f ca="1">IF(AND(ISNUMBER($O$327),$B$226=1),$O$327,HLOOKUP(INDIRECT(ADDRESS(2,COLUMN())),OFFSET($BN$2,0,0,ROW()-1,60),ROW()-1,FALSE))</f>
        <v/>
      </c>
      <c r="P116" t="str">
        <f ca="1">IF(AND(ISNUMBER($P$327),$B$226=1),$P$327,HLOOKUP(INDIRECT(ADDRESS(2,COLUMN())),OFFSET($BN$2,0,0,ROW()-1,60),ROW()-1,FALSE))</f>
        <v/>
      </c>
      <c r="Q116" t="str">
        <f ca="1">IF(AND(ISNUMBER($Q$327),$B$226=1),$Q$327,HLOOKUP(INDIRECT(ADDRESS(2,COLUMN())),OFFSET($BN$2,0,0,ROW()-1,60),ROW()-1,FALSE))</f>
        <v/>
      </c>
      <c r="R116" t="str">
        <f ca="1">IF(AND(ISNUMBER($R$327),$B$226=1),$R$327,HLOOKUP(INDIRECT(ADDRESS(2,COLUMN())),OFFSET($BN$2,0,0,ROW()-1,60),ROW()-1,FALSE))</f>
        <v/>
      </c>
      <c r="S116" t="str">
        <f ca="1">IF(AND(ISNUMBER($S$327),$B$226=1),$S$327,HLOOKUP(INDIRECT(ADDRESS(2,COLUMN())),OFFSET($BN$2,0,0,ROW()-1,60),ROW()-1,FALSE))</f>
        <v/>
      </c>
      <c r="T116" t="str">
        <f ca="1">IF(AND(ISNUMBER($T$327),$B$226=1),$T$327,HLOOKUP(INDIRECT(ADDRESS(2,COLUMN())),OFFSET($BN$2,0,0,ROW()-1,60),ROW()-1,FALSE))</f>
        <v/>
      </c>
      <c r="U116" t="str">
        <f ca="1">IF(AND(ISNUMBER($U$327),$B$226=1),$U$327,HLOOKUP(INDIRECT(ADDRESS(2,COLUMN())),OFFSET($BN$2,0,0,ROW()-1,60),ROW()-1,FALSE))</f>
        <v/>
      </c>
      <c r="V116" t="str">
        <f ca="1">IF(AND(ISNUMBER($V$327),$B$226=1),$V$327,HLOOKUP(INDIRECT(ADDRESS(2,COLUMN())),OFFSET($BN$2,0,0,ROW()-1,60),ROW()-1,FALSE))</f>
        <v/>
      </c>
      <c r="W116" t="str">
        <f ca="1">IF(AND(ISNUMBER($W$327),$B$226=1),$W$327,HLOOKUP(INDIRECT(ADDRESS(2,COLUMN())),OFFSET($BN$2,0,0,ROW()-1,60),ROW()-1,FALSE))</f>
        <v/>
      </c>
      <c r="X116" t="str">
        <f ca="1">IF(AND(ISNUMBER($X$327),$B$226=1),$X$327,HLOOKUP(INDIRECT(ADDRESS(2,COLUMN())),OFFSET($BN$2,0,0,ROW()-1,60),ROW()-1,FALSE))</f>
        <v/>
      </c>
      <c r="Y116" t="str">
        <f ca="1">IF(AND(ISNUMBER($Y$327),$B$226=1),$Y$327,HLOOKUP(INDIRECT(ADDRESS(2,COLUMN())),OFFSET($BN$2,0,0,ROW()-1,60),ROW()-1,FALSE))</f>
        <v/>
      </c>
      <c r="Z116" t="str">
        <f ca="1">IF(AND(ISNUMBER($Z$327),$B$226=1),$Z$327,HLOOKUP(INDIRECT(ADDRESS(2,COLUMN())),OFFSET($BN$2,0,0,ROW()-1,60),ROW()-1,FALSE))</f>
        <v/>
      </c>
      <c r="AA116" t="str">
        <f ca="1">IF(AND(ISNUMBER($AA$327),$B$226=1),$AA$327,HLOOKUP(INDIRECT(ADDRESS(2,COLUMN())),OFFSET($BN$2,0,0,ROW()-1,60),ROW()-1,FALSE))</f>
        <v/>
      </c>
      <c r="AB116" t="str">
        <f ca="1">IF(AND(ISNUMBER($AB$327),$B$226=1),$AB$327,HLOOKUP(INDIRECT(ADDRESS(2,COLUMN())),OFFSET($BN$2,0,0,ROW()-1,60),ROW()-1,FALSE))</f>
        <v/>
      </c>
      <c r="AC116" t="str">
        <f ca="1">IF(AND(ISNUMBER($AC$327),$B$226=1),$AC$327,HLOOKUP(INDIRECT(ADDRESS(2,COLUMN())),OFFSET($BN$2,0,0,ROW()-1,60),ROW()-1,FALSE))</f>
        <v/>
      </c>
      <c r="AD116" t="str">
        <f ca="1">IF(AND(ISNUMBER($AD$327),$B$226=1),$AD$327,HLOOKUP(INDIRECT(ADDRESS(2,COLUMN())),OFFSET($BN$2,0,0,ROW()-1,60),ROW()-1,FALSE))</f>
        <v/>
      </c>
      <c r="AE116" t="str">
        <f ca="1">IF(AND(ISNUMBER($AE$327),$B$226=1),$AE$327,HLOOKUP(INDIRECT(ADDRESS(2,COLUMN())),OFFSET($BN$2,0,0,ROW()-1,60),ROW()-1,FALSE))</f>
        <v/>
      </c>
      <c r="AF116" t="str">
        <f ca="1">IF(AND(ISNUMBER($AF$327),$B$226=1),$AF$327,HLOOKUP(INDIRECT(ADDRESS(2,COLUMN())),OFFSET($BN$2,0,0,ROW()-1,60),ROW()-1,FALSE))</f>
        <v/>
      </c>
      <c r="AG116" t="str">
        <f ca="1">IF(AND(ISNUMBER($AG$327),$B$226=1),$AG$327,HLOOKUP(INDIRECT(ADDRESS(2,COLUMN())),OFFSET($BN$2,0,0,ROW()-1,60),ROW()-1,FALSE))</f>
        <v/>
      </c>
      <c r="AH116" t="str">
        <f ca="1">IF(AND(ISNUMBER($AH$327),$B$226=1),$AH$327,HLOOKUP(INDIRECT(ADDRESS(2,COLUMN())),OFFSET($BN$2,0,0,ROW()-1,60),ROW()-1,FALSE))</f>
        <v/>
      </c>
      <c r="AI116" t="str">
        <f ca="1">IF(AND(ISNUMBER($AI$327),$B$226=1),$AI$327,HLOOKUP(INDIRECT(ADDRESS(2,COLUMN())),OFFSET($BN$2,0,0,ROW()-1,60),ROW()-1,FALSE))</f>
        <v/>
      </c>
      <c r="AJ116" t="str">
        <f ca="1">IF(AND(ISNUMBER($AJ$327),$B$226=1),$AJ$327,HLOOKUP(INDIRECT(ADDRESS(2,COLUMN())),OFFSET($BN$2,0,0,ROW()-1,60),ROW()-1,FALSE))</f>
        <v/>
      </c>
      <c r="AK116" t="str">
        <f ca="1">IF(AND(ISNUMBER($AK$327),$B$226=1),$AK$327,HLOOKUP(INDIRECT(ADDRESS(2,COLUMN())),OFFSET($BN$2,0,0,ROW()-1,60),ROW()-1,FALSE))</f>
        <v/>
      </c>
      <c r="AL116" t="str">
        <f ca="1">IF(AND(ISNUMBER($AL$327),$B$226=1),$AL$327,HLOOKUP(INDIRECT(ADDRESS(2,COLUMN())),OFFSET($BN$2,0,0,ROW()-1,60),ROW()-1,FALSE))</f>
        <v/>
      </c>
      <c r="AM116" t="str">
        <f ca="1">IF(AND(ISNUMBER($AM$327),$B$226=1),$AM$327,HLOOKUP(INDIRECT(ADDRESS(2,COLUMN())),OFFSET($BN$2,0,0,ROW()-1,60),ROW()-1,FALSE))</f>
        <v/>
      </c>
      <c r="AN116" t="str">
        <f ca="1">IF(AND(ISNUMBER($AN$327),$B$226=1),$AN$327,HLOOKUP(INDIRECT(ADDRESS(2,COLUMN())),OFFSET($BN$2,0,0,ROW()-1,60),ROW()-1,FALSE))</f>
        <v/>
      </c>
      <c r="AO116" t="str">
        <f ca="1">IF(AND(ISNUMBER($AO$327),$B$226=1),$AO$327,HLOOKUP(INDIRECT(ADDRESS(2,COLUMN())),OFFSET($BN$2,0,0,ROW()-1,60),ROW()-1,FALSE))</f>
        <v/>
      </c>
      <c r="AP116" t="str">
        <f ca="1">IF(AND(ISNUMBER($AP$327),$B$226=1),$AP$327,HLOOKUP(INDIRECT(ADDRESS(2,COLUMN())),OFFSET($BN$2,0,0,ROW()-1,60),ROW()-1,FALSE))</f>
        <v/>
      </c>
      <c r="AQ116" t="str">
        <f ca="1">IF(AND(ISNUMBER($AQ$327),$B$226=1),$AQ$327,HLOOKUP(INDIRECT(ADDRESS(2,COLUMN())),OFFSET($BN$2,0,0,ROW()-1,60),ROW()-1,FALSE))</f>
        <v/>
      </c>
      <c r="AR116" t="str">
        <f ca="1">IF(AND(ISNUMBER($AR$327),$B$226=1),$AR$327,HLOOKUP(INDIRECT(ADDRESS(2,COLUMN())),OFFSET($BN$2,0,0,ROW()-1,60),ROW()-1,FALSE))</f>
        <v/>
      </c>
      <c r="AS116" t="str">
        <f ca="1">IF(AND(ISNUMBER($AS$327),$B$226=1),$AS$327,HLOOKUP(INDIRECT(ADDRESS(2,COLUMN())),OFFSET($BN$2,0,0,ROW()-1,60),ROW()-1,FALSE))</f>
        <v/>
      </c>
      <c r="AT116" t="str">
        <f ca="1">IF(AND(ISNUMBER($AT$327),$B$226=1),$AT$327,HLOOKUP(INDIRECT(ADDRESS(2,COLUMN())),OFFSET($BN$2,0,0,ROW()-1,60),ROW()-1,FALSE))</f>
        <v/>
      </c>
      <c r="AU116" t="str">
        <f ca="1">IF(AND(ISNUMBER($AU$327),$B$226=1),$AU$327,HLOOKUP(INDIRECT(ADDRESS(2,COLUMN())),OFFSET($BN$2,0,0,ROW()-1,60),ROW()-1,FALSE))</f>
        <v/>
      </c>
      <c r="AV116" t="str">
        <f ca="1">IF(AND(ISNUMBER($AV$327),$B$226=1),$AV$327,HLOOKUP(INDIRECT(ADDRESS(2,COLUMN())),OFFSET($BN$2,0,0,ROW()-1,60),ROW()-1,FALSE))</f>
        <v/>
      </c>
      <c r="AW116" t="str">
        <f ca="1">IF(AND(ISNUMBER($AW$327),$B$226=1),$AW$327,HLOOKUP(INDIRECT(ADDRESS(2,COLUMN())),OFFSET($BN$2,0,0,ROW()-1,60),ROW()-1,FALSE))</f>
        <v/>
      </c>
      <c r="AX116" t="str">
        <f ca="1">IF(AND(ISNUMBER($AX$327),$B$226=1),$AX$327,HLOOKUP(INDIRECT(ADDRESS(2,COLUMN())),OFFSET($BN$2,0,0,ROW()-1,60),ROW()-1,FALSE))</f>
        <v/>
      </c>
      <c r="AY116" t="str">
        <f ca="1">IF(AND(ISNUMBER($AY$327),$B$226=1),$AY$327,HLOOKUP(INDIRECT(ADDRESS(2,COLUMN())),OFFSET($BN$2,0,0,ROW()-1,60),ROW()-1,FALSE))</f>
        <v/>
      </c>
      <c r="AZ116" t="str">
        <f ca="1">IF(AND(ISNUMBER($AZ$327),$B$226=1),$AZ$327,HLOOKUP(INDIRECT(ADDRESS(2,COLUMN())),OFFSET($BN$2,0,0,ROW()-1,60),ROW()-1,FALSE))</f>
        <v/>
      </c>
      <c r="BA116" t="str">
        <f ca="1">IF(AND(ISNUMBER($BA$327),$B$226=1),$BA$327,HLOOKUP(INDIRECT(ADDRESS(2,COLUMN())),OFFSET($BN$2,0,0,ROW()-1,60),ROW()-1,FALSE))</f>
        <v/>
      </c>
      <c r="BB116" t="str">
        <f ca="1">IF(AND(ISNUMBER($BB$327),$B$226=1),$BB$327,HLOOKUP(INDIRECT(ADDRESS(2,COLUMN())),OFFSET($BN$2,0,0,ROW()-1,60),ROW()-1,FALSE))</f>
        <v/>
      </c>
      <c r="BC116" t="str">
        <f ca="1">IF(AND(ISNUMBER($BC$327),$B$226=1),$BC$327,HLOOKUP(INDIRECT(ADDRESS(2,COLUMN())),OFFSET($BN$2,0,0,ROW()-1,60),ROW()-1,FALSE))</f>
        <v/>
      </c>
      <c r="BD116" t="str">
        <f ca="1">IF(AND(ISNUMBER($BD$327),$B$226=1),$BD$327,HLOOKUP(INDIRECT(ADDRESS(2,COLUMN())),OFFSET($BN$2,0,0,ROW()-1,60),ROW()-1,FALSE))</f>
        <v/>
      </c>
      <c r="BE116" t="str">
        <f ca="1">IF(AND(ISNUMBER($BE$327),$B$226=1),$BE$327,HLOOKUP(INDIRECT(ADDRESS(2,COLUMN())),OFFSET($BN$2,0,0,ROW()-1,60),ROW()-1,FALSE))</f>
        <v/>
      </c>
      <c r="BF116" t="str">
        <f ca="1">IF(AND(ISNUMBER($BF$327),$B$226=1),$BF$327,HLOOKUP(INDIRECT(ADDRESS(2,COLUMN())),OFFSET($BN$2,0,0,ROW()-1,60),ROW()-1,FALSE))</f>
        <v/>
      </c>
      <c r="BG116" t="str">
        <f ca="1">IF(AND(ISNUMBER($BG$327),$B$226=1),$BG$327,HLOOKUP(INDIRECT(ADDRESS(2,COLUMN())),OFFSET($BN$2,0,0,ROW()-1,60),ROW()-1,FALSE))</f>
        <v/>
      </c>
      <c r="BH116" t="str">
        <f ca="1">IF(AND(ISNUMBER($BH$327),$B$226=1),$BH$327,HLOOKUP(INDIRECT(ADDRESS(2,COLUMN())),OFFSET($BN$2,0,0,ROW()-1,60),ROW()-1,FALSE))</f>
        <v/>
      </c>
      <c r="BI116" t="str">
        <f ca="1">IF(AND(ISNUMBER($BI$327),$B$226=1),$BI$327,HLOOKUP(INDIRECT(ADDRESS(2,COLUMN())),OFFSET($BN$2,0,0,ROW()-1,60),ROW()-1,FALSE))</f>
        <v/>
      </c>
      <c r="BJ116" t="str">
        <f ca="1">IF(AND(ISNUMBER($BJ$327),$B$226=1),$BJ$327,HLOOKUP(INDIRECT(ADDRESS(2,COLUMN())),OFFSET($BN$2,0,0,ROW()-1,60),ROW()-1,FALSE))</f>
        <v/>
      </c>
      <c r="BK116" t="str">
        <f ca="1">IF(AND(ISNUMBER($BK$327),$B$226=1),$BK$327,HLOOKUP(INDIRECT(ADDRESS(2,COLUMN())),OFFSET($BN$2,0,0,ROW()-1,60),ROW()-1,FALSE))</f>
        <v/>
      </c>
      <c r="BL116" t="str">
        <f ca="1">IF(AND(ISNUMBER($BL$327),$B$226=1),$BL$327,HLOOKUP(INDIRECT(ADDRESS(2,COLUMN())),OFFSET($BN$2,0,0,ROW()-1,60),ROW()-1,FALSE))</f>
        <v/>
      </c>
      <c r="BM116" t="str">
        <f ca="1">IF(AND(ISNUMBER($BM$327),$B$226=1),$BM$327,HLOOKUP(INDIRECT(ADDRESS(2,COLUMN())),OFFSET($BN$2,0,0,ROW()-1,60),ROW()-1,FALSE))</f>
        <v/>
      </c>
      <c r="BN116" t="str">
        <f>""</f>
        <v/>
      </c>
      <c r="BO116" t="str">
        <f>""</f>
        <v/>
      </c>
      <c r="BP116" t="str">
        <f>""</f>
        <v/>
      </c>
      <c r="BQ116" t="str">
        <f>""</f>
        <v/>
      </c>
      <c r="BR116" t="str">
        <f>""</f>
        <v/>
      </c>
      <c r="BS116" t="str">
        <f>""</f>
        <v/>
      </c>
      <c r="BT116" t="str">
        <f>""</f>
        <v/>
      </c>
      <c r="BU116" t="str">
        <f>""</f>
        <v/>
      </c>
      <c r="BV116" t="str">
        <f>""</f>
        <v/>
      </c>
      <c r="BW116" t="str">
        <f>""</f>
        <v/>
      </c>
      <c r="BX116" t="str">
        <f>""</f>
        <v/>
      </c>
      <c r="BY116" t="str">
        <f>""</f>
        <v/>
      </c>
      <c r="BZ116" t="str">
        <f>""</f>
        <v/>
      </c>
      <c r="CA116" t="str">
        <f>""</f>
        <v/>
      </c>
      <c r="CB116" t="str">
        <f>""</f>
        <v/>
      </c>
      <c r="CC116" t="str">
        <f>""</f>
        <v/>
      </c>
      <c r="CD116" t="str">
        <f>""</f>
        <v/>
      </c>
      <c r="CE116" t="str">
        <f>""</f>
        <v/>
      </c>
      <c r="CF116" t="str">
        <f>""</f>
        <v/>
      </c>
      <c r="CG116" t="str">
        <f>""</f>
        <v/>
      </c>
      <c r="CH116" t="str">
        <f>""</f>
        <v/>
      </c>
      <c r="CI116" t="str">
        <f>""</f>
        <v/>
      </c>
      <c r="CJ116" t="str">
        <f>""</f>
        <v/>
      </c>
      <c r="CK116" t="str">
        <f>""</f>
        <v/>
      </c>
      <c r="CL116" t="str">
        <f>""</f>
        <v/>
      </c>
      <c r="CM116" t="str">
        <f>""</f>
        <v/>
      </c>
      <c r="CN116" t="str">
        <f>""</f>
        <v/>
      </c>
      <c r="CO116" t="str">
        <f>""</f>
        <v/>
      </c>
      <c r="CP116" t="str">
        <f>""</f>
        <v/>
      </c>
      <c r="CQ116" t="str">
        <f>""</f>
        <v/>
      </c>
      <c r="CR116" t="str">
        <f>""</f>
        <v/>
      </c>
      <c r="CS116" t="str">
        <f>""</f>
        <v/>
      </c>
      <c r="CT116" t="str">
        <f>""</f>
        <v/>
      </c>
      <c r="CU116" t="str">
        <f>""</f>
        <v/>
      </c>
      <c r="CV116" t="str">
        <f>""</f>
        <v/>
      </c>
      <c r="CW116" t="str">
        <f>""</f>
        <v/>
      </c>
      <c r="CX116" t="str">
        <f>""</f>
        <v/>
      </c>
      <c r="CY116" t="str">
        <f>""</f>
        <v/>
      </c>
      <c r="CZ116" t="str">
        <f>""</f>
        <v/>
      </c>
      <c r="DA116" t="str">
        <f>""</f>
        <v/>
      </c>
      <c r="DB116" t="str">
        <f>""</f>
        <v/>
      </c>
      <c r="DC116" t="str">
        <f>""</f>
        <v/>
      </c>
      <c r="DD116" t="str">
        <f>""</f>
        <v/>
      </c>
      <c r="DE116" t="str">
        <f>""</f>
        <v/>
      </c>
      <c r="DF116" t="str">
        <f>""</f>
        <v/>
      </c>
      <c r="DG116" t="str">
        <f>""</f>
        <v/>
      </c>
      <c r="DH116" t="str">
        <f>""</f>
        <v/>
      </c>
      <c r="DI116" t="str">
        <f>""</f>
        <v/>
      </c>
      <c r="DJ116" t="str">
        <f>""</f>
        <v/>
      </c>
      <c r="DK116" t="str">
        <f>""</f>
        <v/>
      </c>
      <c r="DL116" t="str">
        <f>""</f>
        <v/>
      </c>
      <c r="DM116" t="str">
        <f>""</f>
        <v/>
      </c>
      <c r="DN116" t="str">
        <f>""</f>
        <v/>
      </c>
      <c r="DO116" t="str">
        <f>""</f>
        <v/>
      </c>
      <c r="DP116" t="str">
        <f>""</f>
        <v/>
      </c>
      <c r="DQ116" t="str">
        <f>""</f>
        <v/>
      </c>
      <c r="DR116" t="str">
        <f>""</f>
        <v/>
      </c>
      <c r="DS116" t="str">
        <f>""</f>
        <v/>
      </c>
      <c r="DT116" t="str">
        <f>""</f>
        <v/>
      </c>
      <c r="DU116" t="str">
        <f>""</f>
        <v/>
      </c>
    </row>
    <row r="117" spans="1:125">
      <c r="A117" t="str">
        <f>"    Equity Residential"</f>
        <v xml:space="preserve">    Equity Residential</v>
      </c>
      <c r="B117" t="str">
        <f>"EQR US Equity"</f>
        <v>EQR US Equity</v>
      </c>
      <c r="C117" t="str">
        <f t="shared" si="36"/>
        <v>BE592</v>
      </c>
      <c r="D117" t="str">
        <f t="shared" si="37"/>
        <v>BEST_FFOPS_YOY_GTH</v>
      </c>
      <c r="E117" t="str">
        <f t="shared" si="38"/>
        <v>动态</v>
      </c>
      <c r="F117" t="str">
        <f ca="1">IF(AND(ISNUMBER($F$328),$B$226=1),$F$328,HLOOKUP(INDIRECT(ADDRESS(2,COLUMN())),OFFSET($BN$2,0,0,ROW()-1,60),ROW()-1,FALSE))</f>
        <v/>
      </c>
      <c r="G117" t="str">
        <f ca="1">IF(AND(ISNUMBER($G$328),$B$226=1),$G$328,HLOOKUP(INDIRECT(ADDRESS(2,COLUMN())),OFFSET($BN$2,0,0,ROW()-1,60),ROW()-1,FALSE))</f>
        <v/>
      </c>
      <c r="H117" t="str">
        <f ca="1">IF(AND(ISNUMBER($H$328),$B$226=1),$H$328,HLOOKUP(INDIRECT(ADDRESS(2,COLUMN())),OFFSET($BN$2,0,0,ROW()-1,60),ROW()-1,FALSE))</f>
        <v/>
      </c>
      <c r="I117" t="str">
        <f ca="1">IF(AND(ISNUMBER($I$328),$B$226=1),$I$328,HLOOKUP(INDIRECT(ADDRESS(2,COLUMN())),OFFSET($BN$2,0,0,ROW()-1,60),ROW()-1,FALSE))</f>
        <v/>
      </c>
      <c r="J117" t="str">
        <f ca="1">IF(AND(ISNUMBER($J$328),$B$226=1),$J$328,HLOOKUP(INDIRECT(ADDRESS(2,COLUMN())),OFFSET($BN$2,0,0,ROW()-1,60),ROW()-1,FALSE))</f>
        <v/>
      </c>
      <c r="K117" t="str">
        <f ca="1">IF(AND(ISNUMBER($K$328),$B$226=1),$K$328,HLOOKUP(INDIRECT(ADDRESS(2,COLUMN())),OFFSET($BN$2,0,0,ROW()-1,60),ROW()-1,FALSE))</f>
        <v/>
      </c>
      <c r="L117" t="str">
        <f ca="1">IF(AND(ISNUMBER($L$328),$B$226=1),$L$328,HLOOKUP(INDIRECT(ADDRESS(2,COLUMN())),OFFSET($BN$2,0,0,ROW()-1,60),ROW()-1,FALSE))</f>
        <v/>
      </c>
      <c r="M117" t="str">
        <f ca="1">IF(AND(ISNUMBER($M$328),$B$226=1),$M$328,HLOOKUP(INDIRECT(ADDRESS(2,COLUMN())),OFFSET($BN$2,0,0,ROW()-1,60),ROW()-1,FALSE))</f>
        <v/>
      </c>
      <c r="N117" t="str">
        <f ca="1">IF(AND(ISNUMBER($N$328),$B$226=1),$N$328,HLOOKUP(INDIRECT(ADDRESS(2,COLUMN())),OFFSET($BN$2,0,0,ROW()-1,60),ROW()-1,FALSE))</f>
        <v/>
      </c>
      <c r="O117" t="str">
        <f ca="1">IF(AND(ISNUMBER($O$328),$B$226=1),$O$328,HLOOKUP(INDIRECT(ADDRESS(2,COLUMN())),OFFSET($BN$2,0,0,ROW()-1,60),ROW()-1,FALSE))</f>
        <v/>
      </c>
      <c r="P117" t="str">
        <f ca="1">IF(AND(ISNUMBER($P$328),$B$226=1),$P$328,HLOOKUP(INDIRECT(ADDRESS(2,COLUMN())),OFFSET($BN$2,0,0,ROW()-1,60),ROW()-1,FALSE))</f>
        <v/>
      </c>
      <c r="Q117" t="str">
        <f ca="1">IF(AND(ISNUMBER($Q$328),$B$226=1),$Q$328,HLOOKUP(INDIRECT(ADDRESS(2,COLUMN())),OFFSET($BN$2,0,0,ROW()-1,60),ROW()-1,FALSE))</f>
        <v/>
      </c>
      <c r="R117" t="str">
        <f ca="1">IF(AND(ISNUMBER($R$328),$B$226=1),$R$328,HLOOKUP(INDIRECT(ADDRESS(2,COLUMN())),OFFSET($BN$2,0,0,ROW()-1,60),ROW()-1,FALSE))</f>
        <v/>
      </c>
      <c r="S117" t="str">
        <f ca="1">IF(AND(ISNUMBER($S$328),$B$226=1),$S$328,HLOOKUP(INDIRECT(ADDRESS(2,COLUMN())),OFFSET($BN$2,0,0,ROW()-1,60),ROW()-1,FALSE))</f>
        <v/>
      </c>
      <c r="T117" t="str">
        <f ca="1">IF(AND(ISNUMBER($T$328),$B$226=1),$T$328,HLOOKUP(INDIRECT(ADDRESS(2,COLUMN())),OFFSET($BN$2,0,0,ROW()-1,60),ROW()-1,FALSE))</f>
        <v/>
      </c>
      <c r="U117" t="str">
        <f ca="1">IF(AND(ISNUMBER($U$328),$B$226=1),$U$328,HLOOKUP(INDIRECT(ADDRESS(2,COLUMN())),OFFSET($BN$2,0,0,ROW()-1,60),ROW()-1,FALSE))</f>
        <v/>
      </c>
      <c r="V117" t="str">
        <f ca="1">IF(AND(ISNUMBER($V$328),$B$226=1),$V$328,HLOOKUP(INDIRECT(ADDRESS(2,COLUMN())),OFFSET($BN$2,0,0,ROW()-1,60),ROW()-1,FALSE))</f>
        <v/>
      </c>
      <c r="W117" t="str">
        <f ca="1">IF(AND(ISNUMBER($W$328),$B$226=1),$W$328,HLOOKUP(INDIRECT(ADDRESS(2,COLUMN())),OFFSET($BN$2,0,0,ROW()-1,60),ROW()-1,FALSE))</f>
        <v/>
      </c>
      <c r="X117" t="str">
        <f ca="1">IF(AND(ISNUMBER($X$328),$B$226=1),$X$328,HLOOKUP(INDIRECT(ADDRESS(2,COLUMN())),OFFSET($BN$2,0,0,ROW()-1,60),ROW()-1,FALSE))</f>
        <v/>
      </c>
      <c r="Y117" t="str">
        <f ca="1">IF(AND(ISNUMBER($Y$328),$B$226=1),$Y$328,HLOOKUP(INDIRECT(ADDRESS(2,COLUMN())),OFFSET($BN$2,0,0,ROW()-1,60),ROW()-1,FALSE))</f>
        <v/>
      </c>
      <c r="Z117" t="str">
        <f ca="1">IF(AND(ISNUMBER($Z$328),$B$226=1),$Z$328,HLOOKUP(INDIRECT(ADDRESS(2,COLUMN())),OFFSET($BN$2,0,0,ROW()-1,60),ROW()-1,FALSE))</f>
        <v/>
      </c>
      <c r="AA117" t="str">
        <f ca="1">IF(AND(ISNUMBER($AA$328),$B$226=1),$AA$328,HLOOKUP(INDIRECT(ADDRESS(2,COLUMN())),OFFSET($BN$2,0,0,ROW()-1,60),ROW()-1,FALSE))</f>
        <v/>
      </c>
      <c r="AB117" t="str">
        <f ca="1">IF(AND(ISNUMBER($AB$328),$B$226=1),$AB$328,HLOOKUP(INDIRECT(ADDRESS(2,COLUMN())),OFFSET($BN$2,0,0,ROW()-1,60),ROW()-1,FALSE))</f>
        <v/>
      </c>
      <c r="AC117" t="str">
        <f ca="1">IF(AND(ISNUMBER($AC$328),$B$226=1),$AC$328,HLOOKUP(INDIRECT(ADDRESS(2,COLUMN())),OFFSET($BN$2,0,0,ROW()-1,60),ROW()-1,FALSE))</f>
        <v/>
      </c>
      <c r="AD117" t="str">
        <f ca="1">IF(AND(ISNUMBER($AD$328),$B$226=1),$AD$328,HLOOKUP(INDIRECT(ADDRESS(2,COLUMN())),OFFSET($BN$2,0,0,ROW()-1,60),ROW()-1,FALSE))</f>
        <v/>
      </c>
      <c r="AE117" t="str">
        <f ca="1">IF(AND(ISNUMBER($AE$328),$B$226=1),$AE$328,HLOOKUP(INDIRECT(ADDRESS(2,COLUMN())),OFFSET($BN$2,0,0,ROW()-1,60),ROW()-1,FALSE))</f>
        <v/>
      </c>
      <c r="AF117" t="str">
        <f ca="1">IF(AND(ISNUMBER($AF$328),$B$226=1),$AF$328,HLOOKUP(INDIRECT(ADDRESS(2,COLUMN())),OFFSET($BN$2,0,0,ROW()-1,60),ROW()-1,FALSE))</f>
        <v/>
      </c>
      <c r="AG117" t="str">
        <f ca="1">IF(AND(ISNUMBER($AG$328),$B$226=1),$AG$328,HLOOKUP(INDIRECT(ADDRESS(2,COLUMN())),OFFSET($BN$2,0,0,ROW()-1,60),ROW()-1,FALSE))</f>
        <v/>
      </c>
      <c r="AH117" t="str">
        <f ca="1">IF(AND(ISNUMBER($AH$328),$B$226=1),$AH$328,HLOOKUP(INDIRECT(ADDRESS(2,COLUMN())),OFFSET($BN$2,0,0,ROW()-1,60),ROW()-1,FALSE))</f>
        <v/>
      </c>
      <c r="AI117" t="str">
        <f ca="1">IF(AND(ISNUMBER($AI$328),$B$226=1),$AI$328,HLOOKUP(INDIRECT(ADDRESS(2,COLUMN())),OFFSET($BN$2,0,0,ROW()-1,60),ROW()-1,FALSE))</f>
        <v/>
      </c>
      <c r="AJ117" t="str">
        <f ca="1">IF(AND(ISNUMBER($AJ$328),$B$226=1),$AJ$328,HLOOKUP(INDIRECT(ADDRESS(2,COLUMN())),OFFSET($BN$2,0,0,ROW()-1,60),ROW()-1,FALSE))</f>
        <v/>
      </c>
      <c r="AK117" t="str">
        <f ca="1">IF(AND(ISNUMBER($AK$328),$B$226=1),$AK$328,HLOOKUP(INDIRECT(ADDRESS(2,COLUMN())),OFFSET($BN$2,0,0,ROW()-1,60),ROW()-1,FALSE))</f>
        <v/>
      </c>
      <c r="AL117" t="str">
        <f ca="1">IF(AND(ISNUMBER($AL$328),$B$226=1),$AL$328,HLOOKUP(INDIRECT(ADDRESS(2,COLUMN())),OFFSET($BN$2,0,0,ROW()-1,60),ROW()-1,FALSE))</f>
        <v/>
      </c>
      <c r="AM117" t="str">
        <f ca="1">IF(AND(ISNUMBER($AM$328),$B$226=1),$AM$328,HLOOKUP(INDIRECT(ADDRESS(2,COLUMN())),OFFSET($BN$2,0,0,ROW()-1,60),ROW()-1,FALSE))</f>
        <v/>
      </c>
      <c r="AN117" t="str">
        <f ca="1">IF(AND(ISNUMBER($AN$328),$B$226=1),$AN$328,HLOOKUP(INDIRECT(ADDRESS(2,COLUMN())),OFFSET($BN$2,0,0,ROW()-1,60),ROW()-1,FALSE))</f>
        <v/>
      </c>
      <c r="AO117" t="str">
        <f ca="1">IF(AND(ISNUMBER($AO$328),$B$226=1),$AO$328,HLOOKUP(INDIRECT(ADDRESS(2,COLUMN())),OFFSET($BN$2,0,0,ROW()-1,60),ROW()-1,FALSE))</f>
        <v/>
      </c>
      <c r="AP117" t="str">
        <f ca="1">IF(AND(ISNUMBER($AP$328),$B$226=1),$AP$328,HLOOKUP(INDIRECT(ADDRESS(2,COLUMN())),OFFSET($BN$2,0,0,ROW()-1,60),ROW()-1,FALSE))</f>
        <v/>
      </c>
      <c r="AQ117" t="str">
        <f ca="1">IF(AND(ISNUMBER($AQ$328),$B$226=1),$AQ$328,HLOOKUP(INDIRECT(ADDRESS(2,COLUMN())),OFFSET($BN$2,0,0,ROW()-1,60),ROW()-1,FALSE))</f>
        <v/>
      </c>
      <c r="AR117" t="str">
        <f ca="1">IF(AND(ISNUMBER($AR$328),$B$226=1),$AR$328,HLOOKUP(INDIRECT(ADDRESS(2,COLUMN())),OFFSET($BN$2,0,0,ROW()-1,60),ROW()-1,FALSE))</f>
        <v/>
      </c>
      <c r="AS117" t="str">
        <f ca="1">IF(AND(ISNUMBER($AS$328),$B$226=1),$AS$328,HLOOKUP(INDIRECT(ADDRESS(2,COLUMN())),OFFSET($BN$2,0,0,ROW()-1,60),ROW()-1,FALSE))</f>
        <v/>
      </c>
      <c r="AT117" t="str">
        <f ca="1">IF(AND(ISNUMBER($AT$328),$B$226=1),$AT$328,HLOOKUP(INDIRECT(ADDRESS(2,COLUMN())),OFFSET($BN$2,0,0,ROW()-1,60),ROW()-1,FALSE))</f>
        <v/>
      </c>
      <c r="AU117" t="str">
        <f ca="1">IF(AND(ISNUMBER($AU$328),$B$226=1),$AU$328,HLOOKUP(INDIRECT(ADDRESS(2,COLUMN())),OFFSET($BN$2,0,0,ROW()-1,60),ROW()-1,FALSE))</f>
        <v/>
      </c>
      <c r="AV117" t="str">
        <f ca="1">IF(AND(ISNUMBER($AV$328),$B$226=1),$AV$328,HLOOKUP(INDIRECT(ADDRESS(2,COLUMN())),OFFSET($BN$2,0,0,ROW()-1,60),ROW()-1,FALSE))</f>
        <v/>
      </c>
      <c r="AW117" t="str">
        <f ca="1">IF(AND(ISNUMBER($AW$328),$B$226=1),$AW$328,HLOOKUP(INDIRECT(ADDRESS(2,COLUMN())),OFFSET($BN$2,0,0,ROW()-1,60),ROW()-1,FALSE))</f>
        <v/>
      </c>
      <c r="AX117" t="str">
        <f ca="1">IF(AND(ISNUMBER($AX$328),$B$226=1),$AX$328,HLOOKUP(INDIRECT(ADDRESS(2,COLUMN())),OFFSET($BN$2,0,0,ROW()-1,60),ROW()-1,FALSE))</f>
        <v/>
      </c>
      <c r="AY117" t="str">
        <f ca="1">IF(AND(ISNUMBER($AY$328),$B$226=1),$AY$328,HLOOKUP(INDIRECT(ADDRESS(2,COLUMN())),OFFSET($BN$2,0,0,ROW()-1,60),ROW()-1,FALSE))</f>
        <v/>
      </c>
      <c r="AZ117" t="str">
        <f ca="1">IF(AND(ISNUMBER($AZ$328),$B$226=1),$AZ$328,HLOOKUP(INDIRECT(ADDRESS(2,COLUMN())),OFFSET($BN$2,0,0,ROW()-1,60),ROW()-1,FALSE))</f>
        <v/>
      </c>
      <c r="BA117" t="str">
        <f ca="1">IF(AND(ISNUMBER($BA$328),$B$226=1),$BA$328,HLOOKUP(INDIRECT(ADDRESS(2,COLUMN())),OFFSET($BN$2,0,0,ROW()-1,60),ROW()-1,FALSE))</f>
        <v/>
      </c>
      <c r="BB117" t="str">
        <f ca="1">IF(AND(ISNUMBER($BB$328),$B$226=1),$BB$328,HLOOKUP(INDIRECT(ADDRESS(2,COLUMN())),OFFSET($BN$2,0,0,ROW()-1,60),ROW()-1,FALSE))</f>
        <v/>
      </c>
      <c r="BC117" t="str">
        <f ca="1">IF(AND(ISNUMBER($BC$328),$B$226=1),$BC$328,HLOOKUP(INDIRECT(ADDRESS(2,COLUMN())),OFFSET($BN$2,0,0,ROW()-1,60),ROW()-1,FALSE))</f>
        <v/>
      </c>
      <c r="BD117" t="str">
        <f ca="1">IF(AND(ISNUMBER($BD$328),$B$226=1),$BD$328,HLOOKUP(INDIRECT(ADDRESS(2,COLUMN())),OFFSET($BN$2,0,0,ROW()-1,60),ROW()-1,FALSE))</f>
        <v/>
      </c>
      <c r="BE117" t="str">
        <f ca="1">IF(AND(ISNUMBER($BE$328),$B$226=1),$BE$328,HLOOKUP(INDIRECT(ADDRESS(2,COLUMN())),OFFSET($BN$2,0,0,ROW()-1,60),ROW()-1,FALSE))</f>
        <v/>
      </c>
      <c r="BF117" t="str">
        <f ca="1">IF(AND(ISNUMBER($BF$328),$B$226=1),$BF$328,HLOOKUP(INDIRECT(ADDRESS(2,COLUMN())),OFFSET($BN$2,0,0,ROW()-1,60),ROW()-1,FALSE))</f>
        <v/>
      </c>
      <c r="BG117" t="str">
        <f ca="1">IF(AND(ISNUMBER($BG$328),$B$226=1),$BG$328,HLOOKUP(INDIRECT(ADDRESS(2,COLUMN())),OFFSET($BN$2,0,0,ROW()-1,60),ROW()-1,FALSE))</f>
        <v/>
      </c>
      <c r="BH117" t="str">
        <f ca="1">IF(AND(ISNUMBER($BH$328),$B$226=1),$BH$328,HLOOKUP(INDIRECT(ADDRESS(2,COLUMN())),OFFSET($BN$2,0,0,ROW()-1,60),ROW()-1,FALSE))</f>
        <v/>
      </c>
      <c r="BI117" t="str">
        <f ca="1">IF(AND(ISNUMBER($BI$328),$B$226=1),$BI$328,HLOOKUP(INDIRECT(ADDRESS(2,COLUMN())),OFFSET($BN$2,0,0,ROW()-1,60),ROW()-1,FALSE))</f>
        <v/>
      </c>
      <c r="BJ117" t="str">
        <f ca="1">IF(AND(ISNUMBER($BJ$328),$B$226=1),$BJ$328,HLOOKUP(INDIRECT(ADDRESS(2,COLUMN())),OFFSET($BN$2,0,0,ROW()-1,60),ROW()-1,FALSE))</f>
        <v/>
      </c>
      <c r="BK117" t="str">
        <f ca="1">IF(AND(ISNUMBER($BK$328),$B$226=1),$BK$328,HLOOKUP(INDIRECT(ADDRESS(2,COLUMN())),OFFSET($BN$2,0,0,ROW()-1,60),ROW()-1,FALSE))</f>
        <v/>
      </c>
      <c r="BL117" t="str">
        <f ca="1">IF(AND(ISNUMBER($BL$328),$B$226=1),$BL$328,HLOOKUP(INDIRECT(ADDRESS(2,COLUMN())),OFFSET($BN$2,0,0,ROW()-1,60),ROW()-1,FALSE))</f>
        <v/>
      </c>
      <c r="BM117" t="str">
        <f ca="1">IF(AND(ISNUMBER($BM$328),$B$226=1),$BM$328,HLOOKUP(INDIRECT(ADDRESS(2,COLUMN())),OFFSET($BN$2,0,0,ROW()-1,60),ROW()-1,FALSE))</f>
        <v/>
      </c>
      <c r="BN117" t="str">
        <f>""</f>
        <v/>
      </c>
      <c r="BO117" t="str">
        <f>""</f>
        <v/>
      </c>
      <c r="BP117" t="str">
        <f>""</f>
        <v/>
      </c>
      <c r="BQ117" t="str">
        <f>""</f>
        <v/>
      </c>
      <c r="BR117" t="str">
        <f>""</f>
        <v/>
      </c>
      <c r="BS117" t="str">
        <f>""</f>
        <v/>
      </c>
      <c r="BT117" t="str">
        <f>""</f>
        <v/>
      </c>
      <c r="BU117" t="str">
        <f>""</f>
        <v/>
      </c>
      <c r="BV117" t="str">
        <f>""</f>
        <v/>
      </c>
      <c r="BW117" t="str">
        <f>""</f>
        <v/>
      </c>
      <c r="BX117" t="str">
        <f>""</f>
        <v/>
      </c>
      <c r="BY117" t="str">
        <f>""</f>
        <v/>
      </c>
      <c r="BZ117" t="str">
        <f>""</f>
        <v/>
      </c>
      <c r="CA117" t="str">
        <f>""</f>
        <v/>
      </c>
      <c r="CB117" t="str">
        <f>""</f>
        <v/>
      </c>
      <c r="CC117" t="str">
        <f>""</f>
        <v/>
      </c>
      <c r="CD117" t="str">
        <f>""</f>
        <v/>
      </c>
      <c r="CE117" t="str">
        <f>""</f>
        <v/>
      </c>
      <c r="CF117" t="str">
        <f>""</f>
        <v/>
      </c>
      <c r="CG117" t="str">
        <f>""</f>
        <v/>
      </c>
      <c r="CH117" t="str">
        <f>""</f>
        <v/>
      </c>
      <c r="CI117" t="str">
        <f>""</f>
        <v/>
      </c>
      <c r="CJ117" t="str">
        <f>""</f>
        <v/>
      </c>
      <c r="CK117" t="str">
        <f>""</f>
        <v/>
      </c>
      <c r="CL117" t="str">
        <f>""</f>
        <v/>
      </c>
      <c r="CM117" t="str">
        <f>""</f>
        <v/>
      </c>
      <c r="CN117" t="str">
        <f>""</f>
        <v/>
      </c>
      <c r="CO117" t="str">
        <f>""</f>
        <v/>
      </c>
      <c r="CP117" t="str">
        <f>""</f>
        <v/>
      </c>
      <c r="CQ117" t="str">
        <f>""</f>
        <v/>
      </c>
      <c r="CR117" t="str">
        <f>""</f>
        <v/>
      </c>
      <c r="CS117" t="str">
        <f>""</f>
        <v/>
      </c>
      <c r="CT117" t="str">
        <f>""</f>
        <v/>
      </c>
      <c r="CU117" t="str">
        <f>""</f>
        <v/>
      </c>
      <c r="CV117" t="str">
        <f>""</f>
        <v/>
      </c>
      <c r="CW117" t="str">
        <f>""</f>
        <v/>
      </c>
      <c r="CX117" t="str">
        <f>""</f>
        <v/>
      </c>
      <c r="CY117" t="str">
        <f>""</f>
        <v/>
      </c>
      <c r="CZ117" t="str">
        <f>""</f>
        <v/>
      </c>
      <c r="DA117" t="str">
        <f>""</f>
        <v/>
      </c>
      <c r="DB117" t="str">
        <f>""</f>
        <v/>
      </c>
      <c r="DC117" t="str">
        <f>""</f>
        <v/>
      </c>
      <c r="DD117" t="str">
        <f>""</f>
        <v/>
      </c>
      <c r="DE117" t="str">
        <f>""</f>
        <v/>
      </c>
      <c r="DF117" t="str">
        <f>""</f>
        <v/>
      </c>
      <c r="DG117" t="str">
        <f>""</f>
        <v/>
      </c>
      <c r="DH117" t="str">
        <f>""</f>
        <v/>
      </c>
      <c r="DI117" t="str">
        <f>""</f>
        <v/>
      </c>
      <c r="DJ117" t="str">
        <f>""</f>
        <v/>
      </c>
      <c r="DK117" t="str">
        <f>""</f>
        <v/>
      </c>
      <c r="DL117" t="str">
        <f>""</f>
        <v/>
      </c>
      <c r="DM117" t="str">
        <f>""</f>
        <v/>
      </c>
      <c r="DN117" t="str">
        <f>""</f>
        <v/>
      </c>
      <c r="DO117" t="str">
        <f>""</f>
        <v/>
      </c>
      <c r="DP117" t="str">
        <f>""</f>
        <v/>
      </c>
      <c r="DQ117" t="str">
        <f>""</f>
        <v/>
      </c>
      <c r="DR117" t="str">
        <f>""</f>
        <v/>
      </c>
      <c r="DS117" t="str">
        <f>""</f>
        <v/>
      </c>
      <c r="DT117" t="str">
        <f>""</f>
        <v/>
      </c>
      <c r="DU117" t="str">
        <f>""</f>
        <v/>
      </c>
    </row>
    <row r="118" spans="1:125">
      <c r="A118" t="str">
        <f>"    Essex Property Trust Inc"</f>
        <v xml:space="preserve">    Essex Property Trust Inc</v>
      </c>
      <c r="B118" t="str">
        <f>"ESS US Equity"</f>
        <v>ESS US Equity</v>
      </c>
      <c r="C118" t="str">
        <f t="shared" si="36"/>
        <v>BE592</v>
      </c>
      <c r="D118" t="str">
        <f t="shared" si="37"/>
        <v>BEST_FFOPS_YOY_GTH</v>
      </c>
      <c r="E118" t="str">
        <f t="shared" si="38"/>
        <v>动态</v>
      </c>
      <c r="F118" t="str">
        <f ca="1">IF(AND(ISNUMBER($F$329),$B$226=1),$F$329,HLOOKUP(INDIRECT(ADDRESS(2,COLUMN())),OFFSET($BN$2,0,0,ROW()-1,60),ROW()-1,FALSE))</f>
        <v/>
      </c>
      <c r="G118" t="str">
        <f ca="1">IF(AND(ISNUMBER($G$329),$B$226=1),$G$329,HLOOKUP(INDIRECT(ADDRESS(2,COLUMN())),OFFSET($BN$2,0,0,ROW()-1,60),ROW()-1,FALSE))</f>
        <v/>
      </c>
      <c r="H118" t="str">
        <f ca="1">IF(AND(ISNUMBER($H$329),$B$226=1),$H$329,HLOOKUP(INDIRECT(ADDRESS(2,COLUMN())),OFFSET($BN$2,0,0,ROW()-1,60),ROW()-1,FALSE))</f>
        <v/>
      </c>
      <c r="I118" t="str">
        <f ca="1">IF(AND(ISNUMBER($I$329),$B$226=1),$I$329,HLOOKUP(INDIRECT(ADDRESS(2,COLUMN())),OFFSET($BN$2,0,0,ROW()-1,60),ROW()-1,FALSE))</f>
        <v/>
      </c>
      <c r="J118" t="str">
        <f ca="1">IF(AND(ISNUMBER($J$329),$B$226=1),$J$329,HLOOKUP(INDIRECT(ADDRESS(2,COLUMN())),OFFSET($BN$2,0,0,ROW()-1,60),ROW()-1,FALSE))</f>
        <v/>
      </c>
      <c r="K118" t="str">
        <f ca="1">IF(AND(ISNUMBER($K$329),$B$226=1),$K$329,HLOOKUP(INDIRECT(ADDRESS(2,COLUMN())),OFFSET($BN$2,0,0,ROW()-1,60),ROW()-1,FALSE))</f>
        <v/>
      </c>
      <c r="L118" t="str">
        <f ca="1">IF(AND(ISNUMBER($L$329),$B$226=1),$L$329,HLOOKUP(INDIRECT(ADDRESS(2,COLUMN())),OFFSET($BN$2,0,0,ROW()-1,60),ROW()-1,FALSE))</f>
        <v/>
      </c>
      <c r="M118" t="str">
        <f ca="1">IF(AND(ISNUMBER($M$329),$B$226=1),$M$329,HLOOKUP(INDIRECT(ADDRESS(2,COLUMN())),OFFSET($BN$2,0,0,ROW()-1,60),ROW()-1,FALSE))</f>
        <v/>
      </c>
      <c r="N118" t="str">
        <f ca="1">IF(AND(ISNUMBER($N$329),$B$226=1),$N$329,HLOOKUP(INDIRECT(ADDRESS(2,COLUMN())),OFFSET($BN$2,0,0,ROW()-1,60),ROW()-1,FALSE))</f>
        <v/>
      </c>
      <c r="O118" t="str">
        <f ca="1">IF(AND(ISNUMBER($O$329),$B$226=1),$O$329,HLOOKUP(INDIRECT(ADDRESS(2,COLUMN())),OFFSET($BN$2,0,0,ROW()-1,60),ROW()-1,FALSE))</f>
        <v/>
      </c>
      <c r="P118" t="str">
        <f ca="1">IF(AND(ISNUMBER($P$329),$B$226=1),$P$329,HLOOKUP(INDIRECT(ADDRESS(2,COLUMN())),OFFSET($BN$2,0,0,ROW()-1,60),ROW()-1,FALSE))</f>
        <v/>
      </c>
      <c r="Q118" t="str">
        <f ca="1">IF(AND(ISNUMBER($Q$329),$B$226=1),$Q$329,HLOOKUP(INDIRECT(ADDRESS(2,COLUMN())),OFFSET($BN$2,0,0,ROW()-1,60),ROW()-1,FALSE))</f>
        <v/>
      </c>
      <c r="R118" t="str">
        <f ca="1">IF(AND(ISNUMBER($R$329),$B$226=1),$R$329,HLOOKUP(INDIRECT(ADDRESS(2,COLUMN())),OFFSET($BN$2,0,0,ROW()-1,60),ROW()-1,FALSE))</f>
        <v/>
      </c>
      <c r="S118" t="str">
        <f ca="1">IF(AND(ISNUMBER($S$329),$B$226=1),$S$329,HLOOKUP(INDIRECT(ADDRESS(2,COLUMN())),OFFSET($BN$2,0,0,ROW()-1,60),ROW()-1,FALSE))</f>
        <v/>
      </c>
      <c r="T118" t="str">
        <f ca="1">IF(AND(ISNUMBER($T$329),$B$226=1),$T$329,HLOOKUP(INDIRECT(ADDRESS(2,COLUMN())),OFFSET($BN$2,0,0,ROW()-1,60),ROW()-1,FALSE))</f>
        <v/>
      </c>
      <c r="U118" t="str">
        <f ca="1">IF(AND(ISNUMBER($U$329),$B$226=1),$U$329,HLOOKUP(INDIRECT(ADDRESS(2,COLUMN())),OFFSET($BN$2,0,0,ROW()-1,60),ROW()-1,FALSE))</f>
        <v/>
      </c>
      <c r="V118" t="str">
        <f ca="1">IF(AND(ISNUMBER($V$329),$B$226=1),$V$329,HLOOKUP(INDIRECT(ADDRESS(2,COLUMN())),OFFSET($BN$2,0,0,ROW()-1,60),ROW()-1,FALSE))</f>
        <v/>
      </c>
      <c r="W118" t="str">
        <f ca="1">IF(AND(ISNUMBER($W$329),$B$226=1),$W$329,HLOOKUP(INDIRECT(ADDRESS(2,COLUMN())),OFFSET($BN$2,0,0,ROW()-1,60),ROW()-1,FALSE))</f>
        <v/>
      </c>
      <c r="X118" t="str">
        <f ca="1">IF(AND(ISNUMBER($X$329),$B$226=1),$X$329,HLOOKUP(INDIRECT(ADDRESS(2,COLUMN())),OFFSET($BN$2,0,0,ROW()-1,60),ROW()-1,FALSE))</f>
        <v/>
      </c>
      <c r="Y118" t="str">
        <f ca="1">IF(AND(ISNUMBER($Y$329),$B$226=1),$Y$329,HLOOKUP(INDIRECT(ADDRESS(2,COLUMN())),OFFSET($BN$2,0,0,ROW()-1,60),ROW()-1,FALSE))</f>
        <v/>
      </c>
      <c r="Z118" t="str">
        <f ca="1">IF(AND(ISNUMBER($Z$329),$B$226=1),$Z$329,HLOOKUP(INDIRECT(ADDRESS(2,COLUMN())),OFFSET($BN$2,0,0,ROW()-1,60),ROW()-1,FALSE))</f>
        <v/>
      </c>
      <c r="AA118" t="str">
        <f ca="1">IF(AND(ISNUMBER($AA$329),$B$226=1),$AA$329,HLOOKUP(INDIRECT(ADDRESS(2,COLUMN())),OFFSET($BN$2,0,0,ROW()-1,60),ROW()-1,FALSE))</f>
        <v/>
      </c>
      <c r="AB118" t="str">
        <f ca="1">IF(AND(ISNUMBER($AB$329),$B$226=1),$AB$329,HLOOKUP(INDIRECT(ADDRESS(2,COLUMN())),OFFSET($BN$2,0,0,ROW()-1,60),ROW()-1,FALSE))</f>
        <v/>
      </c>
      <c r="AC118" t="str">
        <f ca="1">IF(AND(ISNUMBER($AC$329),$B$226=1),$AC$329,HLOOKUP(INDIRECT(ADDRESS(2,COLUMN())),OFFSET($BN$2,0,0,ROW()-1,60),ROW()-1,FALSE))</f>
        <v/>
      </c>
      <c r="AD118" t="str">
        <f ca="1">IF(AND(ISNUMBER($AD$329),$B$226=1),$AD$329,HLOOKUP(INDIRECT(ADDRESS(2,COLUMN())),OFFSET($BN$2,0,0,ROW()-1,60),ROW()-1,FALSE))</f>
        <v/>
      </c>
      <c r="AE118" t="str">
        <f ca="1">IF(AND(ISNUMBER($AE$329),$B$226=1),$AE$329,HLOOKUP(INDIRECT(ADDRESS(2,COLUMN())),OFFSET($BN$2,0,0,ROW()-1,60),ROW()-1,FALSE))</f>
        <v/>
      </c>
      <c r="AF118" t="str">
        <f ca="1">IF(AND(ISNUMBER($AF$329),$B$226=1),$AF$329,HLOOKUP(INDIRECT(ADDRESS(2,COLUMN())),OFFSET($BN$2,0,0,ROW()-1,60),ROW()-1,FALSE))</f>
        <v/>
      </c>
      <c r="AG118" t="str">
        <f ca="1">IF(AND(ISNUMBER($AG$329),$B$226=1),$AG$329,HLOOKUP(INDIRECT(ADDRESS(2,COLUMN())),OFFSET($BN$2,0,0,ROW()-1,60),ROW()-1,FALSE))</f>
        <v/>
      </c>
      <c r="AH118" t="str">
        <f ca="1">IF(AND(ISNUMBER($AH$329),$B$226=1),$AH$329,HLOOKUP(INDIRECT(ADDRESS(2,COLUMN())),OFFSET($BN$2,0,0,ROW()-1,60),ROW()-1,FALSE))</f>
        <v/>
      </c>
      <c r="AI118" t="str">
        <f ca="1">IF(AND(ISNUMBER($AI$329),$B$226=1),$AI$329,HLOOKUP(INDIRECT(ADDRESS(2,COLUMN())),OFFSET($BN$2,0,0,ROW()-1,60),ROW()-1,FALSE))</f>
        <v/>
      </c>
      <c r="AJ118" t="str">
        <f ca="1">IF(AND(ISNUMBER($AJ$329),$B$226=1),$AJ$329,HLOOKUP(INDIRECT(ADDRESS(2,COLUMN())),OFFSET($BN$2,0,0,ROW()-1,60),ROW()-1,FALSE))</f>
        <v/>
      </c>
      <c r="AK118" t="str">
        <f ca="1">IF(AND(ISNUMBER($AK$329),$B$226=1),$AK$329,HLOOKUP(INDIRECT(ADDRESS(2,COLUMN())),OFFSET($BN$2,0,0,ROW()-1,60),ROW()-1,FALSE))</f>
        <v/>
      </c>
      <c r="AL118" t="str">
        <f ca="1">IF(AND(ISNUMBER($AL$329),$B$226=1),$AL$329,HLOOKUP(INDIRECT(ADDRESS(2,COLUMN())),OFFSET($BN$2,0,0,ROW()-1,60),ROW()-1,FALSE))</f>
        <v/>
      </c>
      <c r="AM118" t="str">
        <f ca="1">IF(AND(ISNUMBER($AM$329),$B$226=1),$AM$329,HLOOKUP(INDIRECT(ADDRESS(2,COLUMN())),OFFSET($BN$2,0,0,ROW()-1,60),ROW()-1,FALSE))</f>
        <v/>
      </c>
      <c r="AN118" t="str">
        <f ca="1">IF(AND(ISNUMBER($AN$329),$B$226=1),$AN$329,HLOOKUP(INDIRECT(ADDRESS(2,COLUMN())),OFFSET($BN$2,0,0,ROW()-1,60),ROW()-1,FALSE))</f>
        <v/>
      </c>
      <c r="AO118" t="str">
        <f ca="1">IF(AND(ISNUMBER($AO$329),$B$226=1),$AO$329,HLOOKUP(INDIRECT(ADDRESS(2,COLUMN())),OFFSET($BN$2,0,0,ROW()-1,60),ROW()-1,FALSE))</f>
        <v/>
      </c>
      <c r="AP118" t="str">
        <f ca="1">IF(AND(ISNUMBER($AP$329),$B$226=1),$AP$329,HLOOKUP(INDIRECT(ADDRESS(2,COLUMN())),OFFSET($BN$2,0,0,ROW()-1,60),ROW()-1,FALSE))</f>
        <v/>
      </c>
      <c r="AQ118" t="str">
        <f ca="1">IF(AND(ISNUMBER($AQ$329),$B$226=1),$AQ$329,HLOOKUP(INDIRECT(ADDRESS(2,COLUMN())),OFFSET($BN$2,0,0,ROW()-1,60),ROW()-1,FALSE))</f>
        <v/>
      </c>
      <c r="AR118" t="str">
        <f ca="1">IF(AND(ISNUMBER($AR$329),$B$226=1),$AR$329,HLOOKUP(INDIRECT(ADDRESS(2,COLUMN())),OFFSET($BN$2,0,0,ROW()-1,60),ROW()-1,FALSE))</f>
        <v/>
      </c>
      <c r="AS118" t="str">
        <f ca="1">IF(AND(ISNUMBER($AS$329),$B$226=1),$AS$329,HLOOKUP(INDIRECT(ADDRESS(2,COLUMN())),OFFSET($BN$2,0,0,ROW()-1,60),ROW()-1,FALSE))</f>
        <v/>
      </c>
      <c r="AT118" t="str">
        <f ca="1">IF(AND(ISNUMBER($AT$329),$B$226=1),$AT$329,HLOOKUP(INDIRECT(ADDRESS(2,COLUMN())),OFFSET($BN$2,0,0,ROW()-1,60),ROW()-1,FALSE))</f>
        <v/>
      </c>
      <c r="AU118" t="str">
        <f ca="1">IF(AND(ISNUMBER($AU$329),$B$226=1),$AU$329,HLOOKUP(INDIRECT(ADDRESS(2,COLUMN())),OFFSET($BN$2,0,0,ROW()-1,60),ROW()-1,FALSE))</f>
        <v/>
      </c>
      <c r="AV118" t="str">
        <f ca="1">IF(AND(ISNUMBER($AV$329),$B$226=1),$AV$329,HLOOKUP(INDIRECT(ADDRESS(2,COLUMN())),OFFSET($BN$2,0,0,ROW()-1,60),ROW()-1,FALSE))</f>
        <v/>
      </c>
      <c r="AW118" t="str">
        <f ca="1">IF(AND(ISNUMBER($AW$329),$B$226=1),$AW$329,HLOOKUP(INDIRECT(ADDRESS(2,COLUMN())),OFFSET($BN$2,0,0,ROW()-1,60),ROW()-1,FALSE))</f>
        <v/>
      </c>
      <c r="AX118" t="str">
        <f ca="1">IF(AND(ISNUMBER($AX$329),$B$226=1),$AX$329,HLOOKUP(INDIRECT(ADDRESS(2,COLUMN())),OFFSET($BN$2,0,0,ROW()-1,60),ROW()-1,FALSE))</f>
        <v/>
      </c>
      <c r="AY118" t="str">
        <f ca="1">IF(AND(ISNUMBER($AY$329),$B$226=1),$AY$329,HLOOKUP(INDIRECT(ADDRESS(2,COLUMN())),OFFSET($BN$2,0,0,ROW()-1,60),ROW()-1,FALSE))</f>
        <v/>
      </c>
      <c r="AZ118" t="str">
        <f ca="1">IF(AND(ISNUMBER($AZ$329),$B$226=1),$AZ$329,HLOOKUP(INDIRECT(ADDRESS(2,COLUMN())),OFFSET($BN$2,0,0,ROW()-1,60),ROW()-1,FALSE))</f>
        <v/>
      </c>
      <c r="BA118" t="str">
        <f ca="1">IF(AND(ISNUMBER($BA$329),$B$226=1),$BA$329,HLOOKUP(INDIRECT(ADDRESS(2,COLUMN())),OFFSET($BN$2,0,0,ROW()-1,60),ROW()-1,FALSE))</f>
        <v/>
      </c>
      <c r="BB118" t="str">
        <f ca="1">IF(AND(ISNUMBER($BB$329),$B$226=1),$BB$329,HLOOKUP(INDIRECT(ADDRESS(2,COLUMN())),OFFSET($BN$2,0,0,ROW()-1,60),ROW()-1,FALSE))</f>
        <v/>
      </c>
      <c r="BC118" t="str">
        <f ca="1">IF(AND(ISNUMBER($BC$329),$B$226=1),$BC$329,HLOOKUP(INDIRECT(ADDRESS(2,COLUMN())),OFFSET($BN$2,0,0,ROW()-1,60),ROW()-1,FALSE))</f>
        <v/>
      </c>
      <c r="BD118" t="str">
        <f ca="1">IF(AND(ISNUMBER($BD$329),$B$226=1),$BD$329,HLOOKUP(INDIRECT(ADDRESS(2,COLUMN())),OFFSET($BN$2,0,0,ROW()-1,60),ROW()-1,FALSE))</f>
        <v/>
      </c>
      <c r="BE118" t="str">
        <f ca="1">IF(AND(ISNUMBER($BE$329),$B$226=1),$BE$329,HLOOKUP(INDIRECT(ADDRESS(2,COLUMN())),OFFSET($BN$2,0,0,ROW()-1,60),ROW()-1,FALSE))</f>
        <v/>
      </c>
      <c r="BF118" t="str">
        <f ca="1">IF(AND(ISNUMBER($BF$329),$B$226=1),$BF$329,HLOOKUP(INDIRECT(ADDRESS(2,COLUMN())),OFFSET($BN$2,0,0,ROW()-1,60),ROW()-1,FALSE))</f>
        <v/>
      </c>
      <c r="BG118" t="str">
        <f ca="1">IF(AND(ISNUMBER($BG$329),$B$226=1),$BG$329,HLOOKUP(INDIRECT(ADDRESS(2,COLUMN())),OFFSET($BN$2,0,0,ROW()-1,60),ROW()-1,FALSE))</f>
        <v/>
      </c>
      <c r="BH118" t="str">
        <f ca="1">IF(AND(ISNUMBER($BH$329),$B$226=1),$BH$329,HLOOKUP(INDIRECT(ADDRESS(2,COLUMN())),OFFSET($BN$2,0,0,ROW()-1,60),ROW()-1,FALSE))</f>
        <v/>
      </c>
      <c r="BI118" t="str">
        <f ca="1">IF(AND(ISNUMBER($BI$329),$B$226=1),$BI$329,HLOOKUP(INDIRECT(ADDRESS(2,COLUMN())),OFFSET($BN$2,0,0,ROW()-1,60),ROW()-1,FALSE))</f>
        <v/>
      </c>
      <c r="BJ118" t="str">
        <f ca="1">IF(AND(ISNUMBER($BJ$329),$B$226=1),$BJ$329,HLOOKUP(INDIRECT(ADDRESS(2,COLUMN())),OFFSET($BN$2,0,0,ROW()-1,60),ROW()-1,FALSE))</f>
        <v/>
      </c>
      <c r="BK118" t="str">
        <f ca="1">IF(AND(ISNUMBER($BK$329),$B$226=1),$BK$329,HLOOKUP(INDIRECT(ADDRESS(2,COLUMN())),OFFSET($BN$2,0,0,ROW()-1,60),ROW()-1,FALSE))</f>
        <v/>
      </c>
      <c r="BL118" t="str">
        <f ca="1">IF(AND(ISNUMBER($BL$329),$B$226=1),$BL$329,HLOOKUP(INDIRECT(ADDRESS(2,COLUMN())),OFFSET($BN$2,0,0,ROW()-1,60),ROW()-1,FALSE))</f>
        <v/>
      </c>
      <c r="BM118" t="str">
        <f ca="1">IF(AND(ISNUMBER($BM$329),$B$226=1),$BM$329,HLOOKUP(INDIRECT(ADDRESS(2,COLUMN())),OFFSET($BN$2,0,0,ROW()-1,60),ROW()-1,FALSE))</f>
        <v/>
      </c>
      <c r="BN118" t="str">
        <f>""</f>
        <v/>
      </c>
      <c r="BO118" t="str">
        <f>""</f>
        <v/>
      </c>
      <c r="BP118" t="str">
        <f>""</f>
        <v/>
      </c>
      <c r="BQ118" t="str">
        <f>""</f>
        <v/>
      </c>
      <c r="BR118" t="str">
        <f>""</f>
        <v/>
      </c>
      <c r="BS118" t="str">
        <f>""</f>
        <v/>
      </c>
      <c r="BT118" t="str">
        <f>""</f>
        <v/>
      </c>
      <c r="BU118" t="str">
        <f>""</f>
        <v/>
      </c>
      <c r="BV118" t="str">
        <f>""</f>
        <v/>
      </c>
      <c r="BW118" t="str">
        <f>""</f>
        <v/>
      </c>
      <c r="BX118" t="str">
        <f>""</f>
        <v/>
      </c>
      <c r="BY118" t="str">
        <f>""</f>
        <v/>
      </c>
      <c r="BZ118" t="str">
        <f>""</f>
        <v/>
      </c>
      <c r="CA118" t="str">
        <f>""</f>
        <v/>
      </c>
      <c r="CB118" t="str">
        <f>""</f>
        <v/>
      </c>
      <c r="CC118" t="str">
        <f>""</f>
        <v/>
      </c>
      <c r="CD118" t="str">
        <f>""</f>
        <v/>
      </c>
      <c r="CE118" t="str">
        <f>""</f>
        <v/>
      </c>
      <c r="CF118" t="str">
        <f>""</f>
        <v/>
      </c>
      <c r="CG118" t="str">
        <f>""</f>
        <v/>
      </c>
      <c r="CH118" t="str">
        <f>""</f>
        <v/>
      </c>
      <c r="CI118" t="str">
        <f>""</f>
        <v/>
      </c>
      <c r="CJ118" t="str">
        <f>""</f>
        <v/>
      </c>
      <c r="CK118" t="str">
        <f>""</f>
        <v/>
      </c>
      <c r="CL118" t="str">
        <f>""</f>
        <v/>
      </c>
      <c r="CM118" t="str">
        <f>""</f>
        <v/>
      </c>
      <c r="CN118" t="str">
        <f>""</f>
        <v/>
      </c>
      <c r="CO118" t="str">
        <f>""</f>
        <v/>
      </c>
      <c r="CP118" t="str">
        <f>""</f>
        <v/>
      </c>
      <c r="CQ118" t="str">
        <f>""</f>
        <v/>
      </c>
      <c r="CR118" t="str">
        <f>""</f>
        <v/>
      </c>
      <c r="CS118" t="str">
        <f>""</f>
        <v/>
      </c>
      <c r="CT118" t="str">
        <f>""</f>
        <v/>
      </c>
      <c r="CU118" t="str">
        <f>""</f>
        <v/>
      </c>
      <c r="CV118" t="str">
        <f>""</f>
        <v/>
      </c>
      <c r="CW118" t="str">
        <f>""</f>
        <v/>
      </c>
      <c r="CX118" t="str">
        <f>""</f>
        <v/>
      </c>
      <c r="CY118" t="str">
        <f>""</f>
        <v/>
      </c>
      <c r="CZ118" t="str">
        <f>""</f>
        <v/>
      </c>
      <c r="DA118" t="str">
        <f>""</f>
        <v/>
      </c>
      <c r="DB118" t="str">
        <f>""</f>
        <v/>
      </c>
      <c r="DC118" t="str">
        <f>""</f>
        <v/>
      </c>
      <c r="DD118" t="str">
        <f>""</f>
        <v/>
      </c>
      <c r="DE118" t="str">
        <f>""</f>
        <v/>
      </c>
      <c r="DF118" t="str">
        <f>""</f>
        <v/>
      </c>
      <c r="DG118" t="str">
        <f>""</f>
        <v/>
      </c>
      <c r="DH118" t="str">
        <f>""</f>
        <v/>
      </c>
      <c r="DI118" t="str">
        <f>""</f>
        <v/>
      </c>
      <c r="DJ118" t="str">
        <f>""</f>
        <v/>
      </c>
      <c r="DK118" t="str">
        <f>""</f>
        <v/>
      </c>
      <c r="DL118" t="str">
        <f>""</f>
        <v/>
      </c>
      <c r="DM118" t="str">
        <f>""</f>
        <v/>
      </c>
      <c r="DN118" t="str">
        <f>""</f>
        <v/>
      </c>
      <c r="DO118" t="str">
        <f>""</f>
        <v/>
      </c>
      <c r="DP118" t="str">
        <f>""</f>
        <v/>
      </c>
      <c r="DQ118" t="str">
        <f>""</f>
        <v/>
      </c>
      <c r="DR118" t="str">
        <f>""</f>
        <v/>
      </c>
      <c r="DS118" t="str">
        <f>""</f>
        <v/>
      </c>
      <c r="DT118" t="str">
        <f>""</f>
        <v/>
      </c>
      <c r="DU118" t="str">
        <f>""</f>
        <v/>
      </c>
    </row>
    <row r="119" spans="1:125">
      <c r="A119" t="str">
        <f>"    Mid-America Apartment Communit"</f>
        <v xml:space="preserve">    Mid-America Apartment Communit</v>
      </c>
      <c r="B119" t="str">
        <f>"MAA US Equity"</f>
        <v>MAA US Equity</v>
      </c>
      <c r="C119" t="str">
        <f t="shared" si="36"/>
        <v>BE592</v>
      </c>
      <c r="D119" t="str">
        <f t="shared" si="37"/>
        <v>BEST_FFOPS_YOY_GTH</v>
      </c>
      <c r="E119" t="str">
        <f t="shared" si="38"/>
        <v>动态</v>
      </c>
      <c r="F119" t="str">
        <f ca="1">IF(AND(ISNUMBER($F$330),$B$226=1),$F$330,HLOOKUP(INDIRECT(ADDRESS(2,COLUMN())),OFFSET($BN$2,0,0,ROW()-1,60),ROW()-1,FALSE))</f>
        <v/>
      </c>
      <c r="G119" t="str">
        <f ca="1">IF(AND(ISNUMBER($G$330),$B$226=1),$G$330,HLOOKUP(INDIRECT(ADDRESS(2,COLUMN())),OFFSET($BN$2,0,0,ROW()-1,60),ROW()-1,FALSE))</f>
        <v/>
      </c>
      <c r="H119" t="str">
        <f ca="1">IF(AND(ISNUMBER($H$330),$B$226=1),$H$330,HLOOKUP(INDIRECT(ADDRESS(2,COLUMN())),OFFSET($BN$2,0,0,ROW()-1,60),ROW()-1,FALSE))</f>
        <v/>
      </c>
      <c r="I119" t="str">
        <f ca="1">IF(AND(ISNUMBER($I$330),$B$226=1),$I$330,HLOOKUP(INDIRECT(ADDRESS(2,COLUMN())),OFFSET($BN$2,0,0,ROW()-1,60),ROW()-1,FALSE))</f>
        <v/>
      </c>
      <c r="J119" t="str">
        <f ca="1">IF(AND(ISNUMBER($J$330),$B$226=1),$J$330,HLOOKUP(INDIRECT(ADDRESS(2,COLUMN())),OFFSET($BN$2,0,0,ROW()-1,60),ROW()-1,FALSE))</f>
        <v/>
      </c>
      <c r="K119" t="str">
        <f ca="1">IF(AND(ISNUMBER($K$330),$B$226=1),$K$330,HLOOKUP(INDIRECT(ADDRESS(2,COLUMN())),OFFSET($BN$2,0,0,ROW()-1,60),ROW()-1,FALSE))</f>
        <v/>
      </c>
      <c r="L119" t="str">
        <f ca="1">IF(AND(ISNUMBER($L$330),$B$226=1),$L$330,HLOOKUP(INDIRECT(ADDRESS(2,COLUMN())),OFFSET($BN$2,0,0,ROW()-1,60),ROW()-1,FALSE))</f>
        <v/>
      </c>
      <c r="M119" t="str">
        <f ca="1">IF(AND(ISNUMBER($M$330),$B$226=1),$M$330,HLOOKUP(INDIRECT(ADDRESS(2,COLUMN())),OFFSET($BN$2,0,0,ROW()-1,60),ROW()-1,FALSE))</f>
        <v/>
      </c>
      <c r="N119" t="str">
        <f ca="1">IF(AND(ISNUMBER($N$330),$B$226=1),$N$330,HLOOKUP(INDIRECT(ADDRESS(2,COLUMN())),OFFSET($BN$2,0,0,ROW()-1,60),ROW()-1,FALSE))</f>
        <v/>
      </c>
      <c r="O119" t="str">
        <f ca="1">IF(AND(ISNUMBER($O$330),$B$226=1),$O$330,HLOOKUP(INDIRECT(ADDRESS(2,COLUMN())),OFFSET($BN$2,0,0,ROW()-1,60),ROW()-1,FALSE))</f>
        <v/>
      </c>
      <c r="P119" t="str">
        <f ca="1">IF(AND(ISNUMBER($P$330),$B$226=1),$P$330,HLOOKUP(INDIRECT(ADDRESS(2,COLUMN())),OFFSET($BN$2,0,0,ROW()-1,60),ROW()-1,FALSE))</f>
        <v/>
      </c>
      <c r="Q119" t="str">
        <f ca="1">IF(AND(ISNUMBER($Q$330),$B$226=1),$Q$330,HLOOKUP(INDIRECT(ADDRESS(2,COLUMN())),OFFSET($BN$2,0,0,ROW()-1,60),ROW()-1,FALSE))</f>
        <v/>
      </c>
      <c r="R119" t="str">
        <f ca="1">IF(AND(ISNUMBER($R$330),$B$226=1),$R$330,HLOOKUP(INDIRECT(ADDRESS(2,COLUMN())),OFFSET($BN$2,0,0,ROW()-1,60),ROW()-1,FALSE))</f>
        <v/>
      </c>
      <c r="S119" t="str">
        <f ca="1">IF(AND(ISNUMBER($S$330),$B$226=1),$S$330,HLOOKUP(INDIRECT(ADDRESS(2,COLUMN())),OFFSET($BN$2,0,0,ROW()-1,60),ROW()-1,FALSE))</f>
        <v/>
      </c>
      <c r="T119" t="str">
        <f ca="1">IF(AND(ISNUMBER($T$330),$B$226=1),$T$330,HLOOKUP(INDIRECT(ADDRESS(2,COLUMN())),OFFSET($BN$2,0,0,ROW()-1,60),ROW()-1,FALSE))</f>
        <v/>
      </c>
      <c r="U119" t="str">
        <f ca="1">IF(AND(ISNUMBER($U$330),$B$226=1),$U$330,HLOOKUP(INDIRECT(ADDRESS(2,COLUMN())),OFFSET($BN$2,0,0,ROW()-1,60),ROW()-1,FALSE))</f>
        <v/>
      </c>
      <c r="V119" t="str">
        <f ca="1">IF(AND(ISNUMBER($V$330),$B$226=1),$V$330,HLOOKUP(INDIRECT(ADDRESS(2,COLUMN())),OFFSET($BN$2,0,0,ROW()-1,60),ROW()-1,FALSE))</f>
        <v/>
      </c>
      <c r="W119" t="str">
        <f ca="1">IF(AND(ISNUMBER($W$330),$B$226=1),$W$330,HLOOKUP(INDIRECT(ADDRESS(2,COLUMN())),OFFSET($BN$2,0,0,ROW()-1,60),ROW()-1,FALSE))</f>
        <v/>
      </c>
      <c r="X119" t="str">
        <f ca="1">IF(AND(ISNUMBER($X$330),$B$226=1),$X$330,HLOOKUP(INDIRECT(ADDRESS(2,COLUMN())),OFFSET($BN$2,0,0,ROW()-1,60),ROW()-1,FALSE))</f>
        <v/>
      </c>
      <c r="Y119" t="str">
        <f ca="1">IF(AND(ISNUMBER($Y$330),$B$226=1),$Y$330,HLOOKUP(INDIRECT(ADDRESS(2,COLUMN())),OFFSET($BN$2,0,0,ROW()-1,60),ROW()-1,FALSE))</f>
        <v/>
      </c>
      <c r="Z119" t="str">
        <f ca="1">IF(AND(ISNUMBER($Z$330),$B$226=1),$Z$330,HLOOKUP(INDIRECT(ADDRESS(2,COLUMN())),OFFSET($BN$2,0,0,ROW()-1,60),ROW()-1,FALSE))</f>
        <v/>
      </c>
      <c r="AA119" t="str">
        <f ca="1">IF(AND(ISNUMBER($AA$330),$B$226=1),$AA$330,HLOOKUP(INDIRECT(ADDRESS(2,COLUMN())),OFFSET($BN$2,0,0,ROW()-1,60),ROW()-1,FALSE))</f>
        <v/>
      </c>
      <c r="AB119" t="str">
        <f ca="1">IF(AND(ISNUMBER($AB$330),$B$226=1),$AB$330,HLOOKUP(INDIRECT(ADDRESS(2,COLUMN())),OFFSET($BN$2,0,0,ROW()-1,60),ROW()-1,FALSE))</f>
        <v/>
      </c>
      <c r="AC119" t="str">
        <f ca="1">IF(AND(ISNUMBER($AC$330),$B$226=1),$AC$330,HLOOKUP(INDIRECT(ADDRESS(2,COLUMN())),OFFSET($BN$2,0,0,ROW()-1,60),ROW()-1,FALSE))</f>
        <v/>
      </c>
      <c r="AD119" t="str">
        <f ca="1">IF(AND(ISNUMBER($AD$330),$B$226=1),$AD$330,HLOOKUP(INDIRECT(ADDRESS(2,COLUMN())),OFFSET($BN$2,0,0,ROW()-1,60),ROW()-1,FALSE))</f>
        <v/>
      </c>
      <c r="AE119" t="str">
        <f ca="1">IF(AND(ISNUMBER($AE$330),$B$226=1),$AE$330,HLOOKUP(INDIRECT(ADDRESS(2,COLUMN())),OFFSET($BN$2,0,0,ROW()-1,60),ROW()-1,FALSE))</f>
        <v/>
      </c>
      <c r="AF119" t="str">
        <f ca="1">IF(AND(ISNUMBER($AF$330),$B$226=1),$AF$330,HLOOKUP(INDIRECT(ADDRESS(2,COLUMN())),OFFSET($BN$2,0,0,ROW()-1,60),ROW()-1,FALSE))</f>
        <v/>
      </c>
      <c r="AG119" t="str">
        <f ca="1">IF(AND(ISNUMBER($AG$330),$B$226=1),$AG$330,HLOOKUP(INDIRECT(ADDRESS(2,COLUMN())),OFFSET($BN$2,0,0,ROW()-1,60),ROW()-1,FALSE))</f>
        <v/>
      </c>
      <c r="AH119" t="str">
        <f ca="1">IF(AND(ISNUMBER($AH$330),$B$226=1),$AH$330,HLOOKUP(INDIRECT(ADDRESS(2,COLUMN())),OFFSET($BN$2,0,0,ROW()-1,60),ROW()-1,FALSE))</f>
        <v/>
      </c>
      <c r="AI119" t="str">
        <f ca="1">IF(AND(ISNUMBER($AI$330),$B$226=1),$AI$330,HLOOKUP(INDIRECT(ADDRESS(2,COLUMN())),OFFSET($BN$2,0,0,ROW()-1,60),ROW()-1,FALSE))</f>
        <v/>
      </c>
      <c r="AJ119" t="str">
        <f ca="1">IF(AND(ISNUMBER($AJ$330),$B$226=1),$AJ$330,HLOOKUP(INDIRECT(ADDRESS(2,COLUMN())),OFFSET($BN$2,0,0,ROW()-1,60),ROW()-1,FALSE))</f>
        <v/>
      </c>
      <c r="AK119" t="str">
        <f ca="1">IF(AND(ISNUMBER($AK$330),$B$226=1),$AK$330,HLOOKUP(INDIRECT(ADDRESS(2,COLUMN())),OFFSET($BN$2,0,0,ROW()-1,60),ROW()-1,FALSE))</f>
        <v/>
      </c>
      <c r="AL119" t="str">
        <f ca="1">IF(AND(ISNUMBER($AL$330),$B$226=1),$AL$330,HLOOKUP(INDIRECT(ADDRESS(2,COLUMN())),OFFSET($BN$2,0,0,ROW()-1,60),ROW()-1,FALSE))</f>
        <v/>
      </c>
      <c r="AM119" t="str">
        <f ca="1">IF(AND(ISNUMBER($AM$330),$B$226=1),$AM$330,HLOOKUP(INDIRECT(ADDRESS(2,COLUMN())),OFFSET($BN$2,0,0,ROW()-1,60),ROW()-1,FALSE))</f>
        <v/>
      </c>
      <c r="AN119" t="str">
        <f ca="1">IF(AND(ISNUMBER($AN$330),$B$226=1),$AN$330,HLOOKUP(INDIRECT(ADDRESS(2,COLUMN())),OFFSET($BN$2,0,0,ROW()-1,60),ROW()-1,FALSE))</f>
        <v/>
      </c>
      <c r="AO119" t="str">
        <f ca="1">IF(AND(ISNUMBER($AO$330),$B$226=1),$AO$330,HLOOKUP(INDIRECT(ADDRESS(2,COLUMN())),OFFSET($BN$2,0,0,ROW()-1,60),ROW()-1,FALSE))</f>
        <v/>
      </c>
      <c r="AP119" t="str">
        <f ca="1">IF(AND(ISNUMBER($AP$330),$B$226=1),$AP$330,HLOOKUP(INDIRECT(ADDRESS(2,COLUMN())),OFFSET($BN$2,0,0,ROW()-1,60),ROW()-1,FALSE))</f>
        <v/>
      </c>
      <c r="AQ119" t="str">
        <f ca="1">IF(AND(ISNUMBER($AQ$330),$B$226=1),$AQ$330,HLOOKUP(INDIRECT(ADDRESS(2,COLUMN())),OFFSET($BN$2,0,0,ROW()-1,60),ROW()-1,FALSE))</f>
        <v/>
      </c>
      <c r="AR119" t="str">
        <f ca="1">IF(AND(ISNUMBER($AR$330),$B$226=1),$AR$330,HLOOKUP(INDIRECT(ADDRESS(2,COLUMN())),OFFSET($BN$2,0,0,ROW()-1,60),ROW()-1,FALSE))</f>
        <v/>
      </c>
      <c r="AS119" t="str">
        <f ca="1">IF(AND(ISNUMBER($AS$330),$B$226=1),$AS$330,HLOOKUP(INDIRECT(ADDRESS(2,COLUMN())),OFFSET($BN$2,0,0,ROW()-1,60),ROW()-1,FALSE))</f>
        <v/>
      </c>
      <c r="AT119" t="str">
        <f ca="1">IF(AND(ISNUMBER($AT$330),$B$226=1),$AT$330,HLOOKUP(INDIRECT(ADDRESS(2,COLUMN())),OFFSET($BN$2,0,0,ROW()-1,60),ROW()-1,FALSE))</f>
        <v/>
      </c>
      <c r="AU119" t="str">
        <f ca="1">IF(AND(ISNUMBER($AU$330),$B$226=1),$AU$330,HLOOKUP(INDIRECT(ADDRESS(2,COLUMN())),OFFSET($BN$2,0,0,ROW()-1,60),ROW()-1,FALSE))</f>
        <v/>
      </c>
      <c r="AV119" t="str">
        <f ca="1">IF(AND(ISNUMBER($AV$330),$B$226=1),$AV$330,HLOOKUP(INDIRECT(ADDRESS(2,COLUMN())),OFFSET($BN$2,0,0,ROW()-1,60),ROW()-1,FALSE))</f>
        <v/>
      </c>
      <c r="AW119" t="str">
        <f ca="1">IF(AND(ISNUMBER($AW$330),$B$226=1),$AW$330,HLOOKUP(INDIRECT(ADDRESS(2,COLUMN())),OFFSET($BN$2,0,0,ROW()-1,60),ROW()-1,FALSE))</f>
        <v/>
      </c>
      <c r="AX119" t="str">
        <f ca="1">IF(AND(ISNUMBER($AX$330),$B$226=1),$AX$330,HLOOKUP(INDIRECT(ADDRESS(2,COLUMN())),OFFSET($BN$2,0,0,ROW()-1,60),ROW()-1,FALSE))</f>
        <v/>
      </c>
      <c r="AY119" t="str">
        <f ca="1">IF(AND(ISNUMBER($AY$330),$B$226=1),$AY$330,HLOOKUP(INDIRECT(ADDRESS(2,COLUMN())),OFFSET($BN$2,0,0,ROW()-1,60),ROW()-1,FALSE))</f>
        <v/>
      </c>
      <c r="AZ119" t="str">
        <f ca="1">IF(AND(ISNUMBER($AZ$330),$B$226=1),$AZ$330,HLOOKUP(INDIRECT(ADDRESS(2,COLUMN())),OFFSET($BN$2,0,0,ROW()-1,60),ROW()-1,FALSE))</f>
        <v/>
      </c>
      <c r="BA119" t="str">
        <f ca="1">IF(AND(ISNUMBER($BA$330),$B$226=1),$BA$330,HLOOKUP(INDIRECT(ADDRESS(2,COLUMN())),OFFSET($BN$2,0,0,ROW()-1,60),ROW()-1,FALSE))</f>
        <v/>
      </c>
      <c r="BB119" t="str">
        <f ca="1">IF(AND(ISNUMBER($BB$330),$B$226=1),$BB$330,HLOOKUP(INDIRECT(ADDRESS(2,COLUMN())),OFFSET($BN$2,0,0,ROW()-1,60),ROW()-1,FALSE))</f>
        <v/>
      </c>
      <c r="BC119" t="str">
        <f ca="1">IF(AND(ISNUMBER($BC$330),$B$226=1),$BC$330,HLOOKUP(INDIRECT(ADDRESS(2,COLUMN())),OFFSET($BN$2,0,0,ROW()-1,60),ROW()-1,FALSE))</f>
        <v/>
      </c>
      <c r="BD119" t="str">
        <f ca="1">IF(AND(ISNUMBER($BD$330),$B$226=1),$BD$330,HLOOKUP(INDIRECT(ADDRESS(2,COLUMN())),OFFSET($BN$2,0,0,ROW()-1,60),ROW()-1,FALSE))</f>
        <v/>
      </c>
      <c r="BE119" t="str">
        <f ca="1">IF(AND(ISNUMBER($BE$330),$B$226=1),$BE$330,HLOOKUP(INDIRECT(ADDRESS(2,COLUMN())),OFFSET($BN$2,0,0,ROW()-1,60),ROW()-1,FALSE))</f>
        <v/>
      </c>
      <c r="BF119" t="str">
        <f ca="1">IF(AND(ISNUMBER($BF$330),$B$226=1),$BF$330,HLOOKUP(INDIRECT(ADDRESS(2,COLUMN())),OFFSET($BN$2,0,0,ROW()-1,60),ROW()-1,FALSE))</f>
        <v/>
      </c>
      <c r="BG119" t="str">
        <f ca="1">IF(AND(ISNUMBER($BG$330),$B$226=1),$BG$330,HLOOKUP(INDIRECT(ADDRESS(2,COLUMN())),OFFSET($BN$2,0,0,ROW()-1,60),ROW()-1,FALSE))</f>
        <v/>
      </c>
      <c r="BH119" t="str">
        <f ca="1">IF(AND(ISNUMBER($BH$330),$B$226=1),$BH$330,HLOOKUP(INDIRECT(ADDRESS(2,COLUMN())),OFFSET($BN$2,0,0,ROW()-1,60),ROW()-1,FALSE))</f>
        <v/>
      </c>
      <c r="BI119" t="str">
        <f ca="1">IF(AND(ISNUMBER($BI$330),$B$226=1),$BI$330,HLOOKUP(INDIRECT(ADDRESS(2,COLUMN())),OFFSET($BN$2,0,0,ROW()-1,60),ROW()-1,FALSE))</f>
        <v/>
      </c>
      <c r="BJ119" t="str">
        <f ca="1">IF(AND(ISNUMBER($BJ$330),$B$226=1),$BJ$330,HLOOKUP(INDIRECT(ADDRESS(2,COLUMN())),OFFSET($BN$2,0,0,ROW()-1,60),ROW()-1,FALSE))</f>
        <v/>
      </c>
      <c r="BK119" t="str">
        <f ca="1">IF(AND(ISNUMBER($BK$330),$B$226=1),$BK$330,HLOOKUP(INDIRECT(ADDRESS(2,COLUMN())),OFFSET($BN$2,0,0,ROW()-1,60),ROW()-1,FALSE))</f>
        <v/>
      </c>
      <c r="BL119" t="str">
        <f ca="1">IF(AND(ISNUMBER($BL$330),$B$226=1),$BL$330,HLOOKUP(INDIRECT(ADDRESS(2,COLUMN())),OFFSET($BN$2,0,0,ROW()-1,60),ROW()-1,FALSE))</f>
        <v/>
      </c>
      <c r="BM119" t="str">
        <f ca="1">IF(AND(ISNUMBER($BM$330),$B$226=1),$BM$330,HLOOKUP(INDIRECT(ADDRESS(2,COLUMN())),OFFSET($BN$2,0,0,ROW()-1,60),ROW()-1,FALSE))</f>
        <v/>
      </c>
      <c r="BN119" t="str">
        <f>""</f>
        <v/>
      </c>
      <c r="BO119" t="str">
        <f>""</f>
        <v/>
      </c>
      <c r="BP119" t="str">
        <f>""</f>
        <v/>
      </c>
      <c r="BQ119" t="str">
        <f>""</f>
        <v/>
      </c>
      <c r="BR119" t="str">
        <f>""</f>
        <v/>
      </c>
      <c r="BS119" t="str">
        <f>""</f>
        <v/>
      </c>
      <c r="BT119" t="str">
        <f>""</f>
        <v/>
      </c>
      <c r="BU119" t="str">
        <f>""</f>
        <v/>
      </c>
      <c r="BV119" t="str">
        <f>""</f>
        <v/>
      </c>
      <c r="BW119" t="str">
        <f>""</f>
        <v/>
      </c>
      <c r="BX119" t="str">
        <f>""</f>
        <v/>
      </c>
      <c r="BY119" t="str">
        <f>""</f>
        <v/>
      </c>
      <c r="BZ119" t="str">
        <f>""</f>
        <v/>
      </c>
      <c r="CA119" t="str">
        <f>""</f>
        <v/>
      </c>
      <c r="CB119" t="str">
        <f>""</f>
        <v/>
      </c>
      <c r="CC119" t="str">
        <f>""</f>
        <v/>
      </c>
      <c r="CD119" t="str">
        <f>""</f>
        <v/>
      </c>
      <c r="CE119" t="str">
        <f>""</f>
        <v/>
      </c>
      <c r="CF119" t="str">
        <f>""</f>
        <v/>
      </c>
      <c r="CG119" t="str">
        <f>""</f>
        <v/>
      </c>
      <c r="CH119" t="str">
        <f>""</f>
        <v/>
      </c>
      <c r="CI119" t="str">
        <f>""</f>
        <v/>
      </c>
      <c r="CJ119" t="str">
        <f>""</f>
        <v/>
      </c>
      <c r="CK119" t="str">
        <f>""</f>
        <v/>
      </c>
      <c r="CL119" t="str">
        <f>""</f>
        <v/>
      </c>
      <c r="CM119" t="str">
        <f>""</f>
        <v/>
      </c>
      <c r="CN119" t="str">
        <f>""</f>
        <v/>
      </c>
      <c r="CO119" t="str">
        <f>""</f>
        <v/>
      </c>
      <c r="CP119" t="str">
        <f>""</f>
        <v/>
      </c>
      <c r="CQ119" t="str">
        <f>""</f>
        <v/>
      </c>
      <c r="CR119" t="str">
        <f>""</f>
        <v/>
      </c>
      <c r="CS119" t="str">
        <f>""</f>
        <v/>
      </c>
      <c r="CT119" t="str">
        <f>""</f>
        <v/>
      </c>
      <c r="CU119" t="str">
        <f>""</f>
        <v/>
      </c>
      <c r="CV119" t="str">
        <f>""</f>
        <v/>
      </c>
      <c r="CW119" t="str">
        <f>""</f>
        <v/>
      </c>
      <c r="CX119" t="str">
        <f>""</f>
        <v/>
      </c>
      <c r="CY119" t="str">
        <f>""</f>
        <v/>
      </c>
      <c r="CZ119" t="str">
        <f>""</f>
        <v/>
      </c>
      <c r="DA119" t="str">
        <f>""</f>
        <v/>
      </c>
      <c r="DB119" t="str">
        <f>""</f>
        <v/>
      </c>
      <c r="DC119" t="str">
        <f>""</f>
        <v/>
      </c>
      <c r="DD119" t="str">
        <f>""</f>
        <v/>
      </c>
      <c r="DE119" t="str">
        <f>""</f>
        <v/>
      </c>
      <c r="DF119" t="str">
        <f>""</f>
        <v/>
      </c>
      <c r="DG119" t="str">
        <f>""</f>
        <v/>
      </c>
      <c r="DH119" t="str">
        <f>""</f>
        <v/>
      </c>
      <c r="DI119" t="str">
        <f>""</f>
        <v/>
      </c>
      <c r="DJ119" t="str">
        <f>""</f>
        <v/>
      </c>
      <c r="DK119" t="str">
        <f>""</f>
        <v/>
      </c>
      <c r="DL119" t="str">
        <f>""</f>
        <v/>
      </c>
      <c r="DM119" t="str">
        <f>""</f>
        <v/>
      </c>
      <c r="DN119" t="str">
        <f>""</f>
        <v/>
      </c>
      <c r="DO119" t="str">
        <f>""</f>
        <v/>
      </c>
      <c r="DP119" t="str">
        <f>""</f>
        <v/>
      </c>
      <c r="DQ119" t="str">
        <f>""</f>
        <v/>
      </c>
      <c r="DR119" t="str">
        <f>""</f>
        <v/>
      </c>
      <c r="DS119" t="str">
        <f>""</f>
        <v/>
      </c>
      <c r="DT119" t="str">
        <f>""</f>
        <v/>
      </c>
      <c r="DU119" t="str">
        <f>""</f>
        <v/>
      </c>
    </row>
    <row r="120" spans="1:125">
      <c r="A120" t="str">
        <f>"    UDR Inc"</f>
        <v xml:space="preserve">    UDR Inc</v>
      </c>
      <c r="B120" t="str">
        <f>"UDR US Equity"</f>
        <v>UDR US Equity</v>
      </c>
      <c r="C120" t="str">
        <f t="shared" si="36"/>
        <v>BE592</v>
      </c>
      <c r="D120" t="str">
        <f t="shared" si="37"/>
        <v>BEST_FFOPS_YOY_GTH</v>
      </c>
      <c r="E120" t="str">
        <f t="shared" si="38"/>
        <v>动态</v>
      </c>
      <c r="F120" t="str">
        <f ca="1">IF(AND(ISNUMBER($F$331),$B$226=1),$F$331,HLOOKUP(INDIRECT(ADDRESS(2,COLUMN())),OFFSET($BN$2,0,0,ROW()-1,60),ROW()-1,FALSE))</f>
        <v/>
      </c>
      <c r="G120" t="str">
        <f ca="1">IF(AND(ISNUMBER($G$331),$B$226=1),$G$331,HLOOKUP(INDIRECT(ADDRESS(2,COLUMN())),OFFSET($BN$2,0,0,ROW()-1,60),ROW()-1,FALSE))</f>
        <v/>
      </c>
      <c r="H120" t="str">
        <f ca="1">IF(AND(ISNUMBER($H$331),$B$226=1),$H$331,HLOOKUP(INDIRECT(ADDRESS(2,COLUMN())),OFFSET($BN$2,0,0,ROW()-1,60),ROW()-1,FALSE))</f>
        <v/>
      </c>
      <c r="I120" t="str">
        <f ca="1">IF(AND(ISNUMBER($I$331),$B$226=1),$I$331,HLOOKUP(INDIRECT(ADDRESS(2,COLUMN())),OFFSET($BN$2,0,0,ROW()-1,60),ROW()-1,FALSE))</f>
        <v/>
      </c>
      <c r="J120" t="str">
        <f ca="1">IF(AND(ISNUMBER($J$331),$B$226=1),$J$331,HLOOKUP(INDIRECT(ADDRESS(2,COLUMN())),OFFSET($BN$2,0,0,ROW()-1,60),ROW()-1,FALSE))</f>
        <v/>
      </c>
      <c r="K120" t="str">
        <f ca="1">IF(AND(ISNUMBER($K$331),$B$226=1),$K$331,HLOOKUP(INDIRECT(ADDRESS(2,COLUMN())),OFFSET($BN$2,0,0,ROW()-1,60),ROW()-1,FALSE))</f>
        <v/>
      </c>
      <c r="L120" t="str">
        <f ca="1">IF(AND(ISNUMBER($L$331),$B$226=1),$L$331,HLOOKUP(INDIRECT(ADDRESS(2,COLUMN())),OFFSET($BN$2,0,0,ROW()-1,60),ROW()-1,FALSE))</f>
        <v/>
      </c>
      <c r="M120" t="str">
        <f ca="1">IF(AND(ISNUMBER($M$331),$B$226=1),$M$331,HLOOKUP(INDIRECT(ADDRESS(2,COLUMN())),OFFSET($BN$2,0,0,ROW()-1,60),ROW()-1,FALSE))</f>
        <v/>
      </c>
      <c r="N120" t="str">
        <f ca="1">IF(AND(ISNUMBER($N$331),$B$226=1),$N$331,HLOOKUP(INDIRECT(ADDRESS(2,COLUMN())),OFFSET($BN$2,0,0,ROW()-1,60),ROW()-1,FALSE))</f>
        <v/>
      </c>
      <c r="O120" t="str">
        <f ca="1">IF(AND(ISNUMBER($O$331),$B$226=1),$O$331,HLOOKUP(INDIRECT(ADDRESS(2,COLUMN())),OFFSET($BN$2,0,0,ROW()-1,60),ROW()-1,FALSE))</f>
        <v/>
      </c>
      <c r="P120" t="str">
        <f ca="1">IF(AND(ISNUMBER($P$331),$B$226=1),$P$331,HLOOKUP(INDIRECT(ADDRESS(2,COLUMN())),OFFSET($BN$2,0,0,ROW()-1,60),ROW()-1,FALSE))</f>
        <v/>
      </c>
      <c r="Q120" t="str">
        <f ca="1">IF(AND(ISNUMBER($Q$331),$B$226=1),$Q$331,HLOOKUP(INDIRECT(ADDRESS(2,COLUMN())),OFFSET($BN$2,0,0,ROW()-1,60),ROW()-1,FALSE))</f>
        <v/>
      </c>
      <c r="R120" t="str">
        <f ca="1">IF(AND(ISNUMBER($R$331),$B$226=1),$R$331,HLOOKUP(INDIRECT(ADDRESS(2,COLUMN())),OFFSET($BN$2,0,0,ROW()-1,60),ROW()-1,FALSE))</f>
        <v/>
      </c>
      <c r="S120" t="str">
        <f ca="1">IF(AND(ISNUMBER($S$331),$B$226=1),$S$331,HLOOKUP(INDIRECT(ADDRESS(2,COLUMN())),OFFSET($BN$2,0,0,ROW()-1,60),ROW()-1,FALSE))</f>
        <v/>
      </c>
      <c r="T120" t="str">
        <f ca="1">IF(AND(ISNUMBER($T$331),$B$226=1),$T$331,HLOOKUP(INDIRECT(ADDRESS(2,COLUMN())),OFFSET($BN$2,0,0,ROW()-1,60),ROW()-1,FALSE))</f>
        <v/>
      </c>
      <c r="U120" t="str">
        <f ca="1">IF(AND(ISNUMBER($U$331),$B$226=1),$U$331,HLOOKUP(INDIRECT(ADDRESS(2,COLUMN())),OFFSET($BN$2,0,0,ROW()-1,60),ROW()-1,FALSE))</f>
        <v/>
      </c>
      <c r="V120" t="str">
        <f ca="1">IF(AND(ISNUMBER($V$331),$B$226=1),$V$331,HLOOKUP(INDIRECT(ADDRESS(2,COLUMN())),OFFSET($BN$2,0,0,ROW()-1,60),ROW()-1,FALSE))</f>
        <v/>
      </c>
      <c r="W120" t="str">
        <f ca="1">IF(AND(ISNUMBER($W$331),$B$226=1),$W$331,HLOOKUP(INDIRECT(ADDRESS(2,COLUMN())),OFFSET($BN$2,0,0,ROW()-1,60),ROW()-1,FALSE))</f>
        <v/>
      </c>
      <c r="X120" t="str">
        <f ca="1">IF(AND(ISNUMBER($X$331),$B$226=1),$X$331,HLOOKUP(INDIRECT(ADDRESS(2,COLUMN())),OFFSET($BN$2,0,0,ROW()-1,60),ROW()-1,FALSE))</f>
        <v/>
      </c>
      <c r="Y120" t="str">
        <f ca="1">IF(AND(ISNUMBER($Y$331),$B$226=1),$Y$331,HLOOKUP(INDIRECT(ADDRESS(2,COLUMN())),OFFSET($BN$2,0,0,ROW()-1,60),ROW()-1,FALSE))</f>
        <v/>
      </c>
      <c r="Z120" t="str">
        <f ca="1">IF(AND(ISNUMBER($Z$331),$B$226=1),$Z$331,HLOOKUP(INDIRECT(ADDRESS(2,COLUMN())),OFFSET($BN$2,0,0,ROW()-1,60),ROW()-1,FALSE))</f>
        <v/>
      </c>
      <c r="AA120" t="str">
        <f ca="1">IF(AND(ISNUMBER($AA$331),$B$226=1),$AA$331,HLOOKUP(INDIRECT(ADDRESS(2,COLUMN())),OFFSET($BN$2,0,0,ROW()-1,60),ROW()-1,FALSE))</f>
        <v/>
      </c>
      <c r="AB120" t="str">
        <f ca="1">IF(AND(ISNUMBER($AB$331),$B$226=1),$AB$331,HLOOKUP(INDIRECT(ADDRESS(2,COLUMN())),OFFSET($BN$2,0,0,ROW()-1,60),ROW()-1,FALSE))</f>
        <v/>
      </c>
      <c r="AC120" t="str">
        <f ca="1">IF(AND(ISNUMBER($AC$331),$B$226=1),$AC$331,HLOOKUP(INDIRECT(ADDRESS(2,COLUMN())),OFFSET($BN$2,0,0,ROW()-1,60),ROW()-1,FALSE))</f>
        <v/>
      </c>
      <c r="AD120" t="str">
        <f ca="1">IF(AND(ISNUMBER($AD$331),$B$226=1),$AD$331,HLOOKUP(INDIRECT(ADDRESS(2,COLUMN())),OFFSET($BN$2,0,0,ROW()-1,60),ROW()-1,FALSE))</f>
        <v/>
      </c>
      <c r="AE120" t="str">
        <f ca="1">IF(AND(ISNUMBER($AE$331),$B$226=1),$AE$331,HLOOKUP(INDIRECT(ADDRESS(2,COLUMN())),OFFSET($BN$2,0,0,ROW()-1,60),ROW()-1,FALSE))</f>
        <v/>
      </c>
      <c r="AF120" t="str">
        <f ca="1">IF(AND(ISNUMBER($AF$331),$B$226=1),$AF$331,HLOOKUP(INDIRECT(ADDRESS(2,COLUMN())),OFFSET($BN$2,0,0,ROW()-1,60),ROW()-1,FALSE))</f>
        <v/>
      </c>
      <c r="AG120" t="str">
        <f ca="1">IF(AND(ISNUMBER($AG$331),$B$226=1),$AG$331,HLOOKUP(INDIRECT(ADDRESS(2,COLUMN())),OFFSET($BN$2,0,0,ROW()-1,60),ROW()-1,FALSE))</f>
        <v/>
      </c>
      <c r="AH120" t="str">
        <f ca="1">IF(AND(ISNUMBER($AH$331),$B$226=1),$AH$331,HLOOKUP(INDIRECT(ADDRESS(2,COLUMN())),OFFSET($BN$2,0,0,ROW()-1,60),ROW()-1,FALSE))</f>
        <v/>
      </c>
      <c r="AI120" t="str">
        <f ca="1">IF(AND(ISNUMBER($AI$331),$B$226=1),$AI$331,HLOOKUP(INDIRECT(ADDRESS(2,COLUMN())),OFFSET($BN$2,0,0,ROW()-1,60),ROW()-1,FALSE))</f>
        <v/>
      </c>
      <c r="AJ120" t="str">
        <f ca="1">IF(AND(ISNUMBER($AJ$331),$B$226=1),$AJ$331,HLOOKUP(INDIRECT(ADDRESS(2,COLUMN())),OFFSET($BN$2,0,0,ROW()-1,60),ROW()-1,FALSE))</f>
        <v/>
      </c>
      <c r="AK120" t="str">
        <f ca="1">IF(AND(ISNUMBER($AK$331),$B$226=1),$AK$331,HLOOKUP(INDIRECT(ADDRESS(2,COLUMN())),OFFSET($BN$2,0,0,ROW()-1,60),ROW()-1,FALSE))</f>
        <v/>
      </c>
      <c r="AL120" t="str">
        <f ca="1">IF(AND(ISNUMBER($AL$331),$B$226=1),$AL$331,HLOOKUP(INDIRECT(ADDRESS(2,COLUMN())),OFFSET($BN$2,0,0,ROW()-1,60),ROW()-1,FALSE))</f>
        <v/>
      </c>
      <c r="AM120" t="str">
        <f ca="1">IF(AND(ISNUMBER($AM$331),$B$226=1),$AM$331,HLOOKUP(INDIRECT(ADDRESS(2,COLUMN())),OFFSET($BN$2,0,0,ROW()-1,60),ROW()-1,FALSE))</f>
        <v/>
      </c>
      <c r="AN120" t="str">
        <f ca="1">IF(AND(ISNUMBER($AN$331),$B$226=1),$AN$331,HLOOKUP(INDIRECT(ADDRESS(2,COLUMN())),OFFSET($BN$2,0,0,ROW()-1,60),ROW()-1,FALSE))</f>
        <v/>
      </c>
      <c r="AO120" t="str">
        <f ca="1">IF(AND(ISNUMBER($AO$331),$B$226=1),$AO$331,HLOOKUP(INDIRECT(ADDRESS(2,COLUMN())),OFFSET($BN$2,0,0,ROW()-1,60),ROW()-1,FALSE))</f>
        <v/>
      </c>
      <c r="AP120" t="str">
        <f ca="1">IF(AND(ISNUMBER($AP$331),$B$226=1),$AP$331,HLOOKUP(INDIRECT(ADDRESS(2,COLUMN())),OFFSET($BN$2,0,0,ROW()-1,60),ROW()-1,FALSE))</f>
        <v/>
      </c>
      <c r="AQ120" t="str">
        <f ca="1">IF(AND(ISNUMBER($AQ$331),$B$226=1),$AQ$331,HLOOKUP(INDIRECT(ADDRESS(2,COLUMN())),OFFSET($BN$2,0,0,ROW()-1,60),ROW()-1,FALSE))</f>
        <v/>
      </c>
      <c r="AR120" t="str">
        <f ca="1">IF(AND(ISNUMBER($AR$331),$B$226=1),$AR$331,HLOOKUP(INDIRECT(ADDRESS(2,COLUMN())),OFFSET($BN$2,0,0,ROW()-1,60),ROW()-1,FALSE))</f>
        <v/>
      </c>
      <c r="AS120" t="str">
        <f ca="1">IF(AND(ISNUMBER($AS$331),$B$226=1),$AS$331,HLOOKUP(INDIRECT(ADDRESS(2,COLUMN())),OFFSET($BN$2,0,0,ROW()-1,60),ROW()-1,FALSE))</f>
        <v/>
      </c>
      <c r="AT120" t="str">
        <f ca="1">IF(AND(ISNUMBER($AT$331),$B$226=1),$AT$331,HLOOKUP(INDIRECT(ADDRESS(2,COLUMN())),OFFSET($BN$2,0,0,ROW()-1,60),ROW()-1,FALSE))</f>
        <v/>
      </c>
      <c r="AU120" t="str">
        <f ca="1">IF(AND(ISNUMBER($AU$331),$B$226=1),$AU$331,HLOOKUP(INDIRECT(ADDRESS(2,COLUMN())),OFFSET($BN$2,0,0,ROW()-1,60),ROW()-1,FALSE))</f>
        <v/>
      </c>
      <c r="AV120" t="str">
        <f ca="1">IF(AND(ISNUMBER($AV$331),$B$226=1),$AV$331,HLOOKUP(INDIRECT(ADDRESS(2,COLUMN())),OFFSET($BN$2,0,0,ROW()-1,60),ROW()-1,FALSE))</f>
        <v/>
      </c>
      <c r="AW120" t="str">
        <f ca="1">IF(AND(ISNUMBER($AW$331),$B$226=1),$AW$331,HLOOKUP(INDIRECT(ADDRESS(2,COLUMN())),OFFSET($BN$2,0,0,ROW()-1,60),ROW()-1,FALSE))</f>
        <v/>
      </c>
      <c r="AX120" t="str">
        <f ca="1">IF(AND(ISNUMBER($AX$331),$B$226=1),$AX$331,HLOOKUP(INDIRECT(ADDRESS(2,COLUMN())),OFFSET($BN$2,0,0,ROW()-1,60),ROW()-1,FALSE))</f>
        <v/>
      </c>
      <c r="AY120" t="str">
        <f ca="1">IF(AND(ISNUMBER($AY$331),$B$226=1),$AY$331,HLOOKUP(INDIRECT(ADDRESS(2,COLUMN())),OFFSET($BN$2,0,0,ROW()-1,60),ROW()-1,FALSE))</f>
        <v/>
      </c>
      <c r="AZ120" t="str">
        <f ca="1">IF(AND(ISNUMBER($AZ$331),$B$226=1),$AZ$331,HLOOKUP(INDIRECT(ADDRESS(2,COLUMN())),OFFSET($BN$2,0,0,ROW()-1,60),ROW()-1,FALSE))</f>
        <v/>
      </c>
      <c r="BA120" t="str">
        <f ca="1">IF(AND(ISNUMBER($BA$331),$B$226=1),$BA$331,HLOOKUP(INDIRECT(ADDRESS(2,COLUMN())),OFFSET($BN$2,0,0,ROW()-1,60),ROW()-1,FALSE))</f>
        <v/>
      </c>
      <c r="BB120" t="str">
        <f ca="1">IF(AND(ISNUMBER($BB$331),$B$226=1),$BB$331,HLOOKUP(INDIRECT(ADDRESS(2,COLUMN())),OFFSET($BN$2,0,0,ROW()-1,60),ROW()-1,FALSE))</f>
        <v/>
      </c>
      <c r="BC120" t="str">
        <f ca="1">IF(AND(ISNUMBER($BC$331),$B$226=1),$BC$331,HLOOKUP(INDIRECT(ADDRESS(2,COLUMN())),OFFSET($BN$2,0,0,ROW()-1,60),ROW()-1,FALSE))</f>
        <v/>
      </c>
      <c r="BD120" t="str">
        <f ca="1">IF(AND(ISNUMBER($BD$331),$B$226=1),$BD$331,HLOOKUP(INDIRECT(ADDRESS(2,COLUMN())),OFFSET($BN$2,0,0,ROW()-1,60),ROW()-1,FALSE))</f>
        <v/>
      </c>
      <c r="BE120" t="str">
        <f ca="1">IF(AND(ISNUMBER($BE$331),$B$226=1),$BE$331,HLOOKUP(INDIRECT(ADDRESS(2,COLUMN())),OFFSET($BN$2,0,0,ROW()-1,60),ROW()-1,FALSE))</f>
        <v/>
      </c>
      <c r="BF120" t="str">
        <f ca="1">IF(AND(ISNUMBER($BF$331),$B$226=1),$BF$331,HLOOKUP(INDIRECT(ADDRESS(2,COLUMN())),OFFSET($BN$2,0,0,ROW()-1,60),ROW()-1,FALSE))</f>
        <v/>
      </c>
      <c r="BG120" t="str">
        <f ca="1">IF(AND(ISNUMBER($BG$331),$B$226=1),$BG$331,HLOOKUP(INDIRECT(ADDRESS(2,COLUMN())),OFFSET($BN$2,0,0,ROW()-1,60),ROW()-1,FALSE))</f>
        <v/>
      </c>
      <c r="BH120" t="str">
        <f ca="1">IF(AND(ISNUMBER($BH$331),$B$226=1),$BH$331,HLOOKUP(INDIRECT(ADDRESS(2,COLUMN())),OFFSET($BN$2,0,0,ROW()-1,60),ROW()-1,FALSE))</f>
        <v/>
      </c>
      <c r="BI120" t="str">
        <f ca="1">IF(AND(ISNUMBER($BI$331),$B$226=1),$BI$331,HLOOKUP(INDIRECT(ADDRESS(2,COLUMN())),OFFSET($BN$2,0,0,ROW()-1,60),ROW()-1,FALSE))</f>
        <v/>
      </c>
      <c r="BJ120" t="str">
        <f ca="1">IF(AND(ISNUMBER($BJ$331),$B$226=1),$BJ$331,HLOOKUP(INDIRECT(ADDRESS(2,COLUMN())),OFFSET($BN$2,0,0,ROW()-1,60),ROW()-1,FALSE))</f>
        <v/>
      </c>
      <c r="BK120" t="str">
        <f ca="1">IF(AND(ISNUMBER($BK$331),$B$226=1),$BK$331,HLOOKUP(INDIRECT(ADDRESS(2,COLUMN())),OFFSET($BN$2,0,0,ROW()-1,60),ROW()-1,FALSE))</f>
        <v/>
      </c>
      <c r="BL120" t="str">
        <f ca="1">IF(AND(ISNUMBER($BL$331),$B$226=1),$BL$331,HLOOKUP(INDIRECT(ADDRESS(2,COLUMN())),OFFSET($BN$2,0,0,ROW()-1,60),ROW()-1,FALSE))</f>
        <v/>
      </c>
      <c r="BM120" t="str">
        <f ca="1">IF(AND(ISNUMBER($BM$331),$B$226=1),$BM$331,HLOOKUP(INDIRECT(ADDRESS(2,COLUMN())),OFFSET($BN$2,0,0,ROW()-1,60),ROW()-1,FALSE))</f>
        <v/>
      </c>
      <c r="BN120" t="str">
        <f>""</f>
        <v/>
      </c>
      <c r="BO120" t="str">
        <f>""</f>
        <v/>
      </c>
      <c r="BP120" t="str">
        <f>""</f>
        <v/>
      </c>
      <c r="BQ120" t="str">
        <f>""</f>
        <v/>
      </c>
      <c r="BR120" t="str">
        <f>""</f>
        <v/>
      </c>
      <c r="BS120" t="str">
        <f>""</f>
        <v/>
      </c>
      <c r="BT120" t="str">
        <f>""</f>
        <v/>
      </c>
      <c r="BU120" t="str">
        <f>""</f>
        <v/>
      </c>
      <c r="BV120" t="str">
        <f>""</f>
        <v/>
      </c>
      <c r="BW120" t="str">
        <f>""</f>
        <v/>
      </c>
      <c r="BX120" t="str">
        <f>""</f>
        <v/>
      </c>
      <c r="BY120" t="str">
        <f>""</f>
        <v/>
      </c>
      <c r="BZ120" t="str">
        <f>""</f>
        <v/>
      </c>
      <c r="CA120" t="str">
        <f>""</f>
        <v/>
      </c>
      <c r="CB120" t="str">
        <f>""</f>
        <v/>
      </c>
      <c r="CC120" t="str">
        <f>""</f>
        <v/>
      </c>
      <c r="CD120" t="str">
        <f>""</f>
        <v/>
      </c>
      <c r="CE120" t="str">
        <f>""</f>
        <v/>
      </c>
      <c r="CF120" t="str">
        <f>""</f>
        <v/>
      </c>
      <c r="CG120" t="str">
        <f>""</f>
        <v/>
      </c>
      <c r="CH120" t="str">
        <f>""</f>
        <v/>
      </c>
      <c r="CI120" t="str">
        <f>""</f>
        <v/>
      </c>
      <c r="CJ120" t="str">
        <f>""</f>
        <v/>
      </c>
      <c r="CK120" t="str">
        <f>""</f>
        <v/>
      </c>
      <c r="CL120" t="str">
        <f>""</f>
        <v/>
      </c>
      <c r="CM120" t="str">
        <f>""</f>
        <v/>
      </c>
      <c r="CN120" t="str">
        <f>""</f>
        <v/>
      </c>
      <c r="CO120" t="str">
        <f>""</f>
        <v/>
      </c>
      <c r="CP120" t="str">
        <f>""</f>
        <v/>
      </c>
      <c r="CQ120" t="str">
        <f>""</f>
        <v/>
      </c>
      <c r="CR120" t="str">
        <f>""</f>
        <v/>
      </c>
      <c r="CS120" t="str">
        <f>""</f>
        <v/>
      </c>
      <c r="CT120" t="str">
        <f>""</f>
        <v/>
      </c>
      <c r="CU120" t="str">
        <f>""</f>
        <v/>
      </c>
      <c r="CV120" t="str">
        <f>""</f>
        <v/>
      </c>
      <c r="CW120" t="str">
        <f>""</f>
        <v/>
      </c>
      <c r="CX120" t="str">
        <f>""</f>
        <v/>
      </c>
      <c r="CY120" t="str">
        <f>""</f>
        <v/>
      </c>
      <c r="CZ120" t="str">
        <f>""</f>
        <v/>
      </c>
      <c r="DA120" t="str">
        <f>""</f>
        <v/>
      </c>
      <c r="DB120" t="str">
        <f>""</f>
        <v/>
      </c>
      <c r="DC120" t="str">
        <f>""</f>
        <v/>
      </c>
      <c r="DD120" t="str">
        <f>""</f>
        <v/>
      </c>
      <c r="DE120" t="str">
        <f>""</f>
        <v/>
      </c>
      <c r="DF120" t="str">
        <f>""</f>
        <v/>
      </c>
      <c r="DG120" t="str">
        <f>""</f>
        <v/>
      </c>
      <c r="DH120" t="str">
        <f>""</f>
        <v/>
      </c>
      <c r="DI120" t="str">
        <f>""</f>
        <v/>
      </c>
      <c r="DJ120" t="str">
        <f>""</f>
        <v/>
      </c>
      <c r="DK120" t="str">
        <f>""</f>
        <v/>
      </c>
      <c r="DL120" t="str">
        <f>""</f>
        <v/>
      </c>
      <c r="DM120" t="str">
        <f>""</f>
        <v/>
      </c>
      <c r="DN120" t="str">
        <f>""</f>
        <v/>
      </c>
      <c r="DO120" t="str">
        <f>""</f>
        <v/>
      </c>
      <c r="DP120" t="str">
        <f>""</f>
        <v/>
      </c>
      <c r="DQ120" t="str">
        <f>""</f>
        <v/>
      </c>
      <c r="DR120" t="str">
        <f>""</f>
        <v/>
      </c>
      <c r="DS120" t="str">
        <f>""</f>
        <v/>
      </c>
      <c r="DT120" t="str">
        <f>""</f>
        <v/>
      </c>
      <c r="DU120" t="str">
        <f>""</f>
        <v/>
      </c>
    </row>
    <row r="121" spans="1:125">
      <c r="A121" t="str">
        <f>"EBITDA利润率(%)"</f>
        <v>EBITDA利润率(%)</v>
      </c>
      <c r="B121" t="str">
        <f>""</f>
        <v/>
      </c>
      <c r="E121" t="str">
        <f>"Median"</f>
        <v>Median</v>
      </c>
      <c r="F121" t="str">
        <f ca="1">IF(ISERROR(IF(MEDIAN($F$122:$F$129) = 0, "", MEDIAN($F$122:$F$129))), "", (IF(MEDIAN($F$122:$F$129) = 0, "", MEDIAN($F$122:$F$129))))</f>
        <v/>
      </c>
      <c r="G121">
        <f ca="1">IF(ISERROR(IF(MEDIAN($G$122:$G$129) = 0, "", MEDIAN($G$122:$G$129))), "", (IF(MEDIAN($G$122:$G$129) = 0, "", MEDIAN($G$122:$G$129))))</f>
        <v>59.845863855000005</v>
      </c>
      <c r="H121">
        <f ca="1">IF(ISERROR(IF(MEDIAN($H$122:$H$129) = 0, "", MEDIAN($H$122:$H$129))), "", (IF(MEDIAN($H$122:$H$129) = 0, "", MEDIAN($H$122:$H$129))))</f>
        <v>58.377239795000001</v>
      </c>
      <c r="I121">
        <f ca="1">IF(ISERROR(IF(MEDIAN($I$122:$I$129) = 0, "", MEDIAN($I$122:$I$129))), "", (IF(MEDIAN($I$122:$I$129) = 0, "", MEDIAN($I$122:$I$129))))</f>
        <v>59.290443979999999</v>
      </c>
      <c r="J121">
        <f ca="1">IF(ISERROR(IF(MEDIAN($J$122:$J$129) = 0, "", MEDIAN($J$122:$J$129))), "", (IF(MEDIAN($J$122:$J$129) = 0, "", MEDIAN($J$122:$J$129))))</f>
        <v>58.114813139999995</v>
      </c>
      <c r="K121">
        <f ca="1">IF(ISERROR(IF(MEDIAN($K$122:$K$129) = 0, "", MEDIAN($K$122:$K$129))), "", (IF(MEDIAN($K$122:$K$129) = 0, "", MEDIAN($K$122:$K$129))))</f>
        <v>60.192604395000004</v>
      </c>
      <c r="L121">
        <f ca="1">IF(ISERROR(IF(MEDIAN($L$122:$L$129) = 0, "", MEDIAN($L$122:$L$129))), "", (IF(MEDIAN($L$122:$L$129) = 0, "", MEDIAN($L$122:$L$129))))</f>
        <v>59.308908404999997</v>
      </c>
      <c r="M121">
        <f ca="1">IF(ISERROR(IF(MEDIAN($M$122:$M$129) = 0, "", MEDIAN($M$122:$M$129))), "", (IF(MEDIAN($M$122:$M$129) = 0, "", MEDIAN($M$122:$M$129))))</f>
        <v>59.457066990000001</v>
      </c>
      <c r="N121">
        <f ca="1">IF(ISERROR(IF(MEDIAN($N$122:$N$129) = 0, "", MEDIAN($N$122:$N$129))), "", (IF(MEDIAN($N$122:$N$129) = 0, "", MEDIAN($N$122:$N$129))))</f>
        <v>59.103519239999997</v>
      </c>
      <c r="O121">
        <f ca="1">IF(ISERROR(IF(MEDIAN($O$122:$O$129) = 0, "", MEDIAN($O$122:$O$129))), "", (IF(MEDIAN($O$122:$O$129) = 0, "", MEDIAN($O$122:$O$129))))</f>
        <v>58.078887594999998</v>
      </c>
      <c r="P121">
        <f ca="1">IF(ISERROR(IF(MEDIAN($P$122:$P$129) = 0, "", MEDIAN($P$122:$P$129))), "", (IF(MEDIAN($P$122:$P$129) = 0, "", MEDIAN($P$122:$P$129))))</f>
        <v>59.74095793</v>
      </c>
      <c r="Q121">
        <f ca="1">IF(ISERROR(IF(MEDIAN($Q$122:$Q$129) = 0, "", MEDIAN($Q$122:$Q$129))), "", (IF(MEDIAN($Q$122:$Q$129) = 0, "", MEDIAN($Q$122:$Q$129))))</f>
        <v>58.486958819999998</v>
      </c>
      <c r="R121">
        <f ca="1">IF(ISERROR(IF(MEDIAN($R$122:$R$129) = 0, "", MEDIAN($R$122:$R$129))), "", (IF(MEDIAN($R$122:$R$129) = 0, "", MEDIAN($R$122:$R$129))))</f>
        <v>58.014018774999997</v>
      </c>
      <c r="S121">
        <f ca="1">IF(ISERROR(IF(MEDIAN($S$122:$S$129) = 0, "", MEDIAN($S$122:$S$129))), "", (IF(MEDIAN($S$122:$S$129) = 0, "", MEDIAN($S$122:$S$129))))</f>
        <v>57.504498525000002</v>
      </c>
      <c r="T121">
        <f ca="1">IF(ISERROR(IF(MEDIAN($T$122:$T$129) = 0, "", MEDIAN($T$122:$T$129))), "", (IF(MEDIAN($T$122:$T$129) = 0, "", MEDIAN($T$122:$T$129))))</f>
        <v>57.717637400000001</v>
      </c>
      <c r="U121">
        <f ca="1">IF(ISERROR(IF(MEDIAN($U$122:$U$129) = 0, "", MEDIAN($U$122:$U$129))), "", (IF(MEDIAN($U$122:$U$129) = 0, "", MEDIAN($U$122:$U$129))))</f>
        <v>53.765986044999998</v>
      </c>
      <c r="V121">
        <f ca="1">IF(ISERROR(IF(MEDIAN($V$122:$V$129) = 0, "", MEDIAN($V$122:$V$129))), "", (IF(MEDIAN($V$122:$V$129) = 0, "", MEDIAN($V$122:$V$129))))</f>
        <v>55.516439129999995</v>
      </c>
      <c r="W121">
        <f ca="1">IF(ISERROR(IF(MEDIAN($W$122:$W$129) = 0, "", MEDIAN($W$122:$W$129))), "", (IF(MEDIAN($W$122:$W$129) = 0, "", MEDIAN($W$122:$W$129))))</f>
        <v>58.62766285</v>
      </c>
      <c r="X121">
        <f ca="1">IF(ISERROR(IF(MEDIAN($X$122:$X$129) = 0, "", MEDIAN($X$122:$X$129))), "", (IF(MEDIAN($X$122:$X$129) = 0, "", MEDIAN($X$122:$X$129))))</f>
        <v>57.981643914999999</v>
      </c>
      <c r="Y121">
        <f ca="1">IF(ISERROR(IF(MEDIAN($Y$122:$Y$129) = 0, "", MEDIAN($Y$122:$Y$129))), "", (IF(MEDIAN($Y$122:$Y$129) = 0, "", MEDIAN($Y$122:$Y$129))))</f>
        <v>58.556270935000001</v>
      </c>
      <c r="Z121">
        <f ca="1">IF(ISERROR(IF(MEDIAN($Z$122:$Z$129) = 0, "", MEDIAN($Z$122:$Z$129))), "", (IF(MEDIAN($Z$122:$Z$129) = 0, "", MEDIAN($Z$122:$Z$129))))</f>
        <v>55.773447789999999</v>
      </c>
      <c r="AA121">
        <f ca="1">IF(ISERROR(IF(MEDIAN($AA$122:$AA$129) = 0, "", MEDIAN($AA$122:$AA$129))), "", (IF(MEDIAN($AA$122:$AA$129) = 0, "", MEDIAN($AA$122:$AA$129))))</f>
        <v>56.854968530000001</v>
      </c>
      <c r="AB121">
        <f ca="1">IF(ISERROR(IF(MEDIAN($AB$122:$AB$129) = 0, "", MEDIAN($AB$122:$AB$129))), "", (IF(MEDIAN($AB$122:$AB$129) = 0, "", MEDIAN($AB$122:$AB$129))))</f>
        <v>57.169128955000005</v>
      </c>
      <c r="AC121">
        <f ca="1">IF(ISERROR(IF(MEDIAN($AC$122:$AC$129) = 0, "", MEDIAN($AC$122:$AC$129))), "", (IF(MEDIAN($AC$122:$AC$129) = 0, "", MEDIAN($AC$122:$AC$129))))</f>
        <v>55.753084744999995</v>
      </c>
      <c r="AD121">
        <f ca="1">IF(ISERROR(IF(MEDIAN($AD$122:$AD$129) = 0, "", MEDIAN($AD$122:$AD$129))), "", (IF(MEDIAN($AD$122:$AD$129) = 0, "", MEDIAN($AD$122:$AD$129))))</f>
        <v>58.096876934999997</v>
      </c>
      <c r="AE121">
        <f ca="1">IF(ISERROR(IF(MEDIAN($AE$122:$AE$129) = 0, "", MEDIAN($AE$122:$AE$129))), "", (IF(MEDIAN($AE$122:$AE$129) = 0, "", MEDIAN($AE$122:$AE$129))))</f>
        <v>57.286606454999998</v>
      </c>
      <c r="AF121">
        <f ca="1">IF(ISERROR(IF(MEDIAN($AF$122:$AF$129) = 0, "", MEDIAN($AF$122:$AF$129))), "", (IF(MEDIAN($AF$122:$AF$129) = 0, "", MEDIAN($AF$122:$AF$129))))</f>
        <v>53.649165310000001</v>
      </c>
      <c r="AG121">
        <f ca="1">IF(ISERROR(IF(MEDIAN($AG$122:$AG$129) = 0, "", MEDIAN($AG$122:$AG$129))), "", (IF(MEDIAN($AG$122:$AG$129) = 0, "", MEDIAN($AG$122:$AG$129))))</f>
        <v>57.132087885000004</v>
      </c>
      <c r="AH121">
        <f ca="1">IF(ISERROR(IF(MEDIAN($AH$122:$AH$129) = 0, "", MEDIAN($AH$122:$AH$129))), "", (IF(MEDIAN($AH$122:$AH$129) = 0, "", MEDIAN($AH$122:$AH$129))))</f>
        <v>58.342887150000003</v>
      </c>
      <c r="AI121">
        <f ca="1">IF(ISERROR(IF(MEDIAN($AI$122:$AI$129) = 0, "", MEDIAN($AI$122:$AI$129))), "", (IF(MEDIAN($AI$122:$AI$129) = 0, "", MEDIAN($AI$122:$AI$129))))</f>
        <v>53.871313600000001</v>
      </c>
      <c r="AJ121">
        <f ca="1">IF(ISERROR(IF(MEDIAN($AJ$122:$AJ$129) = 0, "", MEDIAN($AJ$122:$AJ$129))), "", (IF(MEDIAN($AJ$122:$AJ$129) = 0, "", MEDIAN($AJ$122:$AJ$129))))</f>
        <v>56.399589749999997</v>
      </c>
      <c r="AK121">
        <f ca="1">IF(ISERROR(IF(MEDIAN($AK$122:$AK$129) = 0, "", MEDIAN($AK$122:$AK$129))), "", (IF(MEDIAN($AK$122:$AK$129) = 0, "", MEDIAN($AK$122:$AK$129))))</f>
        <v>57.864333600000002</v>
      </c>
      <c r="AL121">
        <f ca="1">IF(ISERROR(IF(MEDIAN($AL$122:$AL$129) = 0, "", MEDIAN($AL$122:$AL$129))), "", (IF(MEDIAN($AL$122:$AL$129) = 0, "", MEDIAN($AL$122:$AL$129))))</f>
        <v>55.052007670000002</v>
      </c>
      <c r="AM121">
        <f ca="1">IF(ISERROR(IF(MEDIAN($AM$122:$AM$129) = 0, "", MEDIAN($AM$122:$AM$129))), "", (IF(MEDIAN($AM$122:$AM$129) = 0, "", MEDIAN($AM$122:$AM$129))))</f>
        <v>52.979425579999997</v>
      </c>
      <c r="AN121">
        <f ca="1">IF(ISERROR(IF(MEDIAN($AN$122:$AN$129) = 0, "", MEDIAN($AN$122:$AN$129))), "", (IF(MEDIAN($AN$122:$AN$129) = 0, "", MEDIAN($AN$122:$AN$129))))</f>
        <v>50.871417379999997</v>
      </c>
      <c r="AO121">
        <f ca="1">IF(ISERROR(IF(MEDIAN($AO$122:$AO$129) = 0, "", MEDIAN($AO$122:$AO$129))), "", (IF(MEDIAN($AO$122:$AO$129) = 0, "", MEDIAN($AO$122:$AO$129))))</f>
        <v>51.916721330000001</v>
      </c>
      <c r="AP121">
        <f ca="1">IF(ISERROR(IF(MEDIAN($AP$122:$AP$129) = 0, "", MEDIAN($AP$122:$AP$129))), "", (IF(MEDIAN($AP$122:$AP$129) = 0, "", MEDIAN($AP$122:$AP$129))))</f>
        <v>56.083629420000001</v>
      </c>
      <c r="AQ121">
        <f ca="1">IF(ISERROR(IF(MEDIAN($AQ$122:$AQ$129) = 0, "", MEDIAN($AQ$122:$AQ$129))), "", (IF(MEDIAN($AQ$122:$AQ$129) = 0, "", MEDIAN($AQ$122:$AQ$129))))</f>
        <v>51.736856070000002</v>
      </c>
      <c r="AR121">
        <f ca="1">IF(ISERROR(IF(MEDIAN($AR$122:$AR$129) = 0, "", MEDIAN($AR$122:$AR$129))), "", (IF(MEDIAN($AR$122:$AR$129) = 0, "", MEDIAN($AR$122:$AR$129))))</f>
        <v>50.268034350000001</v>
      </c>
      <c r="AS121">
        <f ca="1">IF(ISERROR(IF(MEDIAN($AS$122:$AS$129) = 0, "", MEDIAN($AS$122:$AS$129))), "", (IF(MEDIAN($AS$122:$AS$129) = 0, "", MEDIAN($AS$122:$AS$129))))</f>
        <v>55.685683109999999</v>
      </c>
      <c r="AT121">
        <f ca="1">IF(ISERROR(IF(MEDIAN($AT$122:$AT$129) = 0, "", MEDIAN($AT$122:$AT$129))), "", (IF(MEDIAN($AT$122:$AT$129) = 0, "", MEDIAN($AT$122:$AT$129))))</f>
        <v>55.379003080000004</v>
      </c>
      <c r="AU121">
        <f ca="1">IF(ISERROR(IF(MEDIAN($AU$122:$AU$129) = 0, "", MEDIAN($AU$122:$AU$129))), "", (IF(MEDIAN($AU$122:$AU$129) = 0, "", MEDIAN($AU$122:$AU$129))))</f>
        <v>56.638356314999996</v>
      </c>
      <c r="AV121">
        <f ca="1">IF(ISERROR(IF(MEDIAN($AV$122:$AV$129) = 0, "", MEDIAN($AV$122:$AV$129))), "", (IF(MEDIAN($AV$122:$AV$129) = 0, "", MEDIAN($AV$122:$AV$129))))</f>
        <v>55.862358039999997</v>
      </c>
      <c r="AW121">
        <f ca="1">IF(ISERROR(IF(MEDIAN($AW$122:$AW$129) = 0, "", MEDIAN($AW$122:$AW$129))), "", (IF(MEDIAN($AW$122:$AW$129) = 0, "", MEDIAN($AW$122:$AW$129))))</f>
        <v>56.162631400000002</v>
      </c>
      <c r="AX121">
        <f ca="1">IF(ISERROR(IF(MEDIAN($AX$122:$AX$129) = 0, "", MEDIAN($AX$122:$AX$129))), "", (IF(MEDIAN($AX$122:$AX$129) = 0, "", MEDIAN($AX$122:$AX$129))))</f>
        <v>56.572339589999999</v>
      </c>
      <c r="AY121">
        <f ca="1">IF(ISERROR(IF(MEDIAN($AY$122:$AY$129) = 0, "", MEDIAN($AY$122:$AY$129))), "", (IF(MEDIAN($AY$122:$AY$129) = 0, "", MEDIAN($AY$122:$AY$129))))</f>
        <v>56.217418365</v>
      </c>
      <c r="AZ121">
        <f ca="1">IF(ISERROR(IF(MEDIAN($AZ$122:$AZ$129) = 0, "", MEDIAN($AZ$122:$AZ$129))), "", (IF(MEDIAN($AZ$122:$AZ$129) = 0, "", MEDIAN($AZ$122:$AZ$129))))</f>
        <v>55.275023599999997</v>
      </c>
      <c r="BA121">
        <f ca="1">IF(ISERROR(IF(MEDIAN($BA$122:$BA$129) = 0, "", MEDIAN($BA$122:$BA$129))), "", (IF(MEDIAN($BA$122:$BA$129) = 0, "", MEDIAN($BA$122:$BA$129))))</f>
        <v>56.078902859999999</v>
      </c>
      <c r="BB121">
        <f ca="1">IF(ISERROR(IF(MEDIAN($BB$122:$BB$129) = 0, "", MEDIAN($BB$122:$BB$129))), "", (IF(MEDIAN($BB$122:$BB$129) = 0, "", MEDIAN($BB$122:$BB$129))))</f>
        <v>57.392204100000001</v>
      </c>
      <c r="BC121">
        <f ca="1">IF(ISERROR(IF(MEDIAN($BC$122:$BC$129) = 0, "", MEDIAN($BC$122:$BC$129))), "", (IF(MEDIAN($BC$122:$BC$129) = 0, "", MEDIAN($BC$122:$BC$129))))</f>
        <v>56.700203205000001</v>
      </c>
      <c r="BD121">
        <f ca="1">IF(ISERROR(IF(MEDIAN($BD$122:$BD$129) = 0, "", MEDIAN($BD$122:$BD$129))), "", (IF(MEDIAN($BD$122:$BD$129) = 0, "", MEDIAN($BD$122:$BD$129))))</f>
        <v>54.853230879999998</v>
      </c>
      <c r="BE121">
        <f ca="1">IF(ISERROR(IF(MEDIAN($BE$122:$BE$129) = 0, "", MEDIAN($BE$122:$BE$129))), "", (IF(MEDIAN($BE$122:$BE$129) = 0, "", MEDIAN($BE$122:$BE$129))))</f>
        <v>56.286110890000003</v>
      </c>
      <c r="BF121">
        <f ca="1">IF(ISERROR(IF(MEDIAN($BF$122:$BF$129) = 0, "", MEDIAN($BF$122:$BF$129))), "", (IF(MEDIAN($BF$122:$BF$129) = 0, "", MEDIAN($BF$122:$BF$129))))</f>
        <v>55.681091260000002</v>
      </c>
      <c r="BG121">
        <f ca="1">IF(ISERROR(IF(MEDIAN($BG$122:$BG$129) = 0, "", MEDIAN($BG$122:$BG$129))), "", (IF(MEDIAN($BG$122:$BG$129) = 0, "", MEDIAN($BG$122:$BG$129))))</f>
        <v>60.26149118</v>
      </c>
      <c r="BH121">
        <f ca="1">IF(ISERROR(IF(MEDIAN($BH$122:$BH$129) = 0, "", MEDIAN($BH$122:$BH$129))), "", (IF(MEDIAN($BH$122:$BH$129) = 0, "", MEDIAN($BH$122:$BH$129))))</f>
        <v>55.598923540000001</v>
      </c>
      <c r="BI121">
        <f ca="1">IF(ISERROR(IF(MEDIAN($BI$122:$BI$129) = 0, "", MEDIAN($BI$122:$BI$129))), "", (IF(MEDIAN($BI$122:$BI$129) = 0, "", MEDIAN($BI$122:$BI$129))))</f>
        <v>53.661597440000001</v>
      </c>
      <c r="BJ121">
        <f ca="1">IF(ISERROR(IF(MEDIAN($BJ$122:$BJ$129) = 0, "", MEDIAN($BJ$122:$BJ$129))), "", (IF(MEDIAN($BJ$122:$BJ$129) = 0, "", MEDIAN($BJ$122:$BJ$129))))</f>
        <v>55.642480030000002</v>
      </c>
      <c r="BK121">
        <f ca="1">IF(ISERROR(IF(MEDIAN($BK$122:$BK$129) = 0, "", MEDIAN($BK$122:$BK$129))), "", (IF(MEDIAN($BK$122:$BK$129) = 0, "", MEDIAN($BK$122:$BK$129))))</f>
        <v>56.190083135000002</v>
      </c>
      <c r="BL121">
        <f ca="1">IF(ISERROR(IF(MEDIAN($BL$122:$BL$129) = 0, "", MEDIAN($BL$122:$BL$129))), "", (IF(MEDIAN($BL$122:$BL$129) = 0, "", MEDIAN($BL$122:$BL$129))))</f>
        <v>57.80172692</v>
      </c>
      <c r="BM121">
        <f ca="1">IF(ISERROR(IF(MEDIAN($BM$122:$BM$129) = 0, "", MEDIAN($BM$122:$BM$129))), "", (IF(MEDIAN($BM$122:$BM$129) = 0, "", MEDIAN($BM$122:$BM$129))))</f>
        <v>58.945949825</v>
      </c>
      <c r="BN121" t="str">
        <f>""</f>
        <v/>
      </c>
      <c r="BO121">
        <f>59.84586385</f>
        <v>59.845863850000001</v>
      </c>
      <c r="BP121">
        <f>58.37723979</f>
        <v>58.377239789999997</v>
      </c>
      <c r="BQ121">
        <f>59.29044398</f>
        <v>59.290443979999999</v>
      </c>
      <c r="BR121">
        <f>58.11481314</f>
        <v>58.114813140000003</v>
      </c>
      <c r="BS121">
        <f>60.1926044</f>
        <v>60.1926044</v>
      </c>
      <c r="BT121">
        <f>59.30890841</f>
        <v>59.308908410000001</v>
      </c>
      <c r="BU121">
        <f>59.45706699</f>
        <v>59.457066990000001</v>
      </c>
      <c r="BV121">
        <f>59.10351924</f>
        <v>59.103519239999997</v>
      </c>
      <c r="BW121">
        <f>58.0788876</f>
        <v>58.078887600000002</v>
      </c>
      <c r="BX121">
        <f>59.74095793</f>
        <v>59.74095793</v>
      </c>
      <c r="BY121">
        <f>58.48695882</f>
        <v>58.486958819999998</v>
      </c>
      <c r="BZ121">
        <f>58.01401877</f>
        <v>58.01401877</v>
      </c>
      <c r="CA121">
        <f>57.50449853</f>
        <v>57.504498529999999</v>
      </c>
      <c r="CB121">
        <f>57.7176374</f>
        <v>57.717637400000001</v>
      </c>
      <c r="CC121">
        <f>53.76598605</f>
        <v>53.765986050000002</v>
      </c>
      <c r="CD121">
        <f>55.51643913</f>
        <v>55.516439130000002</v>
      </c>
      <c r="CE121">
        <f>58.62766285</f>
        <v>58.62766285</v>
      </c>
      <c r="CF121">
        <f>57.98164391</f>
        <v>57.981643910000003</v>
      </c>
      <c r="CG121">
        <f>58.55627093</f>
        <v>58.556270929999997</v>
      </c>
      <c r="CH121">
        <f>55.77344779</f>
        <v>55.773447789999999</v>
      </c>
      <c r="CI121">
        <f>56.85496853</f>
        <v>56.854968530000001</v>
      </c>
      <c r="CJ121">
        <f>57.16912895</f>
        <v>57.169128950000001</v>
      </c>
      <c r="CK121">
        <f>55.75308475</f>
        <v>55.753084749999999</v>
      </c>
      <c r="CL121">
        <f>58.09687693</f>
        <v>58.096876930000001</v>
      </c>
      <c r="CM121">
        <f>57.28660646</f>
        <v>57.286606460000002</v>
      </c>
      <c r="CN121">
        <f>53.64916531</f>
        <v>53.649165310000001</v>
      </c>
      <c r="CO121">
        <f>57.13208788</f>
        <v>57.13208788</v>
      </c>
      <c r="CP121">
        <f>58.34288715</f>
        <v>58.342887150000003</v>
      </c>
      <c r="CQ121">
        <f>53.8713136</f>
        <v>53.871313600000001</v>
      </c>
      <c r="CR121">
        <f>56.39958975</f>
        <v>56.399589749999997</v>
      </c>
      <c r="CS121">
        <f>57.8643336</f>
        <v>57.864333600000002</v>
      </c>
      <c r="CT121">
        <f>55.05200767</f>
        <v>55.052007670000002</v>
      </c>
      <c r="CU121">
        <f>52.97942558</f>
        <v>52.979425579999997</v>
      </c>
      <c r="CV121">
        <f>50.87141738</f>
        <v>50.871417379999997</v>
      </c>
      <c r="CW121">
        <f>51.91672133</f>
        <v>51.916721330000001</v>
      </c>
      <c r="CX121">
        <f>56.08362942</f>
        <v>56.083629420000001</v>
      </c>
      <c r="CY121">
        <f>51.73685607</f>
        <v>51.736856070000002</v>
      </c>
      <c r="CZ121">
        <f>50.26803435</f>
        <v>50.268034350000001</v>
      </c>
      <c r="DA121">
        <f>55.68568311</f>
        <v>55.685683109999999</v>
      </c>
      <c r="DB121">
        <f>55.37900308</f>
        <v>55.379003079999997</v>
      </c>
      <c r="DC121">
        <f>56.63835631</f>
        <v>56.638356309999999</v>
      </c>
      <c r="DD121">
        <f>55.86235804</f>
        <v>55.862358039999997</v>
      </c>
      <c r="DE121">
        <f>56.1626314</f>
        <v>56.162631400000002</v>
      </c>
      <c r="DF121">
        <f>56.57233959</f>
        <v>56.572339589999999</v>
      </c>
      <c r="DG121">
        <f>56.21741837</f>
        <v>56.217418369999997</v>
      </c>
      <c r="DH121">
        <f>55.2750236</f>
        <v>55.275023599999997</v>
      </c>
      <c r="DI121">
        <f>56.07890286</f>
        <v>56.078902859999999</v>
      </c>
      <c r="DJ121">
        <f>57.3922041</f>
        <v>57.392204100000001</v>
      </c>
      <c r="DK121">
        <f>56.7002032</f>
        <v>56.700203199999997</v>
      </c>
      <c r="DL121">
        <f>54.85323088</f>
        <v>54.853230879999998</v>
      </c>
      <c r="DM121">
        <f>56.28611089</f>
        <v>56.286110890000003</v>
      </c>
      <c r="DN121">
        <f>55.68109126</f>
        <v>55.681091260000002</v>
      </c>
      <c r="DO121">
        <f>60.26149118</f>
        <v>60.26149118</v>
      </c>
      <c r="DP121">
        <f>55.59892354</f>
        <v>55.598923540000001</v>
      </c>
      <c r="DQ121">
        <f>53.66159744</f>
        <v>53.661597440000001</v>
      </c>
      <c r="DR121">
        <f>55.64248003</f>
        <v>55.642480030000002</v>
      </c>
      <c r="DS121">
        <f>56.19008314</f>
        <v>56.190083139999999</v>
      </c>
      <c r="DT121">
        <f>57.80172692</f>
        <v>57.80172692</v>
      </c>
      <c r="DU121">
        <f>58.94594982</f>
        <v>58.945949820000003</v>
      </c>
    </row>
    <row r="122" spans="1:125">
      <c r="A122" t="str">
        <f>"    American Campus Communities In"</f>
        <v xml:space="preserve">    American Campus Communities In</v>
      </c>
      <c r="B122" t="str">
        <f>"ACC US Equity"</f>
        <v>ACC US Equity</v>
      </c>
      <c r="C122" t="str">
        <f t="shared" ref="C122:C129" si="39">"RX225"</f>
        <v>RX225</v>
      </c>
      <c r="D122" t="str">
        <f t="shared" ref="D122:D129" si="40">"EBITDA_TO_REVENUE"</f>
        <v>EBITDA_TO_REVENUE</v>
      </c>
      <c r="E122" t="str">
        <f t="shared" ref="E122:E129" si="41">"动态"</f>
        <v>动态</v>
      </c>
      <c r="F122" t="str">
        <f ca="1">IF(AND(ISNUMBER($F$332),$B$226=1),$F$332,HLOOKUP(INDIRECT(ADDRESS(2,COLUMN())),OFFSET($BN$2,0,0,ROW()-1,60),ROW()-1,FALSE))</f>
        <v/>
      </c>
      <c r="G122">
        <f ca="1">IF(AND(ISNUMBER($G$332),$B$226=1),$G$332,HLOOKUP(INDIRECT(ADDRESS(2,COLUMN())),OFFSET($BN$2,0,0,ROW()-1,60),ROW()-1,FALSE))</f>
        <v>56.554888099999999</v>
      </c>
      <c r="H122">
        <f ca="1">IF(AND(ISNUMBER($H$332),$B$226=1),$H$332,HLOOKUP(INDIRECT(ADDRESS(2,COLUMN())),OFFSET($BN$2,0,0,ROW()-1,60),ROW()-1,FALSE))</f>
        <v>39.961815389999998</v>
      </c>
      <c r="I122">
        <f ca="1">IF(AND(ISNUMBER($I$332),$B$226=1),$I$332,HLOOKUP(INDIRECT(ADDRESS(2,COLUMN())),OFFSET($BN$2,0,0,ROW()-1,60),ROW()-1,FALSE))</f>
        <v>38.296053809999997</v>
      </c>
      <c r="J122">
        <f ca="1">IF(AND(ISNUMBER($J$332),$B$226=1),$J$332,HLOOKUP(INDIRECT(ADDRESS(2,COLUMN())),OFFSET($BN$2,0,0,ROW()-1,60),ROW()-1,FALSE))</f>
        <v>52.62934207</v>
      </c>
      <c r="K122">
        <f ca="1">IF(AND(ISNUMBER($K$332),$B$226=1),$K$332,HLOOKUP(INDIRECT(ADDRESS(2,COLUMN())),OFFSET($BN$2,0,0,ROW()-1,60),ROW()-1,FALSE))</f>
        <v>50.80354166</v>
      </c>
      <c r="L122">
        <f ca="1">IF(AND(ISNUMBER($L$332),$B$226=1),$L$332,HLOOKUP(INDIRECT(ADDRESS(2,COLUMN())),OFFSET($BN$2,0,0,ROW()-1,60),ROW()-1,FALSE))</f>
        <v>41.415704820000002</v>
      </c>
      <c r="M122">
        <f ca="1">IF(AND(ISNUMBER($M$332),$B$226=1),$M$332,HLOOKUP(INDIRECT(ADDRESS(2,COLUMN())),OFFSET($BN$2,0,0,ROW()-1,60),ROW()-1,FALSE))</f>
        <v>49.901872750000003</v>
      </c>
      <c r="N122">
        <f ca="1">IF(AND(ISNUMBER($N$332),$B$226=1),$N$332,HLOOKUP(INDIRECT(ADDRESS(2,COLUMN())),OFFSET($BN$2,0,0,ROW()-1,60),ROW()-1,FALSE))</f>
        <v>53.376834420000002</v>
      </c>
      <c r="O122">
        <f ca="1">IF(AND(ISNUMBER($O$332),$B$226=1),$O$332,HLOOKUP(INDIRECT(ADDRESS(2,COLUMN())),OFFSET($BN$2,0,0,ROW()-1,60),ROW()-1,FALSE))</f>
        <v>53.615762770000003</v>
      </c>
      <c r="P122">
        <f ca="1">IF(AND(ISNUMBER($P$332),$B$226=1),$P$332,HLOOKUP(INDIRECT(ADDRESS(2,COLUMN())),OFFSET($BN$2,0,0,ROW()-1,60),ROW()-1,FALSE))</f>
        <v>39.155273870000002</v>
      </c>
      <c r="Q122">
        <f ca="1">IF(AND(ISNUMBER($Q$332),$B$226=1),$Q$332,HLOOKUP(INDIRECT(ADDRESS(2,COLUMN())),OFFSET($BN$2,0,0,ROW()-1,60),ROW()-1,FALSE))</f>
        <v>48.367945849999998</v>
      </c>
      <c r="R122">
        <f ca="1">IF(AND(ISNUMBER($R$332),$B$226=1),$R$332,HLOOKUP(INDIRECT(ADDRESS(2,COLUMN())),OFFSET($BN$2,0,0,ROW()-1,60),ROW()-1,FALSE))</f>
        <v>52.183196270000003</v>
      </c>
      <c r="S122">
        <f ca="1">IF(AND(ISNUMBER($S$332),$B$226=1),$S$332,HLOOKUP(INDIRECT(ADDRESS(2,COLUMN())),OFFSET($BN$2,0,0,ROW()-1,60),ROW()-1,FALSE))</f>
        <v>52.872944179999998</v>
      </c>
      <c r="T122">
        <f ca="1">IF(AND(ISNUMBER($T$332),$B$226=1),$T$332,HLOOKUP(INDIRECT(ADDRESS(2,COLUMN())),OFFSET($BN$2,0,0,ROW()-1,60),ROW()-1,FALSE))</f>
        <v>38.918630729999997</v>
      </c>
      <c r="U122">
        <f ca="1">IF(AND(ISNUMBER($U$332),$B$226=1),$U$332,HLOOKUP(INDIRECT(ADDRESS(2,COLUMN())),OFFSET($BN$2,0,0,ROW()-1,60),ROW()-1,FALSE))</f>
        <v>48.775708379999998</v>
      </c>
      <c r="V122">
        <f ca="1">IF(AND(ISNUMBER($V$332),$B$226=1),$V$332,HLOOKUP(INDIRECT(ADDRESS(2,COLUMN())),OFFSET($BN$2,0,0,ROW()-1,60),ROW()-1,FALSE))</f>
        <v>52.525070560000003</v>
      </c>
      <c r="W122">
        <f ca="1">IF(AND(ISNUMBER($W$332),$B$226=1),$W$332,HLOOKUP(INDIRECT(ADDRESS(2,COLUMN())),OFFSET($BN$2,0,0,ROW()-1,60),ROW()-1,FALSE))</f>
        <v>52.756521829999997</v>
      </c>
      <c r="X122">
        <f ca="1">IF(AND(ISNUMBER($X$332),$B$226=1),$X$332,HLOOKUP(INDIRECT(ADDRESS(2,COLUMN())),OFFSET($BN$2,0,0,ROW()-1,60),ROW()-1,FALSE))</f>
        <v>38.089429109999998</v>
      </c>
      <c r="Y122">
        <f ca="1">IF(AND(ISNUMBER($Y$332),$B$226=1),$Y$332,HLOOKUP(INDIRECT(ADDRESS(2,COLUMN())),OFFSET($BN$2,0,0,ROW()-1,60),ROW()-1,FALSE))</f>
        <v>48.109155940000001</v>
      </c>
      <c r="Z122">
        <f ca="1">IF(AND(ISNUMBER($Z$332),$B$226=1),$Z$332,HLOOKUP(INDIRECT(ADDRESS(2,COLUMN())),OFFSET($BN$2,0,0,ROW()-1,60),ROW()-1,FALSE))</f>
        <v>54.335568330000001</v>
      </c>
      <c r="AA122">
        <f ca="1">IF(AND(ISNUMBER($AA$332),$B$226=1),$AA$332,HLOOKUP(INDIRECT(ADDRESS(2,COLUMN())),OFFSET($BN$2,0,0,ROW()-1,60),ROW()-1,FALSE))</f>
        <v>51.720557599999999</v>
      </c>
      <c r="AB122">
        <f ca="1">IF(AND(ISNUMBER($AB$332),$B$226=1),$AB$332,HLOOKUP(INDIRECT(ADDRESS(2,COLUMN())),OFFSET($BN$2,0,0,ROW()-1,60),ROW()-1,FALSE))</f>
        <v>37.150686880000002</v>
      </c>
      <c r="AC122">
        <f ca="1">IF(AND(ISNUMBER($AC$332),$B$226=1),$AC$332,HLOOKUP(INDIRECT(ADDRESS(2,COLUMN())),OFFSET($BN$2,0,0,ROW()-1,60),ROW()-1,FALSE))</f>
        <v>47.9184628</v>
      </c>
      <c r="AD122">
        <f ca="1">IF(AND(ISNUMBER($AD$332),$B$226=1),$AD$332,HLOOKUP(INDIRECT(ADDRESS(2,COLUMN())),OFFSET($BN$2,0,0,ROW()-1,60),ROW()-1,FALSE))</f>
        <v>52.47567325</v>
      </c>
      <c r="AE122">
        <f ca="1">IF(AND(ISNUMBER($AE$332),$B$226=1),$AE$332,HLOOKUP(INDIRECT(ADDRESS(2,COLUMN())),OFFSET($BN$2,0,0,ROW()-1,60),ROW()-1,FALSE))</f>
        <v>50.828139589999999</v>
      </c>
      <c r="AF122">
        <f ca="1">IF(AND(ISNUMBER($AF$332),$B$226=1),$AF$332,HLOOKUP(INDIRECT(ADDRESS(2,COLUMN())),OFFSET($BN$2,0,0,ROW()-1,60),ROW()-1,FALSE))</f>
        <v>39.962184870000002</v>
      </c>
      <c r="AG122">
        <f ca="1">IF(AND(ISNUMBER($AG$332),$B$226=1),$AG$332,HLOOKUP(INDIRECT(ADDRESS(2,COLUMN())),OFFSET($BN$2,0,0,ROW()-1,60),ROW()-1,FALSE))</f>
        <v>48.17886927</v>
      </c>
      <c r="AH122">
        <f ca="1">IF(AND(ISNUMBER($AH$332),$B$226=1),$AH$332,HLOOKUP(INDIRECT(ADDRESS(2,COLUMN())),OFFSET($BN$2,0,0,ROW()-1,60),ROW()-1,FALSE))</f>
        <v>54.754349380000001</v>
      </c>
      <c r="AI122">
        <f ca="1">IF(AND(ISNUMBER($AI$332),$B$226=1),$AI$332,HLOOKUP(INDIRECT(ADDRESS(2,COLUMN())),OFFSET($BN$2,0,0,ROW()-1,60),ROW()-1,FALSE))</f>
        <v>52.514767749999997</v>
      </c>
      <c r="AJ122">
        <f ca="1">IF(AND(ISNUMBER($AJ$332),$B$226=1),$AJ$332,HLOOKUP(INDIRECT(ADDRESS(2,COLUMN())),OFFSET($BN$2,0,0,ROW()-1,60),ROW()-1,FALSE))</f>
        <v>42.393421590000003</v>
      </c>
      <c r="AK122">
        <f ca="1">IF(AND(ISNUMBER($AK$332),$B$226=1),$AK$332,HLOOKUP(INDIRECT(ADDRESS(2,COLUMN())),OFFSET($BN$2,0,0,ROW()-1,60),ROW()-1,FALSE))</f>
        <v>47.268225360000002</v>
      </c>
      <c r="AL122">
        <f ca="1">IF(AND(ISNUMBER($AL$332),$B$226=1),$AL$332,HLOOKUP(INDIRECT(ADDRESS(2,COLUMN())),OFFSET($BN$2,0,0,ROW()-1,60),ROW()-1,FALSE))</f>
        <v>51.451794419999999</v>
      </c>
      <c r="AM122">
        <f ca="1">IF(AND(ISNUMBER($AM$332),$B$226=1),$AM$332,HLOOKUP(INDIRECT(ADDRESS(2,COLUMN())),OFFSET($BN$2,0,0,ROW()-1,60),ROW()-1,FALSE))</f>
        <v>52.979425579999997</v>
      </c>
      <c r="AN122">
        <f ca="1">IF(AND(ISNUMBER($AN$332),$B$226=1),$AN$332,HLOOKUP(INDIRECT(ADDRESS(2,COLUMN())),OFFSET($BN$2,0,0,ROW()-1,60),ROW()-1,FALSE))</f>
        <v>40.262748129999999</v>
      </c>
      <c r="AO122">
        <f ca="1">IF(AND(ISNUMBER($AO$332),$B$226=1),$AO$332,HLOOKUP(INDIRECT(ADDRESS(2,COLUMN())),OFFSET($BN$2,0,0,ROW()-1,60),ROW()-1,FALSE))</f>
        <v>44.074027299999997</v>
      </c>
      <c r="AP122">
        <f ca="1">IF(AND(ISNUMBER($AP$332),$B$226=1),$AP$332,HLOOKUP(INDIRECT(ADDRESS(2,COLUMN())),OFFSET($BN$2,0,0,ROW()-1,60),ROW()-1,FALSE))</f>
        <v>49.794700499999998</v>
      </c>
      <c r="AQ122">
        <f ca="1">IF(AND(ISNUMBER($AQ$332),$B$226=1),$AQ$332,HLOOKUP(INDIRECT(ADDRESS(2,COLUMN())),OFFSET($BN$2,0,0,ROW()-1,60),ROW()-1,FALSE))</f>
        <v>46.394175500000003</v>
      </c>
      <c r="AR122">
        <f ca="1">IF(AND(ISNUMBER($AR$332),$B$226=1),$AR$332,HLOOKUP(INDIRECT(ADDRESS(2,COLUMN())),OFFSET($BN$2,0,0,ROW()-1,60),ROW()-1,FALSE))</f>
        <v>31.901738430000002</v>
      </c>
      <c r="AS122">
        <f ca="1">IF(AND(ISNUMBER($AS$332),$B$226=1),$AS$332,HLOOKUP(INDIRECT(ADDRESS(2,COLUMN())),OFFSET($BN$2,0,0,ROW()-1,60),ROW()-1,FALSE))</f>
        <v>42.061633139999998</v>
      </c>
      <c r="AT122">
        <f ca="1">IF(AND(ISNUMBER($AT$332),$B$226=1),$AT$332,HLOOKUP(INDIRECT(ADDRESS(2,COLUMN())),OFFSET($BN$2,0,0,ROW()-1,60),ROW()-1,FALSE))</f>
        <v>49.905054919999998</v>
      </c>
      <c r="AU122">
        <f ca="1">IF(AND(ISNUMBER($AU$332),$B$226=1),$AU$332,HLOOKUP(INDIRECT(ADDRESS(2,COLUMN())),OFFSET($BN$2,0,0,ROW()-1,60),ROW()-1,FALSE))</f>
        <v>51.866654130000001</v>
      </c>
      <c r="AV122">
        <f ca="1">IF(AND(ISNUMBER($AV$332),$B$226=1),$AV$332,HLOOKUP(INDIRECT(ADDRESS(2,COLUMN())),OFFSET($BN$2,0,0,ROW()-1,60),ROW()-1,FALSE))</f>
        <v>37.428890279999997</v>
      </c>
      <c r="AW122">
        <f ca="1">IF(AND(ISNUMBER($AW$332),$B$226=1),$AW$332,HLOOKUP(INDIRECT(ADDRESS(2,COLUMN())),OFFSET($BN$2,0,0,ROW()-1,60),ROW()-1,FALSE))</f>
        <v>42.286223280000002</v>
      </c>
      <c r="AX122">
        <f ca="1">IF(AND(ISNUMBER($AX$332),$B$226=1),$AX$332,HLOOKUP(INDIRECT(ADDRESS(2,COLUMN())),OFFSET($BN$2,0,0,ROW()-1,60),ROW()-1,FALSE))</f>
        <v>24.741285019999999</v>
      </c>
      <c r="AY122">
        <f ca="1">IF(AND(ISNUMBER($AY$332),$B$226=1),$AY$332,HLOOKUP(INDIRECT(ADDRESS(2,COLUMN())),OFFSET($BN$2,0,0,ROW()-1,60),ROW()-1,FALSE))</f>
        <v>53.228028020000004</v>
      </c>
      <c r="AZ122">
        <f ca="1">IF(AND(ISNUMBER($AZ$332),$B$226=1),$AZ$332,HLOOKUP(INDIRECT(ADDRESS(2,COLUMN())),OFFSET($BN$2,0,0,ROW()-1,60),ROW()-1,FALSE))</f>
        <v>40.423073219999999</v>
      </c>
      <c r="BA122">
        <f ca="1">IF(AND(ISNUMBER($BA$332),$B$226=1),$BA$332,HLOOKUP(INDIRECT(ADDRESS(2,COLUMN())),OFFSET($BN$2,0,0,ROW()-1,60),ROW()-1,FALSE))</f>
        <v>41.923269269999999</v>
      </c>
      <c r="BB122">
        <f ca="1">IF(AND(ISNUMBER($BB$332),$B$226=1),$BB$332,HLOOKUP(INDIRECT(ADDRESS(2,COLUMN())),OFFSET($BN$2,0,0,ROW()-1,60),ROW()-1,FALSE))</f>
        <v>52.155172409999999</v>
      </c>
      <c r="BC122">
        <f ca="1">IF(AND(ISNUMBER($BC$332),$B$226=1),$BC$332,HLOOKUP(INDIRECT(ADDRESS(2,COLUMN())),OFFSET($BN$2,0,0,ROW()-1,60),ROW()-1,FALSE))</f>
        <v>46.71521036</v>
      </c>
      <c r="BD122">
        <f ca="1">IF(AND(ISNUMBER($BD$332),$B$226=1),$BD$332,HLOOKUP(INDIRECT(ADDRESS(2,COLUMN())),OFFSET($BN$2,0,0,ROW()-1,60),ROW()-1,FALSE))</f>
        <v>38.792129539999998</v>
      </c>
      <c r="BE122">
        <f ca="1">IF(AND(ISNUMBER($BE$332),$B$226=1),$BE$332,HLOOKUP(INDIRECT(ADDRESS(2,COLUMN())),OFFSET($BN$2,0,0,ROW()-1,60),ROW()-1,FALSE))</f>
        <v>37.175203230000001</v>
      </c>
      <c r="BF122">
        <f ca="1">IF(AND(ISNUMBER($BF$332),$B$226=1),$BF$332,HLOOKUP(INDIRECT(ADDRESS(2,COLUMN())),OFFSET($BN$2,0,0,ROW()-1,60),ROW()-1,FALSE))</f>
        <v>48.716771260000002</v>
      </c>
      <c r="BG122">
        <f ca="1">IF(AND(ISNUMBER($BG$332),$B$226=1),$BG$332,HLOOKUP(INDIRECT(ADDRESS(2,COLUMN())),OFFSET($BN$2,0,0,ROW()-1,60),ROW()-1,FALSE))</f>
        <v>48.783434939999999</v>
      </c>
      <c r="BH122">
        <f ca="1">IF(AND(ISNUMBER($BH$332),$B$226=1),$BH$332,HLOOKUP(INDIRECT(ADDRESS(2,COLUMN())),OFFSET($BN$2,0,0,ROW()-1,60),ROW()-1,FALSE))</f>
        <v>37.669344199999998</v>
      </c>
      <c r="BI122">
        <f ca="1">IF(AND(ISNUMBER($BI$332),$B$226=1),$BI$332,HLOOKUP(INDIRECT(ADDRESS(2,COLUMN())),OFFSET($BN$2,0,0,ROW()-1,60),ROW()-1,FALSE))</f>
        <v>42.209057870000002</v>
      </c>
      <c r="BJ122">
        <f ca="1">IF(AND(ISNUMBER($BJ$332),$B$226=1),$BJ$332,HLOOKUP(INDIRECT(ADDRESS(2,COLUMN())),OFFSET($BN$2,0,0,ROW()-1,60),ROW()-1,FALSE))</f>
        <v>53.080013129999998</v>
      </c>
      <c r="BK122" t="str">
        <f ca="1">IF(AND(ISNUMBER($BK$332),$B$226=1),$BK$332,HLOOKUP(INDIRECT(ADDRESS(2,COLUMN())),OFFSET($BN$2,0,0,ROW()-1,60),ROW()-1,FALSE))</f>
        <v/>
      </c>
      <c r="BL122" t="str">
        <f ca="1">IF(AND(ISNUMBER($BL$332),$B$226=1),$BL$332,HLOOKUP(INDIRECT(ADDRESS(2,COLUMN())),OFFSET($BN$2,0,0,ROW()-1,60),ROW()-1,FALSE))</f>
        <v/>
      </c>
      <c r="BM122" t="str">
        <f ca="1">IF(AND(ISNUMBER($BM$332),$B$226=1),$BM$332,HLOOKUP(INDIRECT(ADDRESS(2,COLUMN())),OFFSET($BN$2,0,0,ROW()-1,60),ROW()-1,FALSE))</f>
        <v/>
      </c>
      <c r="BN122" t="str">
        <f>""</f>
        <v/>
      </c>
      <c r="BO122">
        <f>56.5548881</f>
        <v>56.554888099999999</v>
      </c>
      <c r="BP122">
        <f>39.96181539</f>
        <v>39.961815389999998</v>
      </c>
      <c r="BQ122">
        <f>38.29605381</f>
        <v>38.296053809999997</v>
      </c>
      <c r="BR122">
        <f>52.62934207</f>
        <v>52.62934207</v>
      </c>
      <c r="BS122">
        <f>50.80354166</f>
        <v>50.80354166</v>
      </c>
      <c r="BT122">
        <f>41.41570482</f>
        <v>41.415704820000002</v>
      </c>
      <c r="BU122">
        <f>49.90187275</f>
        <v>49.901872750000003</v>
      </c>
      <c r="BV122">
        <f>53.37683442</f>
        <v>53.376834420000002</v>
      </c>
      <c r="BW122">
        <f>53.61576277</f>
        <v>53.615762770000003</v>
      </c>
      <c r="BX122">
        <f>39.15527387</f>
        <v>39.155273870000002</v>
      </c>
      <c r="BY122">
        <f>48.36794585</f>
        <v>48.367945849999998</v>
      </c>
      <c r="BZ122">
        <f>52.18319627</f>
        <v>52.183196270000003</v>
      </c>
      <c r="CA122">
        <f>52.87294418</f>
        <v>52.872944179999998</v>
      </c>
      <c r="CB122">
        <f>38.91863073</f>
        <v>38.918630729999997</v>
      </c>
      <c r="CC122">
        <f>48.77570838</f>
        <v>48.775708379999998</v>
      </c>
      <c r="CD122">
        <f>52.52507056</f>
        <v>52.525070560000003</v>
      </c>
      <c r="CE122">
        <f>52.75652183</f>
        <v>52.756521829999997</v>
      </c>
      <c r="CF122">
        <f>38.08942911</f>
        <v>38.089429109999998</v>
      </c>
      <c r="CG122">
        <f>48.10915594</f>
        <v>48.109155940000001</v>
      </c>
      <c r="CH122">
        <f>54.33556833</f>
        <v>54.335568330000001</v>
      </c>
      <c r="CI122">
        <f>51.7205576</f>
        <v>51.720557599999999</v>
      </c>
      <c r="CJ122">
        <f>37.15068688</f>
        <v>37.150686880000002</v>
      </c>
      <c r="CK122">
        <f>47.9184628</f>
        <v>47.9184628</v>
      </c>
      <c r="CL122">
        <f>52.47567325</f>
        <v>52.47567325</v>
      </c>
      <c r="CM122">
        <f>50.82813959</f>
        <v>50.828139589999999</v>
      </c>
      <c r="CN122">
        <f>39.96218487</f>
        <v>39.962184870000002</v>
      </c>
      <c r="CO122">
        <f>48.17886927</f>
        <v>48.17886927</v>
      </c>
      <c r="CP122">
        <f>54.75434938</f>
        <v>54.754349380000001</v>
      </c>
      <c r="CQ122">
        <f>52.51476775</f>
        <v>52.514767749999997</v>
      </c>
      <c r="CR122">
        <f>42.39342159</f>
        <v>42.393421590000003</v>
      </c>
      <c r="CS122">
        <f>47.26822536</f>
        <v>47.268225360000002</v>
      </c>
      <c r="CT122">
        <f>51.45179442</f>
        <v>51.451794419999999</v>
      </c>
      <c r="CU122">
        <f>52.97942558</f>
        <v>52.979425579999997</v>
      </c>
      <c r="CV122">
        <f>40.26274813</f>
        <v>40.262748129999999</v>
      </c>
      <c r="CW122">
        <f>44.0740273</f>
        <v>44.074027299999997</v>
      </c>
      <c r="CX122">
        <f>49.7947005</f>
        <v>49.794700499999998</v>
      </c>
      <c r="CY122">
        <f>46.3941755</f>
        <v>46.394175500000003</v>
      </c>
      <c r="CZ122">
        <f>31.90173843</f>
        <v>31.901738430000002</v>
      </c>
      <c r="DA122">
        <f>42.06163314</f>
        <v>42.061633139999998</v>
      </c>
      <c r="DB122">
        <f>49.90505492</f>
        <v>49.905054919999998</v>
      </c>
      <c r="DC122">
        <f>51.86665413</f>
        <v>51.866654130000001</v>
      </c>
      <c r="DD122">
        <f>37.42889028</f>
        <v>37.428890279999997</v>
      </c>
      <c r="DE122">
        <f>42.28622328</f>
        <v>42.286223280000002</v>
      </c>
      <c r="DF122">
        <f>24.74128502</f>
        <v>24.741285019999999</v>
      </c>
      <c r="DG122">
        <f>53.22802802</f>
        <v>53.228028020000004</v>
      </c>
      <c r="DH122">
        <f>40.42307322</f>
        <v>40.423073219999999</v>
      </c>
      <c r="DI122">
        <f>41.92326927</f>
        <v>41.923269269999999</v>
      </c>
      <c r="DJ122">
        <f>52.15517241</f>
        <v>52.155172409999999</v>
      </c>
      <c r="DK122">
        <f>46.71521036</f>
        <v>46.71521036</v>
      </c>
      <c r="DL122">
        <f>38.79212954</f>
        <v>38.792129539999998</v>
      </c>
      <c r="DM122">
        <f>37.17520323</f>
        <v>37.175203230000001</v>
      </c>
      <c r="DN122">
        <f>48.71677126</f>
        <v>48.716771260000002</v>
      </c>
      <c r="DO122">
        <f>48.78343494</f>
        <v>48.783434939999999</v>
      </c>
      <c r="DP122">
        <f>37.6693442</f>
        <v>37.669344199999998</v>
      </c>
      <c r="DQ122">
        <f>42.20905787</f>
        <v>42.209057870000002</v>
      </c>
      <c r="DR122">
        <f>53.08001313</f>
        <v>53.080013129999998</v>
      </c>
      <c r="DS122" t="str">
        <f>""</f>
        <v/>
      </c>
      <c r="DT122" t="str">
        <f>""</f>
        <v/>
      </c>
      <c r="DU122" t="str">
        <f>""</f>
        <v/>
      </c>
    </row>
    <row r="123" spans="1:125">
      <c r="A123" t="str">
        <f>"    AvalonBay Communities Inc"</f>
        <v xml:space="preserve">    AvalonBay Communities Inc</v>
      </c>
      <c r="B123" t="str">
        <f>"AVB US Equity"</f>
        <v>AVB US Equity</v>
      </c>
      <c r="C123" t="str">
        <f t="shared" si="39"/>
        <v>RX225</v>
      </c>
      <c r="D123" t="str">
        <f t="shared" si="40"/>
        <v>EBITDA_TO_REVENUE</v>
      </c>
      <c r="E123" t="str">
        <f t="shared" si="41"/>
        <v>动态</v>
      </c>
      <c r="F123" t="str">
        <f ca="1">IF(AND(ISNUMBER($F$333),$B$226=1),$F$333,HLOOKUP(INDIRECT(ADDRESS(2,COLUMN())),OFFSET($BN$2,0,0,ROW()-1,60),ROW()-1,FALSE))</f>
        <v/>
      </c>
      <c r="G123">
        <f ca="1">IF(AND(ISNUMBER($G$333),$B$226=1),$G$333,HLOOKUP(INDIRECT(ADDRESS(2,COLUMN())),OFFSET($BN$2,0,0,ROW()-1,60),ROW()-1,FALSE))</f>
        <v>69.204850780000001</v>
      </c>
      <c r="H123">
        <f ca="1">IF(AND(ISNUMBER($H$333),$B$226=1),$H$333,HLOOKUP(INDIRECT(ADDRESS(2,COLUMN())),OFFSET($BN$2,0,0,ROW()-1,60),ROW()-1,FALSE))</f>
        <v>63.718074479999999</v>
      </c>
      <c r="I123">
        <f ca="1">IF(AND(ISNUMBER($I$333),$B$226=1),$I$333,HLOOKUP(INDIRECT(ADDRESS(2,COLUMN())),OFFSET($BN$2,0,0,ROW()-1,60),ROW()-1,FALSE))</f>
        <v>63.286410109999998</v>
      </c>
      <c r="J123">
        <f ca="1">IF(AND(ISNUMBER($J$333),$B$226=1),$J$333,HLOOKUP(INDIRECT(ADDRESS(2,COLUMN())),OFFSET($BN$2,0,0,ROW()-1,60),ROW()-1,FALSE))</f>
        <v>61.404180529999998</v>
      </c>
      <c r="K123">
        <f ca="1">IF(AND(ISNUMBER($K$333),$B$226=1),$K$333,HLOOKUP(INDIRECT(ADDRESS(2,COLUMN())),OFFSET($BN$2,0,0,ROW()-1,60),ROW()-1,FALSE))</f>
        <v>65.056151589999999</v>
      </c>
      <c r="L123">
        <f ca="1">IF(AND(ISNUMBER($L$333),$B$226=1),$L$333,HLOOKUP(INDIRECT(ADDRESS(2,COLUMN())),OFFSET($BN$2,0,0,ROW()-1,60),ROW()-1,FALSE))</f>
        <v>62.639502059999998</v>
      </c>
      <c r="M123">
        <f ca="1">IF(AND(ISNUMBER($M$333),$B$226=1),$M$333,HLOOKUP(INDIRECT(ADDRESS(2,COLUMN())),OFFSET($BN$2,0,0,ROW()-1,60),ROW()-1,FALSE))</f>
        <v>63.821925640000003</v>
      </c>
      <c r="N123">
        <f ca="1">IF(AND(ISNUMBER($N$333),$B$226=1),$N$333,HLOOKUP(INDIRECT(ADDRESS(2,COLUMN())),OFFSET($BN$2,0,0,ROW()-1,60),ROW()-1,FALSE))</f>
        <v>64.728081529999997</v>
      </c>
      <c r="O123">
        <f ca="1">IF(AND(ISNUMBER($O$333),$B$226=1),$O$333,HLOOKUP(INDIRECT(ADDRESS(2,COLUMN())),OFFSET($BN$2,0,0,ROW()-1,60),ROW()-1,FALSE))</f>
        <v>64.316820559999996</v>
      </c>
      <c r="P123">
        <f ca="1">IF(AND(ISNUMBER($P$333),$B$226=1),$P$333,HLOOKUP(INDIRECT(ADDRESS(2,COLUMN())),OFFSET($BN$2,0,0,ROW()-1,60),ROW()-1,FALSE))</f>
        <v>60.274528779999997</v>
      </c>
      <c r="Q123">
        <f ca="1">IF(AND(ISNUMBER($Q$333),$B$226=1),$Q$333,HLOOKUP(INDIRECT(ADDRESS(2,COLUMN())),OFFSET($BN$2,0,0,ROW()-1,60),ROW()-1,FALSE))</f>
        <v>68.321969839999994</v>
      </c>
      <c r="R123">
        <f ca="1">IF(AND(ISNUMBER($R$333),$B$226=1),$R$333,HLOOKUP(INDIRECT(ADDRESS(2,COLUMN())),OFFSET($BN$2,0,0,ROW()-1,60),ROW()-1,FALSE))</f>
        <v>59.898229299999997</v>
      </c>
      <c r="S123">
        <f ca="1">IF(AND(ISNUMBER($S$333),$B$226=1),$S$333,HLOOKUP(INDIRECT(ADDRESS(2,COLUMN())),OFFSET($BN$2,0,0,ROW()-1,60),ROW()-1,FALSE))</f>
        <v>63.192830690000001</v>
      </c>
      <c r="T123">
        <f ca="1">IF(AND(ISNUMBER($T$333),$B$226=1),$T$333,HLOOKUP(INDIRECT(ADDRESS(2,COLUMN())),OFFSET($BN$2,0,0,ROW()-1,60),ROW()-1,FALSE))</f>
        <v>64.200685210000003</v>
      </c>
      <c r="U123">
        <f ca="1">IF(AND(ISNUMBER($U$333),$B$226=1),$U$333,HLOOKUP(INDIRECT(ADDRESS(2,COLUMN())),OFFSET($BN$2,0,0,ROW()-1,60),ROW()-1,FALSE))</f>
        <v>62.98748689</v>
      </c>
      <c r="V123">
        <f ca="1">IF(AND(ISNUMBER($V$333),$B$226=1),$V$333,HLOOKUP(INDIRECT(ADDRESS(2,COLUMN())),OFFSET($BN$2,0,0,ROW()-1,60),ROW()-1,FALSE))</f>
        <v>61.762669500000001</v>
      </c>
      <c r="W123">
        <f ca="1">IF(AND(ISNUMBER($W$333),$B$226=1),$W$333,HLOOKUP(INDIRECT(ADDRESS(2,COLUMN())),OFFSET($BN$2,0,0,ROW()-1,60),ROW()-1,FALSE))</f>
        <v>64.334587450000001</v>
      </c>
      <c r="X123">
        <f ca="1">IF(AND(ISNUMBER($X$333),$B$226=1),$X$333,HLOOKUP(INDIRECT(ADDRESS(2,COLUMN())),OFFSET($BN$2,0,0,ROW()-1,60),ROW()-1,FALSE))</f>
        <v>60.617591969999999</v>
      </c>
      <c r="Y123">
        <f ca="1">IF(AND(ISNUMBER($Y$333),$B$226=1),$Y$333,HLOOKUP(INDIRECT(ADDRESS(2,COLUMN())),OFFSET($BN$2,0,0,ROW()-1,60),ROW()-1,FALSE))</f>
        <v>64.312664760000004</v>
      </c>
      <c r="Z123">
        <f ca="1">IF(AND(ISNUMBER($Z$333),$B$226=1),$Z$333,HLOOKUP(INDIRECT(ADDRESS(2,COLUMN())),OFFSET($BN$2,0,0,ROW()-1,60),ROW()-1,FALSE))</f>
        <v>50.371818140000002</v>
      </c>
      <c r="AA123">
        <f ca="1">IF(AND(ISNUMBER($AA$333),$B$226=1),$AA$333,HLOOKUP(INDIRECT(ADDRESS(2,COLUMN())),OFFSET($BN$2,0,0,ROW()-1,60),ROW()-1,FALSE))</f>
        <v>58.708052019999997</v>
      </c>
      <c r="AB123">
        <f ca="1">IF(AND(ISNUMBER($AB$333),$B$226=1),$AB$333,HLOOKUP(INDIRECT(ADDRESS(2,COLUMN())),OFFSET($BN$2,0,0,ROW()-1,60),ROW()-1,FALSE))</f>
        <v>63.876611519999997</v>
      </c>
      <c r="AC123">
        <f ca="1">IF(AND(ISNUMBER($AC$333),$B$226=1),$AC$333,HLOOKUP(INDIRECT(ADDRESS(2,COLUMN())),OFFSET($BN$2,0,0,ROW()-1,60),ROW()-1,FALSE))</f>
        <v>61.579353920000003</v>
      </c>
      <c r="AD123">
        <f ca="1">IF(AND(ISNUMBER($AD$333),$B$226=1),$AD$333,HLOOKUP(INDIRECT(ADDRESS(2,COLUMN())),OFFSET($BN$2,0,0,ROW()-1,60),ROW()-1,FALSE))</f>
        <v>60.68113091</v>
      </c>
      <c r="AE123">
        <f ca="1">IF(AND(ISNUMBER($AE$333),$B$226=1),$AE$333,HLOOKUP(INDIRECT(ADDRESS(2,COLUMN())),OFFSET($BN$2,0,0,ROW()-1,60),ROW()-1,FALSE))</f>
        <v>58.974285139999999</v>
      </c>
      <c r="AF123">
        <f ca="1">IF(AND(ISNUMBER($AF$333),$B$226=1),$AF$333,HLOOKUP(INDIRECT(ADDRESS(2,COLUMN())),OFFSET($BN$2,0,0,ROW()-1,60),ROW()-1,FALSE))</f>
        <v>54.867695990000001</v>
      </c>
      <c r="AG123">
        <f ca="1">IF(AND(ISNUMBER($AG$333),$B$226=1),$AG$333,HLOOKUP(INDIRECT(ADDRESS(2,COLUMN())),OFFSET($BN$2,0,0,ROW()-1,60),ROW()-1,FALSE))</f>
        <v>61.72653992</v>
      </c>
      <c r="AH123">
        <f ca="1">IF(AND(ISNUMBER($AH$333),$B$226=1),$AH$333,HLOOKUP(INDIRECT(ADDRESS(2,COLUMN())),OFFSET($BN$2,0,0,ROW()-1,60),ROW()-1,FALSE))</f>
        <v>58.342887150000003</v>
      </c>
      <c r="AI123">
        <f ca="1">IF(AND(ISNUMBER($AI$333),$B$226=1),$AI$333,HLOOKUP(INDIRECT(ADDRESS(2,COLUMN())),OFFSET($BN$2,0,0,ROW()-1,60),ROW()-1,FALSE))</f>
        <v>59.89044458</v>
      </c>
      <c r="AJ123">
        <f ca="1">IF(AND(ISNUMBER($AJ$333),$B$226=1),$AJ$333,HLOOKUP(INDIRECT(ADDRESS(2,COLUMN())),OFFSET($BN$2,0,0,ROW()-1,60),ROW()-1,FALSE))</f>
        <v>56.96760922</v>
      </c>
      <c r="AK123">
        <f ca="1">IF(AND(ISNUMBER($AK$333),$B$226=1),$AK$333,HLOOKUP(INDIRECT(ADDRESS(2,COLUMN())),OFFSET($BN$2,0,0,ROW()-1,60),ROW()-1,FALSE))</f>
        <v>59.299180370000002</v>
      </c>
      <c r="AL123">
        <f ca="1">IF(AND(ISNUMBER($AL$333),$B$226=1),$AL$333,HLOOKUP(INDIRECT(ADDRESS(2,COLUMN())),OFFSET($BN$2,0,0,ROW()-1,60),ROW()-1,FALSE))</f>
        <v>55.052007670000002</v>
      </c>
      <c r="AM123">
        <f ca="1">IF(AND(ISNUMBER($AM$333),$B$226=1),$AM$333,HLOOKUP(INDIRECT(ADDRESS(2,COLUMN())),OFFSET($BN$2,0,0,ROW()-1,60),ROW()-1,FALSE))</f>
        <v>52.604856920000003</v>
      </c>
      <c r="AN123">
        <f ca="1">IF(AND(ISNUMBER($AN$333),$B$226=1),$AN$333,HLOOKUP(INDIRECT(ADDRESS(2,COLUMN())),OFFSET($BN$2,0,0,ROW()-1,60),ROW()-1,FALSE))</f>
        <v>54.005477970000001</v>
      </c>
      <c r="AO123">
        <f ca="1">IF(AND(ISNUMBER($AO$333),$B$226=1),$AO$333,HLOOKUP(INDIRECT(ADDRESS(2,COLUMN())),OFFSET($BN$2,0,0,ROW()-1,60),ROW()-1,FALSE))</f>
        <v>49.821680120000003</v>
      </c>
      <c r="AP123">
        <f ca="1">IF(AND(ISNUMBER($AP$333),$B$226=1),$AP$333,HLOOKUP(INDIRECT(ADDRESS(2,COLUMN())),OFFSET($BN$2,0,0,ROW()-1,60),ROW()-1,FALSE))</f>
        <v>56.652982600000001</v>
      </c>
      <c r="AQ123">
        <f ca="1">IF(AND(ISNUMBER($AQ$333),$B$226=1),$AQ$333,HLOOKUP(INDIRECT(ADDRESS(2,COLUMN())),OFFSET($BN$2,0,0,ROW()-1,60),ROW()-1,FALSE))</f>
        <v>22.42719636</v>
      </c>
      <c r="AR123">
        <f ca="1">IF(AND(ISNUMBER($AR$333),$B$226=1),$AR$333,HLOOKUP(INDIRECT(ADDRESS(2,COLUMN())),OFFSET($BN$2,0,0,ROW()-1,60),ROW()-1,FALSE))</f>
        <v>85.235619110000002</v>
      </c>
      <c r="AS123">
        <f ca="1">IF(AND(ISNUMBER($AS$333),$B$226=1),$AS$333,HLOOKUP(INDIRECT(ADDRESS(2,COLUMN())),OFFSET($BN$2,0,0,ROW()-1,60),ROW()-1,FALSE))</f>
        <v>58.263372969999999</v>
      </c>
      <c r="AT123">
        <f ca="1">IF(AND(ISNUMBER($AT$333),$B$226=1),$AT$333,HLOOKUP(INDIRECT(ADDRESS(2,COLUMN())),OFFSET($BN$2,0,0,ROW()-1,60),ROW()-1,FALSE))</f>
        <v>58.849603029999997</v>
      </c>
      <c r="AU123">
        <f ca="1">IF(AND(ISNUMBER($AU$333),$B$226=1),$AU$333,HLOOKUP(INDIRECT(ADDRESS(2,COLUMN())),OFFSET($BN$2,0,0,ROW()-1,60),ROW()-1,FALSE))</f>
        <v>59.29384898</v>
      </c>
      <c r="AV123">
        <f ca="1">IF(AND(ISNUMBER($AV$333),$B$226=1),$AV$333,HLOOKUP(INDIRECT(ADDRESS(2,COLUMN())),OFFSET($BN$2,0,0,ROW()-1,60),ROW()-1,FALSE))</f>
        <v>60.801803270000001</v>
      </c>
      <c r="AW123">
        <f ca="1">IF(AND(ISNUMBER($AW$333),$B$226=1),$AW$333,HLOOKUP(INDIRECT(ADDRESS(2,COLUMN())),OFFSET($BN$2,0,0,ROW()-1,60),ROW()-1,FALSE))</f>
        <v>59.010915339999997</v>
      </c>
      <c r="AX123">
        <f ca="1">IF(AND(ISNUMBER($AX$333),$B$226=1),$AX$333,HLOOKUP(INDIRECT(ADDRESS(2,COLUMN())),OFFSET($BN$2,0,0,ROW()-1,60),ROW()-1,FALSE))</f>
        <v>62.038544119999997</v>
      </c>
      <c r="AY123">
        <f ca="1">IF(AND(ISNUMBER($AY$333),$B$226=1),$AY$333,HLOOKUP(INDIRECT(ADDRESS(2,COLUMN())),OFFSET($BN$2,0,0,ROW()-1,60),ROW()-1,FALSE))</f>
        <v>58.489472460000002</v>
      </c>
      <c r="AZ123">
        <f ca="1">IF(AND(ISNUMBER($AZ$333),$B$226=1),$AZ$333,HLOOKUP(INDIRECT(ADDRESS(2,COLUMN())),OFFSET($BN$2,0,0,ROW()-1,60),ROW()-1,FALSE))</f>
        <v>59.404506499999997</v>
      </c>
      <c r="BA123">
        <f ca="1">IF(AND(ISNUMBER($BA$333),$B$226=1),$BA$333,HLOOKUP(INDIRECT(ADDRESS(2,COLUMN())),OFFSET($BN$2,0,0,ROW()-1,60),ROW()-1,FALSE))</f>
        <v>57.815091330000001</v>
      </c>
      <c r="BB123">
        <f ca="1">IF(AND(ISNUMBER($BB$333),$B$226=1),$BB$333,HLOOKUP(INDIRECT(ADDRESS(2,COLUMN())),OFFSET($BN$2,0,0,ROW()-1,60),ROW()-1,FALSE))</f>
        <v>60.176182779999998</v>
      </c>
      <c r="BC123">
        <f ca="1">IF(AND(ISNUMBER($BC$333),$B$226=1),$BC$333,HLOOKUP(INDIRECT(ADDRESS(2,COLUMN())),OFFSET($BN$2,0,0,ROW()-1,60),ROW()-1,FALSE))</f>
        <v>57.23347468</v>
      </c>
      <c r="BD123">
        <f ca="1">IF(AND(ISNUMBER($BD$333),$B$226=1),$BD$333,HLOOKUP(INDIRECT(ADDRESS(2,COLUMN())),OFFSET($BN$2,0,0,ROW()-1,60),ROW()-1,FALSE))</f>
        <v>58.538084619999999</v>
      </c>
      <c r="BE123">
        <f ca="1">IF(AND(ISNUMBER($BE$333),$B$226=1),$BE$333,HLOOKUP(INDIRECT(ADDRESS(2,COLUMN())),OFFSET($BN$2,0,0,ROW()-1,60),ROW()-1,FALSE))</f>
        <v>60.173134040000001</v>
      </c>
      <c r="BF123">
        <f ca="1">IF(AND(ISNUMBER($BF$333),$B$226=1),$BF$333,HLOOKUP(INDIRECT(ADDRESS(2,COLUMN())),OFFSET($BN$2,0,0,ROW()-1,60),ROW()-1,FALSE))</f>
        <v>60.713593660000001</v>
      </c>
      <c r="BG123">
        <f ca="1">IF(AND(ISNUMBER($BG$333),$B$226=1),$BG$333,HLOOKUP(INDIRECT(ADDRESS(2,COLUMN())),OFFSET($BN$2,0,0,ROW()-1,60),ROW()-1,FALSE))</f>
        <v>61.470541599999997</v>
      </c>
      <c r="BH123">
        <f ca="1">IF(AND(ISNUMBER($BH$333),$B$226=1),$BH$333,HLOOKUP(INDIRECT(ADDRESS(2,COLUMN())),OFFSET($BN$2,0,0,ROW()-1,60),ROW()-1,FALSE))</f>
        <v>62.108355299999999</v>
      </c>
      <c r="BI123">
        <f ca="1">IF(AND(ISNUMBER($BI$333),$B$226=1),$BI$333,HLOOKUP(INDIRECT(ADDRESS(2,COLUMN())),OFFSET($BN$2,0,0,ROW()-1,60),ROW()-1,FALSE))</f>
        <v>58.660825420000002</v>
      </c>
      <c r="BJ123">
        <f ca="1">IF(AND(ISNUMBER($BJ$333),$B$226=1),$BJ$333,HLOOKUP(INDIRECT(ADDRESS(2,COLUMN())),OFFSET($BN$2,0,0,ROW()-1,60),ROW()-1,FALSE))</f>
        <v>58.251486630000002</v>
      </c>
      <c r="BK123">
        <f ca="1">IF(AND(ISNUMBER($BK$333),$B$226=1),$BK$333,HLOOKUP(INDIRECT(ADDRESS(2,COLUMN())),OFFSET($BN$2,0,0,ROW()-1,60),ROW()-1,FALSE))</f>
        <v>59.658760209999997</v>
      </c>
      <c r="BL123">
        <f ca="1">IF(AND(ISNUMBER($BL$333),$B$226=1),$BL$333,HLOOKUP(INDIRECT(ADDRESS(2,COLUMN())),OFFSET($BN$2,0,0,ROW()-1,60),ROW()-1,FALSE))</f>
        <v>60.095768049999997</v>
      </c>
      <c r="BM123">
        <f ca="1">IF(AND(ISNUMBER($BM$333),$B$226=1),$BM$333,HLOOKUP(INDIRECT(ADDRESS(2,COLUMN())),OFFSET($BN$2,0,0,ROW()-1,60),ROW()-1,FALSE))</f>
        <v>60.636499190000002</v>
      </c>
      <c r="BN123" t="str">
        <f>""</f>
        <v/>
      </c>
      <c r="BO123">
        <f>69.20485078</f>
        <v>69.204850780000001</v>
      </c>
      <c r="BP123">
        <f>63.71807448</f>
        <v>63.718074479999999</v>
      </c>
      <c r="BQ123">
        <f>63.28641011</f>
        <v>63.286410109999998</v>
      </c>
      <c r="BR123">
        <f>61.40418053</f>
        <v>61.404180529999998</v>
      </c>
      <c r="BS123">
        <f>65.05615159</f>
        <v>65.056151589999999</v>
      </c>
      <c r="BT123">
        <f>62.63950206</f>
        <v>62.639502059999998</v>
      </c>
      <c r="BU123">
        <f>63.82192564</f>
        <v>63.821925640000003</v>
      </c>
      <c r="BV123">
        <f>64.72808153</f>
        <v>64.728081529999997</v>
      </c>
      <c r="BW123">
        <f>64.31682056</f>
        <v>64.316820559999996</v>
      </c>
      <c r="BX123">
        <f>60.27452878</f>
        <v>60.274528779999997</v>
      </c>
      <c r="BY123">
        <f>68.32196984</f>
        <v>68.321969839999994</v>
      </c>
      <c r="BZ123">
        <f>59.8982293</f>
        <v>59.898229299999997</v>
      </c>
      <c r="CA123">
        <f>63.19283069</f>
        <v>63.192830690000001</v>
      </c>
      <c r="CB123">
        <f>64.20068521</f>
        <v>64.200685210000003</v>
      </c>
      <c r="CC123">
        <f>62.98748689</f>
        <v>62.98748689</v>
      </c>
      <c r="CD123">
        <f>61.7626695</f>
        <v>61.762669500000001</v>
      </c>
      <c r="CE123">
        <f>64.33458745</f>
        <v>64.334587450000001</v>
      </c>
      <c r="CF123">
        <f>60.61759197</f>
        <v>60.617591969999999</v>
      </c>
      <c r="CG123">
        <f>64.31266476</f>
        <v>64.312664760000004</v>
      </c>
      <c r="CH123">
        <f>50.37181814</f>
        <v>50.371818140000002</v>
      </c>
      <c r="CI123">
        <f>58.70805202</f>
        <v>58.708052019999997</v>
      </c>
      <c r="CJ123">
        <f>63.87661152</f>
        <v>63.876611519999997</v>
      </c>
      <c r="CK123">
        <f>61.57935392</f>
        <v>61.579353920000003</v>
      </c>
      <c r="CL123">
        <f>60.68113091</f>
        <v>60.68113091</v>
      </c>
      <c r="CM123">
        <f>58.97428514</f>
        <v>58.974285139999999</v>
      </c>
      <c r="CN123">
        <f>54.86769599</f>
        <v>54.867695990000001</v>
      </c>
      <c r="CO123">
        <f>61.72653992</f>
        <v>61.72653992</v>
      </c>
      <c r="CP123">
        <f>58.34288715</f>
        <v>58.342887150000003</v>
      </c>
      <c r="CQ123">
        <f>59.89044458</f>
        <v>59.89044458</v>
      </c>
      <c r="CR123">
        <f>56.96760922</f>
        <v>56.96760922</v>
      </c>
      <c r="CS123">
        <f>59.29918037</f>
        <v>59.299180370000002</v>
      </c>
      <c r="CT123">
        <f>55.05200767</f>
        <v>55.052007670000002</v>
      </c>
      <c r="CU123">
        <f>52.60485692</f>
        <v>52.604856920000003</v>
      </c>
      <c r="CV123">
        <f>54.00547797</f>
        <v>54.005477970000001</v>
      </c>
      <c r="CW123">
        <f>49.82168012</f>
        <v>49.821680120000003</v>
      </c>
      <c r="CX123">
        <f>56.6529826</f>
        <v>56.652982600000001</v>
      </c>
      <c r="CY123">
        <f>22.42719636</f>
        <v>22.42719636</v>
      </c>
      <c r="CZ123">
        <f>85.23561911</f>
        <v>85.235619110000002</v>
      </c>
      <c r="DA123">
        <f>58.26337297</f>
        <v>58.263372969999999</v>
      </c>
      <c r="DB123">
        <f>58.84960303</f>
        <v>58.849603029999997</v>
      </c>
      <c r="DC123">
        <f>59.29384898</f>
        <v>59.29384898</v>
      </c>
      <c r="DD123">
        <f>60.80180327</f>
        <v>60.801803270000001</v>
      </c>
      <c r="DE123">
        <f>59.01091534</f>
        <v>59.010915339999997</v>
      </c>
      <c r="DF123">
        <f>62.03854412</f>
        <v>62.038544119999997</v>
      </c>
      <c r="DG123">
        <f>58.48947246</f>
        <v>58.489472460000002</v>
      </c>
      <c r="DH123">
        <f>59.4045065</f>
        <v>59.404506499999997</v>
      </c>
      <c r="DI123">
        <f>57.81509133</f>
        <v>57.815091330000001</v>
      </c>
      <c r="DJ123">
        <f>60.17618278</f>
        <v>60.176182779999998</v>
      </c>
      <c r="DK123">
        <f>57.23347468</f>
        <v>57.23347468</v>
      </c>
      <c r="DL123">
        <f>58.53808462</f>
        <v>58.538084619999999</v>
      </c>
      <c r="DM123">
        <f>60.17313404</f>
        <v>60.173134040000001</v>
      </c>
      <c r="DN123">
        <f>60.71359366</f>
        <v>60.713593660000001</v>
      </c>
      <c r="DO123">
        <f>61.4705416</f>
        <v>61.470541599999997</v>
      </c>
      <c r="DP123">
        <f>62.1083553</f>
        <v>62.108355299999999</v>
      </c>
      <c r="DQ123">
        <f>58.66082542</f>
        <v>58.660825420000002</v>
      </c>
      <c r="DR123">
        <f>58.25148663</f>
        <v>58.251486630000002</v>
      </c>
      <c r="DS123">
        <f>59.65876021</f>
        <v>59.658760209999997</v>
      </c>
      <c r="DT123">
        <f>60.09576805</f>
        <v>60.095768049999997</v>
      </c>
      <c r="DU123">
        <f>60.63649919</f>
        <v>60.636499190000002</v>
      </c>
    </row>
    <row r="124" spans="1:125">
      <c r="A124" t="str">
        <f>"    Camden Property Trust"</f>
        <v xml:space="preserve">    Camden Property Trust</v>
      </c>
      <c r="B124" t="str">
        <f>"CPT US Equity"</f>
        <v>CPT US Equity</v>
      </c>
      <c r="C124" t="str">
        <f t="shared" si="39"/>
        <v>RX225</v>
      </c>
      <c r="D124" t="str">
        <f t="shared" si="40"/>
        <v>EBITDA_TO_REVENUE</v>
      </c>
      <c r="E124" t="str">
        <f t="shared" si="41"/>
        <v>动态</v>
      </c>
      <c r="F124" t="str">
        <f ca="1">IF(AND(ISNUMBER($F$334),$B$226=1),$F$334,HLOOKUP(INDIRECT(ADDRESS(2,COLUMN())),OFFSET($BN$2,0,0,ROW()-1,60),ROW()-1,FALSE))</f>
        <v/>
      </c>
      <c r="G124">
        <f ca="1">IF(AND(ISNUMBER($G$334),$B$226=1),$G$334,HLOOKUP(INDIRECT(ADDRESS(2,COLUMN())),OFFSET($BN$2,0,0,ROW()-1,60),ROW()-1,FALSE))</f>
        <v>56.624762590000003</v>
      </c>
      <c r="H124">
        <f ca="1">IF(AND(ISNUMBER($H$334),$B$226=1),$H$334,HLOOKUP(INDIRECT(ADDRESS(2,COLUMN())),OFFSET($BN$2,0,0,ROW()-1,60),ROW()-1,FALSE))</f>
        <v>53.223705350000003</v>
      </c>
      <c r="I124">
        <f ca="1">IF(AND(ISNUMBER($I$334),$B$226=1),$I$334,HLOOKUP(INDIRECT(ADDRESS(2,COLUMN())),OFFSET($BN$2,0,0,ROW()-1,60),ROW()-1,FALSE))</f>
        <v>55.475518389999998</v>
      </c>
      <c r="J124">
        <f ca="1">IF(AND(ISNUMBER($J$334),$B$226=1),$J$334,HLOOKUP(INDIRECT(ADDRESS(2,COLUMN())),OFFSET($BN$2,0,0,ROW()-1,60),ROW()-1,FALSE))</f>
        <v>54.694512109999998</v>
      </c>
      <c r="K124">
        <f ca="1">IF(AND(ISNUMBER($K$334),$B$226=1),$K$334,HLOOKUP(INDIRECT(ADDRESS(2,COLUMN())),OFFSET($BN$2,0,0,ROW()-1,60),ROW()-1,FALSE))</f>
        <v>57.390986380000001</v>
      </c>
      <c r="L124">
        <f ca="1">IF(AND(ISNUMBER($L$334),$B$226=1),$L$334,HLOOKUP(INDIRECT(ADDRESS(2,COLUMN())),OFFSET($BN$2,0,0,ROW()-1,60),ROW()-1,FALSE))</f>
        <v>55.978314750000003</v>
      </c>
      <c r="M124">
        <f ca="1">IF(AND(ISNUMBER($M$334),$B$226=1),$M$334,HLOOKUP(INDIRECT(ADDRESS(2,COLUMN())),OFFSET($BN$2,0,0,ROW()-1,60),ROW()-1,FALSE))</f>
        <v>55.491357960000002</v>
      </c>
      <c r="N124">
        <f ca="1">IF(AND(ISNUMBER($N$334),$B$226=1),$N$334,HLOOKUP(INDIRECT(ADDRESS(2,COLUMN())),OFFSET($BN$2,0,0,ROW()-1,60),ROW()-1,FALSE))</f>
        <v>55.568927789999996</v>
      </c>
      <c r="O124">
        <f ca="1">IF(AND(ISNUMBER($O$334),$B$226=1),$O$334,HLOOKUP(INDIRECT(ADDRESS(2,COLUMN())),OFFSET($BN$2,0,0,ROW()-1,60),ROW()-1,FALSE))</f>
        <v>51.038492220000002</v>
      </c>
      <c r="P124">
        <f ca="1">IF(AND(ISNUMBER($P$334),$B$226=1),$P$334,HLOOKUP(INDIRECT(ADDRESS(2,COLUMN())),OFFSET($BN$2,0,0,ROW()-1,60),ROW()-1,FALSE))</f>
        <v>59.764097069999998</v>
      </c>
      <c r="Q124">
        <f ca="1">IF(AND(ISNUMBER($Q$334),$B$226=1),$Q$334,HLOOKUP(INDIRECT(ADDRESS(2,COLUMN())),OFFSET($BN$2,0,0,ROW()-1,60),ROW()-1,FALSE))</f>
        <v>53.890891609999997</v>
      </c>
      <c r="R124">
        <f ca="1">IF(AND(ISNUMBER($R$334),$B$226=1),$R$334,HLOOKUP(INDIRECT(ADDRESS(2,COLUMN())),OFFSET($BN$2,0,0,ROW()-1,60),ROW()-1,FALSE))</f>
        <v>56.129808250000004</v>
      </c>
      <c r="S124">
        <f ca="1">IF(AND(ISNUMBER($S$334),$B$226=1),$S$334,HLOOKUP(INDIRECT(ADDRESS(2,COLUMN())),OFFSET($BN$2,0,0,ROW()-1,60),ROW()-1,FALSE))</f>
        <v>52.417918630000003</v>
      </c>
      <c r="T124">
        <f ca="1">IF(AND(ISNUMBER($T$334),$B$226=1),$T$334,HLOOKUP(INDIRECT(ADDRESS(2,COLUMN())),OFFSET($BN$2,0,0,ROW()-1,60),ROW()-1,FALSE))</f>
        <v>55.553387319999999</v>
      </c>
      <c r="U124">
        <f ca="1">IF(AND(ISNUMBER($U$334),$B$226=1),$U$334,HLOOKUP(INDIRECT(ADDRESS(2,COLUMN())),OFFSET($BN$2,0,0,ROW()-1,60),ROW()-1,FALSE))</f>
        <v>55.05770536</v>
      </c>
      <c r="V124">
        <f ca="1">IF(AND(ISNUMBER($V$334),$B$226=1),$V$334,HLOOKUP(INDIRECT(ADDRESS(2,COLUMN())),OFFSET($BN$2,0,0,ROW()-1,60),ROW()-1,FALSE))</f>
        <v>56.465121179999997</v>
      </c>
      <c r="W124">
        <f ca="1">IF(AND(ISNUMBER($W$334),$B$226=1),$W$334,HLOOKUP(INDIRECT(ADDRESS(2,COLUMN())),OFFSET($BN$2,0,0,ROW()-1,60),ROW()-1,FALSE))</f>
        <v>57.829528449999998</v>
      </c>
      <c r="X124">
        <f ca="1">IF(AND(ISNUMBER($X$334),$B$226=1),$X$334,HLOOKUP(INDIRECT(ADDRESS(2,COLUMN())),OFFSET($BN$2,0,0,ROW()-1,60),ROW()-1,FALSE))</f>
        <v>56.557514449999999</v>
      </c>
      <c r="Y124">
        <f ca="1">IF(AND(ISNUMBER($Y$334),$B$226=1),$Y$334,HLOOKUP(INDIRECT(ADDRESS(2,COLUMN())),OFFSET($BN$2,0,0,ROW()-1,60),ROW()-1,FALSE))</f>
        <v>55.397098229999997</v>
      </c>
      <c r="Z124">
        <f ca="1">IF(AND(ISNUMBER($Z$334),$B$226=1),$Z$334,HLOOKUP(INDIRECT(ADDRESS(2,COLUMN())),OFFSET($BN$2,0,0,ROW()-1,60),ROW()-1,FALSE))</f>
        <v>55.977789889999997</v>
      </c>
      <c r="AA124">
        <f ca="1">IF(AND(ISNUMBER($AA$334),$B$226=1),$AA$334,HLOOKUP(INDIRECT(ADDRESS(2,COLUMN())),OFFSET($BN$2,0,0,ROW()-1,60),ROW()-1,FALSE))</f>
        <v>57.016363740000003</v>
      </c>
      <c r="AB124">
        <f ca="1">IF(AND(ISNUMBER($AB$334),$B$226=1),$AB$334,HLOOKUP(INDIRECT(ADDRESS(2,COLUMN())),OFFSET($BN$2,0,0,ROW()-1,60),ROW()-1,FALSE))</f>
        <v>56.311010580000001</v>
      </c>
      <c r="AC124">
        <f ca="1">IF(AND(ISNUMBER($AC$334),$B$226=1),$AC$334,HLOOKUP(INDIRECT(ADDRESS(2,COLUMN())),OFFSET($BN$2,0,0,ROW()-1,60),ROW()-1,FALSE))</f>
        <v>55.62965999</v>
      </c>
      <c r="AD124">
        <f ca="1">IF(AND(ISNUMBER($AD$334),$B$226=1),$AD$334,HLOOKUP(INDIRECT(ADDRESS(2,COLUMN())),OFFSET($BN$2,0,0,ROW()-1,60),ROW()-1,FALSE))</f>
        <v>55.512622960000002</v>
      </c>
      <c r="AE124">
        <f ca="1">IF(AND(ISNUMBER($AE$334),$B$226=1),$AE$334,HLOOKUP(INDIRECT(ADDRESS(2,COLUMN())),OFFSET($BN$2,0,0,ROW()-1,60),ROW()-1,FALSE))</f>
        <v>55.598927770000003</v>
      </c>
      <c r="AF124">
        <f ca="1">IF(AND(ISNUMBER($AF$334),$B$226=1),$AF$334,HLOOKUP(INDIRECT(ADDRESS(2,COLUMN())),OFFSET($BN$2,0,0,ROW()-1,60),ROW()-1,FALSE))</f>
        <v>52.43063463</v>
      </c>
      <c r="AG124">
        <f ca="1">IF(AND(ISNUMBER($AG$334),$B$226=1),$AG$334,HLOOKUP(INDIRECT(ADDRESS(2,COLUMN())),OFFSET($BN$2,0,0,ROW()-1,60),ROW()-1,FALSE))</f>
        <v>52.537635850000001</v>
      </c>
      <c r="AH124">
        <f ca="1">IF(AND(ISNUMBER($AH$334),$B$226=1),$AH$334,HLOOKUP(INDIRECT(ADDRESS(2,COLUMN())),OFFSET($BN$2,0,0,ROW()-1,60),ROW()-1,FALSE))</f>
        <v>51.244982440000001</v>
      </c>
      <c r="AI124">
        <f ca="1">IF(AND(ISNUMBER($AI$334),$B$226=1),$AI$334,HLOOKUP(INDIRECT(ADDRESS(2,COLUMN())),OFFSET($BN$2,0,0,ROW()-1,60),ROW()-1,FALSE))</f>
        <v>52.53654453</v>
      </c>
      <c r="AJ124">
        <f ca="1">IF(AND(ISNUMBER($AJ$334),$B$226=1),$AJ$334,HLOOKUP(INDIRECT(ADDRESS(2,COLUMN())),OFFSET($BN$2,0,0,ROW()-1,60),ROW()-1,FALSE))</f>
        <v>50.923481160000001</v>
      </c>
      <c r="AK124">
        <f ca="1">IF(AND(ISNUMBER($AK$334),$B$226=1),$AK$334,HLOOKUP(INDIRECT(ADDRESS(2,COLUMN())),OFFSET($BN$2,0,0,ROW()-1,60),ROW()-1,FALSE))</f>
        <v>51.019330099999998</v>
      </c>
      <c r="AL124">
        <f ca="1">IF(AND(ISNUMBER($AL$334),$B$226=1),$AL$334,HLOOKUP(INDIRECT(ADDRESS(2,COLUMN())),OFFSET($BN$2,0,0,ROW()-1,60),ROW()-1,FALSE))</f>
        <v>50.367506110000001</v>
      </c>
      <c r="AM124">
        <f ca="1">IF(AND(ISNUMBER($AM$334),$B$226=1),$AM$334,HLOOKUP(INDIRECT(ADDRESS(2,COLUMN())),OFFSET($BN$2,0,0,ROW()-1,60),ROW()-1,FALSE))</f>
        <v>-2.927483627</v>
      </c>
      <c r="AN124">
        <f ca="1">IF(AND(ISNUMBER($AN$334),$B$226=1),$AN$334,HLOOKUP(INDIRECT(ADDRESS(2,COLUMN())),OFFSET($BN$2,0,0,ROW()-1,60),ROW()-1,FALSE))</f>
        <v>50.871417379999997</v>
      </c>
      <c r="AO124">
        <f ca="1">IF(AND(ISNUMBER($AO$334),$B$226=1),$AO$334,HLOOKUP(INDIRECT(ADDRESS(2,COLUMN())),OFFSET($BN$2,0,0,ROW()-1,60),ROW()-1,FALSE))</f>
        <v>51.916721330000001</v>
      </c>
      <c r="AP124">
        <f ca="1">IF(AND(ISNUMBER($AP$334),$B$226=1),$AP$334,HLOOKUP(INDIRECT(ADDRESS(2,COLUMN())),OFFSET($BN$2,0,0,ROW()-1,60),ROW()-1,FALSE))</f>
        <v>52.200700349999998</v>
      </c>
      <c r="AQ124">
        <f ca="1">IF(AND(ISNUMBER($AQ$334),$B$226=1),$AQ$334,HLOOKUP(INDIRECT(ADDRESS(2,COLUMN())),OFFSET($BN$2,0,0,ROW()-1,60),ROW()-1,FALSE))</f>
        <v>51.407825180000003</v>
      </c>
      <c r="AR124">
        <f ca="1">IF(AND(ISNUMBER($AR$334),$B$226=1),$AR$334,HLOOKUP(INDIRECT(ADDRESS(2,COLUMN())),OFFSET($BN$2,0,0,ROW()-1,60),ROW()-1,FALSE))</f>
        <v>50.268034350000001</v>
      </c>
      <c r="AS124">
        <f ca="1">IF(AND(ISNUMBER($AS$334),$B$226=1),$AS$334,HLOOKUP(INDIRECT(ADDRESS(2,COLUMN())),OFFSET($BN$2,0,0,ROW()-1,60),ROW()-1,FALSE))</f>
        <v>53.10799325</v>
      </c>
      <c r="AT124">
        <f ca="1">IF(AND(ISNUMBER($AT$334),$B$226=1),$AT$334,HLOOKUP(INDIRECT(ADDRESS(2,COLUMN())),OFFSET($BN$2,0,0,ROW()-1,60),ROW()-1,FALSE))</f>
        <v>53.641893469999999</v>
      </c>
      <c r="AU124">
        <f ca="1">IF(AND(ISNUMBER($AU$334),$B$226=1),$AU$334,HLOOKUP(INDIRECT(ADDRESS(2,COLUMN())),OFFSET($BN$2,0,0,ROW()-1,60),ROW()-1,FALSE))</f>
        <v>44.088173470000001</v>
      </c>
      <c r="AV124">
        <f ca="1">IF(AND(ISNUMBER($AV$334),$B$226=1),$AV$334,HLOOKUP(INDIRECT(ADDRESS(2,COLUMN())),OFFSET($BN$2,0,0,ROW()-1,60),ROW()-1,FALSE))</f>
        <v>55.862358039999997</v>
      </c>
      <c r="AW124">
        <f ca="1">IF(AND(ISNUMBER($AW$334),$B$226=1),$AW$334,HLOOKUP(INDIRECT(ADDRESS(2,COLUMN())),OFFSET($BN$2,0,0,ROW()-1,60),ROW()-1,FALSE))</f>
        <v>56.162631400000002</v>
      </c>
      <c r="AX124">
        <f ca="1">IF(AND(ISNUMBER($AX$334),$B$226=1),$AX$334,HLOOKUP(INDIRECT(ADDRESS(2,COLUMN())),OFFSET($BN$2,0,0,ROW()-1,60),ROW()-1,FALSE))</f>
        <v>55.302590619999997</v>
      </c>
      <c r="AY124">
        <f ca="1">IF(AND(ISNUMBER($AY$334),$B$226=1),$AY$334,HLOOKUP(INDIRECT(ADDRESS(2,COLUMN())),OFFSET($BN$2,0,0,ROW()-1,60),ROW()-1,FALSE))</f>
        <v>53.945364269999999</v>
      </c>
      <c r="AZ124">
        <f ca="1">IF(AND(ISNUMBER($AZ$334),$B$226=1),$AZ$334,HLOOKUP(INDIRECT(ADDRESS(2,COLUMN())),OFFSET($BN$2,0,0,ROW()-1,60),ROW()-1,FALSE))</f>
        <v>56.136666689999998</v>
      </c>
      <c r="BA124">
        <f ca="1">IF(AND(ISNUMBER($BA$334),$B$226=1),$BA$334,HLOOKUP(INDIRECT(ADDRESS(2,COLUMN())),OFFSET($BN$2,0,0,ROW()-1,60),ROW()-1,FALSE))</f>
        <v>56.078902859999999</v>
      </c>
      <c r="BB124">
        <f ca="1">IF(AND(ISNUMBER($BB$334),$B$226=1),$BB$334,HLOOKUP(INDIRECT(ADDRESS(2,COLUMN())),OFFSET($BN$2,0,0,ROW()-1,60),ROW()-1,FALSE))</f>
        <v>56.361879709999997</v>
      </c>
      <c r="BC124">
        <f ca="1">IF(AND(ISNUMBER($BC$334),$B$226=1),$BC$334,HLOOKUP(INDIRECT(ADDRESS(2,COLUMN())),OFFSET($BN$2,0,0,ROW()-1,60),ROW()-1,FALSE))</f>
        <v>56.166931730000002</v>
      </c>
      <c r="BD124">
        <f ca="1">IF(AND(ISNUMBER($BD$334),$B$226=1),$BD$334,HLOOKUP(INDIRECT(ADDRESS(2,COLUMN())),OFFSET($BN$2,0,0,ROW()-1,60),ROW()-1,FALSE))</f>
        <v>53.767860499999998</v>
      </c>
      <c r="BE124">
        <f ca="1">IF(AND(ISNUMBER($BE$334),$B$226=1),$BE$334,HLOOKUP(INDIRECT(ADDRESS(2,COLUMN())),OFFSET($BN$2,0,0,ROW()-1,60),ROW()-1,FALSE))</f>
        <v>56.286110890000003</v>
      </c>
      <c r="BF124">
        <f ca="1">IF(AND(ISNUMBER($BF$334),$B$226=1),$BF$334,HLOOKUP(INDIRECT(ADDRESS(2,COLUMN())),OFFSET($BN$2,0,0,ROW()-1,60),ROW()-1,FALSE))</f>
        <v>61.870939870000001</v>
      </c>
      <c r="BG124">
        <f ca="1">IF(AND(ISNUMBER($BG$334),$B$226=1),$BG$334,HLOOKUP(INDIRECT(ADDRESS(2,COLUMN())),OFFSET($BN$2,0,0,ROW()-1,60),ROW()-1,FALSE))</f>
        <v>54.345720739999997</v>
      </c>
      <c r="BH124">
        <f ca="1">IF(AND(ISNUMBER($BH$334),$B$226=1),$BH$334,HLOOKUP(INDIRECT(ADDRESS(2,COLUMN())),OFFSET($BN$2,0,0,ROW()-1,60),ROW()-1,FALSE))</f>
        <v>55.598923540000001</v>
      </c>
      <c r="BI124">
        <f ca="1">IF(AND(ISNUMBER($BI$334),$B$226=1),$BI$334,HLOOKUP(INDIRECT(ADDRESS(2,COLUMN())),OFFSET($BN$2,0,0,ROW()-1,60),ROW()-1,FALSE))</f>
        <v>53.661597440000001</v>
      </c>
      <c r="BJ124">
        <f ca="1">IF(AND(ISNUMBER($BJ$334),$B$226=1),$BJ$334,HLOOKUP(INDIRECT(ADDRESS(2,COLUMN())),OFFSET($BN$2,0,0,ROW()-1,60),ROW()-1,FALSE))</f>
        <v>55.095654039999999</v>
      </c>
      <c r="BK124">
        <f ca="1">IF(AND(ISNUMBER($BK$334),$B$226=1),$BK$334,HLOOKUP(INDIRECT(ADDRESS(2,COLUMN())),OFFSET($BN$2,0,0,ROW()-1,60),ROW()-1,FALSE))</f>
        <v>56.211891850000001</v>
      </c>
      <c r="BL124">
        <f ca="1">IF(AND(ISNUMBER($BL$334),$B$226=1),$BL$334,HLOOKUP(INDIRECT(ADDRESS(2,COLUMN())),OFFSET($BN$2,0,0,ROW()-1,60),ROW()-1,FALSE))</f>
        <v>53.183859509999998</v>
      </c>
      <c r="BM124">
        <f ca="1">IF(AND(ISNUMBER($BM$334),$B$226=1),$BM$334,HLOOKUP(INDIRECT(ADDRESS(2,COLUMN())),OFFSET($BN$2,0,0,ROW()-1,60),ROW()-1,FALSE))</f>
        <v>51.773164530000003</v>
      </c>
      <c r="BN124" t="str">
        <f>""</f>
        <v/>
      </c>
      <c r="BO124">
        <f>56.62476259</f>
        <v>56.624762590000003</v>
      </c>
      <c r="BP124">
        <f>53.22370535</f>
        <v>53.223705350000003</v>
      </c>
      <c r="BQ124">
        <f>55.47551839</f>
        <v>55.475518389999998</v>
      </c>
      <c r="BR124">
        <f>54.69451211</f>
        <v>54.694512109999998</v>
      </c>
      <c r="BS124">
        <f>57.39098638</f>
        <v>57.390986380000001</v>
      </c>
      <c r="BT124">
        <f>55.97831475</f>
        <v>55.978314750000003</v>
      </c>
      <c r="BU124">
        <f>55.49135796</f>
        <v>55.491357960000002</v>
      </c>
      <c r="BV124">
        <f>55.56892779</f>
        <v>55.568927789999996</v>
      </c>
      <c r="BW124">
        <f>51.03849222</f>
        <v>51.038492220000002</v>
      </c>
      <c r="BX124">
        <f>59.76409707</f>
        <v>59.764097069999998</v>
      </c>
      <c r="BY124">
        <f>53.89089161</f>
        <v>53.890891609999997</v>
      </c>
      <c r="BZ124">
        <f>56.12980825</f>
        <v>56.129808250000004</v>
      </c>
      <c r="CA124">
        <f>52.41791863</f>
        <v>52.417918630000003</v>
      </c>
      <c r="CB124">
        <f>55.55338732</f>
        <v>55.553387319999999</v>
      </c>
      <c r="CC124">
        <f>55.05770536</f>
        <v>55.05770536</v>
      </c>
      <c r="CD124">
        <f>56.46512118</f>
        <v>56.465121179999997</v>
      </c>
      <c r="CE124">
        <f>57.82952845</f>
        <v>57.829528449999998</v>
      </c>
      <c r="CF124">
        <f>56.55751445</f>
        <v>56.557514449999999</v>
      </c>
      <c r="CG124">
        <f>55.39709823</f>
        <v>55.397098229999997</v>
      </c>
      <c r="CH124">
        <f>55.97778989</f>
        <v>55.977789889999997</v>
      </c>
      <c r="CI124">
        <f>57.01636374</f>
        <v>57.016363740000003</v>
      </c>
      <c r="CJ124">
        <f>56.31101058</f>
        <v>56.311010580000001</v>
      </c>
      <c r="CK124">
        <f>55.62965999</f>
        <v>55.62965999</v>
      </c>
      <c r="CL124">
        <f>55.51262296</f>
        <v>55.512622960000002</v>
      </c>
      <c r="CM124">
        <f>55.59892777</f>
        <v>55.598927770000003</v>
      </c>
      <c r="CN124">
        <f>52.43063463</f>
        <v>52.43063463</v>
      </c>
      <c r="CO124">
        <f>52.53763585</f>
        <v>52.537635850000001</v>
      </c>
      <c r="CP124">
        <f>51.24498244</f>
        <v>51.244982440000001</v>
      </c>
      <c r="CQ124">
        <f>52.53654453</f>
        <v>52.53654453</v>
      </c>
      <c r="CR124">
        <f>50.92348116</f>
        <v>50.923481160000001</v>
      </c>
      <c r="CS124">
        <f>51.0193301</f>
        <v>51.019330099999998</v>
      </c>
      <c r="CT124">
        <f>50.36750611</f>
        <v>50.367506110000001</v>
      </c>
      <c r="CU124">
        <f>-2.927483627</f>
        <v>-2.927483627</v>
      </c>
      <c r="CV124">
        <f>50.87141738</f>
        <v>50.871417379999997</v>
      </c>
      <c r="CW124">
        <f>51.91672133</f>
        <v>51.916721330000001</v>
      </c>
      <c r="CX124">
        <f>52.20070035</f>
        <v>52.200700349999998</v>
      </c>
      <c r="CY124">
        <f>51.40782518</f>
        <v>51.407825180000003</v>
      </c>
      <c r="CZ124">
        <f>50.26803435</f>
        <v>50.268034350000001</v>
      </c>
      <c r="DA124">
        <f>53.10799325</f>
        <v>53.10799325</v>
      </c>
      <c r="DB124">
        <f>53.64189347</f>
        <v>53.641893469999999</v>
      </c>
      <c r="DC124">
        <f>44.08817347</f>
        <v>44.088173470000001</v>
      </c>
      <c r="DD124">
        <f>55.86235804</f>
        <v>55.862358039999997</v>
      </c>
      <c r="DE124">
        <f>56.1626314</f>
        <v>56.162631400000002</v>
      </c>
      <c r="DF124">
        <f>55.30259062</f>
        <v>55.302590619999997</v>
      </c>
      <c r="DG124">
        <f>53.94536427</f>
        <v>53.945364269999999</v>
      </c>
      <c r="DH124">
        <f>56.13666669</f>
        <v>56.136666689999998</v>
      </c>
      <c r="DI124">
        <f>56.07890286</f>
        <v>56.078902859999999</v>
      </c>
      <c r="DJ124">
        <f>56.36187971</f>
        <v>56.361879709999997</v>
      </c>
      <c r="DK124">
        <f>56.16693173</f>
        <v>56.166931730000002</v>
      </c>
      <c r="DL124">
        <f>53.7678605</f>
        <v>53.767860499999998</v>
      </c>
      <c r="DM124">
        <f>56.28611089</f>
        <v>56.286110890000003</v>
      </c>
      <c r="DN124">
        <f>61.87093987</f>
        <v>61.870939870000001</v>
      </c>
      <c r="DO124">
        <f>54.34572074</f>
        <v>54.345720739999997</v>
      </c>
      <c r="DP124">
        <f>55.59892354</f>
        <v>55.598923540000001</v>
      </c>
      <c r="DQ124">
        <f>53.66159744</f>
        <v>53.661597440000001</v>
      </c>
      <c r="DR124">
        <f>55.09565404</f>
        <v>55.095654039999999</v>
      </c>
      <c r="DS124">
        <f>56.21189185</f>
        <v>56.211891850000001</v>
      </c>
      <c r="DT124">
        <f>53.18385951</f>
        <v>53.183859509999998</v>
      </c>
      <c r="DU124">
        <f>51.77316453</f>
        <v>51.773164530000003</v>
      </c>
    </row>
    <row r="125" spans="1:125">
      <c r="A125" t="str">
        <f>"    Education Realty Trust Inc"</f>
        <v xml:space="preserve">    Education Realty Trust Inc</v>
      </c>
      <c r="B125" t="str">
        <f>"EDR US Equity"</f>
        <v>EDR US Equity</v>
      </c>
      <c r="C125" t="str">
        <f t="shared" si="39"/>
        <v>RX225</v>
      </c>
      <c r="D125" t="str">
        <f t="shared" si="40"/>
        <v>EBITDA_TO_REVENUE</v>
      </c>
      <c r="E125" t="str">
        <f t="shared" si="41"/>
        <v>动态</v>
      </c>
      <c r="F125" t="str">
        <f ca="1">IF(AND(ISNUMBER($F$335),$B$226=1),$F$335,HLOOKUP(INDIRECT(ADDRESS(2,COLUMN())),OFFSET($BN$2,0,0,ROW()-1,60),ROW()-1,FALSE))</f>
        <v/>
      </c>
      <c r="G125">
        <f ca="1">IF(AND(ISNUMBER($G$335),$B$226=1),$G$335,HLOOKUP(INDIRECT(ADDRESS(2,COLUMN())),OFFSET($BN$2,0,0,ROW()-1,60),ROW()-1,FALSE))</f>
        <v>57.078630590000003</v>
      </c>
      <c r="H125">
        <f ca="1">IF(AND(ISNUMBER($H$335),$B$226=1),$H$335,HLOOKUP(INDIRECT(ADDRESS(2,COLUMN())),OFFSET($BN$2,0,0,ROW()-1,60),ROW()-1,FALSE))</f>
        <v>34.923036089999997</v>
      </c>
      <c r="I125">
        <f ca="1">IF(AND(ISNUMBER($I$335),$B$226=1),$I$335,HLOOKUP(INDIRECT(ADDRESS(2,COLUMN())),OFFSET($BN$2,0,0,ROW()-1,60),ROW()-1,FALSE))</f>
        <v>44.765133300000002</v>
      </c>
      <c r="J125">
        <f ca="1">IF(AND(ISNUMBER($J$335),$B$226=1),$J$335,HLOOKUP(INDIRECT(ADDRESS(2,COLUMN())),OFFSET($BN$2,0,0,ROW()-1,60),ROW()-1,FALSE))</f>
        <v>51.609594629999997</v>
      </c>
      <c r="K125">
        <f ca="1">IF(AND(ISNUMBER($K$335),$B$226=1),$K$335,HLOOKUP(INDIRECT(ADDRESS(2,COLUMN())),OFFSET($BN$2,0,0,ROW()-1,60),ROW()-1,FALSE))</f>
        <v>48.19885068</v>
      </c>
      <c r="L125">
        <f ca="1">IF(AND(ISNUMBER($L$335),$B$226=1),$L$335,HLOOKUP(INDIRECT(ADDRESS(2,COLUMN())),OFFSET($BN$2,0,0,ROW()-1,60),ROW()-1,FALSE))</f>
        <v>35.586258970000003</v>
      </c>
      <c r="M125">
        <f ca="1">IF(AND(ISNUMBER($M$335),$B$226=1),$M$335,HLOOKUP(INDIRECT(ADDRESS(2,COLUMN())),OFFSET($BN$2,0,0,ROW()-1,60),ROW()-1,FALSE))</f>
        <v>43.882407120000003</v>
      </c>
      <c r="N125">
        <f ca="1">IF(AND(ISNUMBER($N$335),$B$226=1),$N$335,HLOOKUP(INDIRECT(ADDRESS(2,COLUMN())),OFFSET($BN$2,0,0,ROW()-1,60),ROW()-1,FALSE))</f>
        <v>51.420706199999998</v>
      </c>
      <c r="O125">
        <f ca="1">IF(AND(ISNUMBER($O$335),$B$226=1),$O$335,HLOOKUP(INDIRECT(ADDRESS(2,COLUMN())),OFFSET($BN$2,0,0,ROW()-1,60),ROW()-1,FALSE))</f>
        <v>50.680614409999997</v>
      </c>
      <c r="P125">
        <f ca="1">IF(AND(ISNUMBER($P$335),$B$226=1),$P$335,HLOOKUP(INDIRECT(ADDRESS(2,COLUMN())),OFFSET($BN$2,0,0,ROW()-1,60),ROW()-1,FALSE))</f>
        <v>34.791799140000002</v>
      </c>
      <c r="Q125">
        <f ca="1">IF(AND(ISNUMBER($Q$335),$B$226=1),$Q$335,HLOOKUP(INDIRECT(ADDRESS(2,COLUMN())),OFFSET($BN$2,0,0,ROW()-1,60),ROW()-1,FALSE))</f>
        <v>43.357058129999999</v>
      </c>
      <c r="R125">
        <f ca="1">IF(AND(ISNUMBER($R$335),$B$226=1),$R$335,HLOOKUP(INDIRECT(ADDRESS(2,COLUMN())),OFFSET($BN$2,0,0,ROW()-1,60),ROW()-1,FALSE))</f>
        <v>46.319137990000002</v>
      </c>
      <c r="S125">
        <f ca="1">IF(AND(ISNUMBER($S$335),$B$226=1),$S$335,HLOOKUP(INDIRECT(ADDRESS(2,COLUMN())),OFFSET($BN$2,0,0,ROW()-1,60),ROW()-1,FALSE))</f>
        <v>50.463130040000003</v>
      </c>
      <c r="T125">
        <f ca="1">IF(AND(ISNUMBER($T$335),$B$226=1),$T$335,HLOOKUP(INDIRECT(ADDRESS(2,COLUMN())),OFFSET($BN$2,0,0,ROW()-1,60),ROW()-1,FALSE))</f>
        <v>30.07458321</v>
      </c>
      <c r="U125">
        <f ca="1">IF(AND(ISNUMBER($U$335),$B$226=1),$U$335,HLOOKUP(INDIRECT(ADDRESS(2,COLUMN())),OFFSET($BN$2,0,0,ROW()-1,60),ROW()-1,FALSE))</f>
        <v>21.596722620000001</v>
      </c>
      <c r="V125">
        <f ca="1">IF(AND(ISNUMBER($V$335),$B$226=1),$V$335,HLOOKUP(INDIRECT(ADDRESS(2,COLUMN())),OFFSET($BN$2,0,0,ROW()-1,60),ROW()-1,FALSE))</f>
        <v>40.50783757</v>
      </c>
      <c r="W125">
        <f ca="1">IF(AND(ISNUMBER($W$335),$B$226=1),$W$335,HLOOKUP(INDIRECT(ADDRESS(2,COLUMN())),OFFSET($BN$2,0,0,ROW()-1,60),ROW()-1,FALSE))</f>
        <v>47.35135331</v>
      </c>
      <c r="X125">
        <f ca="1">IF(AND(ISNUMBER($X$335),$B$226=1),$X$335,HLOOKUP(INDIRECT(ADDRESS(2,COLUMN())),OFFSET($BN$2,0,0,ROW()-1,60),ROW()-1,FALSE))</f>
        <v>26.377418389999999</v>
      </c>
      <c r="Y125">
        <f ca="1">IF(AND(ISNUMBER($Y$335),$B$226=1),$Y$335,HLOOKUP(INDIRECT(ADDRESS(2,COLUMN())),OFFSET($BN$2,0,0,ROW()-1,60),ROW()-1,FALSE))</f>
        <v>37.387299579999997</v>
      </c>
      <c r="Z125">
        <f ca="1">IF(AND(ISNUMBER($Z$335),$B$226=1),$Z$335,HLOOKUP(INDIRECT(ADDRESS(2,COLUMN())),OFFSET($BN$2,0,0,ROW()-1,60),ROW()-1,FALSE))</f>
        <v>40.834098179999998</v>
      </c>
      <c r="AA125">
        <f ca="1">IF(AND(ISNUMBER($AA$335),$B$226=1),$AA$335,HLOOKUP(INDIRECT(ADDRESS(2,COLUMN())),OFFSET($BN$2,0,0,ROW()-1,60),ROW()-1,FALSE))</f>
        <v>40.051943010000002</v>
      </c>
      <c r="AB125">
        <f ca="1">IF(AND(ISNUMBER($AB$335),$B$226=1),$AB$335,HLOOKUP(INDIRECT(ADDRESS(2,COLUMN())),OFFSET($BN$2,0,0,ROW()-1,60),ROW()-1,FALSE))</f>
        <v>18.863332119999999</v>
      </c>
      <c r="AC125">
        <f ca="1">IF(AND(ISNUMBER($AC$335),$B$226=1),$AC$335,HLOOKUP(INDIRECT(ADDRESS(2,COLUMN())),OFFSET($BN$2,0,0,ROW()-1,60),ROW()-1,FALSE))</f>
        <v>35.042708589999997</v>
      </c>
      <c r="AD125">
        <f ca="1">IF(AND(ISNUMBER($AD$335),$B$226=1),$AD$335,HLOOKUP(INDIRECT(ADDRESS(2,COLUMN())),OFFSET($BN$2,0,0,ROW()-1,60),ROW()-1,FALSE))</f>
        <v>41.823647289999997</v>
      </c>
      <c r="AE125">
        <f ca="1">IF(AND(ISNUMBER($AE$335),$B$226=1),$AE$335,HLOOKUP(INDIRECT(ADDRESS(2,COLUMN())),OFFSET($BN$2,0,0,ROW()-1,60),ROW()-1,FALSE))</f>
        <v>44.671805220000003</v>
      </c>
      <c r="AF125">
        <f ca="1">IF(AND(ISNUMBER($AF$335),$B$226=1),$AF$335,HLOOKUP(INDIRECT(ADDRESS(2,COLUMN())),OFFSET($BN$2,0,0,ROW()-1,60),ROW()-1,FALSE))</f>
        <v>19.493407850000001</v>
      </c>
      <c r="AG125">
        <f ca="1">IF(AND(ISNUMBER($AG$335),$B$226=1),$AG$335,HLOOKUP(INDIRECT(ADDRESS(2,COLUMN())),OFFSET($BN$2,0,0,ROW()-1,60),ROW()-1,FALSE))</f>
        <v>36.031783760000003</v>
      </c>
      <c r="AH125">
        <f ca="1">IF(AND(ISNUMBER($AH$335),$B$226=1),$AH$335,HLOOKUP(INDIRECT(ADDRESS(2,COLUMN())),OFFSET($BN$2,0,0,ROW()-1,60),ROW()-1,FALSE))</f>
        <v>41.389205939999997</v>
      </c>
      <c r="AI125">
        <f ca="1">IF(AND(ISNUMBER($AI$335),$B$226=1),$AI$335,HLOOKUP(INDIRECT(ADDRESS(2,COLUMN())),OFFSET($BN$2,0,0,ROW()-1,60),ROW()-1,FALSE))</f>
        <v>33.182045819999999</v>
      </c>
      <c r="AJ125">
        <f ca="1">IF(AND(ISNUMBER($AJ$335),$B$226=1),$AJ$335,HLOOKUP(INDIRECT(ADDRESS(2,COLUMN())),OFFSET($BN$2,0,0,ROW()-1,60),ROW()-1,FALSE))</f>
        <v>20.1546272</v>
      </c>
      <c r="AK125">
        <f ca="1">IF(AND(ISNUMBER($AK$335),$B$226=1),$AK$335,HLOOKUP(INDIRECT(ADDRESS(2,COLUMN())),OFFSET($BN$2,0,0,ROW()-1,60),ROW()-1,FALSE))</f>
        <v>32.577776110000002</v>
      </c>
      <c r="AL125">
        <f ca="1">IF(AND(ISNUMBER($AL$335),$B$226=1),$AL$335,HLOOKUP(INDIRECT(ADDRESS(2,COLUMN())),OFFSET($BN$2,0,0,ROW()-1,60),ROW()-1,FALSE))</f>
        <v>43.331711720000001</v>
      </c>
      <c r="AM125">
        <f ca="1">IF(AND(ISNUMBER($AM$335),$B$226=1),$AM$335,HLOOKUP(INDIRECT(ADDRESS(2,COLUMN())),OFFSET($BN$2,0,0,ROW()-1,60),ROW()-1,FALSE))</f>
        <v>45.219794180000001</v>
      </c>
      <c r="AN125">
        <f ca="1">IF(AND(ISNUMBER($AN$335),$B$226=1),$AN$335,HLOOKUP(INDIRECT(ADDRESS(2,COLUMN())),OFFSET($BN$2,0,0,ROW()-1,60),ROW()-1,FALSE))</f>
        <v>20.564888310000001</v>
      </c>
      <c r="AO125">
        <f ca="1">IF(AND(ISNUMBER($AO$335),$B$226=1),$AO$335,HLOOKUP(INDIRECT(ADDRESS(2,COLUMN())),OFFSET($BN$2,0,0,ROW()-1,60),ROW()-1,FALSE))</f>
        <v>41.203689230000002</v>
      </c>
      <c r="AP125">
        <f ca="1">IF(AND(ISNUMBER($AP$335),$B$226=1),$AP$335,HLOOKUP(INDIRECT(ADDRESS(2,COLUMN())),OFFSET($BN$2,0,0,ROW()-1,60),ROW()-1,FALSE))</f>
        <v>42.856299270000001</v>
      </c>
      <c r="AQ125">
        <f ca="1">IF(AND(ISNUMBER($AQ$335),$B$226=1),$AQ$335,HLOOKUP(INDIRECT(ADDRESS(2,COLUMN())),OFFSET($BN$2,0,0,ROW()-1,60),ROW()-1,FALSE))</f>
        <v>44.804546709999997</v>
      </c>
      <c r="AR125">
        <f ca="1">IF(AND(ISNUMBER($AR$335),$B$226=1),$AR$335,HLOOKUP(INDIRECT(ADDRESS(2,COLUMN())),OFFSET($BN$2,0,0,ROW()-1,60),ROW()-1,FALSE))</f>
        <v>21.40537531</v>
      </c>
      <c r="AS125">
        <f ca="1">IF(AND(ISNUMBER($AS$335),$B$226=1),$AS$335,HLOOKUP(INDIRECT(ADDRESS(2,COLUMN())),OFFSET($BN$2,0,0,ROW()-1,60),ROW()-1,FALSE))</f>
        <v>45.853698270000002</v>
      </c>
      <c r="AT125">
        <f ca="1">IF(AND(ISNUMBER($AT$335),$B$226=1),$AT$335,HLOOKUP(INDIRECT(ADDRESS(2,COLUMN())),OFFSET($BN$2,0,0,ROW()-1,60),ROW()-1,FALSE))</f>
        <v>43.996258619999999</v>
      </c>
      <c r="AU125">
        <f ca="1">IF(AND(ISNUMBER($AU$335),$B$226=1),$AU$335,HLOOKUP(INDIRECT(ADDRESS(2,COLUMN())),OFFSET($BN$2,0,0,ROW()-1,60),ROW()-1,FALSE))</f>
        <v>46.20267587</v>
      </c>
      <c r="AV125">
        <f ca="1">IF(AND(ISNUMBER($AV$335),$B$226=1),$AV$335,HLOOKUP(INDIRECT(ADDRESS(2,COLUMN())),OFFSET($BN$2,0,0,ROW()-1,60),ROW()-1,FALSE))</f>
        <v>30.27713301</v>
      </c>
      <c r="AW125">
        <f ca="1">IF(AND(ISNUMBER($AW$335),$B$226=1),$AW$335,HLOOKUP(INDIRECT(ADDRESS(2,COLUMN())),OFFSET($BN$2,0,0,ROW()-1,60),ROW()-1,FALSE))</f>
        <v>46.927144130000002</v>
      </c>
      <c r="AX125">
        <f ca="1">IF(AND(ISNUMBER($AX$335),$B$226=1),$AX$335,HLOOKUP(INDIRECT(ADDRESS(2,COLUMN())),OFFSET($BN$2,0,0,ROW()-1,60),ROW()-1,FALSE))</f>
        <v>49.348100840000001</v>
      </c>
      <c r="AY125">
        <f ca="1">IF(AND(ISNUMBER($AY$335),$B$226=1),$AY$335,HLOOKUP(INDIRECT(ADDRESS(2,COLUMN())),OFFSET($BN$2,0,0,ROW()-1,60),ROW()-1,FALSE))</f>
        <v>51.16554172</v>
      </c>
      <c r="AZ125">
        <f ca="1">IF(AND(ISNUMBER($AZ$335),$B$226=1),$AZ$335,HLOOKUP(INDIRECT(ADDRESS(2,COLUMN())),OFFSET($BN$2,0,0,ROW()-1,60),ROW()-1,FALSE))</f>
        <v>33.344642989999997</v>
      </c>
      <c r="BA125">
        <f ca="1">IF(AND(ISNUMBER($BA$335),$B$226=1),$BA$335,HLOOKUP(INDIRECT(ADDRESS(2,COLUMN())),OFFSET($BN$2,0,0,ROW()-1,60),ROW()-1,FALSE))</f>
        <v>48.892835140000003</v>
      </c>
      <c r="BB125">
        <f ca="1">IF(AND(ISNUMBER($BB$335),$B$226=1),$BB$335,HLOOKUP(INDIRECT(ADDRESS(2,COLUMN())),OFFSET($BN$2,0,0,ROW()-1,60),ROW()-1,FALSE))</f>
        <v>50.576273430000001</v>
      </c>
      <c r="BC125">
        <f ca="1">IF(AND(ISNUMBER($BC$335),$B$226=1),$BC$335,HLOOKUP(INDIRECT(ADDRESS(2,COLUMN())),OFFSET($BN$2,0,0,ROW()-1,60),ROW()-1,FALSE))</f>
        <v>44.633462620000003</v>
      </c>
      <c r="BD125">
        <f ca="1">IF(AND(ISNUMBER($BD$335),$B$226=1),$BD$335,HLOOKUP(INDIRECT(ADDRESS(2,COLUMN())),OFFSET($BN$2,0,0,ROW()-1,60),ROW()-1,FALSE))</f>
        <v>25.287979969999999</v>
      </c>
      <c r="BE125">
        <f ca="1">IF(AND(ISNUMBER($BE$335),$B$226=1),$BE$335,HLOOKUP(INDIRECT(ADDRESS(2,COLUMN())),OFFSET($BN$2,0,0,ROW()-1,60),ROW()-1,FALSE))</f>
        <v>40.4850408</v>
      </c>
      <c r="BF125">
        <f ca="1">IF(AND(ISNUMBER($BF$335),$B$226=1),$BF$335,HLOOKUP(INDIRECT(ADDRESS(2,COLUMN())),OFFSET($BN$2,0,0,ROW()-1,60),ROW()-1,FALSE))</f>
        <v>20.491355779999999</v>
      </c>
      <c r="BG125" t="str">
        <f ca="1">IF(AND(ISNUMBER($BG$335),$B$226=1),$BG$335,HLOOKUP(INDIRECT(ADDRESS(2,COLUMN())),OFFSET($BN$2,0,0,ROW()-1,60),ROW()-1,FALSE))</f>
        <v/>
      </c>
      <c r="BH125" t="str">
        <f ca="1">IF(AND(ISNUMBER($BH$335),$B$226=1),$BH$335,HLOOKUP(INDIRECT(ADDRESS(2,COLUMN())),OFFSET($BN$2,0,0,ROW()-1,60),ROW()-1,FALSE))</f>
        <v/>
      </c>
      <c r="BI125" t="str">
        <f ca="1">IF(AND(ISNUMBER($BI$335),$B$226=1),$BI$335,HLOOKUP(INDIRECT(ADDRESS(2,COLUMN())),OFFSET($BN$2,0,0,ROW()-1,60),ROW()-1,FALSE))</f>
        <v/>
      </c>
      <c r="BJ125" t="str">
        <f ca="1">IF(AND(ISNUMBER($BJ$335),$B$226=1),$BJ$335,HLOOKUP(INDIRECT(ADDRESS(2,COLUMN())),OFFSET($BN$2,0,0,ROW()-1,60),ROW()-1,FALSE))</f>
        <v/>
      </c>
      <c r="BK125" t="str">
        <f ca="1">IF(AND(ISNUMBER($BK$335),$B$226=1),$BK$335,HLOOKUP(INDIRECT(ADDRESS(2,COLUMN())),OFFSET($BN$2,0,0,ROW()-1,60),ROW()-1,FALSE))</f>
        <v/>
      </c>
      <c r="BL125" t="str">
        <f ca="1">IF(AND(ISNUMBER($BL$335),$B$226=1),$BL$335,HLOOKUP(INDIRECT(ADDRESS(2,COLUMN())),OFFSET($BN$2,0,0,ROW()-1,60),ROW()-1,FALSE))</f>
        <v/>
      </c>
      <c r="BM125" t="str">
        <f ca="1">IF(AND(ISNUMBER($BM$335),$B$226=1),$BM$335,HLOOKUP(INDIRECT(ADDRESS(2,COLUMN())),OFFSET($BN$2,0,0,ROW()-1,60),ROW()-1,FALSE))</f>
        <v/>
      </c>
      <c r="BN125" t="str">
        <f>""</f>
        <v/>
      </c>
      <c r="BO125">
        <f>57.07863059</f>
        <v>57.078630590000003</v>
      </c>
      <c r="BP125">
        <f>34.92303609</f>
        <v>34.923036089999997</v>
      </c>
      <c r="BQ125">
        <f>44.7651333</f>
        <v>44.765133300000002</v>
      </c>
      <c r="BR125">
        <f>51.60959463</f>
        <v>51.609594629999997</v>
      </c>
      <c r="BS125">
        <f>48.19885068</f>
        <v>48.19885068</v>
      </c>
      <c r="BT125">
        <f>35.58625897</f>
        <v>35.586258970000003</v>
      </c>
      <c r="BU125">
        <f>43.88240712</f>
        <v>43.882407120000003</v>
      </c>
      <c r="BV125">
        <f>51.4207062</f>
        <v>51.420706199999998</v>
      </c>
      <c r="BW125">
        <f>50.68061441</f>
        <v>50.680614409999997</v>
      </c>
      <c r="BX125">
        <f>34.79179914</f>
        <v>34.791799140000002</v>
      </c>
      <c r="BY125">
        <f>43.35705813</f>
        <v>43.357058129999999</v>
      </c>
      <c r="BZ125">
        <f>46.31913799</f>
        <v>46.319137990000002</v>
      </c>
      <c r="CA125">
        <f>50.46313004</f>
        <v>50.463130040000003</v>
      </c>
      <c r="CB125">
        <f>30.07458321</f>
        <v>30.07458321</v>
      </c>
      <c r="CC125">
        <f>21.59672262</f>
        <v>21.596722620000001</v>
      </c>
      <c r="CD125">
        <f>40.50783757</f>
        <v>40.50783757</v>
      </c>
      <c r="CE125">
        <f>47.35135331</f>
        <v>47.35135331</v>
      </c>
      <c r="CF125">
        <f>26.37741839</f>
        <v>26.377418389999999</v>
      </c>
      <c r="CG125">
        <f>37.38729958</f>
        <v>37.387299579999997</v>
      </c>
      <c r="CH125">
        <f>40.83409818</f>
        <v>40.834098179999998</v>
      </c>
      <c r="CI125">
        <f>40.05194301</f>
        <v>40.051943010000002</v>
      </c>
      <c r="CJ125">
        <f>18.86333212</f>
        <v>18.863332119999999</v>
      </c>
      <c r="CK125">
        <f>35.04270859</f>
        <v>35.042708589999997</v>
      </c>
      <c r="CL125">
        <f>41.82364729</f>
        <v>41.823647289999997</v>
      </c>
      <c r="CM125">
        <f>44.67180522</f>
        <v>44.671805220000003</v>
      </c>
      <c r="CN125">
        <f>19.49340785</f>
        <v>19.493407850000001</v>
      </c>
      <c r="CO125">
        <f>36.03178376</f>
        <v>36.031783760000003</v>
      </c>
      <c r="CP125">
        <f>41.38920594</f>
        <v>41.389205939999997</v>
      </c>
      <c r="CQ125">
        <f>33.18204582</f>
        <v>33.182045819999999</v>
      </c>
      <c r="CR125">
        <f>20.1546272</f>
        <v>20.1546272</v>
      </c>
      <c r="CS125">
        <f>32.57777611</f>
        <v>32.577776110000002</v>
      </c>
      <c r="CT125">
        <f>43.33171172</f>
        <v>43.331711720000001</v>
      </c>
      <c r="CU125">
        <f>45.21979418</f>
        <v>45.219794180000001</v>
      </c>
      <c r="CV125">
        <f>20.56488831</f>
        <v>20.564888310000001</v>
      </c>
      <c r="CW125">
        <f>41.20368923</f>
        <v>41.203689230000002</v>
      </c>
      <c r="CX125">
        <f>42.85629927</f>
        <v>42.856299270000001</v>
      </c>
      <c r="CY125">
        <f>44.80454671</f>
        <v>44.804546709999997</v>
      </c>
      <c r="CZ125">
        <f>21.40537531</f>
        <v>21.40537531</v>
      </c>
      <c r="DA125">
        <f>45.85369827</f>
        <v>45.853698270000002</v>
      </c>
      <c r="DB125">
        <f>43.99625862</f>
        <v>43.996258619999999</v>
      </c>
      <c r="DC125">
        <f>46.20267587</f>
        <v>46.20267587</v>
      </c>
      <c r="DD125">
        <f>30.27713301</f>
        <v>30.27713301</v>
      </c>
      <c r="DE125">
        <f>46.92714413</f>
        <v>46.927144130000002</v>
      </c>
      <c r="DF125">
        <f>49.34810084</f>
        <v>49.348100840000001</v>
      </c>
      <c r="DG125">
        <f>51.16554172</f>
        <v>51.16554172</v>
      </c>
      <c r="DH125">
        <f>33.34464299</f>
        <v>33.344642989999997</v>
      </c>
      <c r="DI125">
        <f>48.89283514</f>
        <v>48.892835140000003</v>
      </c>
      <c r="DJ125">
        <f>50.57627343</f>
        <v>50.576273430000001</v>
      </c>
      <c r="DK125">
        <f>44.63346262</f>
        <v>44.633462620000003</v>
      </c>
      <c r="DL125">
        <f>25.28797997</f>
        <v>25.287979969999999</v>
      </c>
      <c r="DM125">
        <f>40.4850408</f>
        <v>40.4850408</v>
      </c>
      <c r="DN125">
        <f>20.49135578</f>
        <v>20.491355779999999</v>
      </c>
      <c r="DO125" t="str">
        <f>""</f>
        <v/>
      </c>
      <c r="DP125" t="str">
        <f>""</f>
        <v/>
      </c>
      <c r="DQ125" t="str">
        <f>""</f>
        <v/>
      </c>
      <c r="DR125" t="str">
        <f>""</f>
        <v/>
      </c>
      <c r="DS125" t="str">
        <f>""</f>
        <v/>
      </c>
      <c r="DT125" t="str">
        <f>""</f>
        <v/>
      </c>
      <c r="DU125" t="str">
        <f>""</f>
        <v/>
      </c>
    </row>
    <row r="126" spans="1:125">
      <c r="A126" t="str">
        <f>"    Equity Residential"</f>
        <v xml:space="preserve">    Equity Residential</v>
      </c>
      <c r="B126" t="str">
        <f>"EQR US Equity"</f>
        <v>EQR US Equity</v>
      </c>
      <c r="C126" t="str">
        <f t="shared" si="39"/>
        <v>RX225</v>
      </c>
      <c r="D126" t="str">
        <f t="shared" si="40"/>
        <v>EBITDA_TO_REVENUE</v>
      </c>
      <c r="E126" t="str">
        <f t="shared" si="41"/>
        <v>动态</v>
      </c>
      <c r="F126" t="str">
        <f ca="1">IF(AND(ISNUMBER($F$336),$B$226=1),$F$336,HLOOKUP(INDIRECT(ADDRESS(2,COLUMN())),OFFSET($BN$2,0,0,ROW()-1,60),ROW()-1,FALSE))</f>
        <v/>
      </c>
      <c r="G126">
        <f ca="1">IF(AND(ISNUMBER($G$336),$B$226=1),$G$336,HLOOKUP(INDIRECT(ADDRESS(2,COLUMN())),OFFSET($BN$2,0,0,ROW()-1,60),ROW()-1,FALSE))</f>
        <v>66.060782869999997</v>
      </c>
      <c r="H126">
        <f ca="1">IF(AND(ISNUMBER($H$336),$B$226=1),$H$336,HLOOKUP(INDIRECT(ADDRESS(2,COLUMN())),OFFSET($BN$2,0,0,ROW()-1,60),ROW()-1,FALSE))</f>
        <v>64.554365970000006</v>
      </c>
      <c r="I126">
        <f ca="1">IF(AND(ISNUMBER($I$336),$B$226=1),$I$336,HLOOKUP(INDIRECT(ADDRESS(2,COLUMN())),OFFSET($BN$2,0,0,ROW()-1,60),ROW()-1,FALSE))</f>
        <v>63.888943310000002</v>
      </c>
      <c r="J126">
        <f ca="1">IF(AND(ISNUMBER($J$336),$B$226=1),$J$336,HLOOKUP(INDIRECT(ADDRESS(2,COLUMN())),OFFSET($BN$2,0,0,ROW()-1,60),ROW()-1,FALSE))</f>
        <v>63.597914250000002</v>
      </c>
      <c r="K126">
        <f ca="1">IF(AND(ISNUMBER($K$336),$B$226=1),$K$336,HLOOKUP(INDIRECT(ADDRESS(2,COLUMN())),OFFSET($BN$2,0,0,ROW()-1,60),ROW()-1,FALSE))</f>
        <v>66.448275690000003</v>
      </c>
      <c r="L126">
        <f ca="1">IF(AND(ISNUMBER($L$336),$B$226=1),$L$336,HLOOKUP(INDIRECT(ADDRESS(2,COLUMN())),OFFSET($BN$2,0,0,ROW()-1,60),ROW()-1,FALSE))</f>
        <v>64.259644859999995</v>
      </c>
      <c r="M126">
        <f ca="1">IF(AND(ISNUMBER($M$336),$B$226=1),$M$336,HLOOKUP(INDIRECT(ADDRESS(2,COLUMN())),OFFSET($BN$2,0,0,ROW()-1,60),ROW()-1,FALSE))</f>
        <v>64.353427850000003</v>
      </c>
      <c r="N126">
        <f ca="1">IF(AND(ISNUMBER($N$336),$B$226=1),$N$336,HLOOKUP(INDIRECT(ADDRESS(2,COLUMN())),OFFSET($BN$2,0,0,ROW()-1,60),ROW()-1,FALSE))</f>
        <v>63.054711570000002</v>
      </c>
      <c r="O126">
        <f ca="1">IF(AND(ISNUMBER($O$336),$B$226=1),$O$336,HLOOKUP(INDIRECT(ADDRESS(2,COLUMN())),OFFSET($BN$2,0,0,ROW()-1,60),ROW()-1,FALSE))</f>
        <v>66.687097280000003</v>
      </c>
      <c r="P126">
        <f ca="1">IF(AND(ISNUMBER($P$336),$B$226=1),$P$336,HLOOKUP(INDIRECT(ADDRESS(2,COLUMN())),OFFSET($BN$2,0,0,ROW()-1,60),ROW()-1,FALSE))</f>
        <v>65.274045689999994</v>
      </c>
      <c r="Q126">
        <f ca="1">IF(AND(ISNUMBER($Q$336),$B$226=1),$Q$336,HLOOKUP(INDIRECT(ADDRESS(2,COLUMN())),OFFSET($BN$2,0,0,ROW()-1,60),ROW()-1,FALSE))</f>
        <v>64.993992149999997</v>
      </c>
      <c r="R126">
        <f ca="1">IF(AND(ISNUMBER($R$336),$B$226=1),$R$336,HLOOKUP(INDIRECT(ADDRESS(2,COLUMN())),OFFSET($BN$2,0,0,ROW()-1,60),ROW()-1,FALSE))</f>
        <v>62.082233469999998</v>
      </c>
      <c r="S126">
        <f ca="1">IF(AND(ISNUMBER($S$336),$B$226=1),$S$336,HLOOKUP(INDIRECT(ADDRESS(2,COLUMN())),OFFSET($BN$2,0,0,ROW()-1,60),ROW()-1,FALSE))</f>
        <v>66.871332710000004</v>
      </c>
      <c r="T126">
        <f ca="1">IF(AND(ISNUMBER($T$336),$B$226=1),$T$336,HLOOKUP(INDIRECT(ADDRESS(2,COLUMN())),OFFSET($BN$2,0,0,ROW()-1,60),ROW()-1,FALSE))</f>
        <v>65.442463079999996</v>
      </c>
      <c r="U126">
        <f ca="1">IF(AND(ISNUMBER($U$336),$B$226=1),$U$336,HLOOKUP(INDIRECT(ADDRESS(2,COLUMN())),OFFSET($BN$2,0,0,ROW()-1,60),ROW()-1,FALSE))</f>
        <v>64.230394380000007</v>
      </c>
      <c r="V126">
        <f ca="1">IF(AND(ISNUMBER($V$336),$B$226=1),$V$336,HLOOKUP(INDIRECT(ADDRESS(2,COLUMN())),OFFSET($BN$2,0,0,ROW()-1,60),ROW()-1,FALSE))</f>
        <v>60.819301529999997</v>
      </c>
      <c r="W126">
        <f ca="1">IF(AND(ISNUMBER($W$336),$B$226=1),$W$336,HLOOKUP(INDIRECT(ADDRESS(2,COLUMN())),OFFSET($BN$2,0,0,ROW()-1,60),ROW()-1,FALSE))</f>
        <v>63.463530339999998</v>
      </c>
      <c r="X126">
        <f ca="1">IF(AND(ISNUMBER($X$336),$B$226=1),$X$336,HLOOKUP(INDIRECT(ADDRESS(2,COLUMN())),OFFSET($BN$2,0,0,ROW()-1,60),ROW()-1,FALSE))</f>
        <v>63.993686850000003</v>
      </c>
      <c r="Y126">
        <f ca="1">IF(AND(ISNUMBER($Y$336),$B$226=1),$Y$336,HLOOKUP(INDIRECT(ADDRESS(2,COLUMN())),OFFSET($BN$2,0,0,ROW()-1,60),ROW()-1,FALSE))</f>
        <v>64.053809279999996</v>
      </c>
      <c r="Z126">
        <f ca="1">IF(AND(ISNUMBER($Z$336),$B$226=1),$Z$336,HLOOKUP(INDIRECT(ADDRESS(2,COLUMN())),OFFSET($BN$2,0,0,ROW()-1,60),ROW()-1,FALSE))</f>
        <v>64.307876419999999</v>
      </c>
      <c r="AA126">
        <f ca="1">IF(AND(ISNUMBER($AA$336),$B$226=1),$AA$336,HLOOKUP(INDIRECT(ADDRESS(2,COLUMN())),OFFSET($BN$2,0,0,ROW()-1,60),ROW()-1,FALSE))</f>
        <v>69.90251567</v>
      </c>
      <c r="AB126">
        <f ca="1">IF(AND(ISNUMBER($AB$336),$B$226=1),$AB$336,HLOOKUP(INDIRECT(ADDRESS(2,COLUMN())),OFFSET($BN$2,0,0,ROW()-1,60),ROW()-1,FALSE))</f>
        <v>69.020741689999994</v>
      </c>
      <c r="AC126">
        <f ca="1">IF(AND(ISNUMBER($AC$336),$B$226=1),$AC$336,HLOOKUP(INDIRECT(ADDRESS(2,COLUMN())),OFFSET($BN$2,0,0,ROW()-1,60),ROW()-1,FALSE))</f>
        <v>67.259357069999993</v>
      </c>
      <c r="AD126">
        <f ca="1">IF(AND(ISNUMBER($AD$336),$B$226=1),$AD$336,HLOOKUP(INDIRECT(ADDRESS(2,COLUMN())),OFFSET($BN$2,0,0,ROW()-1,60),ROW()-1,FALSE))</f>
        <v>64.863993120000004</v>
      </c>
      <c r="AE126">
        <f ca="1">IF(AND(ISNUMBER($AE$336),$B$226=1),$AE$336,HLOOKUP(INDIRECT(ADDRESS(2,COLUMN())),OFFSET($BN$2,0,0,ROW()-1,60),ROW()-1,FALSE))</f>
        <v>65.391489789999994</v>
      </c>
      <c r="AF126">
        <f ca="1">IF(AND(ISNUMBER($AF$336),$B$226=1),$AF$336,HLOOKUP(INDIRECT(ADDRESS(2,COLUMN())),OFFSET($BN$2,0,0,ROW()-1,60),ROW()-1,FALSE))</f>
        <v>62.823363139999998</v>
      </c>
      <c r="AG126">
        <f ca="1">IF(AND(ISNUMBER($AG$336),$B$226=1),$AG$336,HLOOKUP(INDIRECT(ADDRESS(2,COLUMN())),OFFSET($BN$2,0,0,ROW()-1,60),ROW()-1,FALSE))</f>
        <v>62.748690060000001</v>
      </c>
      <c r="AH126">
        <f ca="1">IF(AND(ISNUMBER($AH$336),$B$226=1),$AH$336,HLOOKUP(INDIRECT(ADDRESS(2,COLUMN())),OFFSET($BN$2,0,0,ROW()-1,60),ROW()-1,FALSE))</f>
        <v>61.179871169999998</v>
      </c>
      <c r="AI126">
        <f ca="1">IF(AND(ISNUMBER($AI$336),$B$226=1),$AI$336,HLOOKUP(INDIRECT(ADDRESS(2,COLUMN())),OFFSET($BN$2,0,0,ROW()-1,60),ROW()-1,FALSE))</f>
        <v>53.871313600000001</v>
      </c>
      <c r="AJ126">
        <f ca="1">IF(AND(ISNUMBER($AJ$336),$B$226=1),$AJ$336,HLOOKUP(INDIRECT(ADDRESS(2,COLUMN())),OFFSET($BN$2,0,0,ROW()-1,60),ROW()-1,FALSE))</f>
        <v>61.521499689999999</v>
      </c>
      <c r="AK126">
        <f ca="1">IF(AND(ISNUMBER($AK$336),$B$226=1),$AK$336,HLOOKUP(INDIRECT(ADDRESS(2,COLUMN())),OFFSET($BN$2,0,0,ROW()-1,60),ROW()-1,FALSE))</f>
        <v>61.529709709999999</v>
      </c>
      <c r="AL126">
        <f ca="1">IF(AND(ISNUMBER($AL$336),$B$226=1),$AL$336,HLOOKUP(INDIRECT(ADDRESS(2,COLUMN())),OFFSET($BN$2,0,0,ROW()-1,60),ROW()-1,FALSE))</f>
        <v>56.50377743</v>
      </c>
      <c r="AM126">
        <f ca="1">IF(AND(ISNUMBER($AM$336),$B$226=1),$AM$336,HLOOKUP(INDIRECT(ADDRESS(2,COLUMN())),OFFSET($BN$2,0,0,ROW()-1,60),ROW()-1,FALSE))</f>
        <v>59.800032090000002</v>
      </c>
      <c r="AN126">
        <f ca="1">IF(AND(ISNUMBER($AN$336),$B$226=1),$AN$336,HLOOKUP(INDIRECT(ADDRESS(2,COLUMN())),OFFSET($BN$2,0,0,ROW()-1,60),ROW()-1,FALSE))</f>
        <v>57.951528500000002</v>
      </c>
      <c r="AO126">
        <f ca="1">IF(AND(ISNUMBER($AO$336),$B$226=1),$AO$336,HLOOKUP(INDIRECT(ADDRESS(2,COLUMN())),OFFSET($BN$2,0,0,ROW()-1,60),ROW()-1,FALSE))</f>
        <v>57.937097809999997</v>
      </c>
      <c r="AP126">
        <f ca="1">IF(AND(ISNUMBER($AP$336),$B$226=1),$AP$336,HLOOKUP(INDIRECT(ADDRESS(2,COLUMN())),OFFSET($BN$2,0,0,ROW()-1,60),ROW()-1,FALSE))</f>
        <v>58.556796210000002</v>
      </c>
      <c r="AQ126">
        <f ca="1">IF(AND(ISNUMBER($AQ$336),$B$226=1),$AQ$336,HLOOKUP(INDIRECT(ADDRESS(2,COLUMN())),OFFSET($BN$2,0,0,ROW()-1,60),ROW()-1,FALSE))</f>
        <v>60.421975619999998</v>
      </c>
      <c r="AR126">
        <f ca="1">IF(AND(ISNUMBER($AR$336),$B$226=1),$AR$336,HLOOKUP(INDIRECT(ADDRESS(2,COLUMN())),OFFSET($BN$2,0,0,ROW()-1,60),ROW()-1,FALSE))</f>
        <v>59.086781760000001</v>
      </c>
      <c r="AS126">
        <f ca="1">IF(AND(ISNUMBER($AS$336),$B$226=1),$AS$336,HLOOKUP(INDIRECT(ADDRESS(2,COLUMN())),OFFSET($BN$2,0,0,ROW()-1,60),ROW()-1,FALSE))</f>
        <v>59.411669590000002</v>
      </c>
      <c r="AT126">
        <f ca="1">IF(AND(ISNUMBER($AT$336),$B$226=1),$AT$336,HLOOKUP(INDIRECT(ADDRESS(2,COLUMN())),OFFSET($BN$2,0,0,ROW()-1,60),ROW()-1,FALSE))</f>
        <v>57.116112690000001</v>
      </c>
      <c r="AU126">
        <f ca="1">IF(AND(ISNUMBER($AU$336),$B$226=1),$AU$336,HLOOKUP(INDIRECT(ADDRESS(2,COLUMN())),OFFSET($BN$2,0,0,ROW()-1,60),ROW()-1,FALSE))</f>
        <v>62.903625030000001</v>
      </c>
      <c r="AV126">
        <f ca="1">IF(AND(ISNUMBER($AV$336),$B$226=1),$AV$336,HLOOKUP(INDIRECT(ADDRESS(2,COLUMN())),OFFSET($BN$2,0,0,ROW()-1,60),ROW()-1,FALSE))</f>
        <v>58.534589760000003</v>
      </c>
      <c r="AW126">
        <f ca="1">IF(AND(ISNUMBER($AW$336),$B$226=1),$AW$336,HLOOKUP(INDIRECT(ADDRESS(2,COLUMN())),OFFSET($BN$2,0,0,ROW()-1,60),ROW()-1,FALSE))</f>
        <v>59.607982749999998</v>
      </c>
      <c r="AX126">
        <f ca="1">IF(AND(ISNUMBER($AX$336),$B$226=1),$AX$336,HLOOKUP(INDIRECT(ADDRESS(2,COLUMN())),OFFSET($BN$2,0,0,ROW()-1,60),ROW()-1,FALSE))</f>
        <v>57.842088560000001</v>
      </c>
      <c r="AY126">
        <f ca="1">IF(AND(ISNUMBER($AY$336),$B$226=1),$AY$336,HLOOKUP(INDIRECT(ADDRESS(2,COLUMN())),OFFSET($BN$2,0,0,ROW()-1,60),ROW()-1,FALSE))</f>
        <v>77.804271459999995</v>
      </c>
      <c r="AZ126">
        <f ca="1">IF(AND(ISNUMBER($AZ$336),$B$226=1),$AZ$336,HLOOKUP(INDIRECT(ADDRESS(2,COLUMN())),OFFSET($BN$2,0,0,ROW()-1,60),ROW()-1,FALSE))</f>
        <v>55.275023599999997</v>
      </c>
      <c r="BA126">
        <f ca="1">IF(AND(ISNUMBER($BA$336),$B$226=1),$BA$336,HLOOKUP(INDIRECT(ADDRESS(2,COLUMN())),OFFSET($BN$2,0,0,ROW()-1,60),ROW()-1,FALSE))</f>
        <v>59.158147659999997</v>
      </c>
      <c r="BB126">
        <f ca="1">IF(AND(ISNUMBER($BB$336),$B$226=1),$BB$336,HLOOKUP(INDIRECT(ADDRESS(2,COLUMN())),OFFSET($BN$2,0,0,ROW()-1,60),ROW()-1,FALSE))</f>
        <v>59.155858479999999</v>
      </c>
      <c r="BC126">
        <f ca="1">IF(AND(ISNUMBER($BC$336),$B$226=1),$BC$336,HLOOKUP(INDIRECT(ADDRESS(2,COLUMN())),OFFSET($BN$2,0,0,ROW()-1,60),ROW()-1,FALSE))</f>
        <v>58.5427459</v>
      </c>
      <c r="BD126">
        <f ca="1">IF(AND(ISNUMBER($BD$336),$B$226=1),$BD$336,HLOOKUP(INDIRECT(ADDRESS(2,COLUMN())),OFFSET($BN$2,0,0,ROW()-1,60),ROW()-1,FALSE))</f>
        <v>55.938601259999999</v>
      </c>
      <c r="BE126">
        <f ca="1">IF(AND(ISNUMBER($BE$336),$B$226=1),$BE$336,HLOOKUP(INDIRECT(ADDRESS(2,COLUMN())),OFFSET($BN$2,0,0,ROW()-1,60),ROW()-1,FALSE))</f>
        <v>59.355778729999997</v>
      </c>
      <c r="BF126">
        <f ca="1">IF(AND(ISNUMBER($BF$336),$B$226=1),$BF$336,HLOOKUP(INDIRECT(ADDRESS(2,COLUMN())),OFFSET($BN$2,0,0,ROW()-1,60),ROW()-1,FALSE))</f>
        <v>55.681091260000002</v>
      </c>
      <c r="BG126">
        <f ca="1">IF(AND(ISNUMBER($BG$336),$B$226=1),$BG$336,HLOOKUP(INDIRECT(ADDRESS(2,COLUMN())),OFFSET($BN$2,0,0,ROW()-1,60),ROW()-1,FALSE))</f>
        <v>60.26149118</v>
      </c>
      <c r="BH126">
        <f ca="1">IF(AND(ISNUMBER($BH$336),$B$226=1),$BH$336,HLOOKUP(INDIRECT(ADDRESS(2,COLUMN())),OFFSET($BN$2,0,0,ROW()-1,60),ROW()-1,FALSE))</f>
        <v>52.884809140000002</v>
      </c>
      <c r="BI126">
        <f ca="1">IF(AND(ISNUMBER($BI$336),$B$226=1),$BI$336,HLOOKUP(INDIRECT(ADDRESS(2,COLUMN())),OFFSET($BN$2,0,0,ROW()-1,60),ROW()-1,FALSE))</f>
        <v>30.739040330000002</v>
      </c>
      <c r="BJ126">
        <f ca="1">IF(AND(ISNUMBER($BJ$336),$B$226=1),$BJ$336,HLOOKUP(INDIRECT(ADDRESS(2,COLUMN())),OFFSET($BN$2,0,0,ROW()-1,60),ROW()-1,FALSE))</f>
        <v>55.642480030000002</v>
      </c>
      <c r="BK126">
        <f ca="1">IF(AND(ISNUMBER($BK$336),$B$226=1),$BK$336,HLOOKUP(INDIRECT(ADDRESS(2,COLUMN())),OFFSET($BN$2,0,0,ROW()-1,60),ROW()-1,FALSE))</f>
        <v>51.859357869999997</v>
      </c>
      <c r="BL126">
        <f ca="1">IF(AND(ISNUMBER($BL$336),$B$226=1),$BL$336,HLOOKUP(INDIRECT(ADDRESS(2,COLUMN())),OFFSET($BN$2,0,0,ROW()-1,60),ROW()-1,FALSE))</f>
        <v>58.705374079999999</v>
      </c>
      <c r="BM126">
        <f ca="1">IF(AND(ISNUMBER($BM$336),$B$226=1),$BM$336,HLOOKUP(INDIRECT(ADDRESS(2,COLUMN())),OFFSET($BN$2,0,0,ROW()-1,60),ROW()-1,FALSE))</f>
        <v>59.904887559999999</v>
      </c>
      <c r="BN126" t="str">
        <f>""</f>
        <v/>
      </c>
      <c r="BO126">
        <f>66.06078287</f>
        <v>66.060782869999997</v>
      </c>
      <c r="BP126">
        <f>64.55436597</f>
        <v>64.554365970000006</v>
      </c>
      <c r="BQ126">
        <f>63.88894331</f>
        <v>63.888943310000002</v>
      </c>
      <c r="BR126">
        <f>63.59791425</f>
        <v>63.597914250000002</v>
      </c>
      <c r="BS126">
        <f>66.44827569</f>
        <v>66.448275690000003</v>
      </c>
      <c r="BT126">
        <f>64.25964486</f>
        <v>64.259644859999995</v>
      </c>
      <c r="BU126">
        <f>64.35342785</f>
        <v>64.353427850000003</v>
      </c>
      <c r="BV126">
        <f>63.05471157</f>
        <v>63.054711570000002</v>
      </c>
      <c r="BW126">
        <f>66.68709728</f>
        <v>66.687097280000003</v>
      </c>
      <c r="BX126">
        <f>65.27404569</f>
        <v>65.274045689999994</v>
      </c>
      <c r="BY126">
        <f>64.99399215</f>
        <v>64.993992149999997</v>
      </c>
      <c r="BZ126">
        <f>62.08223347</f>
        <v>62.082233469999998</v>
      </c>
      <c r="CA126">
        <f>66.87133271</f>
        <v>66.871332710000004</v>
      </c>
      <c r="CB126">
        <f>65.44246308</f>
        <v>65.442463079999996</v>
      </c>
      <c r="CC126">
        <f>64.23039438</f>
        <v>64.230394380000007</v>
      </c>
      <c r="CD126">
        <f>60.81930153</f>
        <v>60.819301529999997</v>
      </c>
      <c r="CE126">
        <f>63.46353034</f>
        <v>63.463530339999998</v>
      </c>
      <c r="CF126">
        <f>63.99368685</f>
        <v>63.993686850000003</v>
      </c>
      <c r="CG126">
        <f>64.05380928</f>
        <v>64.053809279999996</v>
      </c>
      <c r="CH126">
        <f>64.30787642</f>
        <v>64.307876419999999</v>
      </c>
      <c r="CI126">
        <f>69.90251567</f>
        <v>69.90251567</v>
      </c>
      <c r="CJ126">
        <f>69.02074169</f>
        <v>69.020741689999994</v>
      </c>
      <c r="CK126">
        <f>67.25935707</f>
        <v>67.259357069999993</v>
      </c>
      <c r="CL126">
        <f>64.86399312</f>
        <v>64.863993120000004</v>
      </c>
      <c r="CM126">
        <f>65.39148979</f>
        <v>65.391489789999994</v>
      </c>
      <c r="CN126">
        <f>62.82336314</f>
        <v>62.823363139999998</v>
      </c>
      <c r="CO126">
        <f>62.74869006</f>
        <v>62.748690060000001</v>
      </c>
      <c r="CP126">
        <f>61.17987117</f>
        <v>61.179871169999998</v>
      </c>
      <c r="CQ126">
        <f>53.8713136</f>
        <v>53.871313600000001</v>
      </c>
      <c r="CR126">
        <f>61.52149969</f>
        <v>61.521499689999999</v>
      </c>
      <c r="CS126">
        <f>61.52970971</f>
        <v>61.529709709999999</v>
      </c>
      <c r="CT126">
        <f>56.50377743</f>
        <v>56.50377743</v>
      </c>
      <c r="CU126">
        <f>59.80003209</f>
        <v>59.800032090000002</v>
      </c>
      <c r="CV126">
        <f>57.9515285</f>
        <v>57.951528500000002</v>
      </c>
      <c r="CW126">
        <f>57.93709781</f>
        <v>57.937097809999997</v>
      </c>
      <c r="CX126">
        <f>58.55679621</f>
        <v>58.556796210000002</v>
      </c>
      <c r="CY126">
        <f>60.42197562</f>
        <v>60.421975619999998</v>
      </c>
      <c r="CZ126">
        <f>59.08678176</f>
        <v>59.086781760000001</v>
      </c>
      <c r="DA126">
        <f>59.41166959</f>
        <v>59.411669590000002</v>
      </c>
      <c r="DB126">
        <f>57.11611269</f>
        <v>57.116112690000001</v>
      </c>
      <c r="DC126">
        <f>62.90362503</f>
        <v>62.903625030000001</v>
      </c>
      <c r="DD126">
        <f>58.53458976</f>
        <v>58.534589760000003</v>
      </c>
      <c r="DE126">
        <f>59.60798275</f>
        <v>59.607982749999998</v>
      </c>
      <c r="DF126">
        <f>57.84208856</f>
        <v>57.842088560000001</v>
      </c>
      <c r="DG126">
        <f>77.80427146</f>
        <v>77.804271459999995</v>
      </c>
      <c r="DH126">
        <f>55.2750236</f>
        <v>55.275023599999997</v>
      </c>
      <c r="DI126">
        <f>59.15814766</f>
        <v>59.158147659999997</v>
      </c>
      <c r="DJ126">
        <f>59.15585848</f>
        <v>59.155858479999999</v>
      </c>
      <c r="DK126">
        <f>58.5427459</f>
        <v>58.5427459</v>
      </c>
      <c r="DL126">
        <f>55.93860126</f>
        <v>55.938601259999999</v>
      </c>
      <c r="DM126">
        <f>59.35577873</f>
        <v>59.355778729999997</v>
      </c>
      <c r="DN126">
        <f>55.68109126</f>
        <v>55.681091260000002</v>
      </c>
      <c r="DO126">
        <f>60.26149118</f>
        <v>60.26149118</v>
      </c>
      <c r="DP126">
        <f>52.88480914</f>
        <v>52.884809140000002</v>
      </c>
      <c r="DQ126">
        <f>30.73904033</f>
        <v>30.739040330000002</v>
      </c>
      <c r="DR126">
        <f>55.64248003</f>
        <v>55.642480030000002</v>
      </c>
      <c r="DS126">
        <f>51.85935787</f>
        <v>51.859357869999997</v>
      </c>
      <c r="DT126">
        <f>58.70537408</f>
        <v>58.705374079999999</v>
      </c>
      <c r="DU126">
        <f>59.90488756</f>
        <v>59.904887559999999</v>
      </c>
    </row>
    <row r="127" spans="1:125">
      <c r="A127" t="str">
        <f>"    Essex Property Trust Inc"</f>
        <v xml:space="preserve">    Essex Property Trust Inc</v>
      </c>
      <c r="B127" t="str">
        <f>"ESS US Equity"</f>
        <v>ESS US Equity</v>
      </c>
      <c r="C127" t="str">
        <f t="shared" si="39"/>
        <v>RX225</v>
      </c>
      <c r="D127" t="str">
        <f t="shared" si="40"/>
        <v>EBITDA_TO_REVENUE</v>
      </c>
      <c r="E127" t="str">
        <f t="shared" si="41"/>
        <v>动态</v>
      </c>
      <c r="F127" t="str">
        <f ca="1">IF(AND(ISNUMBER($F$337),$B$226=1),$F$337,HLOOKUP(INDIRECT(ADDRESS(2,COLUMN())),OFFSET($BN$2,0,0,ROW()-1,60),ROW()-1,FALSE))</f>
        <v/>
      </c>
      <c r="G127">
        <f ca="1">IF(AND(ISNUMBER($G$337),$B$226=1),$G$337,HLOOKUP(INDIRECT(ADDRESS(2,COLUMN())),OFFSET($BN$2,0,0,ROW()-1,60),ROW()-1,FALSE))</f>
        <v>68.246760019999996</v>
      </c>
      <c r="H127">
        <f ca="1">IF(AND(ISNUMBER($H$337),$B$226=1),$H$337,HLOOKUP(INDIRECT(ADDRESS(2,COLUMN())),OFFSET($BN$2,0,0,ROW()-1,60),ROW()-1,FALSE))</f>
        <v>66.587004059999998</v>
      </c>
      <c r="I127">
        <f ca="1">IF(AND(ISNUMBER($I$337),$B$226=1),$I$337,HLOOKUP(INDIRECT(ADDRESS(2,COLUMN())),OFFSET($BN$2,0,0,ROW()-1,60),ROW()-1,FALSE))</f>
        <v>67.591767880000006</v>
      </c>
      <c r="J127">
        <f ca="1">IF(AND(ISNUMBER($J$337),$B$226=1),$J$337,HLOOKUP(INDIRECT(ADDRESS(2,COLUMN())),OFFSET($BN$2,0,0,ROW()-1,60),ROW()-1,FALSE))</f>
        <v>66.017399909999995</v>
      </c>
      <c r="K127">
        <f ca="1">IF(AND(ISNUMBER($K$337),$B$226=1),$K$337,HLOOKUP(INDIRECT(ADDRESS(2,COLUMN())),OFFSET($BN$2,0,0,ROW()-1,60),ROW()-1,FALSE))</f>
        <v>66.057719779999999</v>
      </c>
      <c r="L127">
        <f ca="1">IF(AND(ISNUMBER($L$337),$B$226=1),$L$337,HLOOKUP(INDIRECT(ADDRESS(2,COLUMN())),OFFSET($BN$2,0,0,ROW()-1,60),ROW()-1,FALSE))</f>
        <v>69.106026959999994</v>
      </c>
      <c r="M127">
        <f ca="1">IF(AND(ISNUMBER($M$337),$B$226=1),$M$337,HLOOKUP(INDIRECT(ADDRESS(2,COLUMN())),OFFSET($BN$2,0,0,ROW()-1,60),ROW()-1,FALSE))</f>
        <v>63.977735629999998</v>
      </c>
      <c r="N127">
        <f ca="1">IF(AND(ISNUMBER($N$337),$B$226=1),$N$337,HLOOKUP(INDIRECT(ADDRESS(2,COLUMN())),OFFSET($BN$2,0,0,ROW()-1,60),ROW()-1,FALSE))</f>
        <v>67.441964089999999</v>
      </c>
      <c r="O127">
        <f ca="1">IF(AND(ISNUMBER($O$337),$B$226=1),$O$337,HLOOKUP(INDIRECT(ADDRESS(2,COLUMN())),OFFSET($BN$2,0,0,ROW()-1,60),ROW()-1,FALSE))</f>
        <v>67.154846719999995</v>
      </c>
      <c r="P127">
        <f ca="1">IF(AND(ISNUMBER($P$337),$B$226=1),$P$337,HLOOKUP(INDIRECT(ADDRESS(2,COLUMN())),OFFSET($BN$2,0,0,ROW()-1,60),ROW()-1,FALSE))</f>
        <v>68.977040700000003</v>
      </c>
      <c r="Q127">
        <f ca="1">IF(AND(ISNUMBER($Q$337),$B$226=1),$Q$337,HLOOKUP(INDIRECT(ADDRESS(2,COLUMN())),OFFSET($BN$2,0,0,ROW()-1,60),ROW()-1,FALSE))</f>
        <v>64.188518450000004</v>
      </c>
      <c r="R127">
        <f ca="1">IF(AND(ISNUMBER($R$337),$B$226=1),$R$337,HLOOKUP(INDIRECT(ADDRESS(2,COLUMN())),OFFSET($BN$2,0,0,ROW()-1,60),ROW()-1,FALSE))</f>
        <v>62.109851419999998</v>
      </c>
      <c r="S127">
        <f ca="1">IF(AND(ISNUMBER($S$337),$B$226=1),$S$337,HLOOKUP(INDIRECT(ADDRESS(2,COLUMN())),OFFSET($BN$2,0,0,ROW()-1,60),ROW()-1,FALSE))</f>
        <v>60.81756592</v>
      </c>
      <c r="T127">
        <f ca="1">IF(AND(ISNUMBER($T$337),$B$226=1),$T$337,HLOOKUP(INDIRECT(ADDRESS(2,COLUMN())),OFFSET($BN$2,0,0,ROW()-1,60),ROW()-1,FALSE))</f>
        <v>63.766503129999997</v>
      </c>
      <c r="U127">
        <f ca="1">IF(AND(ISNUMBER($U$337),$B$226=1),$U$337,HLOOKUP(INDIRECT(ADDRESS(2,COLUMN())),OFFSET($BN$2,0,0,ROW()-1,60),ROW()-1,FALSE))</f>
        <v>52.346887649999999</v>
      </c>
      <c r="V127">
        <f ca="1">IF(AND(ISNUMBER($V$337),$B$226=1),$V$337,HLOOKUP(INDIRECT(ADDRESS(2,COLUMN())),OFFSET($BN$2,0,0,ROW()-1,60),ROW()-1,FALSE))</f>
        <v>54.56775708</v>
      </c>
      <c r="W127">
        <f ca="1">IF(AND(ISNUMBER($W$337),$B$226=1),$W$337,HLOOKUP(INDIRECT(ADDRESS(2,COLUMN())),OFFSET($BN$2,0,0,ROW()-1,60),ROW()-1,FALSE))</f>
        <v>68.104702200000006</v>
      </c>
      <c r="X127">
        <f ca="1">IF(AND(ISNUMBER($X$337),$B$226=1),$X$337,HLOOKUP(INDIRECT(ADDRESS(2,COLUMN())),OFFSET($BN$2,0,0,ROW()-1,60),ROW()-1,FALSE))</f>
        <v>59.405773379999999</v>
      </c>
      <c r="Y127">
        <f ca="1">IF(AND(ISNUMBER($Y$337),$B$226=1),$Y$337,HLOOKUP(INDIRECT(ADDRESS(2,COLUMN())),OFFSET($BN$2,0,0,ROW()-1,60),ROW()-1,FALSE))</f>
        <v>65.724231669999995</v>
      </c>
      <c r="Z127">
        <f ca="1">IF(AND(ISNUMBER($Z$337),$B$226=1),$Z$337,HLOOKUP(INDIRECT(ADDRESS(2,COLUMN())),OFFSET($BN$2,0,0,ROW()-1,60),ROW()-1,FALSE))</f>
        <v>65.294415729999997</v>
      </c>
      <c r="AA127">
        <f ca="1">IF(AND(ISNUMBER($AA$337),$B$226=1),$AA$337,HLOOKUP(INDIRECT(ADDRESS(2,COLUMN())),OFFSET($BN$2,0,0,ROW()-1,60),ROW()-1,FALSE))</f>
        <v>70.595451350000005</v>
      </c>
      <c r="AB127">
        <f ca="1">IF(AND(ISNUMBER($AB$337),$B$226=1),$AB$337,HLOOKUP(INDIRECT(ADDRESS(2,COLUMN())),OFFSET($BN$2,0,0,ROW()-1,60),ROW()-1,FALSE))</f>
        <v>58.027247330000002</v>
      </c>
      <c r="AC127">
        <f ca="1">IF(AND(ISNUMBER($AC$337),$B$226=1),$AC$337,HLOOKUP(INDIRECT(ADDRESS(2,COLUMN())),OFFSET($BN$2,0,0,ROW()-1,60),ROW()-1,FALSE))</f>
        <v>64.613272379999998</v>
      </c>
      <c r="AD127">
        <f ca="1">IF(AND(ISNUMBER($AD$337),$B$226=1),$AD$337,HLOOKUP(INDIRECT(ADDRESS(2,COLUMN())),OFFSET($BN$2,0,0,ROW()-1,60),ROW()-1,FALSE))</f>
        <v>65.416125960000002</v>
      </c>
      <c r="AE127">
        <f ca="1">IF(AND(ISNUMBER($AE$337),$B$226=1),$AE$337,HLOOKUP(INDIRECT(ADDRESS(2,COLUMN())),OFFSET($BN$2,0,0,ROW()-1,60),ROW()-1,FALSE))</f>
        <v>71.897502590000002</v>
      </c>
      <c r="AF127">
        <f ca="1">IF(AND(ISNUMBER($AF$337),$B$226=1),$AF$337,HLOOKUP(INDIRECT(ADDRESS(2,COLUMN())),OFFSET($BN$2,0,0,ROW()-1,60),ROW()-1,FALSE))</f>
        <v>56.09989427</v>
      </c>
      <c r="AG127">
        <f ca="1">IF(AND(ISNUMBER($AG$337),$B$226=1),$AG$337,HLOOKUP(INDIRECT(ADDRESS(2,COLUMN())),OFFSET($BN$2,0,0,ROW()-1,60),ROW()-1,FALSE))</f>
        <v>62.808830360000002</v>
      </c>
      <c r="AH127">
        <f ca="1">IF(AND(ISNUMBER($AH$337),$B$226=1),$AH$337,HLOOKUP(INDIRECT(ADDRESS(2,COLUMN())),OFFSET($BN$2,0,0,ROW()-1,60),ROW()-1,FALSE))</f>
        <v>63.207983489999997</v>
      </c>
      <c r="AI127">
        <f ca="1">IF(AND(ISNUMBER($AI$337),$B$226=1),$AI$337,HLOOKUP(INDIRECT(ADDRESS(2,COLUMN())),OFFSET($BN$2,0,0,ROW()-1,60),ROW()-1,FALSE))</f>
        <v>61.50225227</v>
      </c>
      <c r="AJ127">
        <f ca="1">IF(AND(ISNUMBER($AJ$337),$B$226=1),$AJ$337,HLOOKUP(INDIRECT(ADDRESS(2,COLUMN())),OFFSET($BN$2,0,0,ROW()-1,60),ROW()-1,FALSE))</f>
        <v>56.399589749999997</v>
      </c>
      <c r="AK127">
        <f ca="1">IF(AND(ISNUMBER($AK$337),$B$226=1),$AK$337,HLOOKUP(INDIRECT(ADDRESS(2,COLUMN())),OFFSET($BN$2,0,0,ROW()-1,60),ROW()-1,FALSE))</f>
        <v>59.039776410000002</v>
      </c>
      <c r="AL127">
        <f ca="1">IF(AND(ISNUMBER($AL$337),$B$226=1),$AL$337,HLOOKUP(INDIRECT(ADDRESS(2,COLUMN())),OFFSET($BN$2,0,0,ROW()-1,60),ROW()-1,FALSE))</f>
        <v>60.648916819999997</v>
      </c>
      <c r="AM127">
        <f ca="1">IF(AND(ISNUMBER($AM$337),$B$226=1),$AM$337,HLOOKUP(INDIRECT(ADDRESS(2,COLUMN())),OFFSET($BN$2,0,0,ROW()-1,60),ROW()-1,FALSE))</f>
        <v>62.905143039999999</v>
      </c>
      <c r="AN127">
        <f ca="1">IF(AND(ISNUMBER($AN$337),$B$226=1),$AN$337,HLOOKUP(INDIRECT(ADDRESS(2,COLUMN())),OFFSET($BN$2,0,0,ROW()-1,60),ROW()-1,FALSE))</f>
        <v>47.588844969999997</v>
      </c>
      <c r="AO127">
        <f ca="1">IF(AND(ISNUMBER($AO$337),$B$226=1),$AO$337,HLOOKUP(INDIRECT(ADDRESS(2,COLUMN())),OFFSET($BN$2,0,0,ROW()-1,60),ROW()-1,FALSE))</f>
        <v>61.70584375</v>
      </c>
      <c r="AP127">
        <f ca="1">IF(AND(ISNUMBER($AP$337),$B$226=1),$AP$337,HLOOKUP(INDIRECT(ADDRESS(2,COLUMN())),OFFSET($BN$2,0,0,ROW()-1,60),ROW()-1,FALSE))</f>
        <v>57.085366899999997</v>
      </c>
      <c r="AQ127">
        <f ca="1">IF(AND(ISNUMBER($AQ$337),$B$226=1),$AQ$337,HLOOKUP(INDIRECT(ADDRESS(2,COLUMN())),OFFSET($BN$2,0,0,ROW()-1,60),ROW()-1,FALSE))</f>
        <v>63.624752170000001</v>
      </c>
      <c r="AR127" t="str">
        <f ca="1">IF(AND(ISNUMBER($AR$337),$B$226=1),$AR$337,HLOOKUP(INDIRECT(ADDRESS(2,COLUMN())),OFFSET($BN$2,0,0,ROW()-1,60),ROW()-1,FALSE))</f>
        <v/>
      </c>
      <c r="AS127">
        <f ca="1">IF(AND(ISNUMBER($AS$337),$B$226=1),$AS$337,HLOOKUP(INDIRECT(ADDRESS(2,COLUMN())),OFFSET($BN$2,0,0,ROW()-1,60),ROW()-1,FALSE))</f>
        <v>61.128344509999998</v>
      </c>
      <c r="AT127">
        <f ca="1">IF(AND(ISNUMBER($AT$337),$B$226=1),$AT$337,HLOOKUP(INDIRECT(ADDRESS(2,COLUMN())),OFFSET($BN$2,0,0,ROW()-1,60),ROW()-1,FALSE))</f>
        <v>62.625456319999998</v>
      </c>
      <c r="AU127">
        <f ca="1">IF(AND(ISNUMBER($AU$337),$B$226=1),$AU$337,HLOOKUP(INDIRECT(ADDRESS(2,COLUMN())),OFFSET($BN$2,0,0,ROW()-1,60),ROW()-1,FALSE))</f>
        <v>107.3495551</v>
      </c>
      <c r="AV127" t="str">
        <f ca="1">IF(AND(ISNUMBER($AV$337),$B$226=1),$AV$337,HLOOKUP(INDIRECT(ADDRESS(2,COLUMN())),OFFSET($BN$2,0,0,ROW()-1,60),ROW()-1,FALSE))</f>
        <v/>
      </c>
      <c r="AW127" t="str">
        <f ca="1">IF(AND(ISNUMBER($AW$337),$B$226=1),$AW$337,HLOOKUP(INDIRECT(ADDRESS(2,COLUMN())),OFFSET($BN$2,0,0,ROW()-1,60),ROW()-1,FALSE))</f>
        <v/>
      </c>
      <c r="AX127">
        <f ca="1">IF(AND(ISNUMBER($AX$337),$B$226=1),$AX$337,HLOOKUP(INDIRECT(ADDRESS(2,COLUMN())),OFFSET($BN$2,0,0,ROW()-1,60),ROW()-1,FALSE))</f>
        <v>62.13827405</v>
      </c>
      <c r="AY127">
        <f ca="1">IF(AND(ISNUMBER($AY$337),$B$226=1),$AY$337,HLOOKUP(INDIRECT(ADDRESS(2,COLUMN())),OFFSET($BN$2,0,0,ROW()-1,60),ROW()-1,FALSE))</f>
        <v>127.2153289</v>
      </c>
      <c r="AZ127" t="str">
        <f ca="1">IF(AND(ISNUMBER($AZ$337),$B$226=1),$AZ$337,HLOOKUP(INDIRECT(ADDRESS(2,COLUMN())),OFFSET($BN$2,0,0,ROW()-1,60),ROW()-1,FALSE))</f>
        <v/>
      </c>
      <c r="BA127" t="str">
        <f ca="1">IF(AND(ISNUMBER($BA$337),$B$226=1),$BA$337,HLOOKUP(INDIRECT(ADDRESS(2,COLUMN())),OFFSET($BN$2,0,0,ROW()-1,60),ROW()-1,FALSE))</f>
        <v/>
      </c>
      <c r="BB127">
        <f ca="1">IF(AND(ISNUMBER($BB$337),$B$226=1),$BB$337,HLOOKUP(INDIRECT(ADDRESS(2,COLUMN())),OFFSET($BN$2,0,0,ROW()-1,60),ROW()-1,FALSE))</f>
        <v>59.393102480000003</v>
      </c>
      <c r="BC127">
        <f ca="1">IF(AND(ISNUMBER($BC$337),$B$226=1),$BC$337,HLOOKUP(INDIRECT(ADDRESS(2,COLUMN())),OFFSET($BN$2,0,0,ROW()-1,60),ROW()-1,FALSE))</f>
        <v>112.6683427</v>
      </c>
      <c r="BD127">
        <f ca="1">IF(AND(ISNUMBER($BD$337),$B$226=1),$BD$337,HLOOKUP(INDIRECT(ADDRESS(2,COLUMN())),OFFSET($BN$2,0,0,ROW()-1,60),ROW()-1,FALSE))</f>
        <v>61.248021700000002</v>
      </c>
      <c r="BE127" t="str">
        <f ca="1">IF(AND(ISNUMBER($BE$337),$B$226=1),$BE$337,HLOOKUP(INDIRECT(ADDRESS(2,COLUMN())),OFFSET($BN$2,0,0,ROW()-1,60),ROW()-1,FALSE))</f>
        <v/>
      </c>
      <c r="BF127" t="str">
        <f ca="1">IF(AND(ISNUMBER($BF$337),$B$226=1),$BF$337,HLOOKUP(INDIRECT(ADDRESS(2,COLUMN())),OFFSET($BN$2,0,0,ROW()-1,60),ROW()-1,FALSE))</f>
        <v/>
      </c>
      <c r="BG127">
        <f ca="1">IF(AND(ISNUMBER($BG$337),$B$226=1),$BG$337,HLOOKUP(INDIRECT(ADDRESS(2,COLUMN())),OFFSET($BN$2,0,0,ROW()-1,60),ROW()-1,FALSE))</f>
        <v>61.032915879999997</v>
      </c>
      <c r="BH127">
        <f ca="1">IF(AND(ISNUMBER($BH$337),$B$226=1),$BH$337,HLOOKUP(INDIRECT(ADDRESS(2,COLUMN())),OFFSET($BN$2,0,0,ROW()-1,60),ROW()-1,FALSE))</f>
        <v>63.107511049999999</v>
      </c>
      <c r="BI127">
        <f ca="1">IF(AND(ISNUMBER($BI$337),$B$226=1),$BI$337,HLOOKUP(INDIRECT(ADDRESS(2,COLUMN())),OFFSET($BN$2,0,0,ROW()-1,60),ROW()-1,FALSE))</f>
        <v>62.104351790000003</v>
      </c>
      <c r="BJ127">
        <f ca="1">IF(AND(ISNUMBER($BJ$337),$B$226=1),$BJ$337,HLOOKUP(INDIRECT(ADDRESS(2,COLUMN())),OFFSET($BN$2,0,0,ROW()-1,60),ROW()-1,FALSE))</f>
        <v>63.800940529999998</v>
      </c>
      <c r="BK127">
        <f ca="1">IF(AND(ISNUMBER($BK$337),$B$226=1),$BK$337,HLOOKUP(INDIRECT(ADDRESS(2,COLUMN())),OFFSET($BN$2,0,0,ROW()-1,60),ROW()-1,FALSE))</f>
        <v>63.757163030000001</v>
      </c>
      <c r="BL127">
        <f ca="1">IF(AND(ISNUMBER($BL$337),$B$226=1),$BL$337,HLOOKUP(INDIRECT(ADDRESS(2,COLUMN())),OFFSET($BN$2,0,0,ROW()-1,60),ROW()-1,FALSE))</f>
        <v>64.602580209999999</v>
      </c>
      <c r="BM127">
        <f ca="1">IF(AND(ISNUMBER($BM$337),$B$226=1),$BM$337,HLOOKUP(INDIRECT(ADDRESS(2,COLUMN())),OFFSET($BN$2,0,0,ROW()-1,60),ROW()-1,FALSE))</f>
        <v>65.579114579999995</v>
      </c>
      <c r="BN127" t="str">
        <f>""</f>
        <v/>
      </c>
      <c r="BO127">
        <f>68.24676002</f>
        <v>68.246760019999996</v>
      </c>
      <c r="BP127">
        <f>66.58700406</f>
        <v>66.587004059999998</v>
      </c>
      <c r="BQ127">
        <f>67.59176788</f>
        <v>67.591767880000006</v>
      </c>
      <c r="BR127">
        <f>66.01739991</f>
        <v>66.017399909999995</v>
      </c>
      <c r="BS127">
        <f>66.05771978</f>
        <v>66.057719779999999</v>
      </c>
      <c r="BT127">
        <f>69.10602696</f>
        <v>69.106026959999994</v>
      </c>
      <c r="BU127">
        <f>63.97773563</f>
        <v>63.977735629999998</v>
      </c>
      <c r="BV127">
        <f>67.44196409</f>
        <v>67.441964089999999</v>
      </c>
      <c r="BW127">
        <f>67.15484672</f>
        <v>67.154846719999995</v>
      </c>
      <c r="BX127">
        <f>68.9770407</f>
        <v>68.977040700000003</v>
      </c>
      <c r="BY127">
        <f>64.18851845</f>
        <v>64.188518450000004</v>
      </c>
      <c r="BZ127">
        <f>62.10985142</f>
        <v>62.109851419999998</v>
      </c>
      <c r="CA127">
        <f>60.81756592</f>
        <v>60.81756592</v>
      </c>
      <c r="CB127">
        <f>63.76650313</f>
        <v>63.766503129999997</v>
      </c>
      <c r="CC127">
        <f>52.34688765</f>
        <v>52.346887649999999</v>
      </c>
      <c r="CD127">
        <f>54.56775708</f>
        <v>54.56775708</v>
      </c>
      <c r="CE127">
        <f>68.1047022</f>
        <v>68.104702200000006</v>
      </c>
      <c r="CF127">
        <f>59.40577338</f>
        <v>59.405773379999999</v>
      </c>
      <c r="CG127">
        <f>65.72423167</f>
        <v>65.724231669999995</v>
      </c>
      <c r="CH127">
        <f>65.29441573</f>
        <v>65.294415729999997</v>
      </c>
      <c r="CI127">
        <f>70.59545135</f>
        <v>70.595451350000005</v>
      </c>
      <c r="CJ127">
        <f>58.02724733</f>
        <v>58.027247330000002</v>
      </c>
      <c r="CK127">
        <f>64.61327238</f>
        <v>64.613272379999998</v>
      </c>
      <c r="CL127">
        <f>65.41612596</f>
        <v>65.416125960000002</v>
      </c>
      <c r="CM127">
        <f>71.89750259</f>
        <v>71.897502590000002</v>
      </c>
      <c r="CN127">
        <f>56.09989427</f>
        <v>56.09989427</v>
      </c>
      <c r="CO127">
        <f>62.80883036</f>
        <v>62.808830360000002</v>
      </c>
      <c r="CP127">
        <f>63.20798349</f>
        <v>63.207983489999997</v>
      </c>
      <c r="CQ127">
        <f>61.50225227</f>
        <v>61.50225227</v>
      </c>
      <c r="CR127">
        <f>56.39958975</f>
        <v>56.399589749999997</v>
      </c>
      <c r="CS127">
        <f>59.03977641</f>
        <v>59.039776410000002</v>
      </c>
      <c r="CT127">
        <f>60.64891682</f>
        <v>60.648916819999997</v>
      </c>
      <c r="CU127">
        <f>62.90514304</f>
        <v>62.905143039999999</v>
      </c>
      <c r="CV127">
        <f>47.58884497</f>
        <v>47.588844969999997</v>
      </c>
      <c r="CW127">
        <f>61.70584375</f>
        <v>61.70584375</v>
      </c>
      <c r="CX127">
        <f>57.0853669</f>
        <v>57.085366899999997</v>
      </c>
      <c r="CY127">
        <f>63.62475217</f>
        <v>63.624752170000001</v>
      </c>
      <c r="CZ127" t="str">
        <f>""</f>
        <v/>
      </c>
      <c r="DA127">
        <f>61.12834451</f>
        <v>61.128344509999998</v>
      </c>
      <c r="DB127">
        <f>62.62545632</f>
        <v>62.625456319999998</v>
      </c>
      <c r="DC127">
        <f>107.3495551</f>
        <v>107.3495551</v>
      </c>
      <c r="DD127" t="str">
        <f>""</f>
        <v/>
      </c>
      <c r="DE127" t="str">
        <f>""</f>
        <v/>
      </c>
      <c r="DF127">
        <f>62.13827405</f>
        <v>62.13827405</v>
      </c>
      <c r="DG127">
        <f>127.2153289</f>
        <v>127.2153289</v>
      </c>
      <c r="DH127" t="str">
        <f>""</f>
        <v/>
      </c>
      <c r="DI127" t="str">
        <f>""</f>
        <v/>
      </c>
      <c r="DJ127">
        <f>59.39310248</f>
        <v>59.393102480000003</v>
      </c>
      <c r="DK127">
        <f>112.6683427</f>
        <v>112.6683427</v>
      </c>
      <c r="DL127">
        <f>61.2480217</f>
        <v>61.248021700000002</v>
      </c>
      <c r="DM127" t="str">
        <f>""</f>
        <v/>
      </c>
      <c r="DN127" t="str">
        <f>""</f>
        <v/>
      </c>
      <c r="DO127">
        <f>61.03291588</f>
        <v>61.032915879999997</v>
      </c>
      <c r="DP127">
        <f>63.10751105</f>
        <v>63.107511049999999</v>
      </c>
      <c r="DQ127">
        <f>62.10435179</f>
        <v>62.104351790000003</v>
      </c>
      <c r="DR127">
        <f>63.80094053</f>
        <v>63.800940529999998</v>
      </c>
      <c r="DS127">
        <f>63.75716303</f>
        <v>63.757163030000001</v>
      </c>
      <c r="DT127">
        <f>64.60258021</f>
        <v>64.602580209999999</v>
      </c>
      <c r="DU127">
        <f>65.57911458</f>
        <v>65.579114579999995</v>
      </c>
    </row>
    <row r="128" spans="1:125">
      <c r="A128" t="str">
        <f>"    Mid-America Apartment Communit"</f>
        <v xml:space="preserve">    Mid-America Apartment Communit</v>
      </c>
      <c r="B128" t="str">
        <f>"MAA US Equity"</f>
        <v>MAA US Equity</v>
      </c>
      <c r="C128" t="str">
        <f t="shared" si="39"/>
        <v>RX225</v>
      </c>
      <c r="D128" t="str">
        <f t="shared" si="40"/>
        <v>EBITDA_TO_REVENUE</v>
      </c>
      <c r="E128" t="str">
        <f t="shared" si="41"/>
        <v>动态</v>
      </c>
      <c r="F128" t="str">
        <f ca="1">IF(AND(ISNUMBER($F$338),$B$226=1),$F$338,HLOOKUP(INDIRECT(ADDRESS(2,COLUMN())),OFFSET($BN$2,0,0,ROW()-1,60),ROW()-1,FALSE))</f>
        <v/>
      </c>
      <c r="G128">
        <f ca="1">IF(AND(ISNUMBER($G$338),$B$226=1),$G$338,HLOOKUP(INDIRECT(ADDRESS(2,COLUMN())),OFFSET($BN$2,0,0,ROW()-1,60),ROW()-1,FALSE))</f>
        <v>56.452717</v>
      </c>
      <c r="H128">
        <f ca="1">IF(AND(ISNUMBER($H$338),$B$226=1),$H$338,HLOOKUP(INDIRECT(ADDRESS(2,COLUMN())),OFFSET($BN$2,0,0,ROW()-1,60),ROW()-1,FALSE))</f>
        <v>55.32336497</v>
      </c>
      <c r="I128">
        <f ca="1">IF(AND(ISNUMBER($I$338),$B$226=1),$I$338,HLOOKUP(INDIRECT(ADDRESS(2,COLUMN())),OFFSET($BN$2,0,0,ROW()-1,60),ROW()-1,FALSE))</f>
        <v>55.582811509999999</v>
      </c>
      <c r="J128">
        <f ca="1">IF(AND(ISNUMBER($J$338),$B$226=1),$J$338,HLOOKUP(INDIRECT(ADDRESS(2,COLUMN())),OFFSET($BN$2,0,0,ROW()-1,60),ROW()-1,FALSE))</f>
        <v>54.82544575</v>
      </c>
      <c r="K128">
        <f ca="1">IF(AND(ISNUMBER($K$338),$B$226=1),$K$338,HLOOKUP(INDIRECT(ADDRESS(2,COLUMN())),OFFSET($BN$2,0,0,ROW()-1,60),ROW()-1,FALSE))</f>
        <v>45.517223420000001</v>
      </c>
      <c r="L128">
        <f ca="1">IF(AND(ISNUMBER($L$338),$B$226=1),$L$338,HLOOKUP(INDIRECT(ADDRESS(2,COLUMN())),OFFSET($BN$2,0,0,ROW()-1,60),ROW()-1,FALSE))</f>
        <v>54.442068919999997</v>
      </c>
      <c r="M128">
        <f ca="1">IF(AND(ISNUMBER($M$338),$B$226=1),$M$338,HLOOKUP(INDIRECT(ADDRESS(2,COLUMN())),OFFSET($BN$2,0,0,ROW()-1,60),ROW()-1,FALSE))</f>
        <v>56.480406709999997</v>
      </c>
      <c r="N128">
        <f ca="1">IF(AND(ISNUMBER($N$338),$B$226=1),$N$338,HLOOKUP(INDIRECT(ADDRESS(2,COLUMN())),OFFSET($BN$2,0,0,ROW()-1,60),ROW()-1,FALSE))</f>
        <v>56.449058790000002</v>
      </c>
      <c r="O128">
        <f ca="1">IF(AND(ISNUMBER($O$338),$B$226=1),$O$338,HLOOKUP(INDIRECT(ADDRESS(2,COLUMN())),OFFSET($BN$2,0,0,ROW()-1,60),ROW()-1,FALSE))</f>
        <v>56.553389760000002</v>
      </c>
      <c r="P128">
        <f ca="1">IF(AND(ISNUMBER($P$338),$B$226=1),$P$338,HLOOKUP(INDIRECT(ADDRESS(2,COLUMN())),OFFSET($BN$2,0,0,ROW()-1,60),ROW()-1,FALSE))</f>
        <v>55.50004199</v>
      </c>
      <c r="Q128">
        <f ca="1">IF(AND(ISNUMBER($Q$338),$B$226=1),$Q$338,HLOOKUP(INDIRECT(ADDRESS(2,COLUMN())),OFFSET($BN$2,0,0,ROW()-1,60),ROW()-1,FALSE))</f>
        <v>56.126709699999999</v>
      </c>
      <c r="R128">
        <f ca="1">IF(AND(ISNUMBER($R$338),$B$226=1),$R$338,HLOOKUP(INDIRECT(ADDRESS(2,COLUMN())),OFFSET($BN$2,0,0,ROW()-1,60),ROW()-1,FALSE))</f>
        <v>55.118506140000001</v>
      </c>
      <c r="S128">
        <f ca="1">IF(AND(ISNUMBER($S$338),$B$226=1),$S$338,HLOOKUP(INDIRECT(ADDRESS(2,COLUMN())),OFFSET($BN$2,0,0,ROW()-1,60),ROW()-1,FALSE))</f>
        <v>54.191431129999998</v>
      </c>
      <c r="T128">
        <f ca="1">IF(AND(ISNUMBER($T$338),$B$226=1),$T$338,HLOOKUP(INDIRECT(ADDRESS(2,COLUMN())),OFFSET($BN$2,0,0,ROW()-1,60),ROW()-1,FALSE))</f>
        <v>54.193145119999997</v>
      </c>
      <c r="U128">
        <f ca="1">IF(AND(ISNUMBER($U$338),$B$226=1),$U$338,HLOOKUP(INDIRECT(ADDRESS(2,COLUMN())),OFFSET($BN$2,0,0,ROW()-1,60),ROW()-1,FALSE))</f>
        <v>52.474266729999997</v>
      </c>
      <c r="V128">
        <f ca="1">IF(AND(ISNUMBER($V$338),$B$226=1),$V$338,HLOOKUP(INDIRECT(ADDRESS(2,COLUMN())),OFFSET($BN$2,0,0,ROW()-1,60),ROW()-1,FALSE))</f>
        <v>53.513329249999998</v>
      </c>
      <c r="W128">
        <f ca="1">IF(AND(ISNUMBER($W$338),$B$226=1),$W$338,HLOOKUP(INDIRECT(ADDRESS(2,COLUMN())),OFFSET($BN$2,0,0,ROW()-1,60),ROW()-1,FALSE))</f>
        <v>44.363061180000003</v>
      </c>
      <c r="X128">
        <f ca="1">IF(AND(ISNUMBER($X$338),$B$226=1),$X$338,HLOOKUP(INDIRECT(ADDRESS(2,COLUMN())),OFFSET($BN$2,0,0,ROW()-1,60),ROW()-1,FALSE))</f>
        <v>48.98379688</v>
      </c>
      <c r="Y128">
        <f ca="1">IF(AND(ISNUMBER($Y$338),$B$226=1),$Y$338,HLOOKUP(INDIRECT(ADDRESS(2,COLUMN())),OFFSET($BN$2,0,0,ROW()-1,60),ROW()-1,FALSE))</f>
        <v>50.014036310000002</v>
      </c>
      <c r="Z128">
        <f ca="1">IF(AND(ISNUMBER($Z$338),$B$226=1),$Z$338,HLOOKUP(INDIRECT(ADDRESS(2,COLUMN())),OFFSET($BN$2,0,0,ROW()-1,60),ROW()-1,FALSE))</f>
        <v>55.569105690000001</v>
      </c>
      <c r="AA128">
        <f ca="1">IF(AND(ISNUMBER($AA$338),$B$226=1),$AA$338,HLOOKUP(INDIRECT(ADDRESS(2,COLUMN())),OFFSET($BN$2,0,0,ROW()-1,60),ROW()-1,FALSE))</f>
        <v>56.693573319999999</v>
      </c>
      <c r="AB128">
        <f ca="1">IF(AND(ISNUMBER($AB$338),$B$226=1),$AB$338,HLOOKUP(INDIRECT(ADDRESS(2,COLUMN())),OFFSET($BN$2,0,0,ROW()-1,60),ROW()-1,FALSE))</f>
        <v>51.90518711</v>
      </c>
      <c r="AC128">
        <f ca="1">IF(AND(ISNUMBER($AC$338),$B$226=1),$AC$338,HLOOKUP(INDIRECT(ADDRESS(2,COLUMN())),OFFSET($BN$2,0,0,ROW()-1,60),ROW()-1,FALSE))</f>
        <v>52.881318899999997</v>
      </c>
      <c r="AD128">
        <f ca="1">IF(AND(ISNUMBER($AD$338),$B$226=1),$AD$338,HLOOKUP(INDIRECT(ADDRESS(2,COLUMN())),OFFSET($BN$2,0,0,ROW()-1,60),ROW()-1,FALSE))</f>
        <v>52.897167330000002</v>
      </c>
      <c r="AE128">
        <f ca="1">IF(AND(ISNUMBER($AE$338),$B$226=1),$AE$338,HLOOKUP(INDIRECT(ADDRESS(2,COLUMN())),OFFSET($BN$2,0,0,ROW()-1,60),ROW()-1,FALSE))</f>
        <v>51.384465679999998</v>
      </c>
      <c r="AF128">
        <f ca="1">IF(AND(ISNUMBER($AF$338),$B$226=1),$AF$338,HLOOKUP(INDIRECT(ADDRESS(2,COLUMN())),OFFSET($BN$2,0,0,ROW()-1,60),ROW()-1,FALSE))</f>
        <v>49.811006059999997</v>
      </c>
      <c r="AG128">
        <f ca="1">IF(AND(ISNUMBER($AG$338),$B$226=1),$AG$338,HLOOKUP(INDIRECT(ADDRESS(2,COLUMN())),OFFSET($BN$2,0,0,ROW()-1,60),ROW()-1,FALSE))</f>
        <v>47.488362979999998</v>
      </c>
      <c r="AH128" t="str">
        <f ca="1">IF(AND(ISNUMBER($AH$338),$B$226=1),$AH$338,HLOOKUP(INDIRECT(ADDRESS(2,COLUMN())),OFFSET($BN$2,0,0,ROW()-1,60),ROW()-1,FALSE))</f>
        <v/>
      </c>
      <c r="AI128" t="str">
        <f ca="1">IF(AND(ISNUMBER($AI$338),$B$226=1),$AI$338,HLOOKUP(INDIRECT(ADDRESS(2,COLUMN())),OFFSET($BN$2,0,0,ROW()-1,60),ROW()-1,FALSE))</f>
        <v/>
      </c>
      <c r="AJ128" t="str">
        <f ca="1">IF(AND(ISNUMBER($AJ$338),$B$226=1),$AJ$338,HLOOKUP(INDIRECT(ADDRESS(2,COLUMN())),OFFSET($BN$2,0,0,ROW()-1,60),ROW()-1,FALSE))</f>
        <v/>
      </c>
      <c r="AK128" t="str">
        <f ca="1">IF(AND(ISNUMBER($AK$338),$B$226=1),$AK$338,HLOOKUP(INDIRECT(ADDRESS(2,COLUMN())),OFFSET($BN$2,0,0,ROW()-1,60),ROW()-1,FALSE))</f>
        <v/>
      </c>
      <c r="AL128" t="str">
        <f ca="1">IF(AND(ISNUMBER($AL$338),$B$226=1),$AL$338,HLOOKUP(INDIRECT(ADDRESS(2,COLUMN())),OFFSET($BN$2,0,0,ROW()-1,60),ROW()-1,FALSE))</f>
        <v/>
      </c>
      <c r="AM128" t="str">
        <f ca="1">IF(AND(ISNUMBER($AM$338),$B$226=1),$AM$338,HLOOKUP(INDIRECT(ADDRESS(2,COLUMN())),OFFSET($BN$2,0,0,ROW()-1,60),ROW()-1,FALSE))</f>
        <v/>
      </c>
      <c r="AN128" t="str">
        <f ca="1">IF(AND(ISNUMBER($AN$338),$B$226=1),$AN$338,HLOOKUP(INDIRECT(ADDRESS(2,COLUMN())),OFFSET($BN$2,0,0,ROW()-1,60),ROW()-1,FALSE))</f>
        <v/>
      </c>
      <c r="AO128" t="str">
        <f ca="1">IF(AND(ISNUMBER($AO$338),$B$226=1),$AO$338,HLOOKUP(INDIRECT(ADDRESS(2,COLUMN())),OFFSET($BN$2,0,0,ROW()-1,60),ROW()-1,FALSE))</f>
        <v/>
      </c>
      <c r="AP128" t="str">
        <f ca="1">IF(AND(ISNUMBER($AP$338),$B$226=1),$AP$338,HLOOKUP(INDIRECT(ADDRESS(2,COLUMN())),OFFSET($BN$2,0,0,ROW()-1,60),ROW()-1,FALSE))</f>
        <v/>
      </c>
      <c r="AQ128">
        <f ca="1">IF(AND(ISNUMBER($AQ$338),$B$226=1),$AQ$338,HLOOKUP(INDIRECT(ADDRESS(2,COLUMN())),OFFSET($BN$2,0,0,ROW()-1,60),ROW()-1,FALSE))</f>
        <v>52.09894414</v>
      </c>
      <c r="AR128">
        <f ca="1">IF(AND(ISNUMBER($AR$338),$B$226=1),$AR$338,HLOOKUP(INDIRECT(ADDRESS(2,COLUMN())),OFFSET($BN$2,0,0,ROW()-1,60),ROW()-1,FALSE))</f>
        <v>49.064952230000003</v>
      </c>
      <c r="AS128">
        <f ca="1">IF(AND(ISNUMBER($AS$338),$B$226=1),$AS$338,HLOOKUP(INDIRECT(ADDRESS(2,COLUMN())),OFFSET($BN$2,0,0,ROW()-1,60),ROW()-1,FALSE))</f>
        <v>50.81368389</v>
      </c>
      <c r="AT128">
        <f ca="1">IF(AND(ISNUMBER($AT$338),$B$226=1),$AT$338,HLOOKUP(INDIRECT(ADDRESS(2,COLUMN())),OFFSET($BN$2,0,0,ROW()-1,60),ROW()-1,FALSE))</f>
        <v>52.506363710000002</v>
      </c>
      <c r="AU128">
        <f ca="1">IF(AND(ISNUMBER($AU$338),$B$226=1),$AU$338,HLOOKUP(INDIRECT(ADDRESS(2,COLUMN())),OFFSET($BN$2,0,0,ROW()-1,60),ROW()-1,FALSE))</f>
        <v>53.982863649999999</v>
      </c>
      <c r="AV128">
        <f ca="1">IF(AND(ISNUMBER($AV$338),$B$226=1),$AV$338,HLOOKUP(INDIRECT(ADDRESS(2,COLUMN())),OFFSET($BN$2,0,0,ROW()-1,60),ROW()-1,FALSE))</f>
        <v>50.926795060000003</v>
      </c>
      <c r="AW128">
        <f ca="1">IF(AND(ISNUMBER($AW$338),$B$226=1),$AW$338,HLOOKUP(INDIRECT(ADDRESS(2,COLUMN())),OFFSET($BN$2,0,0,ROW()-1,60),ROW()-1,FALSE))</f>
        <v>50.643588889999997</v>
      </c>
      <c r="AX128">
        <f ca="1">IF(AND(ISNUMBER($AX$338),$B$226=1),$AX$338,HLOOKUP(INDIRECT(ADDRESS(2,COLUMN())),OFFSET($BN$2,0,0,ROW()-1,60),ROW()-1,FALSE))</f>
        <v>51.203068559999998</v>
      </c>
      <c r="AY128">
        <f ca="1">IF(AND(ISNUMBER($AY$338),$B$226=1),$AY$338,HLOOKUP(INDIRECT(ADDRESS(2,COLUMN())),OFFSET($BN$2,0,0,ROW()-1,60),ROW()-1,FALSE))</f>
        <v>51.261956619999999</v>
      </c>
      <c r="AZ128">
        <f ca="1">IF(AND(ISNUMBER($AZ$338),$B$226=1),$AZ$338,HLOOKUP(INDIRECT(ADDRESS(2,COLUMN())),OFFSET($BN$2,0,0,ROW()-1,60),ROW()-1,FALSE))</f>
        <v>50.61752431</v>
      </c>
      <c r="BA128">
        <f ca="1">IF(AND(ISNUMBER($BA$338),$B$226=1),$BA$338,HLOOKUP(INDIRECT(ADDRESS(2,COLUMN())),OFFSET($BN$2,0,0,ROW()-1,60),ROW()-1,FALSE))</f>
        <v>52.354157530000002</v>
      </c>
      <c r="BB128">
        <f ca="1">IF(AND(ISNUMBER($BB$338),$B$226=1),$BB$338,HLOOKUP(INDIRECT(ADDRESS(2,COLUMN())),OFFSET($BN$2,0,0,ROW()-1,60),ROW()-1,FALSE))</f>
        <v>53.074646919999999</v>
      </c>
      <c r="BC128">
        <f ca="1">IF(AND(ISNUMBER($BC$338),$B$226=1),$BC$338,HLOOKUP(INDIRECT(ADDRESS(2,COLUMN())),OFFSET($BN$2,0,0,ROW()-1,60),ROW()-1,FALSE))</f>
        <v>52.226442489999997</v>
      </c>
      <c r="BD128">
        <f ca="1">IF(AND(ISNUMBER($BD$338),$B$226=1),$BD$338,HLOOKUP(INDIRECT(ADDRESS(2,COLUMN())),OFFSET($BN$2,0,0,ROW()-1,60),ROW()-1,FALSE))</f>
        <v>50.640666289999999</v>
      </c>
      <c r="BE128">
        <f ca="1">IF(AND(ISNUMBER($BE$338),$B$226=1),$BE$338,HLOOKUP(INDIRECT(ADDRESS(2,COLUMN())),OFFSET($BN$2,0,0,ROW()-1,60),ROW()-1,FALSE))</f>
        <v>51.800267519999998</v>
      </c>
      <c r="BF128">
        <f ca="1">IF(AND(ISNUMBER($BF$338),$B$226=1),$BF$338,HLOOKUP(INDIRECT(ADDRESS(2,COLUMN())),OFFSET($BN$2,0,0,ROW()-1,60),ROW()-1,FALSE))</f>
        <v>51.055193670000001</v>
      </c>
      <c r="BG128">
        <f ca="1">IF(AND(ISNUMBER($BG$338),$B$226=1),$BG$338,HLOOKUP(INDIRECT(ADDRESS(2,COLUMN())),OFFSET($BN$2,0,0,ROW()-1,60),ROW()-1,FALSE))</f>
        <v>51.66523917</v>
      </c>
      <c r="BH128">
        <f ca="1">IF(AND(ISNUMBER($BH$338),$B$226=1),$BH$338,HLOOKUP(INDIRECT(ADDRESS(2,COLUMN())),OFFSET($BN$2,0,0,ROW()-1,60),ROW()-1,FALSE))</f>
        <v>50.681125719999997</v>
      </c>
      <c r="BI128">
        <f ca="1">IF(AND(ISNUMBER($BI$338),$B$226=1),$BI$338,HLOOKUP(INDIRECT(ADDRESS(2,COLUMN())),OFFSET($BN$2,0,0,ROW()-1,60),ROW()-1,FALSE))</f>
        <v>51.502973410000003</v>
      </c>
      <c r="BJ128">
        <f ca="1">IF(AND(ISNUMBER($BJ$338),$B$226=1),$BJ$338,HLOOKUP(INDIRECT(ADDRESS(2,COLUMN())),OFFSET($BN$2,0,0,ROW()-1,60),ROW()-1,FALSE))</f>
        <v>52.371885579999997</v>
      </c>
      <c r="BK128">
        <f ca="1">IF(AND(ISNUMBER($BK$338),$B$226=1),$BK$338,HLOOKUP(INDIRECT(ADDRESS(2,COLUMN())),OFFSET($BN$2,0,0,ROW()-1,60),ROW()-1,FALSE))</f>
        <v>51.630239750000001</v>
      </c>
      <c r="BL128">
        <f ca="1">IF(AND(ISNUMBER($BL$338),$B$226=1),$BL$338,HLOOKUP(INDIRECT(ADDRESS(2,COLUMN())),OFFSET($BN$2,0,0,ROW()-1,60),ROW()-1,FALSE))</f>
        <v>51.120368190000001</v>
      </c>
      <c r="BM128">
        <f ca="1">IF(AND(ISNUMBER($BM$338),$B$226=1),$BM$338,HLOOKUP(INDIRECT(ADDRESS(2,COLUMN())),OFFSET($BN$2,0,0,ROW()-1,60),ROW()-1,FALSE))</f>
        <v>53.217757200000001</v>
      </c>
      <c r="BN128" t="str">
        <f>""</f>
        <v/>
      </c>
      <c r="BO128">
        <f>56.452717</f>
        <v>56.452717</v>
      </c>
      <c r="BP128">
        <f>55.32336497</f>
        <v>55.32336497</v>
      </c>
      <c r="BQ128">
        <f>55.58281151</f>
        <v>55.582811509999999</v>
      </c>
      <c r="BR128">
        <f>54.82544575</f>
        <v>54.82544575</v>
      </c>
      <c r="BS128">
        <f>45.51722342</f>
        <v>45.517223420000001</v>
      </c>
      <c r="BT128">
        <f>54.44206892</f>
        <v>54.442068919999997</v>
      </c>
      <c r="BU128">
        <f>56.48040671</f>
        <v>56.480406709999997</v>
      </c>
      <c r="BV128">
        <f>56.44905879</f>
        <v>56.449058790000002</v>
      </c>
      <c r="BW128">
        <f>56.55338976</f>
        <v>56.553389760000002</v>
      </c>
      <c r="BX128">
        <f>55.50004199</f>
        <v>55.50004199</v>
      </c>
      <c r="BY128">
        <f>56.1267097</f>
        <v>56.126709699999999</v>
      </c>
      <c r="BZ128">
        <f>55.11850614</f>
        <v>55.118506140000001</v>
      </c>
      <c r="CA128">
        <f>54.19143113</f>
        <v>54.191431129999998</v>
      </c>
      <c r="CB128">
        <f>54.19314512</f>
        <v>54.193145119999997</v>
      </c>
      <c r="CC128">
        <f>52.47426673</f>
        <v>52.474266729999997</v>
      </c>
      <c r="CD128">
        <f>53.51332925</f>
        <v>53.513329249999998</v>
      </c>
      <c r="CE128">
        <f>44.36306118</f>
        <v>44.363061180000003</v>
      </c>
      <c r="CF128">
        <f>48.98379688</f>
        <v>48.98379688</v>
      </c>
      <c r="CG128">
        <f>50.01403631</f>
        <v>50.014036310000002</v>
      </c>
      <c r="CH128">
        <f>55.56910569</f>
        <v>55.569105690000001</v>
      </c>
      <c r="CI128">
        <f>56.69357332</f>
        <v>56.693573319999999</v>
      </c>
      <c r="CJ128">
        <f>51.90518711</f>
        <v>51.90518711</v>
      </c>
      <c r="CK128">
        <f>52.8813189</f>
        <v>52.881318899999997</v>
      </c>
      <c r="CL128">
        <f>52.89716733</f>
        <v>52.897167330000002</v>
      </c>
      <c r="CM128">
        <f>51.38446568</f>
        <v>51.384465679999998</v>
      </c>
      <c r="CN128">
        <f>49.81100606</f>
        <v>49.811006059999997</v>
      </c>
      <c r="CO128">
        <f>47.48836298</f>
        <v>47.488362979999998</v>
      </c>
      <c r="CP128" t="str">
        <f>""</f>
        <v/>
      </c>
      <c r="CQ128" t="str">
        <f>""</f>
        <v/>
      </c>
      <c r="CR128" t="str">
        <f>""</f>
        <v/>
      </c>
      <c r="CS128" t="str">
        <f>""</f>
        <v/>
      </c>
      <c r="CT128" t="str">
        <f>""</f>
        <v/>
      </c>
      <c r="CU128" t="str">
        <f>""</f>
        <v/>
      </c>
      <c r="CV128" t="str">
        <f>""</f>
        <v/>
      </c>
      <c r="CW128" t="str">
        <f>""</f>
        <v/>
      </c>
      <c r="CX128" t="str">
        <f>""</f>
        <v/>
      </c>
      <c r="CY128">
        <f>52.09894414</f>
        <v>52.09894414</v>
      </c>
      <c r="CZ128">
        <f>49.06495223</f>
        <v>49.064952230000003</v>
      </c>
      <c r="DA128">
        <f>50.81368389</f>
        <v>50.81368389</v>
      </c>
      <c r="DB128">
        <f>52.50636371</f>
        <v>52.506363710000002</v>
      </c>
      <c r="DC128">
        <f>53.98286365</f>
        <v>53.982863649999999</v>
      </c>
      <c r="DD128">
        <f>50.92679506</f>
        <v>50.926795060000003</v>
      </c>
      <c r="DE128">
        <f>50.64358889</f>
        <v>50.643588889999997</v>
      </c>
      <c r="DF128">
        <f>51.20306856</f>
        <v>51.203068559999998</v>
      </c>
      <c r="DG128">
        <f>51.26195662</f>
        <v>51.261956619999999</v>
      </c>
      <c r="DH128">
        <f>50.61752431</f>
        <v>50.61752431</v>
      </c>
      <c r="DI128">
        <f>52.35415753</f>
        <v>52.354157530000002</v>
      </c>
      <c r="DJ128">
        <f>53.07464692</f>
        <v>53.074646919999999</v>
      </c>
      <c r="DK128">
        <f>52.22644249</f>
        <v>52.226442489999997</v>
      </c>
      <c r="DL128">
        <f>50.64066629</f>
        <v>50.640666289999999</v>
      </c>
      <c r="DM128">
        <f>51.80026752</f>
        <v>51.800267519999998</v>
      </c>
      <c r="DN128">
        <f>51.05519367</f>
        <v>51.055193670000001</v>
      </c>
      <c r="DO128">
        <f>51.66523917</f>
        <v>51.66523917</v>
      </c>
      <c r="DP128">
        <f>50.68112572</f>
        <v>50.681125719999997</v>
      </c>
      <c r="DQ128">
        <f>51.50297341</f>
        <v>51.502973410000003</v>
      </c>
      <c r="DR128">
        <f>52.37188558</f>
        <v>52.371885579999997</v>
      </c>
      <c r="DS128">
        <f>51.63023975</f>
        <v>51.630239750000001</v>
      </c>
      <c r="DT128">
        <f>51.12036819</f>
        <v>51.120368190000001</v>
      </c>
      <c r="DU128">
        <f>53.2177572</f>
        <v>53.217757200000001</v>
      </c>
    </row>
    <row r="129" spans="1:125">
      <c r="A129" t="str">
        <f>"    UDR Inc"</f>
        <v xml:space="preserve">    UDR Inc</v>
      </c>
      <c r="B129" t="str">
        <f>"UDR US Equity"</f>
        <v>UDR US Equity</v>
      </c>
      <c r="C129" t="str">
        <f t="shared" si="39"/>
        <v>RX225</v>
      </c>
      <c r="D129" t="str">
        <f t="shared" si="40"/>
        <v>EBITDA_TO_REVENUE</v>
      </c>
      <c r="E129" t="str">
        <f t="shared" si="41"/>
        <v>动态</v>
      </c>
      <c r="F129" t="str">
        <f ca="1">IF(AND(ISNUMBER($F$339),$B$226=1),$F$339,HLOOKUP(INDIRECT(ADDRESS(2,COLUMN())),OFFSET($BN$2,0,0,ROW()-1,60),ROW()-1,FALSE))</f>
        <v/>
      </c>
      <c r="G129">
        <f ca="1">IF(AND(ISNUMBER($G$339),$B$226=1),$G$339,HLOOKUP(INDIRECT(ADDRESS(2,COLUMN())),OFFSET($BN$2,0,0,ROW()-1,60),ROW()-1,FALSE))</f>
        <v>62.613097119999999</v>
      </c>
      <c r="H129">
        <f ca="1">IF(AND(ISNUMBER($H$339),$B$226=1),$H$339,HLOOKUP(INDIRECT(ADDRESS(2,COLUMN())),OFFSET($BN$2,0,0,ROW()-1,60),ROW()-1,FALSE))</f>
        <v>61.431114620000002</v>
      </c>
      <c r="I129">
        <f ca="1">IF(AND(ISNUMBER($I$339),$B$226=1),$I$339,HLOOKUP(INDIRECT(ADDRESS(2,COLUMN())),OFFSET($BN$2,0,0,ROW()-1,60),ROW()-1,FALSE))</f>
        <v>62.998076449999999</v>
      </c>
      <c r="J129">
        <f ca="1">IF(AND(ISNUMBER($J$339),$B$226=1),$J$339,HLOOKUP(INDIRECT(ADDRESS(2,COLUMN())),OFFSET($BN$2,0,0,ROW()-1,60),ROW()-1,FALSE))</f>
        <v>62.397217859999998</v>
      </c>
      <c r="K129">
        <f ca="1">IF(AND(ISNUMBER($K$339),$B$226=1),$K$339,HLOOKUP(INDIRECT(ADDRESS(2,COLUMN())),OFFSET($BN$2,0,0,ROW()-1,60),ROW()-1,FALSE))</f>
        <v>62.994222409999999</v>
      </c>
      <c r="L129">
        <f ca="1">IF(AND(ISNUMBER($L$339),$B$226=1),$L$339,HLOOKUP(INDIRECT(ADDRESS(2,COLUMN())),OFFSET($BN$2,0,0,ROW()-1,60),ROW()-1,FALSE))</f>
        <v>62.93021229</v>
      </c>
      <c r="M129">
        <f ca="1">IF(AND(ISNUMBER($M$339),$B$226=1),$M$339,HLOOKUP(INDIRECT(ADDRESS(2,COLUMN())),OFFSET($BN$2,0,0,ROW()-1,60),ROW()-1,FALSE))</f>
        <v>62.433727269999999</v>
      </c>
      <c r="N129">
        <f ca="1">IF(AND(ISNUMBER($N$339),$B$226=1),$N$339,HLOOKUP(INDIRECT(ADDRESS(2,COLUMN())),OFFSET($BN$2,0,0,ROW()-1,60),ROW()-1,FALSE))</f>
        <v>61.757979689999999</v>
      </c>
      <c r="O129">
        <f ca="1">IF(AND(ISNUMBER($O$339),$B$226=1),$O$339,HLOOKUP(INDIRECT(ADDRESS(2,COLUMN())),OFFSET($BN$2,0,0,ROW()-1,60),ROW()-1,FALSE))</f>
        <v>59.604385430000001</v>
      </c>
      <c r="P129">
        <f ca="1">IF(AND(ISNUMBER($P$339),$B$226=1),$P$339,HLOOKUP(INDIRECT(ADDRESS(2,COLUMN())),OFFSET($BN$2,0,0,ROW()-1,60),ROW()-1,FALSE))</f>
        <v>59.717818790000003</v>
      </c>
      <c r="Q129">
        <f ca="1">IF(AND(ISNUMBER($Q$339),$B$226=1),$Q$339,HLOOKUP(INDIRECT(ADDRESS(2,COLUMN())),OFFSET($BN$2,0,0,ROW()-1,60),ROW()-1,FALSE))</f>
        <v>60.847207939999997</v>
      </c>
      <c r="R129">
        <f ca="1">IF(AND(ISNUMBER($R$339),$B$226=1),$R$339,HLOOKUP(INDIRECT(ADDRESS(2,COLUMN())),OFFSET($BN$2,0,0,ROW()-1,60),ROW()-1,FALSE))</f>
        <v>61.738861360000001</v>
      </c>
      <c r="S129">
        <f ca="1">IF(AND(ISNUMBER($S$339),$B$226=1),$S$339,HLOOKUP(INDIRECT(ADDRESS(2,COLUMN())),OFFSET($BN$2,0,0,ROW()-1,60),ROW()-1,FALSE))</f>
        <v>61.003393000000003</v>
      </c>
      <c r="T129">
        <f ca="1">IF(AND(ISNUMBER($T$339),$B$226=1),$T$339,HLOOKUP(INDIRECT(ADDRESS(2,COLUMN())),OFFSET($BN$2,0,0,ROW()-1,60),ROW()-1,FALSE))</f>
        <v>59.881887480000003</v>
      </c>
      <c r="U129">
        <f ca="1">IF(AND(ISNUMBER($U$339),$B$226=1),$U$339,HLOOKUP(INDIRECT(ADDRESS(2,COLUMN())),OFFSET($BN$2,0,0,ROW()-1,60),ROW()-1,FALSE))</f>
        <v>60.347265180000001</v>
      </c>
      <c r="V129">
        <f ca="1">IF(AND(ISNUMBER($V$339),$B$226=1),$V$339,HLOOKUP(INDIRECT(ADDRESS(2,COLUMN())),OFFSET($BN$2,0,0,ROW()-1,60),ROW()-1,FALSE))</f>
        <v>58.6364302</v>
      </c>
      <c r="W129">
        <f ca="1">IF(AND(ISNUMBER($W$339),$B$226=1),$W$339,HLOOKUP(INDIRECT(ADDRESS(2,COLUMN())),OFFSET($BN$2,0,0,ROW()-1,60),ROW()-1,FALSE))</f>
        <v>59.425797250000002</v>
      </c>
      <c r="X129">
        <f ca="1">IF(AND(ISNUMBER($X$339),$B$226=1),$X$339,HLOOKUP(INDIRECT(ADDRESS(2,COLUMN())),OFFSET($BN$2,0,0,ROW()-1,60),ROW()-1,FALSE))</f>
        <v>62.283648309999997</v>
      </c>
      <c r="Y129">
        <f ca="1">IF(AND(ISNUMBER($Y$339),$B$226=1),$Y$339,HLOOKUP(INDIRECT(ADDRESS(2,COLUMN())),OFFSET($BN$2,0,0,ROW()-1,60),ROW()-1,FALSE))</f>
        <v>61.715443639999997</v>
      </c>
      <c r="Z129">
        <f ca="1">IF(AND(ISNUMBER($Z$339),$B$226=1),$Z$339,HLOOKUP(INDIRECT(ADDRESS(2,COLUMN())),OFFSET($BN$2,0,0,ROW()-1,60),ROW()-1,FALSE))</f>
        <v>61.779277819999997</v>
      </c>
      <c r="AA129">
        <f ca="1">IF(AND(ISNUMBER($AA$339),$B$226=1),$AA$339,HLOOKUP(INDIRECT(ADDRESS(2,COLUMN())),OFFSET($BN$2,0,0,ROW()-1,60),ROW()-1,FALSE))</f>
        <v>55.331796279999999</v>
      </c>
      <c r="AB129">
        <f ca="1">IF(AND(ISNUMBER($AB$339),$B$226=1),$AB$339,HLOOKUP(INDIRECT(ADDRESS(2,COLUMN())),OFFSET($BN$2,0,0,ROW()-1,60),ROW()-1,FALSE))</f>
        <v>58.960159060000002</v>
      </c>
      <c r="AC129">
        <f ca="1">IF(AND(ISNUMBER($AC$339),$B$226=1),$AC$339,HLOOKUP(INDIRECT(ADDRESS(2,COLUMN())),OFFSET($BN$2,0,0,ROW()-1,60),ROW()-1,FALSE))</f>
        <v>55.876509499999997</v>
      </c>
      <c r="AD129">
        <f ca="1">IF(AND(ISNUMBER($AD$339),$B$226=1),$AD$339,HLOOKUP(INDIRECT(ADDRESS(2,COLUMN())),OFFSET($BN$2,0,0,ROW()-1,60),ROW()-1,FALSE))</f>
        <v>63.21484212</v>
      </c>
      <c r="AE129">
        <f ca="1">IF(AND(ISNUMBER($AE$339),$B$226=1),$AE$339,HLOOKUP(INDIRECT(ADDRESS(2,COLUMN())),OFFSET($BN$2,0,0,ROW()-1,60),ROW()-1,FALSE))</f>
        <v>61.700656760000001</v>
      </c>
      <c r="AF129">
        <f ca="1">IF(AND(ISNUMBER($AF$339),$B$226=1),$AF$339,HLOOKUP(INDIRECT(ADDRESS(2,COLUMN())),OFFSET($BN$2,0,0,ROW()-1,60),ROW()-1,FALSE))</f>
        <v>66.727975970000003</v>
      </c>
      <c r="AG129">
        <f ca="1">IF(AND(ISNUMBER($AG$339),$B$226=1),$AG$339,HLOOKUP(INDIRECT(ADDRESS(2,COLUMN())),OFFSET($BN$2,0,0,ROW()-1,60),ROW()-1,FALSE))</f>
        <v>64.808130820000002</v>
      </c>
      <c r="AH129">
        <f ca="1">IF(AND(ISNUMBER($AH$339),$B$226=1),$AH$339,HLOOKUP(INDIRECT(ADDRESS(2,COLUMN())),OFFSET($BN$2,0,0,ROW()-1,60),ROW()-1,FALSE))</f>
        <v>65.192345520000003</v>
      </c>
      <c r="AI129">
        <f ca="1">IF(AND(ISNUMBER($AI$339),$B$226=1),$AI$339,HLOOKUP(INDIRECT(ADDRESS(2,COLUMN())),OFFSET($BN$2,0,0,ROW()-1,60),ROW()-1,FALSE))</f>
        <v>54.882017900000001</v>
      </c>
      <c r="AJ129">
        <f ca="1">IF(AND(ISNUMBER($AJ$339),$B$226=1),$AJ$339,HLOOKUP(INDIRECT(ADDRESS(2,COLUMN())),OFFSET($BN$2,0,0,ROW()-1,60),ROW()-1,FALSE))</f>
        <v>59.301783620000002</v>
      </c>
      <c r="AK129">
        <f ca="1">IF(AND(ISNUMBER($AK$339),$B$226=1),$AK$339,HLOOKUP(INDIRECT(ADDRESS(2,COLUMN())),OFFSET($BN$2,0,0,ROW()-1,60),ROW()-1,FALSE))</f>
        <v>57.864333600000002</v>
      </c>
      <c r="AL129">
        <f ca="1">IF(AND(ISNUMBER($AL$339),$B$226=1),$AL$339,HLOOKUP(INDIRECT(ADDRESS(2,COLUMN())),OFFSET($BN$2,0,0,ROW()-1,60),ROW()-1,FALSE))</f>
        <v>55.928088170000002</v>
      </c>
      <c r="AM129">
        <f ca="1">IF(AND(ISNUMBER($AM$339),$B$226=1),$AM$339,HLOOKUP(INDIRECT(ADDRESS(2,COLUMN())),OFFSET($BN$2,0,0,ROW()-1,60),ROW()-1,FALSE))</f>
        <v>55.42179144</v>
      </c>
      <c r="AN129">
        <f ca="1">IF(AND(ISNUMBER($AN$339),$B$226=1),$AN$339,HLOOKUP(INDIRECT(ADDRESS(2,COLUMN())),OFFSET($BN$2,0,0,ROW()-1,60),ROW()-1,FALSE))</f>
        <v>54.37532616</v>
      </c>
      <c r="AO129">
        <f ca="1">IF(AND(ISNUMBER($AO$339),$B$226=1),$AO$339,HLOOKUP(INDIRECT(ADDRESS(2,COLUMN())),OFFSET($BN$2,0,0,ROW()-1,60),ROW()-1,FALSE))</f>
        <v>60.200125800000002</v>
      </c>
      <c r="AP129">
        <f ca="1">IF(AND(ISNUMBER($AP$339),$B$226=1),$AP$339,HLOOKUP(INDIRECT(ADDRESS(2,COLUMN())),OFFSET($BN$2,0,0,ROW()-1,60),ROW()-1,FALSE))</f>
        <v>56.083629420000001</v>
      </c>
      <c r="AQ129">
        <f ca="1">IF(AND(ISNUMBER($AQ$339),$B$226=1),$AQ$339,HLOOKUP(INDIRECT(ADDRESS(2,COLUMN())),OFFSET($BN$2,0,0,ROW()-1,60),ROW()-1,FALSE))</f>
        <v>52.06588696</v>
      </c>
      <c r="AR129">
        <f ca="1">IF(AND(ISNUMBER($AR$339),$B$226=1),$AR$339,HLOOKUP(INDIRECT(ADDRESS(2,COLUMN())),OFFSET($BN$2,0,0,ROW()-1,60),ROW()-1,FALSE))</f>
        <v>57.063342290000001</v>
      </c>
      <c r="AS129">
        <f ca="1">IF(AND(ISNUMBER($AS$339),$B$226=1),$AS$339,HLOOKUP(INDIRECT(ADDRESS(2,COLUMN())),OFFSET($BN$2,0,0,ROW()-1,60),ROW()-1,FALSE))</f>
        <v>58.37771489</v>
      </c>
      <c r="AT129">
        <f ca="1">IF(AND(ISNUMBER($AT$339),$B$226=1),$AT$339,HLOOKUP(INDIRECT(ADDRESS(2,COLUMN())),OFFSET($BN$2,0,0,ROW()-1,60),ROW()-1,FALSE))</f>
        <v>58.395825549999998</v>
      </c>
      <c r="AU129">
        <f ca="1">IF(AND(ISNUMBER($AU$339),$B$226=1),$AU$339,HLOOKUP(INDIRECT(ADDRESS(2,COLUMN())),OFFSET($BN$2,0,0,ROW()-1,60),ROW()-1,FALSE))</f>
        <v>68.158003960000002</v>
      </c>
      <c r="AV129">
        <f ca="1">IF(AND(ISNUMBER($AV$339),$B$226=1),$AV$339,HLOOKUP(INDIRECT(ADDRESS(2,COLUMN())),OFFSET($BN$2,0,0,ROW()-1,60),ROW()-1,FALSE))</f>
        <v>73.907515219999993</v>
      </c>
      <c r="AW129">
        <f ca="1">IF(AND(ISNUMBER($AW$339),$B$226=1),$AW$339,HLOOKUP(INDIRECT(ADDRESS(2,COLUMN())),OFFSET($BN$2,0,0,ROW()-1,60),ROW()-1,FALSE))</f>
        <v>70.607144259999998</v>
      </c>
      <c r="AX129">
        <f ca="1">IF(AND(ISNUMBER($AX$339),$B$226=1),$AX$339,HLOOKUP(INDIRECT(ADDRESS(2,COLUMN())),OFFSET($BN$2,0,0,ROW()-1,60),ROW()-1,FALSE))</f>
        <v>71.583951650000003</v>
      </c>
      <c r="AY129">
        <f ca="1">IF(AND(ISNUMBER($AY$339),$B$226=1),$AY$339,HLOOKUP(INDIRECT(ADDRESS(2,COLUMN())),OFFSET($BN$2,0,0,ROW()-1,60),ROW()-1,FALSE))</f>
        <v>67.003904570000003</v>
      </c>
      <c r="AZ129">
        <f ca="1">IF(AND(ISNUMBER($AZ$339),$B$226=1),$AZ$339,HLOOKUP(INDIRECT(ADDRESS(2,COLUMN())),OFFSET($BN$2,0,0,ROW()-1,60),ROW()-1,FALSE))</f>
        <v>61.328361690000001</v>
      </c>
      <c r="BA129">
        <f ca="1">IF(AND(ISNUMBER($BA$339),$B$226=1),$BA$339,HLOOKUP(INDIRECT(ADDRESS(2,COLUMN())),OFFSET($BN$2,0,0,ROW()-1,60),ROW()-1,FALSE))</f>
        <v>59.042556400000002</v>
      </c>
      <c r="BB129">
        <f ca="1">IF(AND(ISNUMBER($BB$339),$B$226=1),$BB$339,HLOOKUP(INDIRECT(ADDRESS(2,COLUMN())),OFFSET($BN$2,0,0,ROW()-1,60),ROW()-1,FALSE))</f>
        <v>58.422528489999998</v>
      </c>
      <c r="BC129">
        <f ca="1">IF(AND(ISNUMBER($BC$339),$B$226=1),$BC$339,HLOOKUP(INDIRECT(ADDRESS(2,COLUMN())),OFFSET($BN$2,0,0,ROW()-1,60),ROW()-1,FALSE))</f>
        <v>65.76373074</v>
      </c>
      <c r="BD129">
        <f ca="1">IF(AND(ISNUMBER($BD$339),$B$226=1),$BD$339,HLOOKUP(INDIRECT(ADDRESS(2,COLUMN())),OFFSET($BN$2,0,0,ROW()-1,60),ROW()-1,FALSE))</f>
        <v>58.709399249999997</v>
      </c>
      <c r="BE129">
        <f ca="1">IF(AND(ISNUMBER($BE$339),$B$226=1),$BE$339,HLOOKUP(INDIRECT(ADDRESS(2,COLUMN())),OFFSET($BN$2,0,0,ROW()-1,60),ROW()-1,FALSE))</f>
        <v>59.039573140000002</v>
      </c>
      <c r="BF129">
        <f ca="1">IF(AND(ISNUMBER($BF$339),$B$226=1),$BF$339,HLOOKUP(INDIRECT(ADDRESS(2,COLUMN())),OFFSET($BN$2,0,0,ROW()-1,60),ROW()-1,FALSE))</f>
        <v>56.642847279999998</v>
      </c>
      <c r="BG129">
        <f ca="1">IF(AND(ISNUMBER($BG$339),$B$226=1),$BG$339,HLOOKUP(INDIRECT(ADDRESS(2,COLUMN())),OFFSET($BN$2,0,0,ROW()-1,60),ROW()-1,FALSE))</f>
        <v>61.51990146</v>
      </c>
      <c r="BH129">
        <f ca="1">IF(AND(ISNUMBER($BH$339),$B$226=1),$BH$339,HLOOKUP(INDIRECT(ADDRESS(2,COLUMN())),OFFSET($BN$2,0,0,ROW()-1,60),ROW()-1,FALSE))</f>
        <v>58.564684059999998</v>
      </c>
      <c r="BI129">
        <f ca="1">IF(AND(ISNUMBER($BI$339),$B$226=1),$BI$339,HLOOKUP(INDIRECT(ADDRESS(2,COLUMN())),OFFSET($BN$2,0,0,ROW()-1,60),ROW()-1,FALSE))</f>
        <v>56.012064680000002</v>
      </c>
      <c r="BJ129">
        <f ca="1">IF(AND(ISNUMBER($BJ$339),$B$226=1),$BJ$339,HLOOKUP(INDIRECT(ADDRESS(2,COLUMN())),OFFSET($BN$2,0,0,ROW()-1,60),ROW()-1,FALSE))</f>
        <v>55.714920560000003</v>
      </c>
      <c r="BK129">
        <f ca="1">IF(AND(ISNUMBER($BK$339),$B$226=1),$BK$339,HLOOKUP(INDIRECT(ADDRESS(2,COLUMN())),OFFSET($BN$2,0,0,ROW()-1,60),ROW()-1,FALSE))</f>
        <v>56.168274420000003</v>
      </c>
      <c r="BL129">
        <f ca="1">IF(AND(ISNUMBER($BL$339),$B$226=1),$BL$339,HLOOKUP(INDIRECT(ADDRESS(2,COLUMN())),OFFSET($BN$2,0,0,ROW()-1,60),ROW()-1,FALSE))</f>
        <v>56.898079760000002</v>
      </c>
      <c r="BM129">
        <f ca="1">IF(AND(ISNUMBER($BM$339),$B$226=1),$BM$339,HLOOKUP(INDIRECT(ADDRESS(2,COLUMN())),OFFSET($BN$2,0,0,ROW()-1,60),ROW()-1,FALSE))</f>
        <v>57.98701209</v>
      </c>
      <c r="BN129" t="str">
        <f>""</f>
        <v/>
      </c>
      <c r="BO129">
        <f>62.61309712</f>
        <v>62.613097119999999</v>
      </c>
      <c r="BP129">
        <f>61.43111462</f>
        <v>61.431114620000002</v>
      </c>
      <c r="BQ129">
        <f>62.99807645</f>
        <v>62.998076449999999</v>
      </c>
      <c r="BR129">
        <f>62.39721786</f>
        <v>62.397217859999998</v>
      </c>
      <c r="BS129">
        <f>62.99422241</f>
        <v>62.994222409999999</v>
      </c>
      <c r="BT129">
        <f>62.93021229</f>
        <v>62.93021229</v>
      </c>
      <c r="BU129">
        <f>62.43372727</f>
        <v>62.433727269999999</v>
      </c>
      <c r="BV129">
        <f>61.75797969</f>
        <v>61.757979689999999</v>
      </c>
      <c r="BW129">
        <f>59.60438543</f>
        <v>59.604385430000001</v>
      </c>
      <c r="BX129">
        <f>59.71781879</f>
        <v>59.717818790000003</v>
      </c>
      <c r="BY129">
        <f>60.84720794</f>
        <v>60.847207939999997</v>
      </c>
      <c r="BZ129">
        <f>61.73886136</f>
        <v>61.738861360000001</v>
      </c>
      <c r="CA129">
        <f>61.003393</f>
        <v>61.003393000000003</v>
      </c>
      <c r="CB129">
        <f>59.88188748</f>
        <v>59.881887480000003</v>
      </c>
      <c r="CC129">
        <f>60.34726518</f>
        <v>60.347265180000001</v>
      </c>
      <c r="CD129">
        <f>58.6364302</f>
        <v>58.6364302</v>
      </c>
      <c r="CE129">
        <f>59.42579725</f>
        <v>59.425797250000002</v>
      </c>
      <c r="CF129">
        <f>62.28364831</f>
        <v>62.283648309999997</v>
      </c>
      <c r="CG129">
        <f>61.71544364</f>
        <v>61.715443639999997</v>
      </c>
      <c r="CH129">
        <f>61.77927782</f>
        <v>61.779277819999997</v>
      </c>
      <c r="CI129">
        <f>55.33179628</f>
        <v>55.331796279999999</v>
      </c>
      <c r="CJ129">
        <f>58.96015906</f>
        <v>58.960159060000002</v>
      </c>
      <c r="CK129">
        <f>55.8765095</f>
        <v>55.876509499999997</v>
      </c>
      <c r="CL129">
        <f>63.21484212</f>
        <v>63.21484212</v>
      </c>
      <c r="CM129">
        <f>61.70065676</f>
        <v>61.700656760000001</v>
      </c>
      <c r="CN129">
        <f>66.72797597</f>
        <v>66.727975970000003</v>
      </c>
      <c r="CO129">
        <f>64.80813082</f>
        <v>64.808130820000002</v>
      </c>
      <c r="CP129">
        <f>65.19234552</f>
        <v>65.192345520000003</v>
      </c>
      <c r="CQ129">
        <f>54.8820179</f>
        <v>54.882017900000001</v>
      </c>
      <c r="CR129">
        <f>59.30178362</f>
        <v>59.301783620000002</v>
      </c>
      <c r="CS129">
        <f>57.8643336</f>
        <v>57.864333600000002</v>
      </c>
      <c r="CT129">
        <f>55.92808817</f>
        <v>55.928088170000002</v>
      </c>
      <c r="CU129">
        <f>55.42179144</f>
        <v>55.42179144</v>
      </c>
      <c r="CV129">
        <f>54.37532616</f>
        <v>54.37532616</v>
      </c>
      <c r="CW129">
        <f>60.2001258</f>
        <v>60.200125800000002</v>
      </c>
      <c r="CX129">
        <f>56.08362942</f>
        <v>56.083629420000001</v>
      </c>
      <c r="CY129">
        <f>52.06588696</f>
        <v>52.06588696</v>
      </c>
      <c r="CZ129">
        <f>57.06334229</f>
        <v>57.063342290000001</v>
      </c>
      <c r="DA129">
        <f>58.37771489</f>
        <v>58.37771489</v>
      </c>
      <c r="DB129">
        <f>58.39582555</f>
        <v>58.395825549999998</v>
      </c>
      <c r="DC129">
        <f>68.15800396</f>
        <v>68.158003960000002</v>
      </c>
      <c r="DD129">
        <f>73.90751522</f>
        <v>73.907515219999993</v>
      </c>
      <c r="DE129">
        <f>70.60714426</f>
        <v>70.607144259999998</v>
      </c>
      <c r="DF129">
        <f>71.58395165</f>
        <v>71.583951650000003</v>
      </c>
      <c r="DG129">
        <f>67.00390457</f>
        <v>67.003904570000003</v>
      </c>
      <c r="DH129">
        <f>61.32836169</f>
        <v>61.328361690000001</v>
      </c>
      <c r="DI129">
        <f>59.0425564</f>
        <v>59.042556400000002</v>
      </c>
      <c r="DJ129">
        <f>58.42252849</f>
        <v>58.422528489999998</v>
      </c>
      <c r="DK129">
        <f>65.76373074</f>
        <v>65.76373074</v>
      </c>
      <c r="DL129">
        <f>58.70939925</f>
        <v>58.709399249999997</v>
      </c>
      <c r="DM129">
        <f>59.03957314</f>
        <v>59.039573140000002</v>
      </c>
      <c r="DN129">
        <f>56.64284728</f>
        <v>56.642847279999998</v>
      </c>
      <c r="DO129">
        <f>61.51990146</f>
        <v>61.51990146</v>
      </c>
      <c r="DP129">
        <f>58.56468406</f>
        <v>58.564684059999998</v>
      </c>
      <c r="DQ129">
        <f>56.01206468</f>
        <v>56.012064680000002</v>
      </c>
      <c r="DR129">
        <f>55.71492056</f>
        <v>55.714920560000003</v>
      </c>
      <c r="DS129">
        <f>56.16827442</f>
        <v>56.168274420000003</v>
      </c>
      <c r="DT129">
        <f>56.89807976</f>
        <v>56.898079760000002</v>
      </c>
      <c r="DU129">
        <f>57.98701209</f>
        <v>57.98701209</v>
      </c>
    </row>
    <row r="130" spans="1:125">
      <c r="A130" t="str">
        <f>"资产回报率(NOI/总资产)(%)"</f>
        <v>资产回报率(NOI/总资产)(%)</v>
      </c>
      <c r="B130" t="str">
        <f>""</f>
        <v/>
      </c>
      <c r="E130" t="str">
        <f>"Median"</f>
        <v>Median</v>
      </c>
      <c r="F130" t="str">
        <f ca="1">IF(ISERROR(IF(MEDIAN($F$131:$F$138) = 0, "", MEDIAN($F$131:$F$138))), "", (IF(MEDIAN($F$131:$F$138) = 0, "", MEDIAN($F$131:$F$138))))</f>
        <v/>
      </c>
      <c r="G130">
        <f ca="1">IF(ISERROR(IF(MEDIAN($G$131:$G$138) = 0, "", MEDIAN($G$131:$G$138))), "", (IF(MEDIAN($G$131:$G$138) = 0, "", MEDIAN($G$131:$G$138))))</f>
        <v>6.8323037415000005</v>
      </c>
      <c r="H130">
        <f ca="1">IF(ISERROR(IF(MEDIAN($H$131:$H$138) = 0, "", MEDIAN($H$131:$H$138))), "", (IF(MEDIAN($H$131:$H$138) = 0, "", MEDIAN($H$131:$H$138))))</f>
        <v>6.4560312135000002</v>
      </c>
      <c r="I130">
        <f ca="1">IF(ISERROR(IF(MEDIAN($I$131:$I$138) = 0, "", MEDIAN($I$131:$I$138))), "", (IF(MEDIAN($I$131:$I$138) = 0, "", MEDIAN($I$131:$I$138))))</f>
        <v>6.4388228420000004</v>
      </c>
      <c r="J130">
        <f ca="1">IF(ISERROR(IF(MEDIAN($J$131:$J$138) = 0, "", MEDIAN($J$131:$J$138))), "", (IF(MEDIAN($J$131:$J$138) = 0, "", MEDIAN($J$131:$J$138))))</f>
        <v>6.5326304574999998</v>
      </c>
      <c r="K130">
        <f ca="1">IF(ISERROR(IF(MEDIAN($K$131:$K$138) = 0, "", MEDIAN($K$131:$K$138))), "", (IF(MEDIAN($K$131:$K$138) = 0, "", MEDIAN($K$131:$K$138))))</f>
        <v>6.5336755284999999</v>
      </c>
      <c r="L130">
        <f ca="1">IF(ISERROR(IF(MEDIAN($L$131:$L$138) = 0, "", MEDIAN($L$131:$L$138))), "", (IF(MEDIAN($L$131:$L$138) = 0, "", MEDIAN($L$131:$L$138))))</f>
        <v>6.4101821074999998</v>
      </c>
      <c r="M130">
        <f ca="1">IF(ISERROR(IF(MEDIAN($M$131:$M$138) = 0, "", MEDIAN($M$131:$M$138))), "", (IF(MEDIAN($M$131:$M$138) = 0, "", MEDIAN($M$131:$M$138))))</f>
        <v>6.3986617570000002</v>
      </c>
      <c r="N130">
        <f ca="1">IF(ISERROR(IF(MEDIAN($N$131:$N$138) = 0, "", MEDIAN($N$131:$N$138))), "", (IF(MEDIAN($N$131:$N$138) = 0, "", MEDIAN($N$131:$N$138))))</f>
        <v>6.7529091399999999</v>
      </c>
      <c r="O130">
        <f ca="1">IF(ISERROR(IF(MEDIAN($O$131:$O$138) = 0, "", MEDIAN($O$131:$O$138))), "", (IF(MEDIAN($O$131:$O$138) = 0, "", MEDIAN($O$131:$O$138))))</f>
        <v>6.8918513089999998</v>
      </c>
      <c r="P130">
        <f ca="1">IF(ISERROR(IF(MEDIAN($P$131:$P$138) = 0, "", MEDIAN($P$131:$P$138))), "", (IF(MEDIAN($P$131:$P$138) = 0, "", MEDIAN($P$131:$P$138))))</f>
        <v>6.4672812259999999</v>
      </c>
      <c r="Q130">
        <f ca="1">IF(ISERROR(IF(MEDIAN($Q$131:$Q$138) = 0, "", MEDIAN($Q$131:$Q$138))), "", (IF(MEDIAN($Q$131:$Q$138) = 0, "", MEDIAN($Q$131:$Q$138))))</f>
        <v>6.4029064575000003</v>
      </c>
      <c r="R130">
        <f ca="1">IF(ISERROR(IF(MEDIAN($R$131:$R$138) = 0, "", MEDIAN($R$131:$R$138))), "", (IF(MEDIAN($R$131:$R$138) = 0, "", MEDIAN($R$131:$R$138))))</f>
        <v>6.2546509320000006</v>
      </c>
      <c r="S130">
        <f ca="1">IF(ISERROR(IF(MEDIAN($S$131:$S$138) = 0, "", MEDIAN($S$131:$S$138))), "", (IF(MEDIAN($S$131:$S$138) = 0, "", MEDIAN($S$131:$S$138))))</f>
        <v>6.3885648180000008</v>
      </c>
      <c r="T130">
        <f ca="1">IF(ISERROR(IF(MEDIAN($T$131:$T$138) = 0, "", MEDIAN($T$131:$T$138))), "", (IF(MEDIAN($T$131:$T$138) = 0, "", MEDIAN($T$131:$T$138))))</f>
        <v>6.1418076404999997</v>
      </c>
      <c r="U130">
        <f ca="1">IF(ISERROR(IF(MEDIAN($U$131:$U$138) = 0, "", MEDIAN($U$131:$U$138))), "", (IF(MEDIAN($U$131:$U$138) = 0, "", MEDIAN($U$131:$U$138))))</f>
        <v>6.1038573365000008</v>
      </c>
      <c r="V130">
        <f ca="1">IF(ISERROR(IF(MEDIAN($V$131:$V$138) = 0, "", MEDIAN($V$131:$V$138))), "", (IF(MEDIAN($V$131:$V$138) = 0, "", MEDIAN($V$131:$V$138))))</f>
        <v>6.0080299964999995</v>
      </c>
      <c r="W130">
        <f ca="1">IF(ISERROR(IF(MEDIAN($W$131:$W$138) = 0, "", MEDIAN($W$131:$W$138))), "", (IF(MEDIAN($W$131:$W$138) = 0, "", MEDIAN($W$131:$W$138))))</f>
        <v>6.3852716639999993</v>
      </c>
      <c r="X130">
        <f ca="1">IF(ISERROR(IF(MEDIAN($X$131:$X$138) = 0, "", MEDIAN($X$131:$X$138))), "", (IF(MEDIAN($X$131:$X$138) = 0, "", MEDIAN($X$131:$X$138))))</f>
        <v>5.8262417615000004</v>
      </c>
      <c r="Y130">
        <f ca="1">IF(ISERROR(IF(MEDIAN($Y$131:$Y$138) = 0, "", MEDIAN($Y$131:$Y$138))), "", (IF(MEDIAN($Y$131:$Y$138) = 0, "", MEDIAN($Y$131:$Y$138))))</f>
        <v>5.9134810585000004</v>
      </c>
      <c r="Z130">
        <f ca="1">IF(ISERROR(IF(MEDIAN($Z$131:$Z$138) = 0, "", MEDIAN($Z$131:$Z$138))), "", (IF(MEDIAN($Z$131:$Z$138) = 0, "", MEDIAN($Z$131:$Z$138))))</f>
        <v>6.2872573680000006</v>
      </c>
      <c r="AA130">
        <f ca="1">IF(ISERROR(IF(MEDIAN($AA$131:$AA$138) = 0, "", MEDIAN($AA$131:$AA$138))), "", (IF(MEDIAN($AA$131:$AA$138) = 0, "", MEDIAN($AA$131:$AA$138))))</f>
        <v>6.0321612165000005</v>
      </c>
      <c r="AB130">
        <f ca="1">IF(ISERROR(IF(MEDIAN($AB$131:$AB$138) = 0, "", MEDIAN($AB$131:$AB$138))), "", (IF(MEDIAN($AB$131:$AB$138) = 0, "", MEDIAN($AB$131:$AB$138))))</f>
        <v>6.0158642609999999</v>
      </c>
      <c r="AC130">
        <f ca="1">IF(ISERROR(IF(MEDIAN($AC$131:$AC$138) = 0, "", MEDIAN($AC$131:$AC$138))), "", (IF(MEDIAN($AC$131:$AC$138) = 0, "", MEDIAN($AC$131:$AC$138))))</f>
        <v>6.4100533635000003</v>
      </c>
      <c r="AD130">
        <f ca="1">IF(ISERROR(IF(MEDIAN($AD$131:$AD$138) = 0, "", MEDIAN($AD$131:$AD$138))), "", (IF(MEDIAN($AD$131:$AD$138) = 0, "", MEDIAN($AD$131:$AD$138))))</f>
        <v>6.5863918510000001</v>
      </c>
      <c r="AE130">
        <f ca="1">IF(ISERROR(IF(MEDIAN($AE$131:$AE$138) = 0, "", MEDIAN($AE$131:$AE$138))), "", (IF(MEDIAN($AE$131:$AE$138) = 0, "", MEDIAN($AE$131:$AE$138))))</f>
        <v>6.5262741625</v>
      </c>
      <c r="AF130">
        <f ca="1">IF(ISERROR(IF(MEDIAN($AF$131:$AF$138) = 0, "", MEDIAN($AF$131:$AF$138))), "", (IF(MEDIAN($AF$131:$AF$138) = 0, "", MEDIAN($AF$131:$AF$138))))</f>
        <v>6.2343629400000005</v>
      </c>
      <c r="AG130">
        <f ca="1">IF(ISERROR(IF(MEDIAN($AG$131:$AG$138) = 0, "", MEDIAN($AG$131:$AG$138))), "", (IF(MEDIAN($AG$131:$AG$138) = 0, "", MEDIAN($AG$131:$AG$138))))</f>
        <v>6.4801624899999997</v>
      </c>
      <c r="AH130">
        <f ca="1">IF(ISERROR(IF(MEDIAN($AH$131:$AH$138) = 0, "", MEDIAN($AH$131:$AH$138))), "", (IF(MEDIAN($AH$131:$AH$138) = 0, "", MEDIAN($AH$131:$AH$138))))</f>
        <v>6.3248962965000004</v>
      </c>
      <c r="AI130">
        <f ca="1">IF(ISERROR(IF(MEDIAN($AI$131:$AI$138) = 0, "", MEDIAN($AI$131:$AI$138))), "", (IF(MEDIAN($AI$131:$AI$138) = 0, "", MEDIAN($AI$131:$AI$138))))</f>
        <v>6.2586418790000007</v>
      </c>
      <c r="AJ130">
        <f ca="1">IF(ISERROR(IF(MEDIAN($AJ$131:$AJ$138) = 0, "", MEDIAN($AJ$131:$AJ$138))), "", (IF(MEDIAN($AJ$131:$AJ$138) = 0, "", MEDIAN($AJ$131:$AJ$138))))</f>
        <v>5.9494875729999999</v>
      </c>
      <c r="AK130">
        <f ca="1">IF(ISERROR(IF(MEDIAN($AK$131:$AK$138) = 0, "", MEDIAN($AK$131:$AK$138))), "", (IF(MEDIAN($AK$131:$AK$138) = 0, "", MEDIAN($AK$131:$AK$138))))</f>
        <v>6.1256972555000004</v>
      </c>
      <c r="AL130">
        <f ca="1">IF(ISERROR(IF(MEDIAN($AL$131:$AL$138) = 0, "", MEDIAN($AL$131:$AL$138))), "", (IF(MEDIAN($AL$131:$AL$138) = 0, "", MEDIAN($AL$131:$AL$138))))</f>
        <v>6.3219106420000006</v>
      </c>
      <c r="AM130">
        <f ca="1">IF(ISERROR(IF(MEDIAN($AM$131:$AM$138) = 0, "", MEDIAN($AM$131:$AM$138))), "", (IF(MEDIAN($AM$131:$AM$138) = 0, "", MEDIAN($AM$131:$AM$138))))</f>
        <v>6.4529172140000002</v>
      </c>
      <c r="AN130">
        <f ca="1">IF(ISERROR(IF(MEDIAN($AN$131:$AN$138) = 0, "", MEDIAN($AN$131:$AN$138))), "", (IF(MEDIAN($AN$131:$AN$138) = 0, "", MEDIAN($AN$131:$AN$138))))</f>
        <v>6.0248419979999994</v>
      </c>
      <c r="AO130">
        <f ca="1">IF(ISERROR(IF(MEDIAN($AO$131:$AO$138) = 0, "", MEDIAN($AO$131:$AO$138))), "", (IF(MEDIAN($AO$131:$AO$138) = 0, "", MEDIAN($AO$131:$AO$138))))</f>
        <v>6.4749396324999999</v>
      </c>
      <c r="AP130">
        <f ca="1">IF(ISERROR(IF(MEDIAN($AP$131:$AP$138) = 0, "", MEDIAN($AP$131:$AP$138))), "", (IF(MEDIAN($AP$131:$AP$138) = 0, "", MEDIAN($AP$131:$AP$138))))</f>
        <v>6.5260126994999998</v>
      </c>
      <c r="AQ130">
        <f ca="1">IF(ISERROR(IF(MEDIAN($AQ$131:$AQ$138) = 0, "", MEDIAN($AQ$131:$AQ$138))), "", (IF(MEDIAN($AQ$131:$AQ$138) = 0, "", MEDIAN($AQ$131:$AQ$138))))</f>
        <v>6.9281384859999999</v>
      </c>
      <c r="AR130">
        <f ca="1">IF(ISERROR(IF(MEDIAN($AR$131:$AR$138) = 0, "", MEDIAN($AR$131:$AR$138))), "", (IF(MEDIAN($AR$131:$AR$138) = 0, "", MEDIAN($AR$131:$AR$138))))</f>
        <v>6.3818672425000003</v>
      </c>
      <c r="AS130">
        <f ca="1">IF(ISERROR(IF(MEDIAN($AS$131:$AS$138) = 0, "", MEDIAN($AS$131:$AS$138))), "", (IF(MEDIAN($AS$131:$AS$138) = 0, "", MEDIAN($AS$131:$AS$138))))</f>
        <v>6.8254926820000001</v>
      </c>
      <c r="AT130">
        <f ca="1">IF(ISERROR(IF(MEDIAN($AT$131:$AT$138) = 0, "", MEDIAN($AT$131:$AT$138))), "", (IF(MEDIAN($AT$131:$AT$138) = 0, "", MEDIAN($AT$131:$AT$138))))</f>
        <v>6.9200968679999999</v>
      </c>
      <c r="AU130">
        <f ca="1">IF(ISERROR(IF(MEDIAN($AU$131:$AU$138) = 0, "", MEDIAN($AU$131:$AU$138))), "", (IF(MEDIAN($AU$131:$AU$138) = 0, "", MEDIAN($AU$131:$AU$138))))</f>
        <v>7.0459084545000001</v>
      </c>
      <c r="AV130">
        <f ca="1">IF(ISERROR(IF(MEDIAN($AV$131:$AV$138) = 0, "", MEDIAN($AV$131:$AV$138))), "", (IF(MEDIAN($AV$131:$AV$138) = 0, "", MEDIAN($AV$131:$AV$138))))</f>
        <v>6.5167260084999992</v>
      </c>
      <c r="AW130">
        <f ca="1">IF(ISERROR(IF(MEDIAN($AW$131:$AW$138) = 0, "", MEDIAN($AW$131:$AW$138))), "", (IF(MEDIAN($AW$131:$AW$138) = 0, "", MEDIAN($AW$131:$AW$138))))</f>
        <v>7.1483886215000005</v>
      </c>
      <c r="AX130">
        <f ca="1">IF(ISERROR(IF(MEDIAN($AX$131:$AX$138) = 0, "", MEDIAN($AX$131:$AX$138))), "", (IF(MEDIAN($AX$131:$AX$138) = 0, "", MEDIAN($AX$131:$AX$138))))</f>
        <v>6.7917096150000003</v>
      </c>
      <c r="AY130">
        <f ca="1">IF(ISERROR(IF(MEDIAN($AY$131:$AY$138) = 0, "", MEDIAN($AY$131:$AY$138))), "", (IF(MEDIAN($AY$131:$AY$138) = 0, "", MEDIAN($AY$131:$AY$138))))</f>
        <v>6.8080098710000003</v>
      </c>
      <c r="AZ130">
        <f ca="1">IF(ISERROR(IF(MEDIAN($AZ$131:$AZ$138) = 0, "", MEDIAN($AZ$131:$AZ$138))), "", (IF(MEDIAN($AZ$131:$AZ$138) = 0, "", MEDIAN($AZ$131:$AZ$138))))</f>
        <v>6.8320173410000002</v>
      </c>
      <c r="BA130">
        <f ca="1">IF(ISERROR(IF(MEDIAN($BA$131:$BA$138) = 0, "", MEDIAN($BA$131:$BA$138))), "", (IF(MEDIAN($BA$131:$BA$138) = 0, "", MEDIAN($BA$131:$BA$138))))</f>
        <v>6.7343895969999998</v>
      </c>
      <c r="BB130">
        <f ca="1">IF(ISERROR(IF(MEDIAN($BB$131:$BB$138) = 0, "", MEDIAN($BB$131:$BB$138))), "", (IF(MEDIAN($BB$131:$BB$138) = 0, "", MEDIAN($BB$131:$BB$138))))</f>
        <v>7.2812469679999996</v>
      </c>
      <c r="BC130">
        <f ca="1">IF(ISERROR(IF(MEDIAN($BC$131:$BC$138) = 0, "", MEDIAN($BC$131:$BC$138))), "", (IF(MEDIAN($BC$131:$BC$138) = 0, "", MEDIAN($BC$131:$BC$138))))</f>
        <v>7.1515339089999994</v>
      </c>
      <c r="BD130">
        <f ca="1">IF(ISERROR(IF(MEDIAN($BD$131:$BD$138) = 0, "", MEDIAN($BD$131:$BD$138))), "", (IF(MEDIAN($BD$131:$BD$138) = 0, "", MEDIAN($BD$131:$BD$138))))</f>
        <v>7.0125382710000004</v>
      </c>
      <c r="BE130">
        <f ca="1">IF(ISERROR(IF(MEDIAN($BE$131:$BE$138) = 0, "", MEDIAN($BE$131:$BE$138))), "", (IF(MEDIAN($BE$131:$BE$138) = 0, "", MEDIAN($BE$131:$BE$138))))</f>
        <v>7.3807821155000006</v>
      </c>
      <c r="BF130">
        <f ca="1">IF(ISERROR(IF(MEDIAN($BF$131:$BF$138) = 0, "", MEDIAN($BF$131:$BF$138))), "", (IF(MEDIAN($BF$131:$BF$138) = 0, "", MEDIAN($BF$131:$BF$138))))</f>
        <v>7.2779356219999993</v>
      </c>
      <c r="BG130">
        <f ca="1">IF(ISERROR(IF(MEDIAN($BG$131:$BG$138) = 0, "", MEDIAN($BG$131:$BG$138))), "", (IF(MEDIAN($BG$131:$BG$138) = 0, "", MEDIAN($BG$131:$BG$138))))</f>
        <v>7.1541626894999997</v>
      </c>
      <c r="BH130">
        <f ca="1">IF(ISERROR(IF(MEDIAN($BH$131:$BH$138) = 0, "", MEDIAN($BH$131:$BH$138))), "", (IF(MEDIAN($BH$131:$BH$138) = 0, "", MEDIAN($BH$131:$BH$138))))</f>
        <v>7.4586882419999991</v>
      </c>
      <c r="BI130">
        <f ca="1">IF(ISERROR(IF(MEDIAN($BI$131:$BI$138) = 0, "", MEDIAN($BI$131:$BI$138))), "", (IF(MEDIAN($BI$131:$BI$138) = 0, "", MEDIAN($BI$131:$BI$138))))</f>
        <v>7.5065786790000004</v>
      </c>
      <c r="BJ130">
        <f ca="1">IF(ISERROR(IF(MEDIAN($BJ$131:$BJ$138) = 0, "", MEDIAN($BJ$131:$BJ$138))), "", (IF(MEDIAN($BJ$131:$BJ$138) = 0, "", MEDIAN($BJ$131:$BJ$138))))</f>
        <v>7.7495577109999996</v>
      </c>
      <c r="BK130">
        <f ca="1">IF(ISERROR(IF(MEDIAN($BK$131:$BK$138) = 0, "", MEDIAN($BK$131:$BK$138))), "", (IF(MEDIAN($BK$131:$BK$138) = 0, "", MEDIAN($BK$131:$BK$138))))</f>
        <v>9.3448158570000004</v>
      </c>
      <c r="BL130">
        <f ca="1">IF(ISERROR(IF(MEDIAN($BL$131:$BL$138) = 0, "", MEDIAN($BL$131:$BL$138))), "", (IF(MEDIAN($BL$131:$BL$138) = 0, "", MEDIAN($BL$131:$BL$138))))</f>
        <v>8.8891679579999998</v>
      </c>
      <c r="BM130">
        <f ca="1">IF(ISERROR(IF(MEDIAN($BM$131:$BM$138) = 0, "", MEDIAN($BM$131:$BM$138))), "", (IF(MEDIAN($BM$131:$BM$138) = 0, "", MEDIAN($BM$131:$BM$138))))</f>
        <v>7.1787267019999996</v>
      </c>
      <c r="BN130" t="str">
        <f>""</f>
        <v/>
      </c>
      <c r="BO130">
        <f>6.832303742</f>
        <v>6.8323037419999997</v>
      </c>
      <c r="BP130">
        <f>6.456031214</f>
        <v>6.4560312140000002</v>
      </c>
      <c r="BQ130">
        <f>6.438822842</f>
        <v>6.4388228420000004</v>
      </c>
      <c r="BR130">
        <f>6.532630457</f>
        <v>6.5326304569999998</v>
      </c>
      <c r="BS130">
        <f>6.533675529</f>
        <v>6.5336755289999999</v>
      </c>
      <c r="BT130">
        <f>6.410182108</f>
        <v>6.4101821079999999</v>
      </c>
      <c r="BU130">
        <f>6.398661757</f>
        <v>6.3986617570000002</v>
      </c>
      <c r="BV130">
        <f>6.75290914</f>
        <v>6.7529091399999999</v>
      </c>
      <c r="BW130">
        <f>6.891851309</f>
        <v>6.8918513089999998</v>
      </c>
      <c r="BX130">
        <f>6.467281226</f>
        <v>6.4672812259999999</v>
      </c>
      <c r="BY130">
        <f>6.402906457</f>
        <v>6.4029064570000003</v>
      </c>
      <c r="BZ130">
        <f>6.254650932</f>
        <v>6.2546509319999997</v>
      </c>
      <c r="CA130">
        <f>6.388564818</f>
        <v>6.3885648179999999</v>
      </c>
      <c r="CB130">
        <f>6.141807641</f>
        <v>6.1418076409999998</v>
      </c>
      <c r="CC130">
        <f>6.103857337</f>
        <v>6.103857337</v>
      </c>
      <c r="CD130">
        <f>6.008029996</f>
        <v>6.0080299960000003</v>
      </c>
      <c r="CE130">
        <f>6.385271664</f>
        <v>6.3852716640000002</v>
      </c>
      <c r="CF130">
        <f>5.826241761</f>
        <v>5.8262417610000004</v>
      </c>
      <c r="CG130">
        <f>5.913481059</f>
        <v>5.9134810590000004</v>
      </c>
      <c r="CH130">
        <f>6.287257368</f>
        <v>6.2872573679999997</v>
      </c>
      <c r="CI130">
        <f>6.032161217</f>
        <v>6.0321612169999996</v>
      </c>
      <c r="CJ130">
        <f>6.015864261</f>
        <v>6.0158642609999999</v>
      </c>
      <c r="CK130">
        <f>6.410053364</f>
        <v>6.4100533640000004</v>
      </c>
      <c r="CL130">
        <f>6.586391851</f>
        <v>6.5863918510000001</v>
      </c>
      <c r="CM130">
        <f>6.526274162</f>
        <v>6.526274162</v>
      </c>
      <c r="CN130">
        <f>6.23436294</f>
        <v>6.2343629399999996</v>
      </c>
      <c r="CO130">
        <f>6.48016249</f>
        <v>6.4801624899999997</v>
      </c>
      <c r="CP130">
        <f>6.324896296</f>
        <v>6.3248962960000004</v>
      </c>
      <c r="CQ130">
        <f>6.258641879</f>
        <v>6.2586418789999998</v>
      </c>
      <c r="CR130">
        <f>5.949487573</f>
        <v>5.9494875729999999</v>
      </c>
      <c r="CS130">
        <f>6.125697256</f>
        <v>6.1256972559999996</v>
      </c>
      <c r="CT130">
        <f>6.321910642</f>
        <v>6.3219106419999997</v>
      </c>
      <c r="CU130">
        <f>6.452917214</f>
        <v>6.4529172140000002</v>
      </c>
      <c r="CV130">
        <f>6.024841998</f>
        <v>6.0248419980000003</v>
      </c>
      <c r="CW130">
        <f>6.474939633</f>
        <v>6.474939633</v>
      </c>
      <c r="CX130">
        <f>6.5260127</f>
        <v>6.5260126999999999</v>
      </c>
      <c r="CY130">
        <f>6.928138486</f>
        <v>6.9281384859999999</v>
      </c>
      <c r="CZ130">
        <f>6.381867243</f>
        <v>6.3818672430000003</v>
      </c>
      <c r="DA130">
        <f>6.825492682</f>
        <v>6.8254926820000001</v>
      </c>
      <c r="DB130">
        <f>6.920096868</f>
        <v>6.9200968679999999</v>
      </c>
      <c r="DC130">
        <f>7.045908455</f>
        <v>7.0459084550000002</v>
      </c>
      <c r="DD130">
        <f>6.516726009</f>
        <v>6.5167260090000001</v>
      </c>
      <c r="DE130">
        <f>7.148388622</f>
        <v>7.1483886219999997</v>
      </c>
      <c r="DF130">
        <f>6.791709615</f>
        <v>6.7917096150000003</v>
      </c>
      <c r="DG130">
        <f>6.808009871</f>
        <v>6.8080098710000003</v>
      </c>
      <c r="DH130">
        <f>6.832017341</f>
        <v>6.8320173410000002</v>
      </c>
      <c r="DI130">
        <f>6.734389597</f>
        <v>6.7343895969999998</v>
      </c>
      <c r="DJ130">
        <f>7.281246968</f>
        <v>7.2812469679999996</v>
      </c>
      <c r="DK130">
        <f>7.151533909</f>
        <v>7.1515339090000003</v>
      </c>
      <c r="DL130">
        <f>7.012538271</f>
        <v>7.0125382710000004</v>
      </c>
      <c r="DM130">
        <f>7.380782115</f>
        <v>7.3807821149999997</v>
      </c>
      <c r="DN130">
        <f>7.277935622</f>
        <v>7.2779356220000002</v>
      </c>
      <c r="DO130">
        <f>7.15416269</f>
        <v>7.1541626899999997</v>
      </c>
      <c r="DP130">
        <f>7.458688242</f>
        <v>7.458688242</v>
      </c>
      <c r="DQ130">
        <f>7.506578679</f>
        <v>7.5065786790000004</v>
      </c>
      <c r="DR130">
        <f>7.749557711</f>
        <v>7.7495577109999996</v>
      </c>
      <c r="DS130">
        <f>9.344815857</f>
        <v>9.3448158570000004</v>
      </c>
      <c r="DT130">
        <f>8.889167958</f>
        <v>8.8891679579999998</v>
      </c>
      <c r="DU130">
        <f>7.178726702</f>
        <v>7.1787267019999996</v>
      </c>
    </row>
    <row r="131" spans="1:125">
      <c r="A131" t="str">
        <f>"    American Campus Communities In"</f>
        <v xml:space="preserve">    American Campus Communities In</v>
      </c>
      <c r="B131" t="str">
        <f>"ACC US Equity"</f>
        <v>ACC US Equity</v>
      </c>
      <c r="C131" t="str">
        <f t="shared" ref="C131:C138" si="42">"RX902"</f>
        <v>RX902</v>
      </c>
      <c r="D131" t="str">
        <f t="shared" ref="D131:D138" si="43">"ANN_NOI_GR_AST_NET_RTL_DEV_CTD_%"</f>
        <v>ANN_NOI_GR_AST_NET_RTL_DEV_CTD_%</v>
      </c>
      <c r="E131" t="str">
        <f t="shared" ref="E131:E138" si="44">"动态"</f>
        <v>动态</v>
      </c>
      <c r="F131" t="str">
        <f ca="1">IF(AND(ISNUMBER($F$340),$B$226=1),$F$340,HLOOKUP(INDIRECT(ADDRESS(2,COLUMN())),OFFSET($BN$2,0,0,ROW()-1,60),ROW()-1,FALSE))</f>
        <v/>
      </c>
      <c r="G131">
        <f ca="1">IF(AND(ISNUMBER($G$340),$B$226=1),$G$340,HLOOKUP(INDIRECT(ADDRESS(2,COLUMN())),OFFSET($BN$2,0,0,ROW()-1,60),ROW()-1,FALSE))</f>
        <v>6.2500273079999999</v>
      </c>
      <c r="H131">
        <f ca="1">IF(AND(ISNUMBER($H$340),$B$226=1),$H$340,HLOOKUP(INDIRECT(ADDRESS(2,COLUMN())),OFFSET($BN$2,0,0,ROW()-1,60),ROW()-1,FALSE))</f>
        <v>4.3608034379999996</v>
      </c>
      <c r="I131">
        <f ca="1">IF(AND(ISNUMBER($I$340),$B$226=1),$I$340,HLOOKUP(INDIRECT(ADDRESS(2,COLUMN())),OFFSET($BN$2,0,0,ROW()-1,60),ROW()-1,FALSE))</f>
        <v>5.2145656210000002</v>
      </c>
      <c r="J131">
        <f ca="1">IF(AND(ISNUMBER($J$340),$B$226=1),$J$340,HLOOKUP(INDIRECT(ADDRESS(2,COLUMN())),OFFSET($BN$2,0,0,ROW()-1,60),ROW()-1,FALSE))</f>
        <v>2.8227985470000001</v>
      </c>
      <c r="K131">
        <f ca="1">IF(AND(ISNUMBER($K$340),$B$226=1),$K$340,HLOOKUP(INDIRECT(ADDRESS(2,COLUMN())),OFFSET($BN$2,0,0,ROW()-1,60),ROW()-1,FALSE))</f>
        <v>6.4728736639999997</v>
      </c>
      <c r="L131">
        <f ca="1">IF(AND(ISNUMBER($L$340),$B$226=1),$L$340,HLOOKUP(INDIRECT(ADDRESS(2,COLUMN())),OFFSET($BN$2,0,0,ROW()-1,60),ROW()-1,FALSE))</f>
        <v>4.7919931509999998</v>
      </c>
      <c r="M131">
        <f ca="1">IF(AND(ISNUMBER($M$340),$B$226=1),$M$340,HLOOKUP(INDIRECT(ADDRESS(2,COLUMN())),OFFSET($BN$2,0,0,ROW()-1,60),ROW()-1,FALSE))</f>
        <v>5.376958374</v>
      </c>
      <c r="N131">
        <f ca="1">IF(AND(ISNUMBER($N$340),$B$226=1),$N$340,HLOOKUP(INDIRECT(ADDRESS(2,COLUMN())),OFFSET($BN$2,0,0,ROW()-1,60),ROW()-1,FALSE))</f>
        <v>5.9259614010000004</v>
      </c>
      <c r="O131">
        <f ca="1">IF(AND(ISNUMBER($O$340),$B$226=1),$O$340,HLOOKUP(INDIRECT(ADDRESS(2,COLUMN())),OFFSET($BN$2,0,0,ROW()-1,60),ROW()-1,FALSE))</f>
        <v>6.356161953</v>
      </c>
      <c r="P131">
        <f ca="1">IF(AND(ISNUMBER($P$340),$B$226=1),$P$340,HLOOKUP(INDIRECT(ADDRESS(2,COLUMN())),OFFSET($BN$2,0,0,ROW()-1,60),ROW()-1,FALSE))</f>
        <v>4.3680881789999999</v>
      </c>
      <c r="Q131">
        <f ca="1">IF(AND(ISNUMBER($Q$340),$B$226=1),$Q$340,HLOOKUP(INDIRECT(ADDRESS(2,COLUMN())),OFFSET($BN$2,0,0,ROW()-1,60),ROW()-1,FALSE))</f>
        <v>5.5352076659999998</v>
      </c>
      <c r="R131">
        <f ca="1">IF(AND(ISNUMBER($R$340),$B$226=1),$R$340,HLOOKUP(INDIRECT(ADDRESS(2,COLUMN())),OFFSET($BN$2,0,0,ROW()-1,60),ROW()-1,FALSE))</f>
        <v>6.1715945740000002</v>
      </c>
      <c r="S131">
        <f ca="1">IF(AND(ISNUMBER($S$340),$B$226=1),$S$340,HLOOKUP(INDIRECT(ADDRESS(2,COLUMN())),OFFSET($BN$2,0,0,ROW()-1,60),ROW()-1,FALSE))</f>
        <v>6.3992087800000004</v>
      </c>
      <c r="T131">
        <f ca="1">IF(AND(ISNUMBER($T$340),$B$226=1),$T$340,HLOOKUP(INDIRECT(ADDRESS(2,COLUMN())),OFFSET($BN$2,0,0,ROW()-1,60),ROW()-1,FALSE))</f>
        <v>4.590857647</v>
      </c>
      <c r="U131">
        <f ca="1">IF(AND(ISNUMBER($U$340),$B$226=1),$U$340,HLOOKUP(INDIRECT(ADDRESS(2,COLUMN())),OFFSET($BN$2,0,0,ROW()-1,60),ROW()-1,FALSE))</f>
        <v>5.4809788829999997</v>
      </c>
      <c r="V131">
        <f ca="1">IF(AND(ISNUMBER($V$340),$B$226=1),$V$340,HLOOKUP(INDIRECT(ADDRESS(2,COLUMN())),OFFSET($BN$2,0,0,ROW()-1,60),ROW()-1,FALSE))</f>
        <v>6.209743918</v>
      </c>
      <c r="W131">
        <f ca="1">IF(AND(ISNUMBER($W$340),$B$226=1),$W$340,HLOOKUP(INDIRECT(ADDRESS(2,COLUMN())),OFFSET($BN$2,0,0,ROW()-1,60),ROW()-1,FALSE))</f>
        <v>6.255766618</v>
      </c>
      <c r="X131">
        <f ca="1">IF(AND(ISNUMBER($X$340),$B$226=1),$X$340,HLOOKUP(INDIRECT(ADDRESS(2,COLUMN())),OFFSET($BN$2,0,0,ROW()-1,60),ROW()-1,FALSE))</f>
        <v>4.4230965739999997</v>
      </c>
      <c r="Y131">
        <f ca="1">IF(AND(ISNUMBER($Y$340),$B$226=1),$Y$340,HLOOKUP(INDIRECT(ADDRESS(2,COLUMN())),OFFSET($BN$2,0,0,ROW()-1,60),ROW()-1,FALSE))</f>
        <v>5.3231713420000002</v>
      </c>
      <c r="Z131">
        <f ca="1">IF(AND(ISNUMBER($Z$340),$B$226=1),$Z$340,HLOOKUP(INDIRECT(ADDRESS(2,COLUMN())),OFFSET($BN$2,0,0,ROW()-1,60),ROW()-1,FALSE))</f>
        <v>6.1676899079999998</v>
      </c>
      <c r="AA131">
        <f ca="1">IF(AND(ISNUMBER($AA$340),$B$226=1),$AA$340,HLOOKUP(INDIRECT(ADDRESS(2,COLUMN())),OFFSET($BN$2,0,0,ROW()-1,60),ROW()-1,FALSE))</f>
        <v>5.6821906479999997</v>
      </c>
      <c r="AB131">
        <f ca="1">IF(AND(ISNUMBER($AB$340),$B$226=1),$AB$340,HLOOKUP(INDIRECT(ADDRESS(2,COLUMN())),OFFSET($BN$2,0,0,ROW()-1,60),ROW()-1,FALSE))</f>
        <v>4.072264348</v>
      </c>
      <c r="AC131">
        <f ca="1">IF(AND(ISNUMBER($AC$340),$B$226=1),$AC$340,HLOOKUP(INDIRECT(ADDRESS(2,COLUMN())),OFFSET($BN$2,0,0,ROW()-1,60),ROW()-1,FALSE))</f>
        <v>5.624412414</v>
      </c>
      <c r="AD131">
        <f ca="1">IF(AND(ISNUMBER($AD$340),$B$226=1),$AD$340,HLOOKUP(INDIRECT(ADDRESS(2,COLUMN())),OFFSET($BN$2,0,0,ROW()-1,60),ROW()-1,FALSE))</f>
        <v>6.3942696540000004</v>
      </c>
      <c r="AE131">
        <f ca="1">IF(AND(ISNUMBER($AE$340),$B$226=1),$AE$340,HLOOKUP(INDIRECT(ADDRESS(2,COLUMN())),OFFSET($BN$2,0,0,ROW()-1,60),ROW()-1,FALSE))</f>
        <v>6.2728524989999999</v>
      </c>
      <c r="AF131">
        <f ca="1">IF(AND(ISNUMBER($AF$340),$B$226=1),$AF$340,HLOOKUP(INDIRECT(ADDRESS(2,COLUMN())),OFFSET($BN$2,0,0,ROW()-1,60),ROW()-1,FALSE))</f>
        <v>5.0971198070000003</v>
      </c>
      <c r="AG131">
        <f ca="1">IF(AND(ISNUMBER($AG$340),$B$226=1),$AG$340,HLOOKUP(INDIRECT(ADDRESS(2,COLUMN())),OFFSET($BN$2,0,0,ROW()-1,60),ROW()-1,FALSE))</f>
        <v>6.1143492820000001</v>
      </c>
      <c r="AH131">
        <f ca="1">IF(AND(ISNUMBER($AH$340),$B$226=1),$AH$340,HLOOKUP(INDIRECT(ADDRESS(2,COLUMN())),OFFSET($BN$2,0,0,ROW()-1,60),ROW()-1,FALSE))</f>
        <v>6.70303147</v>
      </c>
      <c r="AI131">
        <f ca="1">IF(AND(ISNUMBER($AI$340),$B$226=1),$AI$340,HLOOKUP(INDIRECT(ADDRESS(2,COLUMN())),OFFSET($BN$2,0,0,ROW()-1,60),ROW()-1,FALSE))</f>
        <v>6.4360647489999998</v>
      </c>
      <c r="AJ131">
        <f ca="1">IF(AND(ISNUMBER($AJ$340),$B$226=1),$AJ$340,HLOOKUP(INDIRECT(ADDRESS(2,COLUMN())),OFFSET($BN$2,0,0,ROW()-1,60),ROW()-1,FALSE))</f>
        <v>4.6487674669999999</v>
      </c>
      <c r="AK131">
        <f ca="1">IF(AND(ISNUMBER($AK$340),$B$226=1),$AK$340,HLOOKUP(INDIRECT(ADDRESS(2,COLUMN())),OFFSET($BN$2,0,0,ROW()-1,60),ROW()-1,FALSE))</f>
        <v>6.0949082900000002</v>
      </c>
      <c r="AL131">
        <f ca="1">IF(AND(ISNUMBER($AL$340),$B$226=1),$AL$340,HLOOKUP(INDIRECT(ADDRESS(2,COLUMN())),OFFSET($BN$2,0,0,ROW()-1,60),ROW()-1,FALSE))</f>
        <v>6.738263796</v>
      </c>
      <c r="AM131">
        <f ca="1">IF(AND(ISNUMBER($AM$340),$B$226=1),$AM$340,HLOOKUP(INDIRECT(ADDRESS(2,COLUMN())),OFFSET($BN$2,0,0,ROW()-1,60),ROW()-1,FALSE))</f>
        <v>6.5764236560000002</v>
      </c>
      <c r="AN131">
        <f ca="1">IF(AND(ISNUMBER($AN$340),$B$226=1),$AN$340,HLOOKUP(INDIRECT(ADDRESS(2,COLUMN())),OFFSET($BN$2,0,0,ROW()-1,60),ROW()-1,FALSE))</f>
        <v>4.8664151569999996</v>
      </c>
      <c r="AO131">
        <f ca="1">IF(AND(ISNUMBER($AO$340),$B$226=1),$AO$340,HLOOKUP(INDIRECT(ADDRESS(2,COLUMN())),OFFSET($BN$2,0,0,ROW()-1,60),ROW()-1,FALSE))</f>
        <v>5.4457285510000002</v>
      </c>
      <c r="AP131">
        <f ca="1">IF(AND(ISNUMBER($AP$340),$B$226=1),$AP$340,HLOOKUP(INDIRECT(ADDRESS(2,COLUMN())),OFFSET($BN$2,0,0,ROW()-1,60),ROW()-1,FALSE))</f>
        <v>5.9673641450000003</v>
      </c>
      <c r="AQ131">
        <f ca="1">IF(AND(ISNUMBER($AQ$340),$B$226=1),$AQ$340,HLOOKUP(INDIRECT(ADDRESS(2,COLUMN())),OFFSET($BN$2,0,0,ROW()-1,60),ROW()-1,FALSE))</f>
        <v>0.536290826</v>
      </c>
      <c r="AR131">
        <f ca="1">IF(AND(ISNUMBER($AR$340),$B$226=1),$AR$340,HLOOKUP(INDIRECT(ADDRESS(2,COLUMN())),OFFSET($BN$2,0,0,ROW()-1,60),ROW()-1,FALSE))</f>
        <v>-5.3427268E-2</v>
      </c>
      <c r="AS131">
        <f ca="1">IF(AND(ISNUMBER($AS$340),$B$226=1),$AS$340,HLOOKUP(INDIRECT(ADDRESS(2,COLUMN())),OFFSET($BN$2,0,0,ROW()-1,60),ROW()-1,FALSE))</f>
        <v>2.09921E-2</v>
      </c>
      <c r="AT131">
        <f ca="1">IF(AND(ISNUMBER($AT$340),$B$226=1),$AT$340,HLOOKUP(INDIRECT(ADDRESS(2,COLUMN())),OFFSET($BN$2,0,0,ROW()-1,60),ROW()-1,FALSE))</f>
        <v>1.0499497419999999</v>
      </c>
      <c r="AU131">
        <f ca="1">IF(AND(ISNUMBER($AU$340),$B$226=1),$AU$340,HLOOKUP(INDIRECT(ADDRESS(2,COLUMN())),OFFSET($BN$2,0,0,ROW()-1,60),ROW()-1,FALSE))</f>
        <v>1.0468674650000001</v>
      </c>
      <c r="AV131">
        <f ca="1">IF(AND(ISNUMBER($AV$340),$B$226=1),$AV$340,HLOOKUP(INDIRECT(ADDRESS(2,COLUMN())),OFFSET($BN$2,0,0,ROW()-1,60),ROW()-1,FALSE))</f>
        <v>0.120788593</v>
      </c>
      <c r="AW131">
        <f ca="1">IF(AND(ISNUMBER($AW$340),$B$226=1),$AW$340,HLOOKUP(INDIRECT(ADDRESS(2,COLUMN())),OFFSET($BN$2,0,0,ROW()-1,60),ROW()-1,FALSE))</f>
        <v>-8.1405914999999995E-2</v>
      </c>
      <c r="AX131">
        <f ca="1">IF(AND(ISNUMBER($AX$340),$B$226=1),$AX$340,HLOOKUP(INDIRECT(ADDRESS(2,COLUMN())),OFFSET($BN$2,0,0,ROW()-1,60),ROW()-1,FALSE))</f>
        <v>1.19570876</v>
      </c>
      <c r="AY131">
        <f ca="1">IF(AND(ISNUMBER($AY$340),$B$226=1),$AY$340,HLOOKUP(INDIRECT(ADDRESS(2,COLUMN())),OFFSET($BN$2,0,0,ROW()-1,60),ROW()-1,FALSE))</f>
        <v>1.3206910409999999</v>
      </c>
      <c r="AZ131">
        <f ca="1">IF(AND(ISNUMBER($AZ$340),$B$226=1),$AZ$340,HLOOKUP(INDIRECT(ADDRESS(2,COLUMN())),OFFSET($BN$2,0,0,ROW()-1,60),ROW()-1,FALSE))</f>
        <v>0.15240552199999999</v>
      </c>
      <c r="BA131">
        <f ca="1">IF(AND(ISNUMBER($BA$340),$B$226=1),$BA$340,HLOOKUP(INDIRECT(ADDRESS(2,COLUMN())),OFFSET($BN$2,0,0,ROW()-1,60),ROW()-1,FALSE))</f>
        <v>2.4511050999999999E-2</v>
      </c>
      <c r="BB131">
        <f ca="1">IF(AND(ISNUMBER($BB$340),$B$226=1),$BB$340,HLOOKUP(INDIRECT(ADDRESS(2,COLUMN())),OFFSET($BN$2,0,0,ROW()-1,60),ROW()-1,FALSE))</f>
        <v>1.3351264869999999</v>
      </c>
      <c r="BC131" t="str">
        <f ca="1">IF(AND(ISNUMBER($BC$340),$B$226=1),$BC$340,HLOOKUP(INDIRECT(ADDRESS(2,COLUMN())),OFFSET($BN$2,0,0,ROW()-1,60),ROW()-1,FALSE))</f>
        <v/>
      </c>
      <c r="BD131" t="str">
        <f ca="1">IF(AND(ISNUMBER($BD$340),$B$226=1),$BD$340,HLOOKUP(INDIRECT(ADDRESS(2,COLUMN())),OFFSET($BN$2,0,0,ROW()-1,60),ROW()-1,FALSE))</f>
        <v/>
      </c>
      <c r="BE131" t="str">
        <f ca="1">IF(AND(ISNUMBER($BE$340),$B$226=1),$BE$340,HLOOKUP(INDIRECT(ADDRESS(2,COLUMN())),OFFSET($BN$2,0,0,ROW()-1,60),ROW()-1,FALSE))</f>
        <v/>
      </c>
      <c r="BF131" t="str">
        <f ca="1">IF(AND(ISNUMBER($BF$340),$B$226=1),$BF$340,HLOOKUP(INDIRECT(ADDRESS(2,COLUMN())),OFFSET($BN$2,0,0,ROW()-1,60),ROW()-1,FALSE))</f>
        <v/>
      </c>
      <c r="BG131" t="str">
        <f ca="1">IF(AND(ISNUMBER($BG$340),$B$226=1),$BG$340,HLOOKUP(INDIRECT(ADDRESS(2,COLUMN())),OFFSET($BN$2,0,0,ROW()-1,60),ROW()-1,FALSE))</f>
        <v/>
      </c>
      <c r="BH131" t="str">
        <f ca="1">IF(AND(ISNUMBER($BH$340),$B$226=1),$BH$340,HLOOKUP(INDIRECT(ADDRESS(2,COLUMN())),OFFSET($BN$2,0,0,ROW()-1,60),ROW()-1,FALSE))</f>
        <v/>
      </c>
      <c r="BI131" t="str">
        <f ca="1">IF(AND(ISNUMBER($BI$340),$B$226=1),$BI$340,HLOOKUP(INDIRECT(ADDRESS(2,COLUMN())),OFFSET($BN$2,0,0,ROW()-1,60),ROW()-1,FALSE))</f>
        <v/>
      </c>
      <c r="BJ131" t="str">
        <f ca="1">IF(AND(ISNUMBER($BJ$340),$B$226=1),$BJ$340,HLOOKUP(INDIRECT(ADDRESS(2,COLUMN())),OFFSET($BN$2,0,0,ROW()-1,60),ROW()-1,FALSE))</f>
        <v/>
      </c>
      <c r="BK131" t="str">
        <f ca="1">IF(AND(ISNUMBER($BK$340),$B$226=1),$BK$340,HLOOKUP(INDIRECT(ADDRESS(2,COLUMN())),OFFSET($BN$2,0,0,ROW()-1,60),ROW()-1,FALSE))</f>
        <v/>
      </c>
      <c r="BL131" t="str">
        <f ca="1">IF(AND(ISNUMBER($BL$340),$B$226=1),$BL$340,HLOOKUP(INDIRECT(ADDRESS(2,COLUMN())),OFFSET($BN$2,0,0,ROW()-1,60),ROW()-1,FALSE))</f>
        <v/>
      </c>
      <c r="BM131" t="str">
        <f ca="1">IF(AND(ISNUMBER($BM$340),$B$226=1),$BM$340,HLOOKUP(INDIRECT(ADDRESS(2,COLUMN())),OFFSET($BN$2,0,0,ROW()-1,60),ROW()-1,FALSE))</f>
        <v/>
      </c>
      <c r="BN131" t="str">
        <f>""</f>
        <v/>
      </c>
      <c r="BO131">
        <f>6.250027308</f>
        <v>6.2500273079999999</v>
      </c>
      <c r="BP131">
        <f>4.360803438</f>
        <v>4.3608034379999996</v>
      </c>
      <c r="BQ131">
        <f>5.214565621</f>
        <v>5.2145656210000002</v>
      </c>
      <c r="BR131">
        <f>2.822798547</f>
        <v>2.8227985470000001</v>
      </c>
      <c r="BS131">
        <f>6.472873664</f>
        <v>6.4728736639999997</v>
      </c>
      <c r="BT131">
        <f>4.791993151</f>
        <v>4.7919931509999998</v>
      </c>
      <c r="BU131">
        <f>5.376958374</f>
        <v>5.376958374</v>
      </c>
      <c r="BV131">
        <f>5.925961401</f>
        <v>5.9259614010000004</v>
      </c>
      <c r="BW131">
        <f>6.356161953</f>
        <v>6.356161953</v>
      </c>
      <c r="BX131">
        <f>4.368088179</f>
        <v>4.3680881789999999</v>
      </c>
      <c r="BY131">
        <f>5.535207666</f>
        <v>5.5352076659999998</v>
      </c>
      <c r="BZ131">
        <f>6.171594574</f>
        <v>6.1715945740000002</v>
      </c>
      <c r="CA131">
        <f>6.39920878</f>
        <v>6.3992087800000004</v>
      </c>
      <c r="CB131">
        <f>4.590857647</f>
        <v>4.590857647</v>
      </c>
      <c r="CC131">
        <f>5.480978883</f>
        <v>5.4809788829999997</v>
      </c>
      <c r="CD131">
        <f>6.209743918</f>
        <v>6.209743918</v>
      </c>
      <c r="CE131">
        <f>6.255766618</f>
        <v>6.255766618</v>
      </c>
      <c r="CF131">
        <f>4.423096574</f>
        <v>4.4230965739999997</v>
      </c>
      <c r="CG131">
        <f>5.323171342</f>
        <v>5.3231713420000002</v>
      </c>
      <c r="CH131">
        <f>6.167689908</f>
        <v>6.1676899079999998</v>
      </c>
      <c r="CI131">
        <f>5.682190648</f>
        <v>5.6821906479999997</v>
      </c>
      <c r="CJ131">
        <f>4.072264348</f>
        <v>4.072264348</v>
      </c>
      <c r="CK131">
        <f>5.624412414</f>
        <v>5.624412414</v>
      </c>
      <c r="CL131">
        <f>6.394269654</f>
        <v>6.3942696540000004</v>
      </c>
      <c r="CM131">
        <f>6.272852499</f>
        <v>6.2728524989999999</v>
      </c>
      <c r="CN131">
        <f>5.097119807</f>
        <v>5.0971198070000003</v>
      </c>
      <c r="CO131">
        <f>6.114349282</f>
        <v>6.1143492820000001</v>
      </c>
      <c r="CP131">
        <f>6.70303147</f>
        <v>6.70303147</v>
      </c>
      <c r="CQ131">
        <f>6.436064749</f>
        <v>6.4360647489999998</v>
      </c>
      <c r="CR131">
        <f>4.648767467</f>
        <v>4.6487674669999999</v>
      </c>
      <c r="CS131">
        <f>6.09490829</f>
        <v>6.0949082900000002</v>
      </c>
      <c r="CT131">
        <f>6.738263796</f>
        <v>6.738263796</v>
      </c>
      <c r="CU131">
        <f>6.576423656</f>
        <v>6.5764236560000002</v>
      </c>
      <c r="CV131">
        <f>4.866415157</f>
        <v>4.8664151569999996</v>
      </c>
      <c r="CW131">
        <f>5.445728551</f>
        <v>5.4457285510000002</v>
      </c>
      <c r="CX131">
        <f>5.967364145</f>
        <v>5.9673641450000003</v>
      </c>
      <c r="CY131">
        <f>0.536290826</f>
        <v>0.536290826</v>
      </c>
      <c r="CZ131">
        <f>-0.053427268</f>
        <v>-5.3427268E-2</v>
      </c>
      <c r="DA131">
        <f>0.0209921</f>
        <v>2.09921E-2</v>
      </c>
      <c r="DB131">
        <f>1.049949742</f>
        <v>1.0499497419999999</v>
      </c>
      <c r="DC131">
        <f>1.046867465</f>
        <v>1.0468674650000001</v>
      </c>
      <c r="DD131">
        <f>0.120788593</f>
        <v>0.120788593</v>
      </c>
      <c r="DE131">
        <f>-0.081405915</f>
        <v>-8.1405914999999995E-2</v>
      </c>
      <c r="DF131">
        <f>1.19570876</f>
        <v>1.19570876</v>
      </c>
      <c r="DG131">
        <f>1.320691041</f>
        <v>1.3206910409999999</v>
      </c>
      <c r="DH131">
        <f>0.152405522</f>
        <v>0.15240552199999999</v>
      </c>
      <c r="DI131">
        <f>0.024511051</f>
        <v>2.4511050999999999E-2</v>
      </c>
      <c r="DJ131">
        <f>1.335126487</f>
        <v>1.3351264869999999</v>
      </c>
      <c r="DK131" t="str">
        <f>""</f>
        <v/>
      </c>
      <c r="DL131" t="str">
        <f>""</f>
        <v/>
      </c>
      <c r="DM131" t="str">
        <f>""</f>
        <v/>
      </c>
      <c r="DN131" t="str">
        <f>""</f>
        <v/>
      </c>
      <c r="DO131" t="str">
        <f>""</f>
        <v/>
      </c>
      <c r="DP131" t="str">
        <f>""</f>
        <v/>
      </c>
      <c r="DQ131" t="str">
        <f>""</f>
        <v/>
      </c>
      <c r="DR131" t="str">
        <f>""</f>
        <v/>
      </c>
      <c r="DS131" t="str">
        <f>""</f>
        <v/>
      </c>
      <c r="DT131" t="str">
        <f>""</f>
        <v/>
      </c>
      <c r="DU131" t="str">
        <f>""</f>
        <v/>
      </c>
    </row>
    <row r="132" spans="1:125">
      <c r="A132" t="str">
        <f>"    AvalonBay Communities Inc"</f>
        <v xml:space="preserve">    AvalonBay Communities Inc</v>
      </c>
      <c r="B132" t="str">
        <f>"AVB US Equity"</f>
        <v>AVB US Equity</v>
      </c>
      <c r="C132" t="str">
        <f t="shared" si="42"/>
        <v>RX902</v>
      </c>
      <c r="D132" t="str">
        <f t="shared" si="43"/>
        <v>ANN_NOI_GR_AST_NET_RTL_DEV_CTD_%</v>
      </c>
      <c r="E132" t="str">
        <f t="shared" si="44"/>
        <v>动态</v>
      </c>
      <c r="F132" t="str">
        <f ca="1">IF(AND(ISNUMBER($F$341),$B$226=1),$F$341,HLOOKUP(INDIRECT(ADDRESS(2,COLUMN())),OFFSET($BN$2,0,0,ROW()-1,60),ROW()-1,FALSE))</f>
        <v/>
      </c>
      <c r="G132">
        <f ca="1">IF(AND(ISNUMBER($G$341),$B$226=1),$G$341,HLOOKUP(INDIRECT(ADDRESS(2,COLUMN())),OFFSET($BN$2,0,0,ROW()-1,60),ROW()-1,FALSE))</f>
        <v>6.9049007649999998</v>
      </c>
      <c r="H132">
        <f ca="1">IF(AND(ISNUMBER($H$341),$B$226=1),$H$341,HLOOKUP(INDIRECT(ADDRESS(2,COLUMN())),OFFSET($BN$2,0,0,ROW()-1,60),ROW()-1,FALSE))</f>
        <v>6.8037504000000002</v>
      </c>
      <c r="I132">
        <f ca="1">IF(AND(ISNUMBER($I$341),$B$226=1),$I$341,HLOOKUP(INDIRECT(ADDRESS(2,COLUMN())),OFFSET($BN$2,0,0,ROW()-1,60),ROW()-1,FALSE))</f>
        <v>6.7010897829999996</v>
      </c>
      <c r="J132">
        <f ca="1">IF(AND(ISNUMBER($J$341),$B$226=1),$J$341,HLOOKUP(INDIRECT(ADDRESS(2,COLUMN())),OFFSET($BN$2,0,0,ROW()-1,60),ROW()-1,FALSE))</f>
        <v>6.6434477120000004</v>
      </c>
      <c r="K132">
        <f ca="1">IF(AND(ISNUMBER($K$341),$B$226=1),$K$341,HLOOKUP(INDIRECT(ADDRESS(2,COLUMN())),OFFSET($BN$2,0,0,ROW()-1,60),ROW()-1,FALSE))</f>
        <v>6.743781137</v>
      </c>
      <c r="L132">
        <f ca="1">IF(AND(ISNUMBER($L$341),$B$226=1),$L$341,HLOOKUP(INDIRECT(ADDRESS(2,COLUMN())),OFFSET($BN$2,0,0,ROW()-1,60),ROW()-1,FALSE))</f>
        <v>6.604451192</v>
      </c>
      <c r="M132">
        <f ca="1">IF(AND(ISNUMBER($M$341),$B$226=1),$M$341,HLOOKUP(INDIRECT(ADDRESS(2,COLUMN())),OFFSET($BN$2,0,0,ROW()-1,60),ROW()-1,FALSE))</f>
        <v>6.64469829</v>
      </c>
      <c r="N132">
        <f ca="1">IF(AND(ISNUMBER($N$341),$B$226=1),$N$341,HLOOKUP(INDIRECT(ADDRESS(2,COLUMN())),OFFSET($BN$2,0,0,ROW()-1,60),ROW()-1,FALSE))</f>
        <v>7.0092080770000003</v>
      </c>
      <c r="O132">
        <f ca="1">IF(AND(ISNUMBER($O$341),$B$226=1),$O$341,HLOOKUP(INDIRECT(ADDRESS(2,COLUMN())),OFFSET($BN$2,0,0,ROW()-1,60),ROW()-1,FALSE))</f>
        <v>6.6247605150000002</v>
      </c>
      <c r="P132">
        <f ca="1">IF(AND(ISNUMBER($P$341),$B$226=1),$P$341,HLOOKUP(INDIRECT(ADDRESS(2,COLUMN())),OFFSET($BN$2,0,0,ROW()-1,60),ROW()-1,FALSE))</f>
        <v>6.462662216</v>
      </c>
      <c r="Q132">
        <f ca="1">IF(AND(ISNUMBER($Q$341),$B$226=1),$Q$341,HLOOKUP(INDIRECT(ADDRESS(2,COLUMN())),OFFSET($BN$2,0,0,ROW()-1,60),ROW()-1,FALSE))</f>
        <v>6.4702860979999999</v>
      </c>
      <c r="R132">
        <f ca="1">IF(AND(ISNUMBER($R$341),$B$226=1),$R$341,HLOOKUP(INDIRECT(ADDRESS(2,COLUMN())),OFFSET($BN$2,0,0,ROW()-1,60),ROW()-1,FALSE))</f>
        <v>6.141735122</v>
      </c>
      <c r="S132">
        <f ca="1">IF(AND(ISNUMBER($S$341),$B$226=1),$S$341,HLOOKUP(INDIRECT(ADDRESS(2,COLUMN())),OFFSET($BN$2,0,0,ROW()-1,60),ROW()-1,FALSE))</f>
        <v>6.3164471869999996</v>
      </c>
      <c r="T132">
        <f ca="1">IF(AND(ISNUMBER($T$341),$B$226=1),$T$341,HLOOKUP(INDIRECT(ADDRESS(2,COLUMN())),OFFSET($BN$2,0,0,ROW()-1,60),ROW()-1,FALSE))</f>
        <v>6.2813606460000004</v>
      </c>
      <c r="U132">
        <f ca="1">IF(AND(ISNUMBER($U$341),$B$226=1),$U$341,HLOOKUP(INDIRECT(ADDRESS(2,COLUMN())),OFFSET($BN$2,0,0,ROW()-1,60),ROW()-1,FALSE))</f>
        <v>6.1407216189999998</v>
      </c>
      <c r="V132">
        <f ca="1">IF(AND(ISNUMBER($V$341),$B$226=1),$V$341,HLOOKUP(INDIRECT(ADDRESS(2,COLUMN())),OFFSET($BN$2,0,0,ROW()-1,60),ROW()-1,FALSE))</f>
        <v>5.8063160749999998</v>
      </c>
      <c r="W132">
        <f ca="1">IF(AND(ISNUMBER($W$341),$B$226=1),$W$341,HLOOKUP(INDIRECT(ADDRESS(2,COLUMN())),OFFSET($BN$2,0,0,ROW()-1,60),ROW()-1,FALSE))</f>
        <v>5.877844906</v>
      </c>
      <c r="X132">
        <f ca="1">IF(AND(ISNUMBER($X$341),$B$226=1),$X$341,HLOOKUP(INDIRECT(ADDRESS(2,COLUMN())),OFFSET($BN$2,0,0,ROW()-1,60),ROW()-1,FALSE))</f>
        <v>5.8767506210000002</v>
      </c>
      <c r="Y132">
        <f ca="1">IF(AND(ISNUMBER($Y$341),$B$226=1),$Y$341,HLOOKUP(INDIRECT(ADDRESS(2,COLUMN())),OFFSET($BN$2,0,0,ROW()-1,60),ROW()-1,FALSE))</f>
        <v>5.9883513519999996</v>
      </c>
      <c r="Z132">
        <f ca="1">IF(AND(ISNUMBER($Z$341),$B$226=1),$Z$341,HLOOKUP(INDIRECT(ADDRESS(2,COLUMN())),OFFSET($BN$2,0,0,ROW()-1,60),ROW()-1,FALSE))</f>
        <v>4.7933450830000002</v>
      </c>
      <c r="AA132">
        <f ca="1">IF(AND(ISNUMBER($AA$341),$B$226=1),$AA$341,HLOOKUP(INDIRECT(ADDRESS(2,COLUMN())),OFFSET($BN$2,0,0,ROW()-1,60),ROW()-1,FALSE))</f>
        <v>5.4941493780000004</v>
      </c>
      <c r="AB132">
        <f ca="1">IF(AND(ISNUMBER($AB$341),$B$226=1),$AB$341,HLOOKUP(INDIRECT(ADDRESS(2,COLUMN())),OFFSET($BN$2,0,0,ROW()-1,60),ROW()-1,FALSE))</f>
        <v>6.4599646499999999</v>
      </c>
      <c r="AC132">
        <f ca="1">IF(AND(ISNUMBER($AC$341),$B$226=1),$AC$341,HLOOKUP(INDIRECT(ADDRESS(2,COLUMN())),OFFSET($BN$2,0,0,ROW()-1,60),ROW()-1,FALSE))</f>
        <v>6.6135391400000003</v>
      </c>
      <c r="AD132">
        <f ca="1">IF(AND(ISNUMBER($AD$341),$B$226=1),$AD$341,HLOOKUP(INDIRECT(ADDRESS(2,COLUMN())),OFFSET($BN$2,0,0,ROW()-1,60),ROW()-1,FALSE))</f>
        <v>6.5986988249999996</v>
      </c>
      <c r="AE132">
        <f ca="1">IF(AND(ISNUMBER($AE$341),$B$226=1),$AE$341,HLOOKUP(INDIRECT(ADDRESS(2,COLUMN())),OFFSET($BN$2,0,0,ROW()-1,60),ROW()-1,FALSE))</f>
        <v>6.4227158959999997</v>
      </c>
      <c r="AF132">
        <f ca="1">IF(AND(ISNUMBER($AF$341),$B$226=1),$AF$341,HLOOKUP(INDIRECT(ADDRESS(2,COLUMN())),OFFSET($BN$2,0,0,ROW()-1,60),ROW()-1,FALSE))</f>
        <v>6.2601472539999996</v>
      </c>
      <c r="AG132">
        <f ca="1">IF(AND(ISNUMBER($AG$341),$B$226=1),$AG$341,HLOOKUP(INDIRECT(ADDRESS(2,COLUMN())),OFFSET($BN$2,0,0,ROW()-1,60),ROW()-1,FALSE))</f>
        <v>6.5267365709999998</v>
      </c>
      <c r="AH132">
        <f ca="1">IF(AND(ISNUMBER($AH$341),$B$226=1),$AH$341,HLOOKUP(INDIRECT(ADDRESS(2,COLUMN())),OFFSET($BN$2,0,0,ROW()-1,60),ROW()-1,FALSE))</f>
        <v>6.1976837759999999</v>
      </c>
      <c r="AI132">
        <f ca="1">IF(AND(ISNUMBER($AI$341),$B$226=1),$AI$341,HLOOKUP(INDIRECT(ADDRESS(2,COLUMN())),OFFSET($BN$2,0,0,ROW()-1,60),ROW()-1,FALSE))</f>
        <v>6.2263889450000001</v>
      </c>
      <c r="AJ132">
        <f ca="1">IF(AND(ISNUMBER($AJ$341),$B$226=1),$AJ$341,HLOOKUP(INDIRECT(ADDRESS(2,COLUMN())),OFFSET($BN$2,0,0,ROW()-1,60),ROW()-1,FALSE))</f>
        <v>6.207452473</v>
      </c>
      <c r="AK132">
        <f ca="1">IF(AND(ISNUMBER($AK$341),$B$226=1),$AK$341,HLOOKUP(INDIRECT(ADDRESS(2,COLUMN())),OFFSET($BN$2,0,0,ROW()-1,60),ROW()-1,FALSE))</f>
        <v>6.0584278080000002</v>
      </c>
      <c r="AL132">
        <f ca="1">IF(AND(ISNUMBER($AL$341),$B$226=1),$AL$341,HLOOKUP(INDIRECT(ADDRESS(2,COLUMN())),OFFSET($BN$2,0,0,ROW()-1,60),ROW()-1,FALSE))</f>
        <v>6.0235046170000004</v>
      </c>
      <c r="AM132">
        <f ca="1">IF(AND(ISNUMBER($AM$341),$B$226=1),$AM$341,HLOOKUP(INDIRECT(ADDRESS(2,COLUMN())),OFFSET($BN$2,0,0,ROW()-1,60),ROW()-1,FALSE))</f>
        <v>6.0698505740000002</v>
      </c>
      <c r="AN132">
        <f ca="1">IF(AND(ISNUMBER($AN$341),$B$226=1),$AN$341,HLOOKUP(INDIRECT(ADDRESS(2,COLUMN())),OFFSET($BN$2,0,0,ROW()-1,60),ROW()-1,FALSE))</f>
        <v>5.809553749</v>
      </c>
      <c r="AO132">
        <f ca="1">IF(AND(ISNUMBER($AO$341),$B$226=1),$AO$341,HLOOKUP(INDIRECT(ADDRESS(2,COLUMN())),OFFSET($BN$2,0,0,ROW()-1,60),ROW()-1,FALSE))</f>
        <v>6.0604202149999997</v>
      </c>
      <c r="AP132">
        <f ca="1">IF(AND(ISNUMBER($AP$341),$B$226=1),$AP$341,HLOOKUP(INDIRECT(ADDRESS(2,COLUMN())),OFFSET($BN$2,0,0,ROW()-1,60),ROW()-1,FALSE))</f>
        <v>6.2981873769999996</v>
      </c>
      <c r="AQ132">
        <f ca="1">IF(AND(ISNUMBER($AQ$341),$B$226=1),$AQ$341,HLOOKUP(INDIRECT(ADDRESS(2,COLUMN())),OFFSET($BN$2,0,0,ROW()-1,60),ROW()-1,FALSE))</f>
        <v>6.9507788189999999</v>
      </c>
      <c r="AR132">
        <f ca="1">IF(AND(ISNUMBER($AR$341),$B$226=1),$AR$341,HLOOKUP(INDIRECT(ADDRESS(2,COLUMN())),OFFSET($BN$2,0,0,ROW()-1,60),ROW()-1,FALSE))</f>
        <v>6.7508931719999996</v>
      </c>
      <c r="AS132">
        <f ca="1">IF(AND(ISNUMBER($AS$341),$B$226=1),$AS$341,HLOOKUP(INDIRECT(ADDRESS(2,COLUMN())),OFFSET($BN$2,0,0,ROW()-1,60),ROW()-1,FALSE))</f>
        <v>6.970905267</v>
      </c>
      <c r="AT132">
        <f ca="1">IF(AND(ISNUMBER($AT$341),$B$226=1),$AT$341,HLOOKUP(INDIRECT(ADDRESS(2,COLUMN())),OFFSET($BN$2,0,0,ROW()-1,60),ROW()-1,FALSE))</f>
        <v>6.467064412</v>
      </c>
      <c r="AU132">
        <f ca="1">IF(AND(ISNUMBER($AU$341),$B$226=1),$AU$341,HLOOKUP(INDIRECT(ADDRESS(2,COLUMN())),OFFSET($BN$2,0,0,ROW()-1,60),ROW()-1,FALSE))</f>
        <v>6.637784044</v>
      </c>
      <c r="AV132">
        <f ca="1">IF(AND(ISNUMBER($AV$341),$B$226=1),$AV$341,HLOOKUP(INDIRECT(ADDRESS(2,COLUMN())),OFFSET($BN$2,0,0,ROW()-1,60),ROW()-1,FALSE))</f>
        <v>6.6113186839999996</v>
      </c>
      <c r="AW132">
        <f ca="1">IF(AND(ISNUMBER($AW$341),$B$226=1),$AW$341,HLOOKUP(INDIRECT(ADDRESS(2,COLUMN())),OFFSET($BN$2,0,0,ROW()-1,60),ROW()-1,FALSE))</f>
        <v>6.5653031759999996</v>
      </c>
      <c r="AX132">
        <f ca="1">IF(AND(ISNUMBER($AX$341),$B$226=1),$AX$341,HLOOKUP(INDIRECT(ADDRESS(2,COLUMN())),OFFSET($BN$2,0,0,ROW()-1,60),ROW()-1,FALSE))</f>
        <v>6.6130811390000002</v>
      </c>
      <c r="AY132">
        <f ca="1">IF(AND(ISNUMBER($AY$341),$B$226=1),$AY$341,HLOOKUP(INDIRECT(ADDRESS(2,COLUMN())),OFFSET($BN$2,0,0,ROW()-1,60),ROW()-1,FALSE))</f>
        <v>7.17195713</v>
      </c>
      <c r="AZ132">
        <f ca="1">IF(AND(ISNUMBER($AZ$341),$B$226=1),$AZ$341,HLOOKUP(INDIRECT(ADDRESS(2,COLUMN())),OFFSET($BN$2,0,0,ROW()-1,60),ROW()-1,FALSE))</f>
        <v>7.2082287799999998</v>
      </c>
      <c r="BA132">
        <f ca="1">IF(AND(ISNUMBER($BA$341),$B$226=1),$BA$341,HLOOKUP(INDIRECT(ADDRESS(2,COLUMN())),OFFSET($BN$2,0,0,ROW()-1,60),ROW()-1,FALSE))</f>
        <v>7.4996498999999996</v>
      </c>
      <c r="BB132">
        <f ca="1">IF(AND(ISNUMBER($BB$341),$B$226=1),$BB$341,HLOOKUP(INDIRECT(ADDRESS(2,COLUMN())),OFFSET($BN$2,0,0,ROW()-1,60),ROW()-1,FALSE))</f>
        <v>7.5283531149999998</v>
      </c>
      <c r="BC132">
        <f ca="1">IF(AND(ISNUMBER($BC$341),$B$226=1),$BC$341,HLOOKUP(INDIRECT(ADDRESS(2,COLUMN())),OFFSET($BN$2,0,0,ROW()-1,60),ROW()-1,FALSE))</f>
        <v>7.5803529110000003</v>
      </c>
      <c r="BD132">
        <f ca="1">IF(AND(ISNUMBER($BD$341),$B$226=1),$BD$341,HLOOKUP(INDIRECT(ADDRESS(2,COLUMN())),OFFSET($BN$2,0,0,ROW()-1,60),ROW()-1,FALSE))</f>
        <v>7.407654108</v>
      </c>
      <c r="BE132">
        <f ca="1">IF(AND(ISNUMBER($BE$341),$B$226=1),$BE$341,HLOOKUP(INDIRECT(ADDRESS(2,COLUMN())),OFFSET($BN$2,0,0,ROW()-1,60),ROW()-1,FALSE))</f>
        <v>7.364818895</v>
      </c>
      <c r="BF132">
        <f ca="1">IF(AND(ISNUMBER($BF$341),$B$226=1),$BF$341,HLOOKUP(INDIRECT(ADDRESS(2,COLUMN())),OFFSET($BN$2,0,0,ROW()-1,60),ROW()-1,FALSE))</f>
        <v>7.2244784329999998</v>
      </c>
      <c r="BG132">
        <f ca="1">IF(AND(ISNUMBER($BG$341),$B$226=1),$BG$341,HLOOKUP(INDIRECT(ADDRESS(2,COLUMN())),OFFSET($BN$2,0,0,ROW()-1,60),ROW()-1,FALSE))</f>
        <v>6.2000701449999998</v>
      </c>
      <c r="BH132">
        <f ca="1">IF(AND(ISNUMBER($BH$341),$B$226=1),$BH$341,HLOOKUP(INDIRECT(ADDRESS(2,COLUMN())),OFFSET($BN$2,0,0,ROW()-1,60),ROW()-1,FALSE))</f>
        <v>6.8736557879999998</v>
      </c>
      <c r="BI132">
        <f ca="1">IF(AND(ISNUMBER($BI$341),$B$226=1),$BI$341,HLOOKUP(INDIRECT(ADDRESS(2,COLUMN())),OFFSET($BN$2,0,0,ROW()-1,60),ROW()-1,FALSE))</f>
        <v>7.5065786790000004</v>
      </c>
      <c r="BJ132">
        <f ca="1">IF(AND(ISNUMBER($BJ$341),$B$226=1),$BJ$341,HLOOKUP(INDIRECT(ADDRESS(2,COLUMN())),OFFSET($BN$2,0,0,ROW()-1,60),ROW()-1,FALSE))</f>
        <v>7.2896673310000004</v>
      </c>
      <c r="BK132" t="str">
        <f ca="1">IF(AND(ISNUMBER($BK$341),$B$226=1),$BK$341,HLOOKUP(INDIRECT(ADDRESS(2,COLUMN())),OFFSET($BN$2,0,0,ROW()-1,60),ROW()-1,FALSE))</f>
        <v/>
      </c>
      <c r="BL132">
        <f ca="1">IF(AND(ISNUMBER($BL$341),$B$226=1),$BL$341,HLOOKUP(INDIRECT(ADDRESS(2,COLUMN())),OFFSET($BN$2,0,0,ROW()-1,60),ROW()-1,FALSE))</f>
        <v>7.0078499819999998</v>
      </c>
      <c r="BM132">
        <f ca="1">IF(AND(ISNUMBER($BM$341),$B$226=1),$BM$341,HLOOKUP(INDIRECT(ADDRESS(2,COLUMN())),OFFSET($BN$2,0,0,ROW()-1,60),ROW()-1,FALSE))</f>
        <v>7.1787267019999996</v>
      </c>
      <c r="BN132" t="str">
        <f>""</f>
        <v/>
      </c>
      <c r="BO132">
        <f>6.904900765</f>
        <v>6.9049007649999998</v>
      </c>
      <c r="BP132">
        <f>6.8037504</f>
        <v>6.8037504000000002</v>
      </c>
      <c r="BQ132">
        <f>6.701089783</f>
        <v>6.7010897829999996</v>
      </c>
      <c r="BR132">
        <f>6.643447712</f>
        <v>6.6434477120000004</v>
      </c>
      <c r="BS132">
        <f>6.743781137</f>
        <v>6.743781137</v>
      </c>
      <c r="BT132">
        <f>6.604451192</f>
        <v>6.604451192</v>
      </c>
      <c r="BU132">
        <f>6.64469829</f>
        <v>6.64469829</v>
      </c>
      <c r="BV132">
        <f>7.009208077</f>
        <v>7.0092080770000003</v>
      </c>
      <c r="BW132">
        <f>6.624760515</f>
        <v>6.6247605150000002</v>
      </c>
      <c r="BX132">
        <f>6.462662216</f>
        <v>6.462662216</v>
      </c>
      <c r="BY132">
        <f>6.470286098</f>
        <v>6.4702860979999999</v>
      </c>
      <c r="BZ132">
        <f>6.141735122</f>
        <v>6.141735122</v>
      </c>
      <c r="CA132">
        <f>6.316447187</f>
        <v>6.3164471869999996</v>
      </c>
      <c r="CB132">
        <f>6.281360646</f>
        <v>6.2813606460000004</v>
      </c>
      <c r="CC132">
        <f>6.140721619</f>
        <v>6.1407216189999998</v>
      </c>
      <c r="CD132">
        <f>5.806316075</f>
        <v>5.8063160749999998</v>
      </c>
      <c r="CE132">
        <f>5.877844906</f>
        <v>5.877844906</v>
      </c>
      <c r="CF132">
        <f>5.876750621</f>
        <v>5.8767506210000002</v>
      </c>
      <c r="CG132">
        <f>5.988351352</f>
        <v>5.9883513519999996</v>
      </c>
      <c r="CH132">
        <f>4.793345083</f>
        <v>4.7933450830000002</v>
      </c>
      <c r="CI132">
        <f>5.494149378</f>
        <v>5.4941493780000004</v>
      </c>
      <c r="CJ132">
        <f>6.45996465</f>
        <v>6.4599646499999999</v>
      </c>
      <c r="CK132">
        <f>6.61353914</f>
        <v>6.6135391400000003</v>
      </c>
      <c r="CL132">
        <f>6.598698825</f>
        <v>6.5986988249999996</v>
      </c>
      <c r="CM132">
        <f>6.422715896</f>
        <v>6.4227158959999997</v>
      </c>
      <c r="CN132">
        <f>6.260147254</f>
        <v>6.2601472539999996</v>
      </c>
      <c r="CO132">
        <f>6.526736571</f>
        <v>6.5267365709999998</v>
      </c>
      <c r="CP132">
        <f>6.197683776</f>
        <v>6.1976837759999999</v>
      </c>
      <c r="CQ132">
        <f>6.226388945</f>
        <v>6.2263889450000001</v>
      </c>
      <c r="CR132">
        <f>6.207452473</f>
        <v>6.207452473</v>
      </c>
      <c r="CS132">
        <f>6.058427808</f>
        <v>6.0584278080000002</v>
      </c>
      <c r="CT132">
        <f>6.023504617</f>
        <v>6.0235046170000004</v>
      </c>
      <c r="CU132">
        <f>6.069850574</f>
        <v>6.0698505740000002</v>
      </c>
      <c r="CV132">
        <f>5.809553749</f>
        <v>5.809553749</v>
      </c>
      <c r="CW132">
        <f>6.060420215</f>
        <v>6.0604202149999997</v>
      </c>
      <c r="CX132">
        <f>6.298187377</f>
        <v>6.2981873769999996</v>
      </c>
      <c r="CY132">
        <f>6.950778819</f>
        <v>6.9507788189999999</v>
      </c>
      <c r="CZ132">
        <f>6.750893172</f>
        <v>6.7508931719999996</v>
      </c>
      <c r="DA132">
        <f>6.970905267</f>
        <v>6.970905267</v>
      </c>
      <c r="DB132">
        <f>6.467064412</f>
        <v>6.467064412</v>
      </c>
      <c r="DC132">
        <f>6.637784044</f>
        <v>6.637784044</v>
      </c>
      <c r="DD132">
        <f>6.611318684</f>
        <v>6.6113186839999996</v>
      </c>
      <c r="DE132">
        <f>6.565303176</f>
        <v>6.5653031759999996</v>
      </c>
      <c r="DF132">
        <f>6.613081139</f>
        <v>6.6130811390000002</v>
      </c>
      <c r="DG132">
        <f>7.17195713</f>
        <v>7.17195713</v>
      </c>
      <c r="DH132">
        <f>7.20822878</f>
        <v>7.2082287799999998</v>
      </c>
      <c r="DI132">
        <f>7.4996499</f>
        <v>7.4996498999999996</v>
      </c>
      <c r="DJ132">
        <f>7.528353115</f>
        <v>7.5283531149999998</v>
      </c>
      <c r="DK132">
        <f>7.580352911</f>
        <v>7.5803529110000003</v>
      </c>
      <c r="DL132">
        <f>7.407654108</f>
        <v>7.407654108</v>
      </c>
      <c r="DM132">
        <f>7.364818895</f>
        <v>7.364818895</v>
      </c>
      <c r="DN132">
        <f>7.224478433</f>
        <v>7.2244784329999998</v>
      </c>
      <c r="DO132">
        <f>6.200070145</f>
        <v>6.2000701449999998</v>
      </c>
      <c r="DP132">
        <f>6.873655788</f>
        <v>6.8736557879999998</v>
      </c>
      <c r="DQ132">
        <f>7.506578679</f>
        <v>7.5065786790000004</v>
      </c>
      <c r="DR132">
        <f>7.289667331</f>
        <v>7.2896673310000004</v>
      </c>
      <c r="DS132" t="str">
        <f>""</f>
        <v/>
      </c>
      <c r="DT132">
        <f>7.007849982</f>
        <v>7.0078499819999998</v>
      </c>
      <c r="DU132">
        <f>7.178726702</f>
        <v>7.1787267019999996</v>
      </c>
    </row>
    <row r="133" spans="1:125">
      <c r="A133" t="str">
        <f>"    Camden Property Trust"</f>
        <v xml:space="preserve">    Camden Property Trust</v>
      </c>
      <c r="B133" t="str">
        <f>"CPT US Equity"</f>
        <v>CPT US Equity</v>
      </c>
      <c r="C133" t="str">
        <f t="shared" si="42"/>
        <v>RX902</v>
      </c>
      <c r="D133" t="str">
        <f t="shared" si="43"/>
        <v>ANN_NOI_GR_AST_NET_RTL_DEV_CTD_%</v>
      </c>
      <c r="E133" t="str">
        <f t="shared" si="44"/>
        <v>动态</v>
      </c>
      <c r="F133" t="str">
        <f ca="1">IF(AND(ISNUMBER($F$342),$B$226=1),$F$342,HLOOKUP(INDIRECT(ADDRESS(2,COLUMN())),OFFSET($BN$2,0,0,ROW()-1,60),ROW()-1,FALSE))</f>
        <v/>
      </c>
      <c r="G133">
        <f ca="1">IF(AND(ISNUMBER($G$342),$B$226=1),$G$342,HLOOKUP(INDIRECT(ADDRESS(2,COLUMN())),OFFSET($BN$2,0,0,ROW()-1,60),ROW()-1,FALSE))</f>
        <v>7.1962585380000004</v>
      </c>
      <c r="H133">
        <f ca="1">IF(AND(ISNUMBER($H$342),$B$226=1),$H$342,HLOOKUP(INDIRECT(ADDRESS(2,COLUMN())),OFFSET($BN$2,0,0,ROW()-1,60),ROW()-1,FALSE))</f>
        <v>6.7828832500000003</v>
      </c>
      <c r="I133">
        <f ca="1">IF(AND(ISNUMBER($I$342),$B$226=1),$I$342,HLOOKUP(INDIRECT(ADDRESS(2,COLUMN())),OFFSET($BN$2,0,0,ROW()-1,60),ROW()-1,FALSE))</f>
        <v>7.3202600330000003</v>
      </c>
      <c r="J133">
        <f ca="1">IF(AND(ISNUMBER($J$342),$B$226=1),$J$342,HLOOKUP(INDIRECT(ADDRESS(2,COLUMN())),OFFSET($BN$2,0,0,ROW()-1,60),ROW()-1,FALSE))</f>
        <v>7.1019395540000003</v>
      </c>
      <c r="K133">
        <f ca="1">IF(AND(ISNUMBER($K$342),$B$226=1),$K$342,HLOOKUP(INDIRECT(ADDRESS(2,COLUMN())),OFFSET($BN$2,0,0,ROW()-1,60),ROW()-1,FALSE))</f>
        <v>7.2466967249999996</v>
      </c>
      <c r="L133">
        <f ca="1">IF(AND(ISNUMBER($L$342),$B$226=1),$L$342,HLOOKUP(INDIRECT(ADDRESS(2,COLUMN())),OFFSET($BN$2,0,0,ROW()-1,60),ROW()-1,FALSE))</f>
        <v>7.0656120700000002</v>
      </c>
      <c r="M133">
        <f ca="1">IF(AND(ISNUMBER($M$342),$B$226=1),$M$342,HLOOKUP(INDIRECT(ADDRESS(2,COLUMN())),OFFSET($BN$2,0,0,ROW()-1,60),ROW()-1,FALSE))</f>
        <v>7.0177198389999997</v>
      </c>
      <c r="N133">
        <f ca="1">IF(AND(ISNUMBER($N$342),$B$226=1),$N$342,HLOOKUP(INDIRECT(ADDRESS(2,COLUMN())),OFFSET($BN$2,0,0,ROW()-1,60),ROW()-1,FALSE))</f>
        <v>7.1278256769999997</v>
      </c>
      <c r="O133">
        <f ca="1">IF(AND(ISNUMBER($O$342),$B$226=1),$O$342,HLOOKUP(INDIRECT(ADDRESS(2,COLUMN())),OFFSET($BN$2,0,0,ROW()-1,60),ROW()-1,FALSE))</f>
        <v>7.1589421030000002</v>
      </c>
      <c r="P133">
        <f ca="1">IF(AND(ISNUMBER($P$342),$B$226=1),$P$342,HLOOKUP(INDIRECT(ADDRESS(2,COLUMN())),OFFSET($BN$2,0,0,ROW()-1,60),ROW()-1,FALSE))</f>
        <v>6.7399589630000003</v>
      </c>
      <c r="Q133">
        <f ca="1">IF(AND(ISNUMBER($Q$342),$B$226=1),$Q$342,HLOOKUP(INDIRECT(ADDRESS(2,COLUMN())),OFFSET($BN$2,0,0,ROW()-1,60),ROW()-1,FALSE))</f>
        <v>6.7508122620000002</v>
      </c>
      <c r="R133">
        <f ca="1">IF(AND(ISNUMBER($R$342),$B$226=1),$R$342,HLOOKUP(INDIRECT(ADDRESS(2,COLUMN())),OFFSET($BN$2,0,0,ROW()-1,60),ROW()-1,FALSE))</f>
        <v>6.9590023580000002</v>
      </c>
      <c r="S133">
        <f ca="1">IF(AND(ISNUMBER($S$342),$B$226=1),$S$342,HLOOKUP(INDIRECT(ADDRESS(2,COLUMN())),OFFSET($BN$2,0,0,ROW()-1,60),ROW()-1,FALSE))</f>
        <v>7.1968559560000003</v>
      </c>
      <c r="T133">
        <f ca="1">IF(AND(ISNUMBER($T$342),$B$226=1),$T$342,HLOOKUP(INDIRECT(ADDRESS(2,COLUMN())),OFFSET($BN$2,0,0,ROW()-1,60),ROW()-1,FALSE))</f>
        <v>6.9603241379999998</v>
      </c>
      <c r="U133">
        <f ca="1">IF(AND(ISNUMBER($U$342),$B$226=1),$U$342,HLOOKUP(INDIRECT(ADDRESS(2,COLUMN())),OFFSET($BN$2,0,0,ROW()-1,60),ROW()-1,FALSE))</f>
        <v>7.0302951260000004</v>
      </c>
      <c r="V133">
        <f ca="1">IF(AND(ISNUMBER($V$342),$B$226=1),$V$342,HLOOKUP(INDIRECT(ADDRESS(2,COLUMN())),OFFSET($BN$2,0,0,ROW()-1,60),ROW()-1,FALSE))</f>
        <v>7.1344418489999999</v>
      </c>
      <c r="W133">
        <f ca="1">IF(AND(ISNUMBER($W$342),$B$226=1),$W$342,HLOOKUP(INDIRECT(ADDRESS(2,COLUMN())),OFFSET($BN$2,0,0,ROW()-1,60),ROW()-1,FALSE))</f>
        <v>7.2809597330000004</v>
      </c>
      <c r="X133">
        <f ca="1">IF(AND(ISNUMBER($X$342),$B$226=1),$X$342,HLOOKUP(INDIRECT(ADDRESS(2,COLUMN())),OFFSET($BN$2,0,0,ROW()-1,60),ROW()-1,FALSE))</f>
        <v>6.9472881329999998</v>
      </c>
      <c r="Y133">
        <f ca="1">IF(AND(ISNUMBER($Y$342),$B$226=1),$Y$342,HLOOKUP(INDIRECT(ADDRESS(2,COLUMN())),OFFSET($BN$2,0,0,ROW()-1,60),ROW()-1,FALSE))</f>
        <v>6.9604568469999997</v>
      </c>
      <c r="Z133">
        <f ca="1">IF(AND(ISNUMBER($Z$342),$B$226=1),$Z$342,HLOOKUP(INDIRECT(ADDRESS(2,COLUMN())),OFFSET($BN$2,0,0,ROW()-1,60),ROW()-1,FALSE))</f>
        <v>7.1542408430000002</v>
      </c>
      <c r="AA133">
        <f ca="1">IF(AND(ISNUMBER($AA$342),$B$226=1),$AA$342,HLOOKUP(INDIRECT(ADDRESS(2,COLUMN())),OFFSET($BN$2,0,0,ROW()-1,60),ROW()-1,FALSE))</f>
        <v>6.8514968280000001</v>
      </c>
      <c r="AB133">
        <f ca="1">IF(AND(ISNUMBER($AB$342),$B$226=1),$AB$342,HLOOKUP(INDIRECT(ADDRESS(2,COLUMN())),OFFSET($BN$2,0,0,ROW()-1,60),ROW()-1,FALSE))</f>
        <v>7.1651611050000001</v>
      </c>
      <c r="AC133">
        <f ca="1">IF(AND(ISNUMBER($AC$342),$B$226=1),$AC$342,HLOOKUP(INDIRECT(ADDRESS(2,COLUMN())),OFFSET($BN$2,0,0,ROW()-1,60),ROW()-1,FALSE))</f>
        <v>6.6855674059999997</v>
      </c>
      <c r="AD133">
        <f ca="1">IF(AND(ISNUMBER($AD$342),$B$226=1),$AD$342,HLOOKUP(INDIRECT(ADDRESS(2,COLUMN())),OFFSET($BN$2,0,0,ROW()-1,60),ROW()-1,FALSE))</f>
        <v>6.5740848769999998</v>
      </c>
      <c r="AE133">
        <f ca="1">IF(AND(ISNUMBER($AE$342),$B$226=1),$AE$342,HLOOKUP(INDIRECT(ADDRESS(2,COLUMN())),OFFSET($BN$2,0,0,ROW()-1,60),ROW()-1,FALSE))</f>
        <v>6.6298324290000004</v>
      </c>
      <c r="AF133">
        <f ca="1">IF(AND(ISNUMBER($AF$342),$B$226=1),$AF$342,HLOOKUP(INDIRECT(ADDRESS(2,COLUMN())),OFFSET($BN$2,0,0,ROW()-1,60),ROW()-1,FALSE))</f>
        <v>6.5554370100000003</v>
      </c>
      <c r="AG133">
        <f ca="1">IF(AND(ISNUMBER($AG$342),$B$226=1),$AG$342,HLOOKUP(INDIRECT(ADDRESS(2,COLUMN())),OFFSET($BN$2,0,0,ROW()-1,60),ROW()-1,FALSE))</f>
        <v>6.7018666690000002</v>
      </c>
      <c r="AH133">
        <f ca="1">IF(AND(ISNUMBER($AH$342),$B$226=1),$AH$342,HLOOKUP(INDIRECT(ADDRESS(2,COLUMN())),OFFSET($BN$2,0,0,ROW()-1,60),ROW()-1,FALSE))</f>
        <v>6.4504139460000003</v>
      </c>
      <c r="AI133">
        <f ca="1">IF(AND(ISNUMBER($AI$342),$B$226=1),$AI$342,HLOOKUP(INDIRECT(ADDRESS(2,COLUMN())),OFFSET($BN$2,0,0,ROW()-1,60),ROW()-1,FALSE))</f>
        <v>6.2908948130000004</v>
      </c>
      <c r="AJ133">
        <f ca="1">IF(AND(ISNUMBER($AJ$342),$B$226=1),$AJ$342,HLOOKUP(INDIRECT(ADDRESS(2,COLUMN())),OFFSET($BN$2,0,0,ROW()-1,60),ROW()-1,FALSE))</f>
        <v>6.1754289849999999</v>
      </c>
      <c r="AK133">
        <f ca="1">IF(AND(ISNUMBER($AK$342),$B$226=1),$AK$342,HLOOKUP(INDIRECT(ADDRESS(2,COLUMN())),OFFSET($BN$2,0,0,ROW()-1,60),ROW()-1,FALSE))</f>
        <v>6.1458613069999997</v>
      </c>
      <c r="AL133">
        <f ca="1">IF(AND(ISNUMBER($AL$342),$B$226=1),$AL$342,HLOOKUP(INDIRECT(ADDRESS(2,COLUMN())),OFFSET($BN$2,0,0,ROW()-1,60),ROW()-1,FALSE))</f>
        <v>6.2346893940000001</v>
      </c>
      <c r="AM133">
        <f ca="1">IF(AND(ISNUMBER($AM$342),$B$226=1),$AM$342,HLOOKUP(INDIRECT(ADDRESS(2,COLUMN())),OFFSET($BN$2,0,0,ROW()-1,60),ROW()-1,FALSE))</f>
        <v>6.6024729659999997</v>
      </c>
      <c r="AN133">
        <f ca="1">IF(AND(ISNUMBER($AN$342),$B$226=1),$AN$342,HLOOKUP(INDIRECT(ADDRESS(2,COLUMN())),OFFSET($BN$2,0,0,ROW()-1,60),ROW()-1,FALSE))</f>
        <v>6.2800145990000003</v>
      </c>
      <c r="AO133">
        <f ca="1">IF(AND(ISNUMBER($AO$342),$B$226=1),$AO$342,HLOOKUP(INDIRECT(ADDRESS(2,COLUMN())),OFFSET($BN$2,0,0,ROW()-1,60),ROW()-1,FALSE))</f>
        <v>6.3933492740000002</v>
      </c>
      <c r="AP133">
        <f ca="1">IF(AND(ISNUMBER($AP$342),$B$226=1),$AP$342,HLOOKUP(INDIRECT(ADDRESS(2,COLUMN())),OFFSET($BN$2,0,0,ROW()-1,60),ROW()-1,FALSE))</f>
        <v>6.7538380220000001</v>
      </c>
      <c r="AQ133">
        <f ca="1">IF(AND(ISNUMBER($AQ$342),$B$226=1),$AQ$342,HLOOKUP(INDIRECT(ADDRESS(2,COLUMN())),OFFSET($BN$2,0,0,ROW()-1,60),ROW()-1,FALSE))</f>
        <v>6.9054981529999999</v>
      </c>
      <c r="AR133">
        <f ca="1">IF(AND(ISNUMBER($AR$342),$B$226=1),$AR$342,HLOOKUP(INDIRECT(ADDRESS(2,COLUMN())),OFFSET($BN$2,0,0,ROW()-1,60),ROW()-1,FALSE))</f>
        <v>6.4947700069999996</v>
      </c>
      <c r="AS133">
        <f ca="1">IF(AND(ISNUMBER($AS$342),$B$226=1),$AS$342,HLOOKUP(INDIRECT(ADDRESS(2,COLUMN())),OFFSET($BN$2,0,0,ROW()-1,60),ROW()-1,FALSE))</f>
        <v>6.6800800970000003</v>
      </c>
      <c r="AT133">
        <f ca="1">IF(AND(ISNUMBER($AT$342),$B$226=1),$AT$342,HLOOKUP(INDIRECT(ADDRESS(2,COLUMN())),OFFSET($BN$2,0,0,ROW()-1,60),ROW()-1,FALSE))</f>
        <v>6.5522722580000003</v>
      </c>
      <c r="AU133">
        <f ca="1">IF(AND(ISNUMBER($AU$342),$B$226=1),$AU$342,HLOOKUP(INDIRECT(ADDRESS(2,COLUMN())),OFFSET($BN$2,0,0,ROW()-1,60),ROW()-1,FALSE))</f>
        <v>6.6878121510000001</v>
      </c>
      <c r="AV133">
        <f ca="1">IF(AND(ISNUMBER($AV$342),$B$226=1),$AV$342,HLOOKUP(INDIRECT(ADDRESS(2,COLUMN())),OFFSET($BN$2,0,0,ROW()-1,60),ROW()-1,FALSE))</f>
        <v>6.4221333329999997</v>
      </c>
      <c r="AW133">
        <f ca="1">IF(AND(ISNUMBER($AW$342),$B$226=1),$AW$342,HLOOKUP(INDIRECT(ADDRESS(2,COLUMN())),OFFSET($BN$2,0,0,ROW()-1,60),ROW()-1,FALSE))</f>
        <v>6.6984636340000003</v>
      </c>
      <c r="AX133">
        <f ca="1">IF(AND(ISNUMBER($AX$342),$B$226=1),$AX$342,HLOOKUP(INDIRECT(ADDRESS(2,COLUMN())),OFFSET($BN$2,0,0,ROW()-1,60),ROW()-1,FALSE))</f>
        <v>6.7917096150000003</v>
      </c>
      <c r="AY133">
        <f ca="1">IF(AND(ISNUMBER($AY$342),$B$226=1),$AY$342,HLOOKUP(INDIRECT(ADDRESS(2,COLUMN())),OFFSET($BN$2,0,0,ROW()-1,60),ROW()-1,FALSE))</f>
        <v>6.6197449879999999</v>
      </c>
      <c r="AZ133">
        <f ca="1">IF(AND(ISNUMBER($AZ$342),$B$226=1),$AZ$342,HLOOKUP(INDIRECT(ADDRESS(2,COLUMN())),OFFSET($BN$2,0,0,ROW()-1,60),ROW()-1,FALSE))</f>
        <v>6.8320173410000002</v>
      </c>
      <c r="BA133">
        <f ca="1">IF(AND(ISNUMBER($BA$342),$B$226=1),$BA$342,HLOOKUP(INDIRECT(ADDRESS(2,COLUMN())),OFFSET($BN$2,0,0,ROW()-1,60),ROW()-1,FALSE))</f>
        <v>6.6043755409999996</v>
      </c>
      <c r="BB133">
        <f ca="1">IF(AND(ISNUMBER($BB$342),$B$226=1),$BB$342,HLOOKUP(INDIRECT(ADDRESS(2,COLUMN())),OFFSET($BN$2,0,0,ROW()-1,60),ROW()-1,FALSE))</f>
        <v>6.811391736</v>
      </c>
      <c r="BC133" t="str">
        <f ca="1">IF(AND(ISNUMBER($BC$342),$B$226=1),$BC$342,HLOOKUP(INDIRECT(ADDRESS(2,COLUMN())),OFFSET($BN$2,0,0,ROW()-1,60),ROW()-1,FALSE))</f>
        <v/>
      </c>
      <c r="BD133">
        <f ca="1">IF(AND(ISNUMBER($BD$342),$B$226=1),$BD$342,HLOOKUP(INDIRECT(ADDRESS(2,COLUMN())),OFFSET($BN$2,0,0,ROW()-1,60),ROW()-1,FALSE))</f>
        <v>6.4117920000000004E-3</v>
      </c>
      <c r="BE133" t="str">
        <f ca="1">IF(AND(ISNUMBER($BE$342),$B$226=1),$BE$342,HLOOKUP(INDIRECT(ADDRESS(2,COLUMN())),OFFSET($BN$2,0,0,ROW()-1,60),ROW()-1,FALSE))</f>
        <v/>
      </c>
      <c r="BF133" t="str">
        <f ca="1">IF(AND(ISNUMBER($BF$342),$B$226=1),$BF$342,HLOOKUP(INDIRECT(ADDRESS(2,COLUMN())),OFFSET($BN$2,0,0,ROW()-1,60),ROW()-1,FALSE))</f>
        <v/>
      </c>
      <c r="BG133" t="str">
        <f ca="1">IF(AND(ISNUMBER($BG$342),$B$226=1),$BG$342,HLOOKUP(INDIRECT(ADDRESS(2,COLUMN())),OFFSET($BN$2,0,0,ROW()-1,60),ROW()-1,FALSE))</f>
        <v/>
      </c>
      <c r="BH133" t="str">
        <f ca="1">IF(AND(ISNUMBER($BH$342),$B$226=1),$BH$342,HLOOKUP(INDIRECT(ADDRESS(2,COLUMN())),OFFSET($BN$2,0,0,ROW()-1,60),ROW()-1,FALSE))</f>
        <v/>
      </c>
      <c r="BI133" t="str">
        <f ca="1">IF(AND(ISNUMBER($BI$342),$B$226=1),$BI$342,HLOOKUP(INDIRECT(ADDRESS(2,COLUMN())),OFFSET($BN$2,0,0,ROW()-1,60),ROW()-1,FALSE))</f>
        <v/>
      </c>
      <c r="BJ133">
        <f ca="1">IF(AND(ISNUMBER($BJ$342),$B$226=1),$BJ$342,HLOOKUP(INDIRECT(ADDRESS(2,COLUMN())),OFFSET($BN$2,0,0,ROW()-1,60),ROW()-1,FALSE))</f>
        <v>7.7495577109999996</v>
      </c>
      <c r="BK133" t="str">
        <f ca="1">IF(AND(ISNUMBER($BK$342),$B$226=1),$BK$342,HLOOKUP(INDIRECT(ADDRESS(2,COLUMN())),OFFSET($BN$2,0,0,ROW()-1,60),ROW()-1,FALSE))</f>
        <v/>
      </c>
      <c r="BL133" t="str">
        <f ca="1">IF(AND(ISNUMBER($BL$342),$B$226=1),$BL$342,HLOOKUP(INDIRECT(ADDRESS(2,COLUMN())),OFFSET($BN$2,0,0,ROW()-1,60),ROW()-1,FALSE))</f>
        <v/>
      </c>
      <c r="BM133" t="str">
        <f ca="1">IF(AND(ISNUMBER($BM$342),$B$226=1),$BM$342,HLOOKUP(INDIRECT(ADDRESS(2,COLUMN())),OFFSET($BN$2,0,0,ROW()-1,60),ROW()-1,FALSE))</f>
        <v/>
      </c>
      <c r="BN133" t="str">
        <f>""</f>
        <v/>
      </c>
      <c r="BO133">
        <f>7.196258538</f>
        <v>7.1962585380000004</v>
      </c>
      <c r="BP133">
        <f>6.78288325</f>
        <v>6.7828832500000003</v>
      </c>
      <c r="BQ133">
        <f>7.320260033</f>
        <v>7.3202600330000003</v>
      </c>
      <c r="BR133">
        <f>7.101939554</f>
        <v>7.1019395540000003</v>
      </c>
      <c r="BS133">
        <f>7.246696725</f>
        <v>7.2466967249999996</v>
      </c>
      <c r="BT133">
        <f>7.06561207</f>
        <v>7.0656120700000002</v>
      </c>
      <c r="BU133">
        <f>7.017719839</f>
        <v>7.0177198389999997</v>
      </c>
      <c r="BV133">
        <f>7.127825677</f>
        <v>7.1278256769999997</v>
      </c>
      <c r="BW133">
        <f>7.158942103</f>
        <v>7.1589421030000002</v>
      </c>
      <c r="BX133">
        <f>6.739958963</f>
        <v>6.7399589630000003</v>
      </c>
      <c r="BY133">
        <f>6.750812262</f>
        <v>6.7508122620000002</v>
      </c>
      <c r="BZ133">
        <f>6.959002358</f>
        <v>6.9590023580000002</v>
      </c>
      <c r="CA133">
        <f>7.196855956</f>
        <v>7.1968559560000003</v>
      </c>
      <c r="CB133">
        <f>6.960324138</f>
        <v>6.9603241379999998</v>
      </c>
      <c r="CC133">
        <f>7.030295126</f>
        <v>7.0302951260000004</v>
      </c>
      <c r="CD133">
        <f>7.134441849</f>
        <v>7.1344418489999999</v>
      </c>
      <c r="CE133">
        <f>7.280959733</f>
        <v>7.2809597330000004</v>
      </c>
      <c r="CF133">
        <f>6.947288133</f>
        <v>6.9472881329999998</v>
      </c>
      <c r="CG133">
        <f>6.960456847</f>
        <v>6.9604568469999997</v>
      </c>
      <c r="CH133">
        <f>7.154240843</f>
        <v>7.1542408430000002</v>
      </c>
      <c r="CI133">
        <f>6.851496828</f>
        <v>6.8514968280000001</v>
      </c>
      <c r="CJ133">
        <f>7.165161105</f>
        <v>7.1651611050000001</v>
      </c>
      <c r="CK133">
        <f>6.685567406</f>
        <v>6.6855674059999997</v>
      </c>
      <c r="CL133">
        <f>6.574084877</f>
        <v>6.5740848769999998</v>
      </c>
      <c r="CM133">
        <f>6.629832429</f>
        <v>6.6298324290000004</v>
      </c>
      <c r="CN133">
        <f>6.55543701</f>
        <v>6.5554370100000003</v>
      </c>
      <c r="CO133">
        <f>6.701866669</f>
        <v>6.7018666690000002</v>
      </c>
      <c r="CP133">
        <f>6.450413946</f>
        <v>6.4504139460000003</v>
      </c>
      <c r="CQ133">
        <f>6.290894813</f>
        <v>6.2908948130000004</v>
      </c>
      <c r="CR133">
        <f>6.175428985</f>
        <v>6.1754289849999999</v>
      </c>
      <c r="CS133">
        <f>6.145861307</f>
        <v>6.1458613069999997</v>
      </c>
      <c r="CT133">
        <f>6.234689394</f>
        <v>6.2346893940000001</v>
      </c>
      <c r="CU133">
        <f>6.602472966</f>
        <v>6.6024729659999997</v>
      </c>
      <c r="CV133">
        <f>6.280014599</f>
        <v>6.2800145990000003</v>
      </c>
      <c r="CW133">
        <f>6.393349274</f>
        <v>6.3933492740000002</v>
      </c>
      <c r="CX133">
        <f>6.753838022</f>
        <v>6.7538380220000001</v>
      </c>
      <c r="CY133">
        <f>6.905498153</f>
        <v>6.9054981529999999</v>
      </c>
      <c r="CZ133">
        <f>6.494770007</f>
        <v>6.4947700069999996</v>
      </c>
      <c r="DA133">
        <f>6.680080097</f>
        <v>6.6800800970000003</v>
      </c>
      <c r="DB133">
        <f>6.552272258</f>
        <v>6.5522722580000003</v>
      </c>
      <c r="DC133">
        <f>6.687812151</f>
        <v>6.6878121510000001</v>
      </c>
      <c r="DD133">
        <f>6.422133333</f>
        <v>6.4221333329999997</v>
      </c>
      <c r="DE133">
        <f>6.698463634</f>
        <v>6.6984636340000003</v>
      </c>
      <c r="DF133">
        <f>6.791709615</f>
        <v>6.7917096150000003</v>
      </c>
      <c r="DG133">
        <f>6.619744988</f>
        <v>6.6197449879999999</v>
      </c>
      <c r="DH133">
        <f>6.832017341</f>
        <v>6.8320173410000002</v>
      </c>
      <c r="DI133">
        <f>6.604375541</f>
        <v>6.6043755409999996</v>
      </c>
      <c r="DJ133">
        <f>6.811391736</f>
        <v>6.811391736</v>
      </c>
      <c r="DK133" t="str">
        <f>""</f>
        <v/>
      </c>
      <c r="DL133">
        <f>0.006411792</f>
        <v>6.4117920000000004E-3</v>
      </c>
      <c r="DM133" t="str">
        <f>""</f>
        <v/>
      </c>
      <c r="DN133" t="str">
        <f>""</f>
        <v/>
      </c>
      <c r="DO133" t="str">
        <f>""</f>
        <v/>
      </c>
      <c r="DP133" t="str">
        <f>""</f>
        <v/>
      </c>
      <c r="DQ133" t="str">
        <f>""</f>
        <v/>
      </c>
      <c r="DR133">
        <f>7.749557711</f>
        <v>7.7495577109999996</v>
      </c>
      <c r="DS133" t="str">
        <f>""</f>
        <v/>
      </c>
      <c r="DT133" t="str">
        <f>""</f>
        <v/>
      </c>
      <c r="DU133" t="str">
        <f>""</f>
        <v/>
      </c>
    </row>
    <row r="134" spans="1:125">
      <c r="A134" t="str">
        <f>"    Education Realty Trust Inc"</f>
        <v xml:space="preserve">    Education Realty Trust Inc</v>
      </c>
      <c r="B134" t="str">
        <f>"EDR US Equity"</f>
        <v>EDR US Equity</v>
      </c>
      <c r="C134" t="str">
        <f t="shared" si="42"/>
        <v>RX902</v>
      </c>
      <c r="D134" t="str">
        <f t="shared" si="43"/>
        <v>ANN_NOI_GR_AST_NET_RTL_DEV_CTD_%</v>
      </c>
      <c r="E134" t="str">
        <f t="shared" si="44"/>
        <v>动态</v>
      </c>
      <c r="F134" t="str">
        <f ca="1">IF(AND(ISNUMBER($F$343),$B$226=1),$F$343,HLOOKUP(INDIRECT(ADDRESS(2,COLUMN())),OFFSET($BN$2,0,0,ROW()-1,60),ROW()-1,FALSE))</f>
        <v/>
      </c>
      <c r="G134">
        <f ca="1">IF(AND(ISNUMBER($G$343),$B$226=1),$G$343,HLOOKUP(INDIRECT(ADDRESS(2,COLUMN())),OFFSET($BN$2,0,0,ROW()-1,60),ROW()-1,FALSE))</f>
        <v>7.9224877979999997</v>
      </c>
      <c r="H134">
        <f ca="1">IF(AND(ISNUMBER($H$343),$B$226=1),$H$343,HLOOKUP(INDIRECT(ADDRESS(2,COLUMN())),OFFSET($BN$2,0,0,ROW()-1,60),ROW()-1,FALSE))</f>
        <v>4.6490884220000002</v>
      </c>
      <c r="I134">
        <f ca="1">IF(AND(ISNUMBER($I$343),$B$226=1),$I$343,HLOOKUP(INDIRECT(ADDRESS(2,COLUMN())),OFFSET($BN$2,0,0,ROW()-1,60),ROW()-1,FALSE))</f>
        <v>5.6701830900000001</v>
      </c>
      <c r="J134">
        <f ca="1">IF(AND(ISNUMBER($J$343),$B$226=1),$J$343,HLOOKUP(INDIRECT(ADDRESS(2,COLUMN())),OFFSET($BN$2,0,0,ROW()-1,60),ROW()-1,FALSE))</f>
        <v>7.6339560149999999</v>
      </c>
      <c r="K134">
        <f ca="1">IF(AND(ISNUMBER($K$343),$B$226=1),$K$343,HLOOKUP(INDIRECT(ADDRESS(2,COLUMN())),OFFSET($BN$2,0,0,ROW()-1,60),ROW()-1,FALSE))</f>
        <v>8.3993799340000006</v>
      </c>
      <c r="L134">
        <f ca="1">IF(AND(ISNUMBER($L$343),$B$226=1),$L$343,HLOOKUP(INDIRECT(ADDRESS(2,COLUMN())),OFFSET($BN$2,0,0,ROW()-1,60),ROW()-1,FALSE))</f>
        <v>4.7299506630000003</v>
      </c>
      <c r="M134">
        <f ca="1">IF(AND(ISNUMBER($M$343),$B$226=1),$M$343,HLOOKUP(INDIRECT(ADDRESS(2,COLUMN())),OFFSET($BN$2,0,0,ROW()-1,60),ROW()-1,FALSE))</f>
        <v>5.7611033090000001</v>
      </c>
      <c r="N134">
        <f ca="1">IF(AND(ISNUMBER($N$343),$B$226=1),$N$343,HLOOKUP(INDIRECT(ADDRESS(2,COLUMN())),OFFSET($BN$2,0,0,ROW()-1,60),ROW()-1,FALSE))</f>
        <v>8.2453920719999996</v>
      </c>
      <c r="O134">
        <f ca="1">IF(AND(ISNUMBER($O$343),$B$226=1),$O$343,HLOOKUP(INDIRECT(ADDRESS(2,COLUMN())),OFFSET($BN$2,0,0,ROW()-1,60),ROW()-1,FALSE))</f>
        <v>9.1815942499999998</v>
      </c>
      <c r="P134">
        <f ca="1">IF(AND(ISNUMBER($P$343),$B$226=1),$P$343,HLOOKUP(INDIRECT(ADDRESS(2,COLUMN())),OFFSET($BN$2,0,0,ROW()-1,60),ROW()-1,FALSE))</f>
        <v>4.7056759159999997</v>
      </c>
      <c r="Q134">
        <f ca="1">IF(AND(ISNUMBER($Q$343),$B$226=1),$Q$343,HLOOKUP(INDIRECT(ADDRESS(2,COLUMN())),OFFSET($BN$2,0,0,ROW()-1,60),ROW()-1,FALSE))</f>
        <v>6.5351008129999997</v>
      </c>
      <c r="R134">
        <f ca="1">IF(AND(ISNUMBER($R$343),$B$226=1),$R$343,HLOOKUP(INDIRECT(ADDRESS(2,COLUMN())),OFFSET($BN$2,0,0,ROW()-1,60),ROW()-1,FALSE))</f>
        <v>7.8267841090000001</v>
      </c>
      <c r="S134">
        <f ca="1">IF(AND(ISNUMBER($S$343),$B$226=1),$S$343,HLOOKUP(INDIRECT(ADDRESS(2,COLUMN())),OFFSET($BN$2,0,0,ROW()-1,60),ROW()-1,FALSE))</f>
        <v>8.6240234660000006</v>
      </c>
      <c r="T134">
        <f ca="1">IF(AND(ISNUMBER($T$343),$B$226=1),$T$343,HLOOKUP(INDIRECT(ADDRESS(2,COLUMN())),OFFSET($BN$2,0,0,ROW()-1,60),ROW()-1,FALSE))</f>
        <v>4.5754215340000002</v>
      </c>
      <c r="U134">
        <f ca="1">IF(AND(ISNUMBER($U$343),$B$226=1),$U$343,HLOOKUP(INDIRECT(ADDRESS(2,COLUMN())),OFFSET($BN$2,0,0,ROW()-1,60),ROW()-1,FALSE))</f>
        <v>6.0824214440000004</v>
      </c>
      <c r="V134">
        <f ca="1">IF(AND(ISNUMBER($V$343),$B$226=1),$V$343,HLOOKUP(INDIRECT(ADDRESS(2,COLUMN())),OFFSET($BN$2,0,0,ROW()-1,60),ROW()-1,FALSE))</f>
        <v>7.004580475</v>
      </c>
      <c r="W134">
        <f ca="1">IF(AND(ISNUMBER($W$343),$B$226=1),$W$343,HLOOKUP(INDIRECT(ADDRESS(2,COLUMN())),OFFSET($BN$2,0,0,ROW()-1,60),ROW()-1,FALSE))</f>
        <v>7.5911248540000003</v>
      </c>
      <c r="X134">
        <f ca="1">IF(AND(ISNUMBER($X$343),$B$226=1),$X$343,HLOOKUP(INDIRECT(ADDRESS(2,COLUMN())),OFFSET($BN$2,0,0,ROW()-1,60),ROW()-1,FALSE))</f>
        <v>4.0997298789999999</v>
      </c>
      <c r="Y134">
        <f ca="1">IF(AND(ISNUMBER($Y$343),$B$226=1),$Y$343,HLOOKUP(INDIRECT(ADDRESS(2,COLUMN())),OFFSET($BN$2,0,0,ROW()-1,60),ROW()-1,FALSE))</f>
        <v>5.5910150840000004</v>
      </c>
      <c r="Z134">
        <f ca="1">IF(AND(ISNUMBER($Z$343),$B$226=1),$Z$343,HLOOKUP(INDIRECT(ADDRESS(2,COLUMN())),OFFSET($BN$2,0,0,ROW()-1,60),ROW()-1,FALSE))</f>
        <v>6.4068248280000004</v>
      </c>
      <c r="AA134">
        <f ca="1">IF(AND(ISNUMBER($AA$343),$B$226=1),$AA$343,HLOOKUP(INDIRECT(ADDRESS(2,COLUMN())),OFFSET($BN$2,0,0,ROW()-1,60),ROW()-1,FALSE))</f>
        <v>6.7445366340000001</v>
      </c>
      <c r="AB134">
        <f ca="1">IF(AND(ISNUMBER($AB$343),$B$226=1),$AB$343,HLOOKUP(INDIRECT(ADDRESS(2,COLUMN())),OFFSET($BN$2,0,0,ROW()-1,60),ROW()-1,FALSE))</f>
        <v>3.492795852</v>
      </c>
      <c r="AC134">
        <f ca="1">IF(AND(ISNUMBER($AC$343),$B$226=1),$AC$343,HLOOKUP(INDIRECT(ADDRESS(2,COLUMN())),OFFSET($BN$2,0,0,ROW()-1,60),ROW()-1,FALSE))</f>
        <v>6.2703498370000004</v>
      </c>
      <c r="AD134">
        <f ca="1">IF(AND(ISNUMBER($AD$343),$B$226=1),$AD$343,HLOOKUP(INDIRECT(ADDRESS(2,COLUMN())),OFFSET($BN$2,0,0,ROW()-1,60),ROW()-1,FALSE))</f>
        <v>7.3523366330000002</v>
      </c>
      <c r="AE134">
        <f ca="1">IF(AND(ISNUMBER($AE$343),$B$226=1),$AE$343,HLOOKUP(INDIRECT(ADDRESS(2,COLUMN())),OFFSET($BN$2,0,0,ROW()-1,60),ROW()-1,FALSE))</f>
        <v>7.035729882</v>
      </c>
      <c r="AF134">
        <f ca="1">IF(AND(ISNUMBER($AF$343),$B$226=1),$AF$343,HLOOKUP(INDIRECT(ADDRESS(2,COLUMN())),OFFSET($BN$2,0,0,ROW()-1,60),ROW()-1,FALSE))</f>
        <v>3.6384642490000001</v>
      </c>
      <c r="AG134">
        <f ca="1">IF(AND(ISNUMBER($AG$343),$B$226=1),$AG$343,HLOOKUP(INDIRECT(ADDRESS(2,COLUMN())),OFFSET($BN$2,0,0,ROW()-1,60),ROW()-1,FALSE))</f>
        <v>7.0702415350000001</v>
      </c>
      <c r="AH134">
        <f ca="1">IF(AND(ISNUMBER($AH$343),$B$226=1),$AH$343,HLOOKUP(INDIRECT(ADDRESS(2,COLUMN())),OFFSET($BN$2,0,0,ROW()-1,60),ROW()-1,FALSE))</f>
        <v>7.349320037</v>
      </c>
      <c r="AI134">
        <f ca="1">IF(AND(ISNUMBER($AI$343),$B$226=1),$AI$343,HLOOKUP(INDIRECT(ADDRESS(2,COLUMN())),OFFSET($BN$2,0,0,ROW()-1,60),ROW()-1,FALSE))</f>
        <v>8.5220177009999993</v>
      </c>
      <c r="AJ134">
        <f ca="1">IF(AND(ISNUMBER($AJ$343),$B$226=1),$AJ$343,HLOOKUP(INDIRECT(ADDRESS(2,COLUMN())),OFFSET($BN$2,0,0,ROW()-1,60),ROW()-1,FALSE))</f>
        <v>4.0084908920000002</v>
      </c>
      <c r="AK134">
        <f ca="1">IF(AND(ISNUMBER($AK$343),$B$226=1),$AK$343,HLOOKUP(INDIRECT(ADDRESS(2,COLUMN())),OFFSET($BN$2,0,0,ROW()-1,60),ROW()-1,FALSE))</f>
        <v>7.3845687089999998</v>
      </c>
      <c r="AL134">
        <f ca="1">IF(AND(ISNUMBER($AL$343),$B$226=1),$AL$343,HLOOKUP(INDIRECT(ADDRESS(2,COLUMN())),OFFSET($BN$2,0,0,ROW()-1,60),ROW()-1,FALSE))</f>
        <v>7.4465970009999998</v>
      </c>
      <c r="AM134">
        <f ca="1">IF(AND(ISNUMBER($AM$343),$B$226=1),$AM$343,HLOOKUP(INDIRECT(ADDRESS(2,COLUMN())),OFFSET($BN$2,0,0,ROW()-1,60),ROW()-1,FALSE))</f>
        <v>9.2153619189999993</v>
      </c>
      <c r="AN134">
        <f ca="1">IF(AND(ISNUMBER($AN$343),$B$226=1),$AN$343,HLOOKUP(INDIRECT(ADDRESS(2,COLUMN())),OFFSET($BN$2,0,0,ROW()-1,60),ROW()-1,FALSE))</f>
        <v>3.637312954</v>
      </c>
      <c r="AO134">
        <f ca="1">IF(AND(ISNUMBER($AO$343),$B$226=1),$AO$343,HLOOKUP(INDIRECT(ADDRESS(2,COLUMN())),OFFSET($BN$2,0,0,ROW()-1,60),ROW()-1,FALSE))</f>
        <v>7.4658664359999998</v>
      </c>
      <c r="AP134">
        <f ca="1">IF(AND(ISNUMBER($AP$343),$B$226=1),$AP$343,HLOOKUP(INDIRECT(ADDRESS(2,COLUMN())),OFFSET($BN$2,0,0,ROW()-1,60),ROW()-1,FALSE))</f>
        <v>8.1519369600000005</v>
      </c>
      <c r="AQ134">
        <f ca="1">IF(AND(ISNUMBER($AQ$343),$B$226=1),$AQ$343,HLOOKUP(INDIRECT(ADDRESS(2,COLUMN())),OFFSET($BN$2,0,0,ROW()-1,60),ROW()-1,FALSE))</f>
        <v>8.8317707129999992</v>
      </c>
      <c r="AR134">
        <f ca="1">IF(AND(ISNUMBER($AR$343),$B$226=1),$AR$343,HLOOKUP(INDIRECT(ADDRESS(2,COLUMN())),OFFSET($BN$2,0,0,ROW()-1,60),ROW()-1,FALSE))</f>
        <v>4.315484315</v>
      </c>
      <c r="AS134">
        <f ca="1">IF(AND(ISNUMBER($AS$343),$B$226=1),$AS$343,HLOOKUP(INDIRECT(ADDRESS(2,COLUMN())),OFFSET($BN$2,0,0,ROW()-1,60),ROW()-1,FALSE))</f>
        <v>9.2677879450000002</v>
      </c>
      <c r="AT134">
        <f ca="1">IF(AND(ISNUMBER($AT$343),$B$226=1),$AT$343,HLOOKUP(INDIRECT(ADDRESS(2,COLUMN())),OFFSET($BN$2,0,0,ROW()-1,60),ROW()-1,FALSE))</f>
        <v>8.6397846489999992</v>
      </c>
      <c r="AU134">
        <f ca="1">IF(AND(ISNUMBER($AU$343),$B$226=1),$AU$343,HLOOKUP(INDIRECT(ADDRESS(2,COLUMN())),OFFSET($BN$2,0,0,ROW()-1,60),ROW()-1,FALSE))</f>
        <v>7.6975970780000003</v>
      </c>
      <c r="AV134">
        <f ca="1">IF(AND(ISNUMBER($AV$343),$B$226=1),$AV$343,HLOOKUP(INDIRECT(ADDRESS(2,COLUMN())),OFFSET($BN$2,0,0,ROW()-1,60),ROW()-1,FALSE))</f>
        <v>5.1318251540000004</v>
      </c>
      <c r="AW134">
        <f ca="1">IF(AND(ISNUMBER($AW$343),$B$226=1),$AW$343,HLOOKUP(INDIRECT(ADDRESS(2,COLUMN())),OFFSET($BN$2,0,0,ROW()-1,60),ROW()-1,FALSE))</f>
        <v>7.5983136089999999</v>
      </c>
      <c r="AX134">
        <f ca="1">IF(AND(ISNUMBER($AX$343),$B$226=1),$AX$343,HLOOKUP(INDIRECT(ADDRESS(2,COLUMN())),OFFSET($BN$2,0,0,ROW()-1,60),ROW()-1,FALSE))</f>
        <v>7.5666549620000003</v>
      </c>
      <c r="AY134">
        <f ca="1">IF(AND(ISNUMBER($AY$343),$B$226=1),$AY$343,HLOOKUP(INDIRECT(ADDRESS(2,COLUMN())),OFFSET($BN$2,0,0,ROW()-1,60),ROW()-1,FALSE))</f>
        <v>6.8080098710000003</v>
      </c>
      <c r="AZ134">
        <f ca="1">IF(AND(ISNUMBER($AZ$343),$B$226=1),$AZ$343,HLOOKUP(INDIRECT(ADDRESS(2,COLUMN())),OFFSET($BN$2,0,0,ROW()-1,60),ROW()-1,FALSE))</f>
        <v>4.4671425349999998</v>
      </c>
      <c r="BA134">
        <f ca="1">IF(AND(ISNUMBER($BA$343),$B$226=1),$BA$343,HLOOKUP(INDIRECT(ADDRESS(2,COLUMN())),OFFSET($BN$2,0,0,ROW()-1,60),ROW()-1,FALSE))</f>
        <v>6.7343895969999998</v>
      </c>
      <c r="BB134">
        <f ca="1">IF(AND(ISNUMBER($BB$343),$B$226=1),$BB$343,HLOOKUP(INDIRECT(ADDRESS(2,COLUMN())),OFFSET($BN$2,0,0,ROW()-1,60),ROW()-1,FALSE))</f>
        <v>7.8289421299999997</v>
      </c>
      <c r="BC134" t="str">
        <f ca="1">IF(AND(ISNUMBER($BC$343),$B$226=1),$BC$343,HLOOKUP(INDIRECT(ADDRESS(2,COLUMN())),OFFSET($BN$2,0,0,ROW()-1,60),ROW()-1,FALSE))</f>
        <v/>
      </c>
      <c r="BD134" t="str">
        <f ca="1">IF(AND(ISNUMBER($BD$343),$B$226=1),$BD$343,HLOOKUP(INDIRECT(ADDRESS(2,COLUMN())),OFFSET($BN$2,0,0,ROW()-1,60),ROW()-1,FALSE))</f>
        <v/>
      </c>
      <c r="BE134" t="str">
        <f ca="1">IF(AND(ISNUMBER($BE$343),$B$226=1),$BE$343,HLOOKUP(INDIRECT(ADDRESS(2,COLUMN())),OFFSET($BN$2,0,0,ROW()-1,60),ROW()-1,FALSE))</f>
        <v/>
      </c>
      <c r="BF134" t="str">
        <f ca="1">IF(AND(ISNUMBER($BF$343),$B$226=1),$BF$343,HLOOKUP(INDIRECT(ADDRESS(2,COLUMN())),OFFSET($BN$2,0,0,ROW()-1,60),ROW()-1,FALSE))</f>
        <v/>
      </c>
      <c r="BG134" t="str">
        <f ca="1">IF(AND(ISNUMBER($BG$343),$B$226=1),$BG$343,HLOOKUP(INDIRECT(ADDRESS(2,COLUMN())),OFFSET($BN$2,0,0,ROW()-1,60),ROW()-1,FALSE))</f>
        <v/>
      </c>
      <c r="BH134" t="str">
        <f ca="1">IF(AND(ISNUMBER($BH$343),$B$226=1),$BH$343,HLOOKUP(INDIRECT(ADDRESS(2,COLUMN())),OFFSET($BN$2,0,0,ROW()-1,60),ROW()-1,FALSE))</f>
        <v/>
      </c>
      <c r="BI134" t="str">
        <f ca="1">IF(AND(ISNUMBER($BI$343),$B$226=1),$BI$343,HLOOKUP(INDIRECT(ADDRESS(2,COLUMN())),OFFSET($BN$2,0,0,ROW()-1,60),ROW()-1,FALSE))</f>
        <v/>
      </c>
      <c r="BJ134" t="str">
        <f ca="1">IF(AND(ISNUMBER($BJ$343),$B$226=1),$BJ$343,HLOOKUP(INDIRECT(ADDRESS(2,COLUMN())),OFFSET($BN$2,0,0,ROW()-1,60),ROW()-1,FALSE))</f>
        <v/>
      </c>
      <c r="BK134" t="str">
        <f ca="1">IF(AND(ISNUMBER($BK$343),$B$226=1),$BK$343,HLOOKUP(INDIRECT(ADDRESS(2,COLUMN())),OFFSET($BN$2,0,0,ROW()-1,60),ROW()-1,FALSE))</f>
        <v/>
      </c>
      <c r="BL134" t="str">
        <f ca="1">IF(AND(ISNUMBER($BL$343),$B$226=1),$BL$343,HLOOKUP(INDIRECT(ADDRESS(2,COLUMN())),OFFSET($BN$2,0,0,ROW()-1,60),ROW()-1,FALSE))</f>
        <v/>
      </c>
      <c r="BM134" t="str">
        <f ca="1">IF(AND(ISNUMBER($BM$343),$B$226=1),$BM$343,HLOOKUP(INDIRECT(ADDRESS(2,COLUMN())),OFFSET($BN$2,0,0,ROW()-1,60),ROW()-1,FALSE))</f>
        <v/>
      </c>
      <c r="BN134" t="str">
        <f>""</f>
        <v/>
      </c>
      <c r="BO134">
        <f>7.922487798</f>
        <v>7.9224877979999997</v>
      </c>
      <c r="BP134">
        <f>4.649088422</f>
        <v>4.6490884220000002</v>
      </c>
      <c r="BQ134">
        <f>5.67018309</f>
        <v>5.6701830900000001</v>
      </c>
      <c r="BR134">
        <f>7.633956015</f>
        <v>7.6339560149999999</v>
      </c>
      <c r="BS134">
        <f>8.399379934</f>
        <v>8.3993799340000006</v>
      </c>
      <c r="BT134">
        <f>4.729950663</f>
        <v>4.7299506630000003</v>
      </c>
      <c r="BU134">
        <f>5.761103309</f>
        <v>5.7611033090000001</v>
      </c>
      <c r="BV134">
        <f>8.245392072</f>
        <v>8.2453920719999996</v>
      </c>
      <c r="BW134">
        <f>9.18159425</f>
        <v>9.1815942499999998</v>
      </c>
      <c r="BX134">
        <f>4.705675916</f>
        <v>4.7056759159999997</v>
      </c>
      <c r="BY134">
        <f>6.535100813</f>
        <v>6.5351008129999997</v>
      </c>
      <c r="BZ134">
        <f>7.826784109</f>
        <v>7.8267841090000001</v>
      </c>
      <c r="CA134">
        <f>8.624023466</f>
        <v>8.6240234660000006</v>
      </c>
      <c r="CB134">
        <f>4.575421534</f>
        <v>4.5754215340000002</v>
      </c>
      <c r="CC134">
        <f>6.082421444</f>
        <v>6.0824214440000004</v>
      </c>
      <c r="CD134">
        <f>7.004580475</f>
        <v>7.004580475</v>
      </c>
      <c r="CE134">
        <f>7.591124854</f>
        <v>7.5911248540000003</v>
      </c>
      <c r="CF134">
        <f>4.099729879</f>
        <v>4.0997298789999999</v>
      </c>
      <c r="CG134">
        <f>5.591015084</f>
        <v>5.5910150840000004</v>
      </c>
      <c r="CH134">
        <f>6.406824828</f>
        <v>6.4068248280000004</v>
      </c>
      <c r="CI134">
        <f>6.744536634</f>
        <v>6.7445366340000001</v>
      </c>
      <c r="CJ134">
        <f>3.492795852</f>
        <v>3.492795852</v>
      </c>
      <c r="CK134">
        <f>6.270349837</f>
        <v>6.2703498370000004</v>
      </c>
      <c r="CL134">
        <f>7.352336633</f>
        <v>7.3523366330000002</v>
      </c>
      <c r="CM134">
        <f>7.035729882</f>
        <v>7.035729882</v>
      </c>
      <c r="CN134">
        <f>3.638464249</f>
        <v>3.6384642490000001</v>
      </c>
      <c r="CO134">
        <f>7.070241535</f>
        <v>7.0702415350000001</v>
      </c>
      <c r="CP134">
        <f>7.349320037</f>
        <v>7.349320037</v>
      </c>
      <c r="CQ134">
        <f>8.522017701</f>
        <v>8.5220177009999993</v>
      </c>
      <c r="CR134">
        <f>4.008490892</f>
        <v>4.0084908920000002</v>
      </c>
      <c r="CS134">
        <f>7.384568709</f>
        <v>7.3845687089999998</v>
      </c>
      <c r="CT134">
        <f>7.446597001</f>
        <v>7.4465970009999998</v>
      </c>
      <c r="CU134">
        <f>9.215361919</f>
        <v>9.2153619189999993</v>
      </c>
      <c r="CV134">
        <f>3.637312954</f>
        <v>3.637312954</v>
      </c>
      <c r="CW134">
        <f>7.465866436</f>
        <v>7.4658664359999998</v>
      </c>
      <c r="CX134">
        <f>8.15193696</f>
        <v>8.1519369600000005</v>
      </c>
      <c r="CY134">
        <f>8.831770713</f>
        <v>8.8317707129999992</v>
      </c>
      <c r="CZ134">
        <f>4.315484315</f>
        <v>4.315484315</v>
      </c>
      <c r="DA134">
        <f>9.267787945</f>
        <v>9.2677879450000002</v>
      </c>
      <c r="DB134">
        <f>8.639784649</f>
        <v>8.6397846489999992</v>
      </c>
      <c r="DC134">
        <f>7.697597078</f>
        <v>7.6975970780000003</v>
      </c>
      <c r="DD134">
        <f>5.131825154</f>
        <v>5.1318251540000004</v>
      </c>
      <c r="DE134">
        <f>7.598313609</f>
        <v>7.5983136089999999</v>
      </c>
      <c r="DF134">
        <f>7.566654962</f>
        <v>7.5666549620000003</v>
      </c>
      <c r="DG134">
        <f>6.808009871</f>
        <v>6.8080098710000003</v>
      </c>
      <c r="DH134">
        <f>4.467142535</f>
        <v>4.4671425349999998</v>
      </c>
      <c r="DI134">
        <f>6.734389597</f>
        <v>6.7343895969999998</v>
      </c>
      <c r="DJ134">
        <f>7.82894213</f>
        <v>7.8289421299999997</v>
      </c>
      <c r="DK134" t="str">
        <f>""</f>
        <v/>
      </c>
      <c r="DL134" t="str">
        <f>""</f>
        <v/>
      </c>
      <c r="DM134" t="str">
        <f>""</f>
        <v/>
      </c>
      <c r="DN134" t="str">
        <f>""</f>
        <v/>
      </c>
      <c r="DO134" t="str">
        <f>""</f>
        <v/>
      </c>
      <c r="DP134" t="str">
        <f>""</f>
        <v/>
      </c>
      <c r="DQ134" t="str">
        <f>""</f>
        <v/>
      </c>
      <c r="DR134" t="str">
        <f>""</f>
        <v/>
      </c>
      <c r="DS134" t="str">
        <f>""</f>
        <v/>
      </c>
      <c r="DT134" t="str">
        <f>""</f>
        <v/>
      </c>
      <c r="DU134" t="str">
        <f>""</f>
        <v/>
      </c>
    </row>
    <row r="135" spans="1:125">
      <c r="A135" t="str">
        <f>"    Equity Residential"</f>
        <v xml:space="preserve">    Equity Residential</v>
      </c>
      <c r="B135" t="str">
        <f>"EQR US Equity"</f>
        <v>EQR US Equity</v>
      </c>
      <c r="C135" t="str">
        <f t="shared" si="42"/>
        <v>RX902</v>
      </c>
      <c r="D135" t="str">
        <f t="shared" si="43"/>
        <v>ANN_NOI_GR_AST_NET_RTL_DEV_CTD_%</v>
      </c>
      <c r="E135" t="str">
        <f t="shared" si="44"/>
        <v>动态</v>
      </c>
      <c r="F135" t="str">
        <f ca="1">IF(AND(ISNUMBER($F$344),$B$226=1),$F$344,HLOOKUP(INDIRECT(ADDRESS(2,COLUMN())),OFFSET($BN$2,0,0,ROW()-1,60),ROW()-1,FALSE))</f>
        <v/>
      </c>
      <c r="G135">
        <f ca="1">IF(AND(ISNUMBER($G$344),$B$226=1),$G$344,HLOOKUP(INDIRECT(ADDRESS(2,COLUMN())),OFFSET($BN$2,0,0,ROW()-1,60),ROW()-1,FALSE))</f>
        <v>6.7597067180000003</v>
      </c>
      <c r="H135">
        <f ca="1">IF(AND(ISNUMBER($H$344),$B$226=1),$H$344,HLOOKUP(INDIRECT(ADDRESS(2,COLUMN())),OFFSET($BN$2,0,0,ROW()-1,60),ROW()-1,FALSE))</f>
        <v>6.5565816750000003</v>
      </c>
      <c r="I135">
        <f ca="1">IF(AND(ISNUMBER($I$344),$B$226=1),$I$344,HLOOKUP(INDIRECT(ADDRESS(2,COLUMN())),OFFSET($BN$2,0,0,ROW()-1,60),ROW()-1,FALSE))</f>
        <v>6.4691899849999999</v>
      </c>
      <c r="J135">
        <f ca="1">IF(AND(ISNUMBER($J$344),$B$226=1),$J$344,HLOOKUP(INDIRECT(ADDRESS(2,COLUMN())),OFFSET($BN$2,0,0,ROW()-1,60),ROW()-1,FALSE))</f>
        <v>6.4218132030000001</v>
      </c>
      <c r="K135">
        <f ca="1">IF(AND(ISNUMBER($K$344),$B$226=1),$K$344,HLOOKUP(INDIRECT(ADDRESS(2,COLUMN())),OFFSET($BN$2,0,0,ROW()-1,60),ROW()-1,FALSE))</f>
        <v>6.594477393</v>
      </c>
      <c r="L135">
        <f ca="1">IF(AND(ISNUMBER($L$344),$B$226=1),$L$344,HLOOKUP(INDIRECT(ADDRESS(2,COLUMN())),OFFSET($BN$2,0,0,ROW()-1,60),ROW()-1,FALSE))</f>
        <v>6.3312737209999996</v>
      </c>
      <c r="M135">
        <f ca="1">IF(AND(ISNUMBER($M$344),$B$226=1),$M$344,HLOOKUP(INDIRECT(ADDRESS(2,COLUMN())),OFFSET($BN$2,0,0,ROW()-1,60),ROW()-1,FALSE))</f>
        <v>6.394364564</v>
      </c>
      <c r="N135">
        <f ca="1">IF(AND(ISNUMBER($N$344),$B$226=1),$N$344,HLOOKUP(INDIRECT(ADDRESS(2,COLUMN())),OFFSET($BN$2,0,0,ROW()-1,60),ROW()-1,FALSE))</f>
        <v>6.4966102030000004</v>
      </c>
      <c r="O135">
        <f ca="1">IF(AND(ISNUMBER($O$344),$B$226=1),$O$344,HLOOKUP(INDIRECT(ADDRESS(2,COLUMN())),OFFSET($BN$2,0,0,ROW()-1,60),ROW()-1,FALSE))</f>
        <v>8.0327383290000007</v>
      </c>
      <c r="P135">
        <f ca="1">IF(AND(ISNUMBER($P$344),$B$226=1),$P$344,HLOOKUP(INDIRECT(ADDRESS(2,COLUMN())),OFFSET($BN$2,0,0,ROW()-1,60),ROW()-1,FALSE))</f>
        <v>6.4719002359999998</v>
      </c>
      <c r="Q135">
        <f ca="1">IF(AND(ISNUMBER($Q$344),$B$226=1),$Q$344,HLOOKUP(INDIRECT(ADDRESS(2,COLUMN())),OFFSET($BN$2,0,0,ROW()-1,60),ROW()-1,FALSE))</f>
        <v>6.3134745329999999</v>
      </c>
      <c r="R135">
        <f ca="1">IF(AND(ISNUMBER($R$344),$B$226=1),$R$344,HLOOKUP(INDIRECT(ADDRESS(2,COLUMN())),OFFSET($BN$2,0,0,ROW()-1,60),ROW()-1,FALSE))</f>
        <v>6.33770729</v>
      </c>
      <c r="S135">
        <f ca="1">IF(AND(ISNUMBER($S$344),$B$226=1),$S$344,HLOOKUP(INDIRECT(ADDRESS(2,COLUMN())),OFFSET($BN$2,0,0,ROW()-1,60),ROW()-1,FALSE))</f>
        <v>6.3779208560000002</v>
      </c>
      <c r="T135">
        <f ca="1">IF(AND(ISNUMBER($T$344),$B$226=1),$T$344,HLOOKUP(INDIRECT(ADDRESS(2,COLUMN())),OFFSET($BN$2,0,0,ROW()-1,60),ROW()-1,FALSE))</f>
        <v>6.2549461810000002</v>
      </c>
      <c r="U135">
        <f ca="1">IF(AND(ISNUMBER($U$344),$B$226=1),$U$344,HLOOKUP(INDIRECT(ADDRESS(2,COLUMN())),OFFSET($BN$2,0,0,ROW()-1,60),ROW()-1,FALSE))</f>
        <v>6.1185490720000004</v>
      </c>
      <c r="V135">
        <f ca="1">IF(AND(ISNUMBER($V$344),$B$226=1),$V$344,HLOOKUP(INDIRECT(ADDRESS(2,COLUMN())),OFFSET($BN$2,0,0,ROW()-1,60),ROW()-1,FALSE))</f>
        <v>5.751950291</v>
      </c>
      <c r="W135">
        <f ca="1">IF(AND(ISNUMBER($W$344),$B$226=1),$W$344,HLOOKUP(INDIRECT(ADDRESS(2,COLUMN())),OFFSET($BN$2,0,0,ROW()-1,60),ROW()-1,FALSE))</f>
        <v>6.0925132949999998</v>
      </c>
      <c r="X135">
        <f ca="1">IF(AND(ISNUMBER($X$344),$B$226=1),$X$344,HLOOKUP(INDIRECT(ADDRESS(2,COLUMN())),OFFSET($BN$2,0,0,ROW()-1,60),ROW()-1,FALSE))</f>
        <v>5.7681393869999997</v>
      </c>
      <c r="Y135">
        <f ca="1">IF(AND(ISNUMBER($Y$344),$B$226=1),$Y$344,HLOOKUP(INDIRECT(ADDRESS(2,COLUMN())),OFFSET($BN$2,0,0,ROW()-1,60),ROW()-1,FALSE))</f>
        <v>5.7406230750000002</v>
      </c>
      <c r="Z135">
        <f ca="1">IF(AND(ISNUMBER($Z$344),$B$226=1),$Z$344,HLOOKUP(INDIRECT(ADDRESS(2,COLUMN())),OFFSET($BN$2,0,0,ROW()-1,60),ROW()-1,FALSE))</f>
        <v>4.4838788669999996</v>
      </c>
      <c r="AA135">
        <f ca="1">IF(AND(ISNUMBER($AA$344),$B$226=1),$AA$344,HLOOKUP(INDIRECT(ADDRESS(2,COLUMN())),OFFSET($BN$2,0,0,ROW()-1,60),ROW()-1,FALSE))</f>
        <v>5.3825537219999999</v>
      </c>
      <c r="AB135">
        <f ca="1">IF(AND(ISNUMBER($AB$344),$B$226=1),$AB$344,HLOOKUP(INDIRECT(ADDRESS(2,COLUMN())),OFFSET($BN$2,0,0,ROW()-1,60),ROW()-1,FALSE))</f>
        <v>5.3905655540000001</v>
      </c>
      <c r="AC135">
        <f ca="1">IF(AND(ISNUMBER($AC$344),$B$226=1),$AC$344,HLOOKUP(INDIRECT(ADDRESS(2,COLUMN())),OFFSET($BN$2,0,0,ROW()-1,60),ROW()-1,FALSE))</f>
        <v>5.329481039</v>
      </c>
      <c r="AD135">
        <f ca="1">IF(AND(ISNUMBER($AD$344),$B$226=1),$AD$344,HLOOKUP(INDIRECT(ADDRESS(2,COLUMN())),OFFSET($BN$2,0,0,ROW()-1,60),ROW()-1,FALSE))</f>
        <v>5.2157021290000003</v>
      </c>
      <c r="AE135">
        <f ca="1">IF(AND(ISNUMBER($AE$344),$B$226=1),$AE$344,HLOOKUP(INDIRECT(ADDRESS(2,COLUMN())),OFFSET($BN$2,0,0,ROW()-1,60),ROW()-1,FALSE))</f>
        <v>6.0669603109999999</v>
      </c>
      <c r="AF135">
        <f ca="1">IF(AND(ISNUMBER($AF$344),$B$226=1),$AF$344,HLOOKUP(INDIRECT(ADDRESS(2,COLUMN())),OFFSET($BN$2,0,0,ROW()-1,60),ROW()-1,FALSE))</f>
        <v>6.2085786260000004</v>
      </c>
      <c r="AG135">
        <f ca="1">IF(AND(ISNUMBER($AG$344),$B$226=1),$AG$344,HLOOKUP(INDIRECT(ADDRESS(2,COLUMN())),OFFSET($BN$2,0,0,ROW()-1,60),ROW()-1,FALSE))</f>
        <v>6.0959759150000004</v>
      </c>
      <c r="AH135">
        <f ca="1">IF(AND(ISNUMBER($AH$344),$B$226=1),$AH$344,HLOOKUP(INDIRECT(ADDRESS(2,COLUMN())),OFFSET($BN$2,0,0,ROW()-1,60),ROW()-1,FALSE))</f>
        <v>5.5608047589999998</v>
      </c>
      <c r="AI135">
        <f ca="1">IF(AND(ISNUMBER($AI$344),$B$226=1),$AI$344,HLOOKUP(INDIRECT(ADDRESS(2,COLUMN())),OFFSET($BN$2,0,0,ROW()-1,60),ROW()-1,FALSE))</f>
        <v>6.1389901770000002</v>
      </c>
      <c r="AJ135">
        <f ca="1">IF(AND(ISNUMBER($AJ$344),$B$226=1),$AJ$344,HLOOKUP(INDIRECT(ADDRESS(2,COLUMN())),OFFSET($BN$2,0,0,ROW()-1,60),ROW()-1,FALSE))</f>
        <v>5.3401878629999997</v>
      </c>
      <c r="AK135">
        <f ca="1">IF(AND(ISNUMBER($AK$344),$B$226=1),$AK$344,HLOOKUP(INDIRECT(ADDRESS(2,COLUMN())),OFFSET($BN$2,0,0,ROW()-1,60),ROW()-1,FALSE))</f>
        <v>5.4960703479999999</v>
      </c>
      <c r="AL135">
        <f ca="1">IF(AND(ISNUMBER($AL$344),$B$226=1),$AL$344,HLOOKUP(INDIRECT(ADDRESS(2,COLUMN())),OFFSET($BN$2,0,0,ROW()-1,60),ROW()-1,FALSE))</f>
        <v>5.4653885349999998</v>
      </c>
      <c r="AM135">
        <f ca="1">IF(AND(ISNUMBER($AM$344),$B$226=1),$AM$344,HLOOKUP(INDIRECT(ADDRESS(2,COLUMN())),OFFSET($BN$2,0,0,ROW()-1,60),ROW()-1,FALSE))</f>
        <v>5.5951468249999996</v>
      </c>
      <c r="AN135">
        <f ca="1">IF(AND(ISNUMBER($AN$344),$B$226=1),$AN$344,HLOOKUP(INDIRECT(ADDRESS(2,COLUMN())),OFFSET($BN$2,0,0,ROW()-1,60),ROW()-1,FALSE))</f>
        <v>5.7615538229999999</v>
      </c>
      <c r="AO135">
        <f ca="1">IF(AND(ISNUMBER($AO$344),$B$226=1),$AO$344,HLOOKUP(INDIRECT(ADDRESS(2,COLUMN())),OFFSET($BN$2,0,0,ROW()-1,60),ROW()-1,FALSE))</f>
        <v>5.916473141</v>
      </c>
      <c r="AP135">
        <f ca="1">IF(AND(ISNUMBER($AP$344),$B$226=1),$AP$344,HLOOKUP(INDIRECT(ADDRESS(2,COLUMN())),OFFSET($BN$2,0,0,ROW()-1,60),ROW()-1,FALSE))</f>
        <v>5.7580753949999997</v>
      </c>
      <c r="AQ135">
        <f ca="1">IF(AND(ISNUMBER($AQ$344),$B$226=1),$AQ$344,HLOOKUP(INDIRECT(ADDRESS(2,COLUMN())),OFFSET($BN$2,0,0,ROW()-1,60),ROW()-1,FALSE))</f>
        <v>5.9071247050000002</v>
      </c>
      <c r="AR135">
        <f ca="1">IF(AND(ISNUMBER($AR$344),$B$226=1),$AR$344,HLOOKUP(INDIRECT(ADDRESS(2,COLUMN())),OFFSET($BN$2,0,0,ROW()-1,60),ROW()-1,FALSE))</f>
        <v>6.1244400179999996</v>
      </c>
      <c r="AS135">
        <f ca="1">IF(AND(ISNUMBER($AS$344),$B$226=1),$AS$344,HLOOKUP(INDIRECT(ADDRESS(2,COLUMN())),OFFSET($BN$2,0,0,ROW()-1,60),ROW()-1,FALSE))</f>
        <v>6.3669786940000002</v>
      </c>
      <c r="AT135">
        <f ca="1">IF(AND(ISNUMBER($AT$344),$B$226=1),$AT$344,HLOOKUP(INDIRECT(ADDRESS(2,COLUMN())),OFFSET($BN$2,0,0,ROW()-1,60),ROW()-1,FALSE))</f>
        <v>6.0862869469999996</v>
      </c>
      <c r="AU135">
        <f ca="1">IF(AND(ISNUMBER($AU$344),$B$226=1),$AU$344,HLOOKUP(INDIRECT(ADDRESS(2,COLUMN())),OFFSET($BN$2,0,0,ROW()-1,60),ROW()-1,FALSE))</f>
        <v>5.6180355549999996</v>
      </c>
      <c r="AV135">
        <f ca="1">IF(AND(ISNUMBER($AV$344),$B$226=1),$AV$344,HLOOKUP(INDIRECT(ADDRESS(2,COLUMN())),OFFSET($BN$2,0,0,ROW()-1,60),ROW()-1,FALSE))</f>
        <v>6.263796857</v>
      </c>
      <c r="AW135">
        <f ca="1">IF(AND(ISNUMBER($AW$344),$B$226=1),$AW$344,HLOOKUP(INDIRECT(ADDRESS(2,COLUMN())),OFFSET($BN$2,0,0,ROW()-1,60),ROW()-1,FALSE))</f>
        <v>6.1842846460000001</v>
      </c>
      <c r="AX135">
        <f ca="1">IF(AND(ISNUMBER($AX$344),$B$226=1),$AX$344,HLOOKUP(INDIRECT(ADDRESS(2,COLUMN())),OFFSET($BN$2,0,0,ROW()-1,60),ROW()-1,FALSE))</f>
        <v>5.8515221229999996</v>
      </c>
      <c r="AY135">
        <f ca="1">IF(AND(ISNUMBER($AY$344),$B$226=1),$AY$344,HLOOKUP(INDIRECT(ADDRESS(2,COLUMN())),OFFSET($BN$2,0,0,ROW()-1,60),ROW()-1,FALSE))</f>
        <v>3.922763658</v>
      </c>
      <c r="AZ135">
        <f ca="1">IF(AND(ISNUMBER($AZ$344),$B$226=1),$AZ$344,HLOOKUP(INDIRECT(ADDRESS(2,COLUMN())),OFFSET($BN$2,0,0,ROW()-1,60),ROW()-1,FALSE))</f>
        <v>6.6787733749999996</v>
      </c>
      <c r="BA135">
        <f ca="1">IF(AND(ISNUMBER($BA$344),$B$226=1),$BA$344,HLOOKUP(INDIRECT(ADDRESS(2,COLUMN())),OFFSET($BN$2,0,0,ROW()-1,60),ROW()-1,FALSE))</f>
        <v>6.7240298540000003</v>
      </c>
      <c r="BB135">
        <f ca="1">IF(AND(ISNUMBER($BB$344),$B$226=1),$BB$344,HLOOKUP(INDIRECT(ADDRESS(2,COLUMN())),OFFSET($BN$2,0,0,ROW()-1,60),ROW()-1,FALSE))</f>
        <v>6.2774998440000003</v>
      </c>
      <c r="BC135">
        <f ca="1">IF(AND(ISNUMBER($BC$344),$B$226=1),$BC$344,HLOOKUP(INDIRECT(ADDRESS(2,COLUMN())),OFFSET($BN$2,0,0,ROW()-1,60),ROW()-1,FALSE))</f>
        <v>5.1717928879999997</v>
      </c>
      <c r="BD135">
        <f ca="1">IF(AND(ISNUMBER($BD$344),$B$226=1),$BD$344,HLOOKUP(INDIRECT(ADDRESS(2,COLUMN())),OFFSET($BN$2,0,0,ROW()-1,60),ROW()-1,FALSE))</f>
        <v>5.824023146</v>
      </c>
      <c r="BE135">
        <f ca="1">IF(AND(ISNUMBER($BE$344),$B$226=1),$BE$344,HLOOKUP(INDIRECT(ADDRESS(2,COLUMN())),OFFSET($BN$2,0,0,ROW()-1,60),ROW()-1,FALSE))</f>
        <v>6.0459935590000002</v>
      </c>
      <c r="BF135">
        <f ca="1">IF(AND(ISNUMBER($BF$344),$B$226=1),$BF$344,HLOOKUP(INDIRECT(ADDRESS(2,COLUMN())),OFFSET($BN$2,0,0,ROW()-1,60),ROW()-1,FALSE))</f>
        <v>6.5248515789999999</v>
      </c>
      <c r="BG135" t="str">
        <f ca="1">IF(AND(ISNUMBER($BG$344),$B$226=1),$BG$344,HLOOKUP(INDIRECT(ADDRESS(2,COLUMN())),OFFSET($BN$2,0,0,ROW()-1,60),ROW()-1,FALSE))</f>
        <v/>
      </c>
      <c r="BH135" t="str">
        <f ca="1">IF(AND(ISNUMBER($BH$344),$B$226=1),$BH$344,HLOOKUP(INDIRECT(ADDRESS(2,COLUMN())),OFFSET($BN$2,0,0,ROW()-1,60),ROW()-1,FALSE))</f>
        <v/>
      </c>
      <c r="BI135">
        <f ca="1">IF(AND(ISNUMBER($BI$344),$B$226=1),$BI$344,HLOOKUP(INDIRECT(ADDRESS(2,COLUMN())),OFFSET($BN$2,0,0,ROW()-1,60),ROW()-1,FALSE))</f>
        <v>7.3870209229999997</v>
      </c>
      <c r="BJ135" t="str">
        <f ca="1">IF(AND(ISNUMBER($BJ$344),$B$226=1),$BJ$344,HLOOKUP(INDIRECT(ADDRESS(2,COLUMN())),OFFSET($BN$2,0,0,ROW()-1,60),ROW()-1,FALSE))</f>
        <v/>
      </c>
      <c r="BK135" t="str">
        <f ca="1">IF(AND(ISNUMBER($BK$344),$B$226=1),$BK$344,HLOOKUP(INDIRECT(ADDRESS(2,COLUMN())),OFFSET($BN$2,0,0,ROW()-1,60),ROW()-1,FALSE))</f>
        <v/>
      </c>
      <c r="BL135" t="str">
        <f ca="1">IF(AND(ISNUMBER($BL$344),$B$226=1),$BL$344,HLOOKUP(INDIRECT(ADDRESS(2,COLUMN())),OFFSET($BN$2,0,0,ROW()-1,60),ROW()-1,FALSE))</f>
        <v/>
      </c>
      <c r="BM135">
        <f ca="1">IF(AND(ISNUMBER($BM$344),$B$226=1),$BM$344,HLOOKUP(INDIRECT(ADDRESS(2,COLUMN())),OFFSET($BN$2,0,0,ROW()-1,60),ROW()-1,FALSE))</f>
        <v>7.1376410100000003</v>
      </c>
      <c r="BN135" t="str">
        <f>""</f>
        <v/>
      </c>
      <c r="BO135">
        <f>6.759706718</f>
        <v>6.7597067180000003</v>
      </c>
      <c r="BP135">
        <f>6.556581675</f>
        <v>6.5565816750000003</v>
      </c>
      <c r="BQ135">
        <f>6.469189985</f>
        <v>6.4691899849999999</v>
      </c>
      <c r="BR135">
        <f>6.421813203</f>
        <v>6.4218132030000001</v>
      </c>
      <c r="BS135">
        <f>6.594477393</f>
        <v>6.594477393</v>
      </c>
      <c r="BT135">
        <f>6.331273721</f>
        <v>6.3312737209999996</v>
      </c>
      <c r="BU135">
        <f>6.394364564</f>
        <v>6.394364564</v>
      </c>
      <c r="BV135">
        <f>6.496610203</f>
        <v>6.4966102030000004</v>
      </c>
      <c r="BW135">
        <f>8.032738329</f>
        <v>8.0327383290000007</v>
      </c>
      <c r="BX135">
        <f>6.471900236</f>
        <v>6.4719002359999998</v>
      </c>
      <c r="BY135">
        <f>6.313474533</f>
        <v>6.3134745329999999</v>
      </c>
      <c r="BZ135">
        <f>6.33770729</f>
        <v>6.33770729</v>
      </c>
      <c r="CA135">
        <f>6.377920856</f>
        <v>6.3779208560000002</v>
      </c>
      <c r="CB135">
        <f>6.254946181</f>
        <v>6.2549461810000002</v>
      </c>
      <c r="CC135">
        <f>6.118549072</f>
        <v>6.1185490720000004</v>
      </c>
      <c r="CD135">
        <f>5.751950291</f>
        <v>5.751950291</v>
      </c>
      <c r="CE135">
        <f>6.092513295</f>
        <v>6.0925132949999998</v>
      </c>
      <c r="CF135">
        <f>5.768139387</f>
        <v>5.7681393869999997</v>
      </c>
      <c r="CG135">
        <f>5.740623075</f>
        <v>5.7406230750000002</v>
      </c>
      <c r="CH135">
        <f>4.483878867</f>
        <v>4.4838788669999996</v>
      </c>
      <c r="CI135">
        <f>5.382553722</f>
        <v>5.3825537219999999</v>
      </c>
      <c r="CJ135">
        <f>5.390565554</f>
        <v>5.3905655540000001</v>
      </c>
      <c r="CK135">
        <f>5.329481039</f>
        <v>5.329481039</v>
      </c>
      <c r="CL135">
        <f>5.215702129</f>
        <v>5.2157021290000003</v>
      </c>
      <c r="CM135">
        <f>6.066960311</f>
        <v>6.0669603109999999</v>
      </c>
      <c r="CN135">
        <f>6.208578626</f>
        <v>6.2085786260000004</v>
      </c>
      <c r="CO135">
        <f>6.095975915</f>
        <v>6.0959759150000004</v>
      </c>
      <c r="CP135">
        <f>5.560804759</f>
        <v>5.5608047589999998</v>
      </c>
      <c r="CQ135">
        <f>6.138990177</f>
        <v>6.1389901770000002</v>
      </c>
      <c r="CR135">
        <f>5.340187863</f>
        <v>5.3401878629999997</v>
      </c>
      <c r="CS135">
        <f>5.496070348</f>
        <v>5.4960703479999999</v>
      </c>
      <c r="CT135">
        <f>5.465388535</f>
        <v>5.4653885349999998</v>
      </c>
      <c r="CU135">
        <f>5.595146825</f>
        <v>5.5951468249999996</v>
      </c>
      <c r="CV135">
        <f>5.761553823</f>
        <v>5.7615538229999999</v>
      </c>
      <c r="CW135">
        <f>5.916473141</f>
        <v>5.916473141</v>
      </c>
      <c r="CX135">
        <f>5.758075395</f>
        <v>5.7580753949999997</v>
      </c>
      <c r="CY135">
        <f>5.907124705</f>
        <v>5.9071247050000002</v>
      </c>
      <c r="CZ135">
        <f>6.124440018</f>
        <v>6.1244400179999996</v>
      </c>
      <c r="DA135">
        <f>6.366978694</f>
        <v>6.3669786940000002</v>
      </c>
      <c r="DB135">
        <f>6.086286947</f>
        <v>6.0862869469999996</v>
      </c>
      <c r="DC135">
        <f>5.618035555</f>
        <v>5.6180355549999996</v>
      </c>
      <c r="DD135">
        <f>6.263796857</f>
        <v>6.263796857</v>
      </c>
      <c r="DE135">
        <f>6.184284646</f>
        <v>6.1842846460000001</v>
      </c>
      <c r="DF135">
        <f>5.851522123</f>
        <v>5.8515221229999996</v>
      </c>
      <c r="DG135">
        <f>3.922763658</f>
        <v>3.922763658</v>
      </c>
      <c r="DH135">
        <f>6.678773375</f>
        <v>6.6787733749999996</v>
      </c>
      <c r="DI135">
        <f>6.724029854</f>
        <v>6.7240298540000003</v>
      </c>
      <c r="DJ135">
        <f>6.277499844</f>
        <v>6.2774998440000003</v>
      </c>
      <c r="DK135">
        <f>5.171792888</f>
        <v>5.1717928879999997</v>
      </c>
      <c r="DL135">
        <f>5.824023146</f>
        <v>5.824023146</v>
      </c>
      <c r="DM135">
        <f>6.045993559</f>
        <v>6.0459935590000002</v>
      </c>
      <c r="DN135">
        <f>6.524851579</f>
        <v>6.5248515789999999</v>
      </c>
      <c r="DO135" t="str">
        <f>""</f>
        <v/>
      </c>
      <c r="DP135" t="str">
        <f>""</f>
        <v/>
      </c>
      <c r="DQ135">
        <f>7.387020923</f>
        <v>7.3870209229999997</v>
      </c>
      <c r="DR135" t="str">
        <f>""</f>
        <v/>
      </c>
      <c r="DS135" t="str">
        <f>""</f>
        <v/>
      </c>
      <c r="DT135" t="str">
        <f>""</f>
        <v/>
      </c>
      <c r="DU135">
        <f>7.13764101</f>
        <v>7.1376410100000003</v>
      </c>
    </row>
    <row r="136" spans="1:125">
      <c r="A136" t="str">
        <f>"    Essex Property Trust Inc"</f>
        <v xml:space="preserve">    Essex Property Trust Inc</v>
      </c>
      <c r="B136" t="str">
        <f>"ESS US Equity"</f>
        <v>ESS US Equity</v>
      </c>
      <c r="C136" t="str">
        <f t="shared" si="42"/>
        <v>RX902</v>
      </c>
      <c r="D136" t="str">
        <f t="shared" si="43"/>
        <v>ANN_NOI_GR_AST_NET_RTL_DEV_CTD_%</v>
      </c>
      <c r="E136" t="str">
        <f t="shared" si="44"/>
        <v>动态</v>
      </c>
      <c r="F136" t="str">
        <f ca="1">IF(AND(ISNUMBER($F$345),$B$226=1),$F$345,HLOOKUP(INDIRECT(ADDRESS(2,COLUMN())),OFFSET($BN$2,0,0,ROW()-1,60),ROW()-1,FALSE))</f>
        <v/>
      </c>
      <c r="G136">
        <f ca="1">IF(AND(ISNUMBER($G$345),$B$226=1),$G$345,HLOOKUP(INDIRECT(ADDRESS(2,COLUMN())),OFFSET($BN$2,0,0,ROW()-1,60),ROW()-1,FALSE))</f>
        <v>6.2571884200000003</v>
      </c>
      <c r="H136">
        <f ca="1">IF(AND(ISNUMBER($H$345),$B$226=1),$H$345,HLOOKUP(INDIRECT(ADDRESS(2,COLUMN())),OFFSET($BN$2,0,0,ROW()-1,60),ROW()-1,FALSE))</f>
        <v>6.2737003570000001</v>
      </c>
      <c r="I136">
        <f ca="1">IF(AND(ISNUMBER($I$345),$B$226=1),$I$345,HLOOKUP(INDIRECT(ADDRESS(2,COLUMN())),OFFSET($BN$2,0,0,ROW()-1,60),ROW()-1,FALSE))</f>
        <v>6.3348574329999998</v>
      </c>
      <c r="J136">
        <f ca="1">IF(AND(ISNUMBER($J$345),$B$226=1),$J$345,HLOOKUP(INDIRECT(ADDRESS(2,COLUMN())),OFFSET($BN$2,0,0,ROW()-1,60),ROW()-1,FALSE))</f>
        <v>6.2868705020000002</v>
      </c>
      <c r="K136">
        <f ca="1">IF(AND(ISNUMBER($K$345),$B$226=1),$K$345,HLOOKUP(INDIRECT(ADDRESS(2,COLUMN())),OFFSET($BN$2,0,0,ROW()-1,60),ROW()-1,FALSE))</f>
        <v>6.2745879709999999</v>
      </c>
      <c r="L136">
        <f ca="1">IF(AND(ISNUMBER($L$345),$B$226=1),$L$345,HLOOKUP(INDIRECT(ADDRESS(2,COLUMN())),OFFSET($BN$2,0,0,ROW()-1,60),ROW()-1,FALSE))</f>
        <v>6.304880657</v>
      </c>
      <c r="M136">
        <f ca="1">IF(AND(ISNUMBER($M$345),$B$226=1),$M$345,HLOOKUP(INDIRECT(ADDRESS(2,COLUMN())),OFFSET($BN$2,0,0,ROW()-1,60),ROW()-1,FALSE))</f>
        <v>6.2223232599999996</v>
      </c>
      <c r="N136">
        <f ca="1">IF(AND(ISNUMBER($N$345),$B$226=1),$N$345,HLOOKUP(INDIRECT(ADDRESS(2,COLUMN())),OFFSET($BN$2,0,0,ROW()-1,60),ROW()-1,FALSE))</f>
        <v>6.1671107169999999</v>
      </c>
      <c r="O136">
        <f ca="1">IF(AND(ISNUMBER($O$345),$B$226=1),$O$345,HLOOKUP(INDIRECT(ADDRESS(2,COLUMN())),OFFSET($BN$2,0,0,ROW()-1,60),ROW()-1,FALSE))</f>
        <v>6.2043478719999996</v>
      </c>
      <c r="P136">
        <f ca="1">IF(AND(ISNUMBER($P$345),$B$226=1),$P$345,HLOOKUP(INDIRECT(ADDRESS(2,COLUMN())),OFFSET($BN$2,0,0,ROW()-1,60),ROW()-1,FALSE))</f>
        <v>6.0098115099999996</v>
      </c>
      <c r="Q136">
        <f ca="1">IF(AND(ISNUMBER($Q$345),$B$226=1),$Q$345,HLOOKUP(INDIRECT(ADDRESS(2,COLUMN())),OFFSET($BN$2,0,0,ROW()-1,60),ROW()-1,FALSE))</f>
        <v>5.9120721830000003</v>
      </c>
      <c r="R136">
        <f ca="1">IF(AND(ISNUMBER($R$345),$B$226=1),$R$345,HLOOKUP(INDIRECT(ADDRESS(2,COLUMN())),OFFSET($BN$2,0,0,ROW()-1,60),ROW()-1,FALSE))</f>
        <v>5.6187454299999997</v>
      </c>
      <c r="S136">
        <f ca="1">IF(AND(ISNUMBER($S$345),$B$226=1),$S$345,HLOOKUP(INDIRECT(ADDRESS(2,COLUMN())),OFFSET($BN$2,0,0,ROW()-1,60),ROW()-1,FALSE))</f>
        <v>5.7489960309999999</v>
      </c>
      <c r="T136">
        <f ca="1">IF(AND(ISNUMBER($T$345),$B$226=1),$T$345,HLOOKUP(INDIRECT(ADDRESS(2,COLUMN())),OFFSET($BN$2,0,0,ROW()-1,60),ROW()-1,FALSE))</f>
        <v>5.4945920739999998</v>
      </c>
      <c r="U136">
        <f ca="1">IF(AND(ISNUMBER($U$345),$B$226=1),$U$345,HLOOKUP(INDIRECT(ADDRESS(2,COLUMN())),OFFSET($BN$2,0,0,ROW()-1,60),ROW()-1,FALSE))</f>
        <v>5.4470364580000004</v>
      </c>
      <c r="V136">
        <f ca="1">IF(AND(ISNUMBER($V$345),$B$226=1),$V$345,HLOOKUP(INDIRECT(ADDRESS(2,COLUMN())),OFFSET($BN$2,0,0,ROW()-1,60),ROW()-1,FALSE))</f>
        <v>5.3967847830000002</v>
      </c>
      <c r="W136">
        <f ca="1">IF(AND(ISNUMBER($W$345),$B$226=1),$W$345,HLOOKUP(INDIRECT(ADDRESS(2,COLUMN())),OFFSET($BN$2,0,0,ROW()-1,60),ROW()-1,FALSE))</f>
        <v>6.5147767099999996</v>
      </c>
      <c r="X136">
        <f ca="1">IF(AND(ISNUMBER($X$345),$B$226=1),$X$345,HLOOKUP(INDIRECT(ADDRESS(2,COLUMN())),OFFSET($BN$2,0,0,ROW()-1,60),ROW()-1,FALSE))</f>
        <v>6.4672982530000001</v>
      </c>
      <c r="Y136">
        <f ca="1">IF(AND(ISNUMBER($Y$345),$B$226=1),$Y$345,HLOOKUP(INDIRECT(ADDRESS(2,COLUMN())),OFFSET($BN$2,0,0,ROW()-1,60),ROW()-1,FALSE))</f>
        <v>6.4492723510000003</v>
      </c>
      <c r="Z136">
        <f ca="1">IF(AND(ISNUMBER($Z$345),$B$226=1),$Z$345,HLOOKUP(INDIRECT(ADDRESS(2,COLUMN())),OFFSET($BN$2,0,0,ROW()-1,60),ROW()-1,FALSE))</f>
        <v>6.5131477929999999</v>
      </c>
      <c r="AA136">
        <f ca="1">IF(AND(ISNUMBER($AA$345),$B$226=1),$AA$345,HLOOKUP(INDIRECT(ADDRESS(2,COLUMN())),OFFSET($BN$2,0,0,ROW()-1,60),ROW()-1,FALSE))</f>
        <v>6.3821317850000003</v>
      </c>
      <c r="AB136">
        <f ca="1">IF(AND(ISNUMBER($AB$345),$B$226=1),$AB$345,HLOOKUP(INDIRECT(ADDRESS(2,COLUMN())),OFFSET($BN$2,0,0,ROW()-1,60),ROW()-1,FALSE))</f>
        <v>6.4433312069999999</v>
      </c>
      <c r="AC136">
        <f ca="1">IF(AND(ISNUMBER($AC$345),$B$226=1),$AC$345,HLOOKUP(INDIRECT(ADDRESS(2,COLUMN())),OFFSET($BN$2,0,0,ROW()-1,60),ROW()-1,FALSE))</f>
        <v>6.5497568900000003</v>
      </c>
      <c r="AD136">
        <f ca="1">IF(AND(ISNUMBER($AD$345),$B$226=1),$AD$345,HLOOKUP(INDIRECT(ADDRESS(2,COLUMN())),OFFSET($BN$2,0,0,ROW()-1,60),ROW()-1,FALSE))</f>
        <v>6.844944913</v>
      </c>
      <c r="AE136">
        <f ca="1">IF(AND(ISNUMBER($AE$345),$B$226=1),$AE$345,HLOOKUP(INDIRECT(ADDRESS(2,COLUMN())),OFFSET($BN$2,0,0,ROW()-1,60),ROW()-1,FALSE))</f>
        <v>6.6509716579999996</v>
      </c>
      <c r="AF136">
        <f ca="1">IF(AND(ISNUMBER($AF$345),$B$226=1),$AF$345,HLOOKUP(INDIRECT(ADDRESS(2,COLUMN())),OFFSET($BN$2,0,0,ROW()-1,60),ROW()-1,FALSE))</f>
        <v>6.3803663559999997</v>
      </c>
      <c r="AG136">
        <f ca="1">IF(AND(ISNUMBER($AG$345),$B$226=1),$AG$345,HLOOKUP(INDIRECT(ADDRESS(2,COLUMN())),OFFSET($BN$2,0,0,ROW()-1,60),ROW()-1,FALSE))</f>
        <v>6.4335884090000004</v>
      </c>
      <c r="AH136">
        <f ca="1">IF(AND(ISNUMBER($AH$345),$B$226=1),$AH$345,HLOOKUP(INDIRECT(ADDRESS(2,COLUMN())),OFFSET($BN$2,0,0,ROW()-1,60),ROW()-1,FALSE))</f>
        <v>6.1469115800000003</v>
      </c>
      <c r="AI136">
        <f ca="1">IF(AND(ISNUMBER($AI$345),$B$226=1),$AI$345,HLOOKUP(INDIRECT(ADDRESS(2,COLUMN())),OFFSET($BN$2,0,0,ROW()-1,60),ROW()-1,FALSE))</f>
        <v>6.0120341310000001</v>
      </c>
      <c r="AJ136">
        <f ca="1">IF(AND(ISNUMBER($AJ$345),$B$226=1),$AJ$345,HLOOKUP(INDIRECT(ADDRESS(2,COLUMN())),OFFSET($BN$2,0,0,ROW()-1,60),ROW()-1,FALSE))</f>
        <v>6.0431126969999998</v>
      </c>
      <c r="AK136">
        <f ca="1">IF(AND(ISNUMBER($AK$345),$B$226=1),$AK$345,HLOOKUP(INDIRECT(ADDRESS(2,COLUMN())),OFFSET($BN$2,0,0,ROW()-1,60),ROW()-1,FALSE))</f>
        <v>6.224076825</v>
      </c>
      <c r="AL136">
        <f ca="1">IF(AND(ISNUMBER($AL$345),$B$226=1),$AL$345,HLOOKUP(INDIRECT(ADDRESS(2,COLUMN())),OFFSET($BN$2,0,0,ROW()-1,60),ROW()-1,FALSE))</f>
        <v>6.4091318900000003</v>
      </c>
      <c r="AM136">
        <f ca="1">IF(AND(ISNUMBER($AM$345),$B$226=1),$AM$345,HLOOKUP(INDIRECT(ADDRESS(2,COLUMN())),OFFSET($BN$2,0,0,ROW()-1,60),ROW()-1,FALSE))</f>
        <v>6.3294107720000001</v>
      </c>
      <c r="AN136">
        <f ca="1">IF(AND(ISNUMBER($AN$345),$B$226=1),$AN$345,HLOOKUP(INDIRECT(ADDRESS(2,COLUMN())),OFFSET($BN$2,0,0,ROW()-1,60),ROW()-1,FALSE))</f>
        <v>6.4786131810000001</v>
      </c>
      <c r="AO136">
        <f ca="1">IF(AND(ISNUMBER($AO$345),$B$226=1),$AO$345,HLOOKUP(INDIRECT(ADDRESS(2,COLUMN())),OFFSET($BN$2,0,0,ROW()-1,60),ROW()-1,FALSE))</f>
        <v>6.9829294979999998</v>
      </c>
      <c r="AP136">
        <f ca="1">IF(AND(ISNUMBER($AP$345),$B$226=1),$AP$345,HLOOKUP(INDIRECT(ADDRESS(2,COLUMN())),OFFSET($BN$2,0,0,ROW()-1,60),ROW()-1,FALSE))</f>
        <v>7.3962763689999997</v>
      </c>
      <c r="AQ136">
        <f ca="1">IF(AND(ISNUMBER($AQ$345),$B$226=1),$AQ$345,HLOOKUP(INDIRECT(ADDRESS(2,COLUMN())),OFFSET($BN$2,0,0,ROW()-1,60),ROW()-1,FALSE))</f>
        <v>7.3191866479999996</v>
      </c>
      <c r="AR136">
        <f ca="1">IF(AND(ISNUMBER($AR$345),$B$226=1),$AR$345,HLOOKUP(INDIRECT(ADDRESS(2,COLUMN())),OFFSET($BN$2,0,0,ROW()-1,60),ROW()-1,FALSE))</f>
        <v>7.2048414789999997</v>
      </c>
      <c r="AS136">
        <f ca="1">IF(AND(ISNUMBER($AS$345),$B$226=1),$AS$345,HLOOKUP(INDIRECT(ADDRESS(2,COLUMN())),OFFSET($BN$2,0,0,ROW()-1,60),ROW()-1,FALSE))</f>
        <v>7.3428861489999999</v>
      </c>
      <c r="AT136">
        <f ca="1">IF(AND(ISNUMBER($AT$345),$B$226=1),$AT$345,HLOOKUP(INDIRECT(ADDRESS(2,COLUMN())),OFFSET($BN$2,0,0,ROW()-1,60),ROW()-1,FALSE))</f>
        <v>7.5066627520000004</v>
      </c>
      <c r="AU136">
        <f ca="1">IF(AND(ISNUMBER($AU$345),$B$226=1),$AU$345,HLOOKUP(INDIRECT(ADDRESS(2,COLUMN())),OFFSET($BN$2,0,0,ROW()-1,60),ROW()-1,FALSE))</f>
        <v>7.4040047580000001</v>
      </c>
      <c r="AV136">
        <f ca="1">IF(AND(ISNUMBER($AV$345),$B$226=1),$AV$345,HLOOKUP(INDIRECT(ADDRESS(2,COLUMN())),OFFSET($BN$2,0,0,ROW()-1,60),ROW()-1,FALSE))</f>
        <v>7.3280092330000004</v>
      </c>
      <c r="AW136">
        <f ca="1">IF(AND(ISNUMBER($AW$345),$B$226=1),$AW$345,HLOOKUP(INDIRECT(ADDRESS(2,COLUMN())),OFFSET($BN$2,0,0,ROW()-1,60),ROW()-1,FALSE))</f>
        <v>7.6705037559999996</v>
      </c>
      <c r="AX136">
        <f ca="1">IF(AND(ISNUMBER($AX$345),$B$226=1),$AX$345,HLOOKUP(INDIRECT(ADDRESS(2,COLUMN())),OFFSET($BN$2,0,0,ROW()-1,60),ROW()-1,FALSE))</f>
        <v>7.8462284469999997</v>
      </c>
      <c r="AY136">
        <f ca="1">IF(AND(ISNUMBER($AY$345),$B$226=1),$AY$345,HLOOKUP(INDIRECT(ADDRESS(2,COLUMN())),OFFSET($BN$2,0,0,ROW()-1,60),ROW()-1,FALSE))</f>
        <v>7.887341127</v>
      </c>
      <c r="AZ136">
        <f ca="1">IF(AND(ISNUMBER($AZ$345),$B$226=1),$AZ$345,HLOOKUP(INDIRECT(ADDRESS(2,COLUMN())),OFFSET($BN$2,0,0,ROW()-1,60),ROW()-1,FALSE))</f>
        <v>7.8242951820000002</v>
      </c>
      <c r="BA136">
        <f ca="1">IF(AND(ISNUMBER($BA$345),$B$226=1),$BA$345,HLOOKUP(INDIRECT(ADDRESS(2,COLUMN())),OFFSET($BN$2,0,0,ROW()-1,60),ROW()-1,FALSE))</f>
        <v>8.0002950750000004</v>
      </c>
      <c r="BB136">
        <f ca="1">IF(AND(ISNUMBER($BB$345),$B$226=1),$BB$345,HLOOKUP(INDIRECT(ADDRESS(2,COLUMN())),OFFSET($BN$2,0,0,ROW()-1,60),ROW()-1,FALSE))</f>
        <v>7.8660258330000001</v>
      </c>
      <c r="BC136">
        <f ca="1">IF(AND(ISNUMBER($BC$345),$B$226=1),$BC$345,HLOOKUP(INDIRECT(ADDRESS(2,COLUMN())),OFFSET($BN$2,0,0,ROW()-1,60),ROW()-1,FALSE))</f>
        <v>6.9901452900000001</v>
      </c>
      <c r="BD136">
        <f ca="1">IF(AND(ISNUMBER($BD$345),$B$226=1),$BD$345,HLOOKUP(INDIRECT(ADDRESS(2,COLUMN())),OFFSET($BN$2,0,0,ROW()-1,60),ROW()-1,FALSE))</f>
        <v>8.1542478260000006</v>
      </c>
      <c r="BE136">
        <f ca="1">IF(AND(ISNUMBER($BE$345),$B$226=1),$BE$345,HLOOKUP(INDIRECT(ADDRESS(2,COLUMN())),OFFSET($BN$2,0,0,ROW()-1,60),ROW()-1,FALSE))</f>
        <v>8.0310309699999998</v>
      </c>
      <c r="BF136">
        <f ca="1">IF(AND(ISNUMBER($BF$345),$B$226=1),$BF$345,HLOOKUP(INDIRECT(ADDRESS(2,COLUMN())),OFFSET($BN$2,0,0,ROW()-1,60),ROW()-1,FALSE))</f>
        <v>7.9423771299999997</v>
      </c>
      <c r="BG136" t="str">
        <f ca="1">IF(AND(ISNUMBER($BG$345),$B$226=1),$BG$345,HLOOKUP(INDIRECT(ADDRESS(2,COLUMN())),OFFSET($BN$2,0,0,ROW()-1,60),ROW()-1,FALSE))</f>
        <v/>
      </c>
      <c r="BH136" t="str">
        <f ca="1">IF(AND(ISNUMBER($BH$345),$B$226=1),$BH$345,HLOOKUP(INDIRECT(ADDRESS(2,COLUMN())),OFFSET($BN$2,0,0,ROW()-1,60),ROW()-1,FALSE))</f>
        <v/>
      </c>
      <c r="BI136" t="str">
        <f ca="1">IF(AND(ISNUMBER($BI$345),$B$226=1),$BI$345,HLOOKUP(INDIRECT(ADDRESS(2,COLUMN())),OFFSET($BN$2,0,0,ROW()-1,60),ROW()-1,FALSE))</f>
        <v/>
      </c>
      <c r="BJ136" t="str">
        <f ca="1">IF(AND(ISNUMBER($BJ$345),$B$226=1),$BJ$345,HLOOKUP(INDIRECT(ADDRESS(2,COLUMN())),OFFSET($BN$2,0,0,ROW()-1,60),ROW()-1,FALSE))</f>
        <v/>
      </c>
      <c r="BK136" t="str">
        <f ca="1">IF(AND(ISNUMBER($BK$345),$B$226=1),$BK$345,HLOOKUP(INDIRECT(ADDRESS(2,COLUMN())),OFFSET($BN$2,0,0,ROW()-1,60),ROW()-1,FALSE))</f>
        <v/>
      </c>
      <c r="BL136">
        <f ca="1">IF(AND(ISNUMBER($BL$345),$B$226=1),$BL$345,HLOOKUP(INDIRECT(ADDRESS(2,COLUMN())),OFFSET($BN$2,0,0,ROW()-1,60),ROW()-1,FALSE))</f>
        <v>8.9899121540000007</v>
      </c>
      <c r="BM136" t="str">
        <f ca="1">IF(AND(ISNUMBER($BM$345),$B$226=1),$BM$345,HLOOKUP(INDIRECT(ADDRESS(2,COLUMN())),OFFSET($BN$2,0,0,ROW()-1,60),ROW()-1,FALSE))</f>
        <v/>
      </c>
      <c r="BN136" t="str">
        <f>""</f>
        <v/>
      </c>
      <c r="BO136">
        <f>6.25718842</f>
        <v>6.2571884200000003</v>
      </c>
      <c r="BP136">
        <f>6.273700357</f>
        <v>6.2737003570000001</v>
      </c>
      <c r="BQ136">
        <f>6.334857433</f>
        <v>6.3348574329999998</v>
      </c>
      <c r="BR136">
        <f>6.286870502</f>
        <v>6.2868705020000002</v>
      </c>
      <c r="BS136">
        <f>6.274587971</f>
        <v>6.2745879709999999</v>
      </c>
      <c r="BT136">
        <f>6.304880657</f>
        <v>6.304880657</v>
      </c>
      <c r="BU136">
        <f>6.22232326</f>
        <v>6.2223232599999996</v>
      </c>
      <c r="BV136">
        <f>6.167110717</f>
        <v>6.1671107169999999</v>
      </c>
      <c r="BW136">
        <f>6.204347872</f>
        <v>6.2043478719999996</v>
      </c>
      <c r="BX136">
        <f>6.00981151</f>
        <v>6.0098115099999996</v>
      </c>
      <c r="BY136">
        <f>5.912072183</f>
        <v>5.9120721830000003</v>
      </c>
      <c r="BZ136">
        <f>5.61874543</f>
        <v>5.6187454299999997</v>
      </c>
      <c r="CA136">
        <f>5.748996031</f>
        <v>5.7489960309999999</v>
      </c>
      <c r="CB136">
        <f>5.494592074</f>
        <v>5.4945920739999998</v>
      </c>
      <c r="CC136">
        <f>5.447036458</f>
        <v>5.4470364580000004</v>
      </c>
      <c r="CD136">
        <f>5.396784783</f>
        <v>5.3967847830000002</v>
      </c>
      <c r="CE136">
        <f>6.51477671</f>
        <v>6.5147767099999996</v>
      </c>
      <c r="CF136">
        <f>6.467298253</f>
        <v>6.4672982530000001</v>
      </c>
      <c r="CG136">
        <f>6.449272351</f>
        <v>6.4492723510000003</v>
      </c>
      <c r="CH136">
        <f>6.513147793</f>
        <v>6.5131477929999999</v>
      </c>
      <c r="CI136">
        <f>6.382131785</f>
        <v>6.3821317850000003</v>
      </c>
      <c r="CJ136">
        <f>6.443331207</f>
        <v>6.4433312069999999</v>
      </c>
      <c r="CK136">
        <f>6.54975689</f>
        <v>6.5497568900000003</v>
      </c>
      <c r="CL136">
        <f>6.844944913</f>
        <v>6.844944913</v>
      </c>
      <c r="CM136">
        <f>6.650971658</f>
        <v>6.6509716579999996</v>
      </c>
      <c r="CN136">
        <f>6.380366356</f>
        <v>6.3803663559999997</v>
      </c>
      <c r="CO136">
        <f>6.433588409</f>
        <v>6.4335884090000004</v>
      </c>
      <c r="CP136">
        <f>6.14691158</f>
        <v>6.1469115800000003</v>
      </c>
      <c r="CQ136">
        <f>6.012034131</f>
        <v>6.0120341310000001</v>
      </c>
      <c r="CR136">
        <f>6.043112697</f>
        <v>6.0431126969999998</v>
      </c>
      <c r="CS136">
        <f>6.224076825</f>
        <v>6.224076825</v>
      </c>
      <c r="CT136">
        <f>6.40913189</f>
        <v>6.4091318900000003</v>
      </c>
      <c r="CU136">
        <f>6.329410772</f>
        <v>6.3294107720000001</v>
      </c>
      <c r="CV136">
        <f>6.478613181</f>
        <v>6.4786131810000001</v>
      </c>
      <c r="CW136">
        <f>6.982929498</f>
        <v>6.9829294979999998</v>
      </c>
      <c r="CX136">
        <f>7.396276369</f>
        <v>7.3962763689999997</v>
      </c>
      <c r="CY136">
        <f>7.319186648</f>
        <v>7.3191866479999996</v>
      </c>
      <c r="CZ136">
        <f>7.204841479</f>
        <v>7.2048414789999997</v>
      </c>
      <c r="DA136">
        <f>7.342886149</f>
        <v>7.3428861489999999</v>
      </c>
      <c r="DB136">
        <f>7.506662752</f>
        <v>7.5066627520000004</v>
      </c>
      <c r="DC136">
        <f>7.404004758</f>
        <v>7.4040047580000001</v>
      </c>
      <c r="DD136">
        <f>7.328009233</f>
        <v>7.3280092330000004</v>
      </c>
      <c r="DE136">
        <f>7.670503756</f>
        <v>7.6705037559999996</v>
      </c>
      <c r="DF136">
        <f>7.846228447</f>
        <v>7.8462284469999997</v>
      </c>
      <c r="DG136">
        <f>7.887341127</f>
        <v>7.887341127</v>
      </c>
      <c r="DH136">
        <f>7.824295182</f>
        <v>7.8242951820000002</v>
      </c>
      <c r="DI136">
        <f>8.000295075</f>
        <v>8.0002950750000004</v>
      </c>
      <c r="DJ136">
        <f>7.866025833</f>
        <v>7.8660258330000001</v>
      </c>
      <c r="DK136">
        <f>6.99014529</f>
        <v>6.9901452900000001</v>
      </c>
      <c r="DL136">
        <f>8.154247826</f>
        <v>8.1542478260000006</v>
      </c>
      <c r="DM136">
        <f>8.03103097</f>
        <v>8.0310309699999998</v>
      </c>
      <c r="DN136">
        <f>7.94237713</f>
        <v>7.9423771299999997</v>
      </c>
      <c r="DO136" t="str">
        <f>""</f>
        <v/>
      </c>
      <c r="DP136" t="str">
        <f>""</f>
        <v/>
      </c>
      <c r="DQ136" t="str">
        <f>""</f>
        <v/>
      </c>
      <c r="DR136" t="str">
        <f>""</f>
        <v/>
      </c>
      <c r="DS136" t="str">
        <f>""</f>
        <v/>
      </c>
      <c r="DT136">
        <f>8.989912154</f>
        <v>8.9899121540000007</v>
      </c>
      <c r="DU136" t="str">
        <f>""</f>
        <v/>
      </c>
    </row>
    <row r="137" spans="1:125">
      <c r="A137" t="str">
        <f>"    Mid-America Apartment Communit"</f>
        <v xml:space="preserve">    Mid-America Apartment Communit</v>
      </c>
      <c r="B137" t="str">
        <f>"MAA US Equity"</f>
        <v>MAA US Equity</v>
      </c>
      <c r="C137" t="str">
        <f t="shared" si="42"/>
        <v>RX902</v>
      </c>
      <c r="D137" t="str">
        <f t="shared" si="43"/>
        <v>ANN_NOI_GR_AST_NET_RTL_DEV_CTD_%</v>
      </c>
      <c r="E137" t="str">
        <f t="shared" si="44"/>
        <v>动态</v>
      </c>
      <c r="F137" t="str">
        <f ca="1">IF(AND(ISNUMBER($F$346),$B$226=1),$F$346,HLOOKUP(INDIRECT(ADDRESS(2,COLUMN())),OFFSET($BN$2,0,0,ROW()-1,60),ROW()-1,FALSE))</f>
        <v/>
      </c>
      <c r="G137">
        <f ca="1">IF(AND(ISNUMBER($G$346),$B$226=1),$G$346,HLOOKUP(INDIRECT(ADDRESS(2,COLUMN())),OFFSET($BN$2,0,0,ROW()-1,60),ROW()-1,FALSE))</f>
        <v>7.1475839519999997</v>
      </c>
      <c r="H137">
        <f ca="1">IF(AND(ISNUMBER($H$346),$B$226=1),$H$346,HLOOKUP(INDIRECT(ADDRESS(2,COLUMN())),OFFSET($BN$2,0,0,ROW()-1,60),ROW()-1,FALSE))</f>
        <v>6.9738098800000001</v>
      </c>
      <c r="I137">
        <f ca="1">IF(AND(ISNUMBER($I$346),$B$226=1),$I$346,HLOOKUP(INDIRECT(ADDRESS(2,COLUMN())),OFFSET($BN$2,0,0,ROW()-1,60),ROW()-1,FALSE))</f>
        <v>7.076684803</v>
      </c>
      <c r="J137">
        <f ca="1">IF(AND(ISNUMBER($J$346),$B$226=1),$J$346,HLOOKUP(INDIRECT(ADDRESS(2,COLUMN())),OFFSET($BN$2,0,0,ROW()-1,60),ROW()-1,FALSE))</f>
        <v>7.1317818290000004</v>
      </c>
      <c r="K137">
        <f ca="1">IF(AND(ISNUMBER($K$346),$B$226=1),$K$346,HLOOKUP(INDIRECT(ADDRESS(2,COLUMN())),OFFSET($BN$2,0,0,ROW()-1,60),ROW()-1,FALSE))</f>
        <v>5.8617123470000001</v>
      </c>
      <c r="L137">
        <f ca="1">IF(AND(ISNUMBER($L$346),$B$226=1),$L$346,HLOOKUP(INDIRECT(ADDRESS(2,COLUMN())),OFFSET($BN$2,0,0,ROW()-1,60),ROW()-1,FALSE))</f>
        <v>7.9540803840000001</v>
      </c>
      <c r="M137">
        <f ca="1">IF(AND(ISNUMBER($M$346),$B$226=1),$M$346,HLOOKUP(INDIRECT(ADDRESS(2,COLUMN())),OFFSET($BN$2,0,0,ROW()-1,60),ROW()-1,FALSE))</f>
        <v>7.9677845100000004</v>
      </c>
      <c r="N137">
        <f ca="1">IF(AND(ISNUMBER($N$346),$B$226=1),$N$346,HLOOKUP(INDIRECT(ADDRESS(2,COLUMN())),OFFSET($BN$2,0,0,ROW()-1,60),ROW()-1,FALSE))</f>
        <v>8.0235110079999998</v>
      </c>
      <c r="O137">
        <f ca="1">IF(AND(ISNUMBER($O$346),$B$226=1),$O$346,HLOOKUP(INDIRECT(ADDRESS(2,COLUMN())),OFFSET($BN$2,0,0,ROW()-1,60),ROW()-1,FALSE))</f>
        <v>7.9612501529999999</v>
      </c>
      <c r="P137">
        <f ca="1">IF(AND(ISNUMBER($P$346),$B$226=1),$P$346,HLOOKUP(INDIRECT(ADDRESS(2,COLUMN())),OFFSET($BN$2,0,0,ROW()-1,60),ROW()-1,FALSE))</f>
        <v>7.7324050529999999</v>
      </c>
      <c r="Q137">
        <f ca="1">IF(AND(ISNUMBER($Q$346),$B$226=1),$Q$346,HLOOKUP(INDIRECT(ADDRESS(2,COLUMN())),OFFSET($BN$2,0,0,ROW()-1,60),ROW()-1,FALSE))</f>
        <v>7.7258526160000001</v>
      </c>
      <c r="R137">
        <f ca="1">IF(AND(ISNUMBER($R$346),$B$226=1),$R$346,HLOOKUP(INDIRECT(ADDRESS(2,COLUMN())),OFFSET($BN$2,0,0,ROW()-1,60),ROW()-1,FALSE))</f>
        <v>7.8288154680000002</v>
      </c>
      <c r="S137">
        <f ca="1">IF(AND(ISNUMBER($S$346),$B$226=1),$S$346,HLOOKUP(INDIRECT(ADDRESS(2,COLUMN())),OFFSET($BN$2,0,0,ROW()-1,60),ROW()-1,FALSE))</f>
        <v>7.8433012089999998</v>
      </c>
      <c r="T137">
        <f ca="1">IF(AND(ISNUMBER($T$346),$B$226=1),$T$346,HLOOKUP(INDIRECT(ADDRESS(2,COLUMN())),OFFSET($BN$2,0,0,ROW()-1,60),ROW()-1,FALSE))</f>
        <v>7.8318623760000001</v>
      </c>
      <c r="U137">
        <f ca="1">IF(AND(ISNUMBER($U$346),$B$226=1),$U$346,HLOOKUP(INDIRECT(ADDRESS(2,COLUMN())),OFFSET($BN$2,0,0,ROW()-1,60),ROW()-1,FALSE))</f>
        <v>7.3291198660000001</v>
      </c>
      <c r="V137">
        <f ca="1">IF(AND(ISNUMBER($V$346),$B$226=1),$V$346,HLOOKUP(INDIRECT(ADDRESS(2,COLUMN())),OFFSET($BN$2,0,0,ROW()-1,60),ROW()-1,FALSE))</f>
        <v>7.4027884439999996</v>
      </c>
      <c r="W137">
        <f ca="1">IF(AND(ISNUMBER($W$346),$B$226=1),$W$346,HLOOKUP(INDIRECT(ADDRESS(2,COLUMN())),OFFSET($BN$2,0,0,ROW()-1,60),ROW()-1,FALSE))</f>
        <v>7.3313874290000003</v>
      </c>
      <c r="X137">
        <f ca="1">IF(AND(ISNUMBER($X$346),$B$226=1),$X$346,HLOOKUP(INDIRECT(ADDRESS(2,COLUMN())),OFFSET($BN$2,0,0,ROW()-1,60),ROW()-1,FALSE))</f>
        <v>7.9058267620000002</v>
      </c>
      <c r="Y137">
        <f ca="1">IF(AND(ISNUMBER($Y$346),$B$226=1),$Y$346,HLOOKUP(INDIRECT(ADDRESS(2,COLUMN())),OFFSET($BN$2,0,0,ROW()-1,60),ROW()-1,FALSE))</f>
        <v>8.4060341459999997</v>
      </c>
      <c r="Z137">
        <f ca="1">IF(AND(ISNUMBER($Z$346),$B$226=1),$Z$346,HLOOKUP(INDIRECT(ADDRESS(2,COLUMN())),OFFSET($BN$2,0,0,ROW()-1,60),ROW()-1,FALSE))</f>
        <v>8.3882134399999995</v>
      </c>
      <c r="AA137">
        <f ca="1">IF(AND(ISNUMBER($AA$346),$B$226=1),$AA$346,HLOOKUP(INDIRECT(ADDRESS(2,COLUMN())),OFFSET($BN$2,0,0,ROW()-1,60),ROW()-1,FALSE))</f>
        <v>8.4299145259999992</v>
      </c>
      <c r="AB137">
        <f ca="1">IF(AND(ISNUMBER($AB$346),$B$226=1),$AB$346,HLOOKUP(INDIRECT(ADDRESS(2,COLUMN())),OFFSET($BN$2,0,0,ROW()-1,60),ROW()-1,FALSE))</f>
        <v>7.9050431760000004</v>
      </c>
      <c r="AC137">
        <f ca="1">IF(AND(ISNUMBER($AC$346),$B$226=1),$AC$346,HLOOKUP(INDIRECT(ADDRESS(2,COLUMN())),OFFSET($BN$2,0,0,ROW()-1,60),ROW()-1,FALSE))</f>
        <v>8.1775497880000003</v>
      </c>
      <c r="AD137">
        <f ca="1">IF(AND(ISNUMBER($AD$346),$B$226=1),$AD$346,HLOOKUP(INDIRECT(ADDRESS(2,COLUMN())),OFFSET($BN$2,0,0,ROW()-1,60),ROW()-1,FALSE))</f>
        <v>7.9278198440000001</v>
      </c>
      <c r="AE137">
        <f ca="1">IF(AND(ISNUMBER($AE$346),$B$226=1),$AE$346,HLOOKUP(INDIRECT(ADDRESS(2,COLUMN())),OFFSET($BN$2,0,0,ROW()-1,60),ROW()-1,FALSE))</f>
        <v>7.8819263089999998</v>
      </c>
      <c r="AF137">
        <f ca="1">IF(AND(ISNUMBER($AF$346),$B$226=1),$AF$346,HLOOKUP(INDIRECT(ADDRESS(2,COLUMN())),OFFSET($BN$2,0,0,ROW()-1,60),ROW()-1,FALSE))</f>
        <v>7.7304705409999999</v>
      </c>
      <c r="AG137">
        <f ca="1">IF(AND(ISNUMBER($AG$346),$B$226=1),$AG$346,HLOOKUP(INDIRECT(ADDRESS(2,COLUMN())),OFFSET($BN$2,0,0,ROW()-1,60),ROW()-1,FALSE))</f>
        <v>7.7476233179999996</v>
      </c>
      <c r="AH137">
        <f ca="1">IF(AND(ISNUMBER($AH$346),$B$226=1),$AH$346,HLOOKUP(INDIRECT(ADDRESS(2,COLUMN())),OFFSET($BN$2,0,0,ROW()-1,60),ROW()-1,FALSE))</f>
        <v>7.8893882499999997</v>
      </c>
      <c r="AI137">
        <f ca="1">IF(AND(ISNUMBER($AI$346),$B$226=1),$AI$346,HLOOKUP(INDIRECT(ADDRESS(2,COLUMN())),OFFSET($BN$2,0,0,ROW()-1,60),ROW()-1,FALSE))</f>
        <v>7.1849959339999998</v>
      </c>
      <c r="AJ137">
        <f ca="1">IF(AND(ISNUMBER($AJ$346),$B$226=1),$AJ$346,HLOOKUP(INDIRECT(ADDRESS(2,COLUMN())),OFFSET($BN$2,0,0,ROW()-1,60),ROW()-1,FALSE))</f>
        <v>7.3460784610000003</v>
      </c>
      <c r="AK137">
        <f ca="1">IF(AND(ISNUMBER($AK$346),$B$226=1),$AK$346,HLOOKUP(INDIRECT(ADDRESS(2,COLUMN())),OFFSET($BN$2,0,0,ROW()-1,60),ROW()-1,FALSE))</f>
        <v>7.9145615640000004</v>
      </c>
      <c r="AL137">
        <f ca="1">IF(AND(ISNUMBER($AL$346),$B$226=1),$AL$346,HLOOKUP(INDIRECT(ADDRESS(2,COLUMN())),OFFSET($BN$2,0,0,ROW()-1,60),ROW()-1,FALSE))</f>
        <v>8.0584987750000003</v>
      </c>
      <c r="AM137">
        <f ca="1">IF(AND(ISNUMBER($AM$346),$B$226=1),$AM$346,HLOOKUP(INDIRECT(ADDRESS(2,COLUMN())),OFFSET($BN$2,0,0,ROW()-1,60),ROW()-1,FALSE))</f>
        <v>7.9379161580000002</v>
      </c>
      <c r="AN137">
        <f ca="1">IF(AND(ISNUMBER($AN$346),$B$226=1),$AN$346,HLOOKUP(INDIRECT(ADDRESS(2,COLUMN())),OFFSET($BN$2,0,0,ROW()-1,60),ROW()-1,FALSE))</f>
        <v>7.9393950489999998</v>
      </c>
      <c r="AO137">
        <f ca="1">IF(AND(ISNUMBER($AO$346),$B$226=1),$AO$346,HLOOKUP(INDIRECT(ADDRESS(2,COLUMN())),OFFSET($BN$2,0,0,ROW()-1,60),ROW()-1,FALSE))</f>
        <v>8.4582553259999997</v>
      </c>
      <c r="AP137">
        <f ca="1">IF(AND(ISNUMBER($AP$346),$B$226=1),$AP$346,HLOOKUP(INDIRECT(ADDRESS(2,COLUMN())),OFFSET($BN$2,0,0,ROW()-1,60),ROW()-1,FALSE))</f>
        <v>8.3932960219999995</v>
      </c>
      <c r="AQ137">
        <f ca="1">IF(AND(ISNUMBER($AQ$346),$B$226=1),$AQ$346,HLOOKUP(INDIRECT(ADDRESS(2,COLUMN())),OFFSET($BN$2,0,0,ROW()-1,60),ROW()-1,FALSE))</f>
        <v>8.4253532769999993</v>
      </c>
      <c r="AR137">
        <f ca="1">IF(AND(ISNUMBER($AR$346),$B$226=1),$AR$346,HLOOKUP(INDIRECT(ADDRESS(2,COLUMN())),OFFSET($BN$2,0,0,ROW()-1,60),ROW()-1,FALSE))</f>
        <v>8.0677982010000004</v>
      </c>
      <c r="AS137">
        <f ca="1">IF(AND(ISNUMBER($AS$346),$B$226=1),$AS$346,HLOOKUP(INDIRECT(ADDRESS(2,COLUMN())),OFFSET($BN$2,0,0,ROW()-1,60),ROW()-1,FALSE))</f>
        <v>8.6499806509999999</v>
      </c>
      <c r="AT137">
        <f ca="1">IF(AND(ISNUMBER($AT$346),$B$226=1),$AT$346,HLOOKUP(INDIRECT(ADDRESS(2,COLUMN())),OFFSET($BN$2,0,0,ROW()-1,60),ROW()-1,FALSE))</f>
        <v>8.9420379560000001</v>
      </c>
      <c r="AU137">
        <f ca="1">IF(AND(ISNUMBER($AU$346),$B$226=1),$AU$346,HLOOKUP(INDIRECT(ADDRESS(2,COLUMN())),OFFSET($BN$2,0,0,ROW()-1,60),ROW()-1,FALSE))</f>
        <v>8.4305133019999996</v>
      </c>
      <c r="AV137">
        <f ca="1">IF(AND(ISNUMBER($AV$346),$B$226=1),$AV$346,HLOOKUP(INDIRECT(ADDRESS(2,COLUMN())),OFFSET($BN$2,0,0,ROW()-1,60),ROW()-1,FALSE))</f>
        <v>8.8796566010000006</v>
      </c>
      <c r="AW137">
        <f ca="1">IF(AND(ISNUMBER($AW$346),$B$226=1),$AW$346,HLOOKUP(INDIRECT(ADDRESS(2,COLUMN())),OFFSET($BN$2,0,0,ROW()-1,60),ROW()-1,FALSE))</f>
        <v>8.6879829829999995</v>
      </c>
      <c r="AX137" t="str">
        <f ca="1">IF(AND(ISNUMBER($AX$346),$B$226=1),$AX$346,HLOOKUP(INDIRECT(ADDRESS(2,COLUMN())),OFFSET($BN$2,0,0,ROW()-1,60),ROW()-1,FALSE))</f>
        <v/>
      </c>
      <c r="AY137" t="str">
        <f ca="1">IF(AND(ISNUMBER($AY$346),$B$226=1),$AY$346,HLOOKUP(INDIRECT(ADDRESS(2,COLUMN())),OFFSET($BN$2,0,0,ROW()-1,60),ROW()-1,FALSE))</f>
        <v/>
      </c>
      <c r="AZ137" t="str">
        <f ca="1">IF(AND(ISNUMBER($AZ$346),$B$226=1),$AZ$346,HLOOKUP(INDIRECT(ADDRESS(2,COLUMN())),OFFSET($BN$2,0,0,ROW()-1,60),ROW()-1,FALSE))</f>
        <v/>
      </c>
      <c r="BA137" t="str">
        <f ca="1">IF(AND(ISNUMBER($BA$346),$B$226=1),$BA$346,HLOOKUP(INDIRECT(ADDRESS(2,COLUMN())),OFFSET($BN$2,0,0,ROW()-1,60),ROW()-1,FALSE))</f>
        <v/>
      </c>
      <c r="BB137" t="str">
        <f ca="1">IF(AND(ISNUMBER($BB$346),$B$226=1),$BB$346,HLOOKUP(INDIRECT(ADDRESS(2,COLUMN())),OFFSET($BN$2,0,0,ROW()-1,60),ROW()-1,FALSE))</f>
        <v/>
      </c>
      <c r="BC137" t="str">
        <f ca="1">IF(AND(ISNUMBER($BC$346),$B$226=1),$BC$346,HLOOKUP(INDIRECT(ADDRESS(2,COLUMN())),OFFSET($BN$2,0,0,ROW()-1,60),ROW()-1,FALSE))</f>
        <v/>
      </c>
      <c r="BD137" t="str">
        <f ca="1">IF(AND(ISNUMBER($BD$346),$B$226=1),$BD$346,HLOOKUP(INDIRECT(ADDRESS(2,COLUMN())),OFFSET($BN$2,0,0,ROW()-1,60),ROW()-1,FALSE))</f>
        <v/>
      </c>
      <c r="BE137" t="str">
        <f ca="1">IF(AND(ISNUMBER($BE$346),$B$226=1),$BE$346,HLOOKUP(INDIRECT(ADDRESS(2,COLUMN())),OFFSET($BN$2,0,0,ROW()-1,60),ROW()-1,FALSE))</f>
        <v/>
      </c>
      <c r="BF137" t="str">
        <f ca="1">IF(AND(ISNUMBER($BF$346),$B$226=1),$BF$346,HLOOKUP(INDIRECT(ADDRESS(2,COLUMN())),OFFSET($BN$2,0,0,ROW()-1,60),ROW()-1,FALSE))</f>
        <v/>
      </c>
      <c r="BG137" t="str">
        <f ca="1">IF(AND(ISNUMBER($BG$346),$B$226=1),$BG$346,HLOOKUP(INDIRECT(ADDRESS(2,COLUMN())),OFFSET($BN$2,0,0,ROW()-1,60),ROW()-1,FALSE))</f>
        <v/>
      </c>
      <c r="BH137" t="str">
        <f ca="1">IF(AND(ISNUMBER($BH$346),$B$226=1),$BH$346,HLOOKUP(INDIRECT(ADDRESS(2,COLUMN())),OFFSET($BN$2,0,0,ROW()-1,60),ROW()-1,FALSE))</f>
        <v/>
      </c>
      <c r="BI137" t="str">
        <f ca="1">IF(AND(ISNUMBER($BI$346),$B$226=1),$BI$346,HLOOKUP(INDIRECT(ADDRESS(2,COLUMN())),OFFSET($BN$2,0,0,ROW()-1,60),ROW()-1,FALSE))</f>
        <v/>
      </c>
      <c r="BJ137" t="str">
        <f ca="1">IF(AND(ISNUMBER($BJ$346),$B$226=1),$BJ$346,HLOOKUP(INDIRECT(ADDRESS(2,COLUMN())),OFFSET($BN$2,0,0,ROW()-1,60),ROW()-1,FALSE))</f>
        <v/>
      </c>
      <c r="BK137" t="str">
        <f ca="1">IF(AND(ISNUMBER($BK$346),$B$226=1),$BK$346,HLOOKUP(INDIRECT(ADDRESS(2,COLUMN())),OFFSET($BN$2,0,0,ROW()-1,60),ROW()-1,FALSE))</f>
        <v/>
      </c>
      <c r="BL137" t="str">
        <f ca="1">IF(AND(ISNUMBER($BL$346),$B$226=1),$BL$346,HLOOKUP(INDIRECT(ADDRESS(2,COLUMN())),OFFSET($BN$2,0,0,ROW()-1,60),ROW()-1,FALSE))</f>
        <v/>
      </c>
      <c r="BM137" t="str">
        <f ca="1">IF(AND(ISNUMBER($BM$346),$B$226=1),$BM$346,HLOOKUP(INDIRECT(ADDRESS(2,COLUMN())),OFFSET($BN$2,0,0,ROW()-1,60),ROW()-1,FALSE))</f>
        <v/>
      </c>
      <c r="BN137" t="str">
        <f>""</f>
        <v/>
      </c>
      <c r="BO137">
        <f>7.147583952</f>
        <v>7.1475839519999997</v>
      </c>
      <c r="BP137">
        <f>6.97380988</f>
        <v>6.9738098800000001</v>
      </c>
      <c r="BQ137">
        <f>7.076684803</f>
        <v>7.076684803</v>
      </c>
      <c r="BR137">
        <f>7.131781829</f>
        <v>7.1317818290000004</v>
      </c>
      <c r="BS137">
        <f>5.861712347</f>
        <v>5.8617123470000001</v>
      </c>
      <c r="BT137">
        <f>7.954080384</f>
        <v>7.9540803840000001</v>
      </c>
      <c r="BU137">
        <f>7.96778451</f>
        <v>7.9677845100000004</v>
      </c>
      <c r="BV137">
        <f>8.023511008</f>
        <v>8.0235110079999998</v>
      </c>
      <c r="BW137">
        <f>7.961250153</f>
        <v>7.9612501529999999</v>
      </c>
      <c r="BX137">
        <f>7.732405053</f>
        <v>7.7324050529999999</v>
      </c>
      <c r="BY137">
        <f>7.725852616</f>
        <v>7.7258526160000001</v>
      </c>
      <c r="BZ137">
        <f>7.828815468</f>
        <v>7.8288154680000002</v>
      </c>
      <c r="CA137">
        <f>7.843301209</f>
        <v>7.8433012089999998</v>
      </c>
      <c r="CB137">
        <f>7.831862376</f>
        <v>7.8318623760000001</v>
      </c>
      <c r="CC137">
        <f>7.329119866</f>
        <v>7.3291198660000001</v>
      </c>
      <c r="CD137">
        <f>7.402788444</f>
        <v>7.4027884439999996</v>
      </c>
      <c r="CE137">
        <f>7.331387429</f>
        <v>7.3313874290000003</v>
      </c>
      <c r="CF137">
        <f>7.905826762</f>
        <v>7.9058267620000002</v>
      </c>
      <c r="CG137">
        <f>8.406034146</f>
        <v>8.4060341459999997</v>
      </c>
      <c r="CH137">
        <f>8.38821344</f>
        <v>8.3882134399999995</v>
      </c>
      <c r="CI137">
        <f>8.429914526</f>
        <v>8.4299145259999992</v>
      </c>
      <c r="CJ137">
        <f>7.905043176</f>
        <v>7.9050431760000004</v>
      </c>
      <c r="CK137">
        <f>8.177549788</f>
        <v>8.1775497880000003</v>
      </c>
      <c r="CL137">
        <f>7.927819844</f>
        <v>7.9278198440000001</v>
      </c>
      <c r="CM137">
        <f>7.881926309</f>
        <v>7.8819263089999998</v>
      </c>
      <c r="CN137">
        <f>7.730470541</f>
        <v>7.7304705409999999</v>
      </c>
      <c r="CO137">
        <f>7.747623318</f>
        <v>7.7476233179999996</v>
      </c>
      <c r="CP137">
        <f>7.88938825</f>
        <v>7.8893882499999997</v>
      </c>
      <c r="CQ137">
        <f>7.184995934</f>
        <v>7.1849959339999998</v>
      </c>
      <c r="CR137">
        <f>7.346078461</f>
        <v>7.3460784610000003</v>
      </c>
      <c r="CS137">
        <f>7.914561564</f>
        <v>7.9145615640000004</v>
      </c>
      <c r="CT137">
        <f>8.058498775</f>
        <v>8.0584987750000003</v>
      </c>
      <c r="CU137">
        <f>7.937916158</f>
        <v>7.9379161580000002</v>
      </c>
      <c r="CV137">
        <f>7.939395049</f>
        <v>7.9393950489999998</v>
      </c>
      <c r="CW137">
        <f>8.458255326</f>
        <v>8.4582553259999997</v>
      </c>
      <c r="CX137">
        <f>8.393296022</f>
        <v>8.3932960219999995</v>
      </c>
      <c r="CY137">
        <f>8.425353277</f>
        <v>8.4253532769999993</v>
      </c>
      <c r="CZ137">
        <f>8.067798201</f>
        <v>8.0677982010000004</v>
      </c>
      <c r="DA137">
        <f>8.649980651</f>
        <v>8.6499806509999999</v>
      </c>
      <c r="DB137">
        <f>8.942037956</f>
        <v>8.9420379560000001</v>
      </c>
      <c r="DC137">
        <f>8.430513302</f>
        <v>8.4305133019999996</v>
      </c>
      <c r="DD137">
        <f>8.879656601</f>
        <v>8.8796566010000006</v>
      </c>
      <c r="DE137">
        <f>8.687982983</f>
        <v>8.6879829829999995</v>
      </c>
      <c r="DF137" t="str">
        <f>""</f>
        <v/>
      </c>
      <c r="DG137" t="str">
        <f>""</f>
        <v/>
      </c>
      <c r="DH137" t="str">
        <f>""</f>
        <v/>
      </c>
      <c r="DI137" t="str">
        <f>""</f>
        <v/>
      </c>
      <c r="DJ137" t="str">
        <f>""</f>
        <v/>
      </c>
      <c r="DK137" t="str">
        <f>""</f>
        <v/>
      </c>
      <c r="DL137" t="str">
        <f>""</f>
        <v/>
      </c>
      <c r="DM137" t="str">
        <f>""</f>
        <v/>
      </c>
      <c r="DN137" t="str">
        <f>""</f>
        <v/>
      </c>
      <c r="DO137" t="str">
        <f>""</f>
        <v/>
      </c>
      <c r="DP137" t="str">
        <f>""</f>
        <v/>
      </c>
      <c r="DQ137" t="str">
        <f>""</f>
        <v/>
      </c>
      <c r="DR137" t="str">
        <f>""</f>
        <v/>
      </c>
      <c r="DS137" t="str">
        <f>""</f>
        <v/>
      </c>
      <c r="DT137" t="str">
        <f>""</f>
        <v/>
      </c>
      <c r="DU137" t="str">
        <f>""</f>
        <v/>
      </c>
    </row>
    <row r="138" spans="1:125">
      <c r="A138" t="str">
        <f>"    UDR Inc"</f>
        <v xml:space="preserve">    UDR Inc</v>
      </c>
      <c r="B138" t="str">
        <f>"UDR US Equity"</f>
        <v>UDR US Equity</v>
      </c>
      <c r="C138" t="str">
        <f t="shared" si="42"/>
        <v>RX902</v>
      </c>
      <c r="D138" t="str">
        <f t="shared" si="43"/>
        <v>ANN_NOI_GR_AST_NET_RTL_DEV_CTD_%</v>
      </c>
      <c r="E138" t="str">
        <f t="shared" si="44"/>
        <v>动态</v>
      </c>
      <c r="F138" t="str">
        <f ca="1">IF(AND(ISNUMBER($F$347),$B$226=1),$F$347,HLOOKUP(INDIRECT(ADDRESS(2,COLUMN())),OFFSET($BN$2,0,0,ROW()-1,60),ROW()-1,FALSE))</f>
        <v/>
      </c>
      <c r="G138">
        <f ca="1">IF(AND(ISNUMBER($G$347),$B$226=1),$G$347,HLOOKUP(INDIRECT(ADDRESS(2,COLUMN())),OFFSET($BN$2,0,0,ROW()-1,60),ROW()-1,FALSE))</f>
        <v>6.4261362430000002</v>
      </c>
      <c r="H138">
        <f ca="1">IF(AND(ISNUMBER($H$347),$B$226=1),$H$347,HLOOKUP(INDIRECT(ADDRESS(2,COLUMN())),OFFSET($BN$2,0,0,ROW()-1,60),ROW()-1,FALSE))</f>
        <v>6.3554807520000001</v>
      </c>
      <c r="I138">
        <f ca="1">IF(AND(ISNUMBER($I$347),$B$226=1),$I$347,HLOOKUP(INDIRECT(ADDRESS(2,COLUMN())),OFFSET($BN$2,0,0,ROW()-1,60),ROW()-1,FALSE))</f>
        <v>6.4084556990000001</v>
      </c>
      <c r="J138">
        <f ca="1">IF(AND(ISNUMBER($J$347),$B$226=1),$J$347,HLOOKUP(INDIRECT(ADDRESS(2,COLUMN())),OFFSET($BN$2,0,0,ROW()-1,60),ROW()-1,FALSE))</f>
        <v>6.3733098720000001</v>
      </c>
      <c r="K138">
        <f ca="1">IF(AND(ISNUMBER($K$347),$B$226=1),$K$347,HLOOKUP(INDIRECT(ADDRESS(2,COLUMN())),OFFSET($BN$2,0,0,ROW()-1,60),ROW()-1,FALSE))</f>
        <v>6.4617771250000002</v>
      </c>
      <c r="L138">
        <f ca="1">IF(AND(ISNUMBER($L$347),$B$226=1),$L$347,HLOOKUP(INDIRECT(ADDRESS(2,COLUMN())),OFFSET($BN$2,0,0,ROW()-1,60),ROW()-1,FALSE))</f>
        <v>6.489090494</v>
      </c>
      <c r="M138">
        <f ca="1">IF(AND(ISNUMBER($M$347),$B$226=1),$M$347,HLOOKUP(INDIRECT(ADDRESS(2,COLUMN())),OFFSET($BN$2,0,0,ROW()-1,60),ROW()-1,FALSE))</f>
        <v>6.4029589500000004</v>
      </c>
      <c r="N138">
        <f ca="1">IF(AND(ISNUMBER($N$347),$B$226=1),$N$347,HLOOKUP(INDIRECT(ADDRESS(2,COLUMN())),OFFSET($BN$2,0,0,ROW()-1,60),ROW()-1,FALSE))</f>
        <v>6.3463911020000001</v>
      </c>
      <c r="O138">
        <f ca="1">IF(AND(ISNUMBER($O$347),$B$226=1),$O$347,HLOOKUP(INDIRECT(ADDRESS(2,COLUMN())),OFFSET($BN$2,0,0,ROW()-1,60),ROW()-1,FALSE))</f>
        <v>6.4519420580000002</v>
      </c>
      <c r="P138">
        <f ca="1">IF(AND(ISNUMBER($P$347),$B$226=1),$P$347,HLOOKUP(INDIRECT(ADDRESS(2,COLUMN())),OFFSET($BN$2,0,0,ROW()-1,60),ROW()-1,FALSE))</f>
        <v>6.4793854990000002</v>
      </c>
      <c r="Q138">
        <f ca="1">IF(AND(ISNUMBER($Q$347),$B$226=1),$Q$347,HLOOKUP(INDIRECT(ADDRESS(2,COLUMN())),OFFSET($BN$2,0,0,ROW()-1,60),ROW()-1,FALSE))</f>
        <v>6.3355268169999999</v>
      </c>
      <c r="R138">
        <f ca="1">IF(AND(ISNUMBER($R$347),$B$226=1),$R$347,HLOOKUP(INDIRECT(ADDRESS(2,COLUMN())),OFFSET($BN$2,0,0,ROW()-1,60),ROW()-1,FALSE))</f>
        <v>6.1222951649999997</v>
      </c>
      <c r="S138">
        <f ca="1">IF(AND(ISNUMBER($S$347),$B$226=1),$S$347,HLOOKUP(INDIRECT(ADDRESS(2,COLUMN())),OFFSET($BN$2,0,0,ROW()-1,60),ROW()-1,FALSE))</f>
        <v>6.217563556</v>
      </c>
      <c r="T138">
        <f ca="1">IF(AND(ISNUMBER($T$347),$B$226=1),$T$347,HLOOKUP(INDIRECT(ADDRESS(2,COLUMN())),OFFSET($BN$2,0,0,ROW()-1,60),ROW()-1,FALSE))</f>
        <v>6.0286691000000001</v>
      </c>
      <c r="U138">
        <f ca="1">IF(AND(ISNUMBER($U$347),$B$226=1),$U$347,HLOOKUP(INDIRECT(ADDRESS(2,COLUMN())),OFFSET($BN$2,0,0,ROW()-1,60),ROW()-1,FALSE))</f>
        <v>6.0891656010000004</v>
      </c>
      <c r="V138">
        <f ca="1">IF(AND(ISNUMBER($V$347),$B$226=1),$V$347,HLOOKUP(INDIRECT(ADDRESS(2,COLUMN())),OFFSET($BN$2,0,0,ROW()-1,60),ROW()-1,FALSE))</f>
        <v>5.8029403180000001</v>
      </c>
      <c r="W138">
        <f ca="1">IF(AND(ISNUMBER($W$347),$B$226=1),$W$347,HLOOKUP(INDIRECT(ADDRESS(2,COLUMN())),OFFSET($BN$2,0,0,ROW()-1,60),ROW()-1,FALSE))</f>
        <v>5.780472456</v>
      </c>
      <c r="X138">
        <f ca="1">IF(AND(ISNUMBER($X$347),$B$226=1),$X$347,HLOOKUP(INDIRECT(ADDRESS(2,COLUMN())),OFFSET($BN$2,0,0,ROW()-1,60),ROW()-1,FALSE))</f>
        <v>5.7757329019999997</v>
      </c>
      <c r="Y138">
        <f ca="1">IF(AND(ISNUMBER($Y$347),$B$226=1),$Y$347,HLOOKUP(INDIRECT(ADDRESS(2,COLUMN())),OFFSET($BN$2,0,0,ROW()-1,60),ROW()-1,FALSE))</f>
        <v>5.8386107650000003</v>
      </c>
      <c r="Z138">
        <f ca="1">IF(AND(ISNUMBER($Z$347),$B$226=1),$Z$347,HLOOKUP(INDIRECT(ADDRESS(2,COLUMN())),OFFSET($BN$2,0,0,ROW()-1,60),ROW()-1,FALSE))</f>
        <v>5.6339965809999999</v>
      </c>
      <c r="AA138">
        <f ca="1">IF(AND(ISNUMBER($AA$347),$B$226=1),$AA$347,HLOOKUP(INDIRECT(ADDRESS(2,COLUMN())),OFFSET($BN$2,0,0,ROW()-1,60),ROW()-1,FALSE))</f>
        <v>5.6460709429999998</v>
      </c>
      <c r="AB138">
        <f ca="1">IF(AND(ISNUMBER($AB$347),$B$226=1),$AB$347,HLOOKUP(INDIRECT(ADDRESS(2,COLUMN())),OFFSET($BN$2,0,0,ROW()-1,60),ROW()-1,FALSE))</f>
        <v>5.5883973149999999</v>
      </c>
      <c r="AC138">
        <f ca="1">IF(AND(ISNUMBER($AC$347),$B$226=1),$AC$347,HLOOKUP(INDIRECT(ADDRESS(2,COLUMN())),OFFSET($BN$2,0,0,ROW()-1,60),ROW()-1,FALSE))</f>
        <v>5.8983652879999999</v>
      </c>
      <c r="AD138">
        <f ca="1">IF(AND(ISNUMBER($AD$347),$B$226=1),$AD$347,HLOOKUP(INDIRECT(ADDRESS(2,COLUMN())),OFFSET($BN$2,0,0,ROW()-1,60),ROW()-1,FALSE))</f>
        <v>5.9377854360000004</v>
      </c>
      <c r="AE138">
        <f ca="1">IF(AND(ISNUMBER($AE$347),$B$226=1),$AE$347,HLOOKUP(INDIRECT(ADDRESS(2,COLUMN())),OFFSET($BN$2,0,0,ROW()-1,60),ROW()-1,FALSE))</f>
        <v>5.3687624610000002</v>
      </c>
      <c r="AF138">
        <f ca="1">IF(AND(ISNUMBER($AF$347),$B$226=1),$AF$347,HLOOKUP(INDIRECT(ADDRESS(2,COLUMN())),OFFSET($BN$2,0,0,ROW()-1,60),ROW()-1,FALSE))</f>
        <v>5.931490363</v>
      </c>
      <c r="AG138">
        <f ca="1">IF(AND(ISNUMBER($AG$347),$B$226=1),$AG$347,HLOOKUP(INDIRECT(ADDRESS(2,COLUMN())),OFFSET($BN$2,0,0,ROW()-1,60),ROW()-1,FALSE))</f>
        <v>6.1430521579999997</v>
      </c>
      <c r="AH138">
        <f ca="1">IF(AND(ISNUMBER($AH$347),$B$226=1),$AH$347,HLOOKUP(INDIRECT(ADDRESS(2,COLUMN())),OFFSET($BN$2,0,0,ROW()-1,60),ROW()-1,FALSE))</f>
        <v>6.1993786469999996</v>
      </c>
      <c r="AI138">
        <f ca="1">IF(AND(ISNUMBER($AI$347),$B$226=1),$AI$347,HLOOKUP(INDIRECT(ADDRESS(2,COLUMN())),OFFSET($BN$2,0,0,ROW()-1,60),ROW()-1,FALSE))</f>
        <v>6.1250586990000002</v>
      </c>
      <c r="AJ138">
        <f ca="1">IF(AND(ISNUMBER($AJ$347),$B$226=1),$AJ$347,HLOOKUP(INDIRECT(ADDRESS(2,COLUMN())),OFFSET($BN$2,0,0,ROW()-1,60),ROW()-1,FALSE))</f>
        <v>5.855862449</v>
      </c>
      <c r="AK138">
        <f ca="1">IF(AND(ISNUMBER($AK$347),$B$226=1),$AK$347,HLOOKUP(INDIRECT(ADDRESS(2,COLUMN())),OFFSET($BN$2,0,0,ROW()-1,60),ROW()-1,FALSE))</f>
        <v>6.1055332040000003</v>
      </c>
      <c r="AL138">
        <f ca="1">IF(AND(ISNUMBER($AL$347),$B$226=1),$AL$347,HLOOKUP(INDIRECT(ADDRESS(2,COLUMN())),OFFSET($BN$2,0,0,ROW()-1,60),ROW()-1,FALSE))</f>
        <v>6.0041875510000002</v>
      </c>
      <c r="AM138">
        <f ca="1">IF(AND(ISNUMBER($AM$347),$B$226=1),$AM$347,HLOOKUP(INDIRECT(ADDRESS(2,COLUMN())),OFFSET($BN$2,0,0,ROW()-1,60),ROW()-1,FALSE))</f>
        <v>6.1595474960000001</v>
      </c>
      <c r="AN138">
        <f ca="1">IF(AND(ISNUMBER($AN$347),$B$226=1),$AN$347,HLOOKUP(INDIRECT(ADDRESS(2,COLUMN())),OFFSET($BN$2,0,0,ROW()-1,60),ROW()-1,FALSE))</f>
        <v>6.2401302469999997</v>
      </c>
      <c r="AO138">
        <f ca="1">IF(AND(ISNUMBER($AO$347),$B$226=1),$AO$347,HLOOKUP(INDIRECT(ADDRESS(2,COLUMN())),OFFSET($BN$2,0,0,ROW()-1,60),ROW()-1,FALSE))</f>
        <v>6.5565299909999997</v>
      </c>
      <c r="AP138">
        <f ca="1">IF(AND(ISNUMBER($AP$347),$B$226=1),$AP$347,HLOOKUP(INDIRECT(ADDRESS(2,COLUMN())),OFFSET($BN$2,0,0,ROW()-1,60),ROW()-1,FALSE))</f>
        <v>6.2572794739999997</v>
      </c>
      <c r="AQ138">
        <f ca="1">IF(AND(ISNUMBER($AQ$347),$B$226=1),$AQ$347,HLOOKUP(INDIRECT(ADDRESS(2,COLUMN())),OFFSET($BN$2,0,0,ROW()-1,60),ROW()-1,FALSE))</f>
        <v>6.3740371900000001</v>
      </c>
      <c r="AR138">
        <f ca="1">IF(AND(ISNUMBER($AR$347),$B$226=1),$AR$347,HLOOKUP(INDIRECT(ADDRESS(2,COLUMN())),OFFSET($BN$2,0,0,ROW()-1,60),ROW()-1,FALSE))</f>
        <v>6.268964478</v>
      </c>
      <c r="AS138">
        <f ca="1">IF(AND(ISNUMBER($AS$347),$B$226=1),$AS$347,HLOOKUP(INDIRECT(ADDRESS(2,COLUMN())),OFFSET($BN$2,0,0,ROW()-1,60),ROW()-1,FALSE))</f>
        <v>6.2907319160000004</v>
      </c>
      <c r="AT138">
        <f ca="1">IF(AND(ISNUMBER($AT$347),$B$226=1),$AT$347,HLOOKUP(INDIRECT(ADDRESS(2,COLUMN())),OFFSET($BN$2,0,0,ROW()-1,60),ROW()-1,FALSE))</f>
        <v>7.2879214780000003</v>
      </c>
      <c r="AU138">
        <f ca="1">IF(AND(ISNUMBER($AU$347),$B$226=1),$AU$347,HLOOKUP(INDIRECT(ADDRESS(2,COLUMN())),OFFSET($BN$2,0,0,ROW()-1,60),ROW()-1,FALSE))</f>
        <v>8.5909858119999996</v>
      </c>
      <c r="AV138">
        <f ca="1">IF(AND(ISNUMBER($AV$347),$B$226=1),$AV$347,HLOOKUP(INDIRECT(ADDRESS(2,COLUMN())),OFFSET($BN$2,0,0,ROW()-1,60),ROW()-1,FALSE))</f>
        <v>8.0778654999999997</v>
      </c>
      <c r="AW138">
        <f ca="1">IF(AND(ISNUMBER($AW$347),$B$226=1),$AW$347,HLOOKUP(INDIRECT(ADDRESS(2,COLUMN())),OFFSET($BN$2,0,0,ROW()-1,60),ROW()-1,FALSE))</f>
        <v>7.863055889</v>
      </c>
      <c r="AX138">
        <f ca="1">IF(AND(ISNUMBER($AX$347),$B$226=1),$AX$347,HLOOKUP(INDIRECT(ADDRESS(2,COLUMN())),OFFSET($BN$2,0,0,ROW()-1,60),ROW()-1,FALSE))</f>
        <v>7.6704673740000002</v>
      </c>
      <c r="AY138">
        <f ca="1">IF(AND(ISNUMBER($AY$347),$B$226=1),$AY$347,HLOOKUP(INDIRECT(ADDRESS(2,COLUMN())),OFFSET($BN$2,0,0,ROW()-1,60),ROW()-1,FALSE))</f>
        <v>8.6815494789999992</v>
      </c>
      <c r="AZ138">
        <f ca="1">IF(AND(ISNUMBER($AZ$347),$B$226=1),$AZ$347,HLOOKUP(INDIRECT(ADDRESS(2,COLUMN())),OFFSET($BN$2,0,0,ROW()-1,60),ROW()-1,FALSE))</f>
        <v>8.0947696709999999</v>
      </c>
      <c r="BA138">
        <f ca="1">IF(AND(ISNUMBER($BA$347),$B$226=1),$BA$347,HLOOKUP(INDIRECT(ADDRESS(2,COLUMN())),OFFSET($BN$2,0,0,ROW()-1,60),ROW()-1,FALSE))</f>
        <v>7.9184888359999999</v>
      </c>
      <c r="BB138">
        <f ca="1">IF(AND(ISNUMBER($BB$347),$B$226=1),$BB$347,HLOOKUP(INDIRECT(ADDRESS(2,COLUMN())),OFFSET($BN$2,0,0,ROW()-1,60),ROW()-1,FALSE))</f>
        <v>7.2812469679999996</v>
      </c>
      <c r="BC138">
        <f ca="1">IF(AND(ISNUMBER($BC$347),$B$226=1),$BC$347,HLOOKUP(INDIRECT(ADDRESS(2,COLUMN())),OFFSET($BN$2,0,0,ROW()-1,60),ROW()-1,FALSE))</f>
        <v>7.3129225279999996</v>
      </c>
      <c r="BD138">
        <f ca="1">IF(AND(ISNUMBER($BD$347),$B$226=1),$BD$347,HLOOKUP(INDIRECT(ADDRESS(2,COLUMN())),OFFSET($BN$2,0,0,ROW()-1,60),ROW()-1,FALSE))</f>
        <v>7.0125382710000004</v>
      </c>
      <c r="BE138">
        <f ca="1">IF(AND(ISNUMBER($BE$347),$B$226=1),$BE$347,HLOOKUP(INDIRECT(ADDRESS(2,COLUMN())),OFFSET($BN$2,0,0,ROW()-1,60),ROW()-1,FALSE))</f>
        <v>7.3967453360000004</v>
      </c>
      <c r="BF138">
        <f ca="1">IF(AND(ISNUMBER($BF$347),$B$226=1),$BF$347,HLOOKUP(INDIRECT(ADDRESS(2,COLUMN())),OFFSET($BN$2,0,0,ROW()-1,60),ROW()-1,FALSE))</f>
        <v>7.3313928109999997</v>
      </c>
      <c r="BG138">
        <f ca="1">IF(AND(ISNUMBER($BG$347),$B$226=1),$BG$347,HLOOKUP(INDIRECT(ADDRESS(2,COLUMN())),OFFSET($BN$2,0,0,ROW()-1,60),ROW()-1,FALSE))</f>
        <v>8.1082552339999996</v>
      </c>
      <c r="BH138">
        <f ca="1">IF(AND(ISNUMBER($BH$347),$B$226=1),$BH$347,HLOOKUP(INDIRECT(ADDRESS(2,COLUMN())),OFFSET($BN$2,0,0,ROW()-1,60),ROW()-1,FALSE))</f>
        <v>8.0437206959999994</v>
      </c>
      <c r="BI138">
        <f ca="1">IF(AND(ISNUMBER($BI$347),$B$226=1),$BI$347,HLOOKUP(INDIRECT(ADDRESS(2,COLUMN())),OFFSET($BN$2,0,0,ROW()-1,60),ROW()-1,FALSE))</f>
        <v>8.543193939</v>
      </c>
      <c r="BJ138">
        <f ca="1">IF(AND(ISNUMBER($BJ$347),$B$226=1),$BJ$347,HLOOKUP(INDIRECT(ADDRESS(2,COLUMN())),OFFSET($BN$2,0,0,ROW()-1,60),ROW()-1,FALSE))</f>
        <v>8.5527524570000004</v>
      </c>
      <c r="BK138">
        <f ca="1">IF(AND(ISNUMBER($BK$347),$B$226=1),$BK$347,HLOOKUP(INDIRECT(ADDRESS(2,COLUMN())),OFFSET($BN$2,0,0,ROW()-1,60),ROW()-1,FALSE))</f>
        <v>9.3448158570000004</v>
      </c>
      <c r="BL138">
        <f ca="1">IF(AND(ISNUMBER($BL$347),$B$226=1),$BL$347,HLOOKUP(INDIRECT(ADDRESS(2,COLUMN())),OFFSET($BN$2,0,0,ROW()-1,60),ROW()-1,FALSE))</f>
        <v>8.8891679579999998</v>
      </c>
      <c r="BM138">
        <f ca="1">IF(AND(ISNUMBER($BM$347),$B$226=1),$BM$347,HLOOKUP(INDIRECT(ADDRESS(2,COLUMN())),OFFSET($BN$2,0,0,ROW()-1,60),ROW()-1,FALSE))</f>
        <v>8.9680916330000002</v>
      </c>
      <c r="BN138" t="str">
        <f>""</f>
        <v/>
      </c>
      <c r="BO138">
        <f>6.426136243</f>
        <v>6.4261362430000002</v>
      </c>
      <c r="BP138">
        <f>6.355480752</f>
        <v>6.3554807520000001</v>
      </c>
      <c r="BQ138">
        <f>6.408455699</f>
        <v>6.4084556990000001</v>
      </c>
      <c r="BR138">
        <f>6.373309872</f>
        <v>6.3733098720000001</v>
      </c>
      <c r="BS138">
        <f>6.461777125</f>
        <v>6.4617771250000002</v>
      </c>
      <c r="BT138">
        <f>6.489090494</f>
        <v>6.489090494</v>
      </c>
      <c r="BU138">
        <f>6.40295895</f>
        <v>6.4029589500000004</v>
      </c>
      <c r="BV138">
        <f>6.346391102</f>
        <v>6.3463911020000001</v>
      </c>
      <c r="BW138">
        <f>6.451942058</f>
        <v>6.4519420580000002</v>
      </c>
      <c r="BX138">
        <f>6.479385499</f>
        <v>6.4793854990000002</v>
      </c>
      <c r="BY138">
        <f>6.335526817</f>
        <v>6.3355268169999999</v>
      </c>
      <c r="BZ138">
        <f>6.122295165</f>
        <v>6.1222951649999997</v>
      </c>
      <c r="CA138">
        <f>6.217563556</f>
        <v>6.217563556</v>
      </c>
      <c r="CB138">
        <f>6.0286691</f>
        <v>6.0286691000000001</v>
      </c>
      <c r="CC138">
        <f>6.089165601</f>
        <v>6.0891656010000004</v>
      </c>
      <c r="CD138">
        <f>5.802940318</f>
        <v>5.8029403180000001</v>
      </c>
      <c r="CE138">
        <f>5.780472456</f>
        <v>5.780472456</v>
      </c>
      <c r="CF138">
        <f>5.775732902</f>
        <v>5.7757329019999997</v>
      </c>
      <c r="CG138">
        <f>5.838610765</f>
        <v>5.8386107650000003</v>
      </c>
      <c r="CH138">
        <f>5.633996581</f>
        <v>5.6339965809999999</v>
      </c>
      <c r="CI138">
        <f>5.646070943</f>
        <v>5.6460709429999998</v>
      </c>
      <c r="CJ138">
        <f>5.588397315</f>
        <v>5.5883973149999999</v>
      </c>
      <c r="CK138">
        <f>5.898365288</f>
        <v>5.8983652879999999</v>
      </c>
      <c r="CL138">
        <f>5.937785436</f>
        <v>5.9377854360000004</v>
      </c>
      <c r="CM138">
        <f>5.368762461</f>
        <v>5.3687624610000002</v>
      </c>
      <c r="CN138">
        <f>5.931490363</f>
        <v>5.931490363</v>
      </c>
      <c r="CO138">
        <f>6.143052158</f>
        <v>6.1430521579999997</v>
      </c>
      <c r="CP138">
        <f>6.199378647</f>
        <v>6.1993786469999996</v>
      </c>
      <c r="CQ138">
        <f>6.125058699</f>
        <v>6.1250586990000002</v>
      </c>
      <c r="CR138">
        <f>5.855862449</f>
        <v>5.855862449</v>
      </c>
      <c r="CS138">
        <f>6.105533204</f>
        <v>6.1055332040000003</v>
      </c>
      <c r="CT138">
        <f>6.004187551</f>
        <v>6.0041875510000002</v>
      </c>
      <c r="CU138">
        <f>6.159547496</f>
        <v>6.1595474960000001</v>
      </c>
      <c r="CV138">
        <f>6.240130247</f>
        <v>6.2401302469999997</v>
      </c>
      <c r="CW138">
        <f>6.556529991</f>
        <v>6.5565299909999997</v>
      </c>
      <c r="CX138">
        <f>6.257279474</f>
        <v>6.2572794739999997</v>
      </c>
      <c r="CY138">
        <f>6.37403719</f>
        <v>6.3740371900000001</v>
      </c>
      <c r="CZ138">
        <f>6.268964478</f>
        <v>6.268964478</v>
      </c>
      <c r="DA138">
        <f>6.290731916</f>
        <v>6.2907319160000004</v>
      </c>
      <c r="DB138">
        <f>7.287921478</f>
        <v>7.2879214780000003</v>
      </c>
      <c r="DC138">
        <f>8.590985812</f>
        <v>8.5909858119999996</v>
      </c>
      <c r="DD138">
        <f>8.0778655</f>
        <v>8.0778654999999997</v>
      </c>
      <c r="DE138">
        <f>7.863055889</f>
        <v>7.863055889</v>
      </c>
      <c r="DF138">
        <f>7.670467374</f>
        <v>7.6704673740000002</v>
      </c>
      <c r="DG138">
        <f>8.681549479</f>
        <v>8.6815494789999992</v>
      </c>
      <c r="DH138">
        <f>8.094769671</f>
        <v>8.0947696709999999</v>
      </c>
      <c r="DI138">
        <f>7.918488836</f>
        <v>7.9184888359999999</v>
      </c>
      <c r="DJ138">
        <f>7.281246968</f>
        <v>7.2812469679999996</v>
      </c>
      <c r="DK138">
        <f>7.312922528</f>
        <v>7.3129225279999996</v>
      </c>
      <c r="DL138">
        <f>7.012538271</f>
        <v>7.0125382710000004</v>
      </c>
      <c r="DM138">
        <f>7.396745336</f>
        <v>7.3967453360000004</v>
      </c>
      <c r="DN138">
        <f>7.331392811</f>
        <v>7.3313928109999997</v>
      </c>
      <c r="DO138">
        <f>8.108255234</f>
        <v>8.1082552339999996</v>
      </c>
      <c r="DP138">
        <f>8.043720696</f>
        <v>8.0437206959999994</v>
      </c>
      <c r="DQ138">
        <f>8.543193939</f>
        <v>8.543193939</v>
      </c>
      <c r="DR138">
        <f>8.552752457</f>
        <v>8.5527524570000004</v>
      </c>
      <c r="DS138">
        <f>9.344815857</f>
        <v>9.3448158570000004</v>
      </c>
      <c r="DT138">
        <f>8.889167958</f>
        <v>8.8891679579999998</v>
      </c>
      <c r="DU138">
        <f>8.968091633</f>
        <v>8.9680916330000002</v>
      </c>
    </row>
    <row r="139" spans="1:125">
      <c r="A139" t="str">
        <f>"EBITDA/房地产资产(%)"</f>
        <v>EBITDA/房地产资产(%)</v>
      </c>
      <c r="B139" t="str">
        <f>""</f>
        <v/>
      </c>
      <c r="E139" t="str">
        <f>"Median"</f>
        <v>Median</v>
      </c>
      <c r="F139" t="str">
        <f ca="1">IF(ISERROR(IF(MEDIAN($F$140:$F$147) = 0, "", MEDIAN($F$140:$F$147))), "", (IF(MEDIAN($F$140:$F$147) = 0, "", MEDIAN($F$140:$F$147))))</f>
        <v/>
      </c>
      <c r="G139">
        <f ca="1">IF(ISERROR(IF(MEDIAN($G$140:$G$147) = 0, "", MEDIAN($G$140:$G$147))), "", (IF(MEDIAN($G$140:$G$147) = 0, "", MEDIAN($G$140:$G$147))))</f>
        <v>2.0244028224999999</v>
      </c>
      <c r="H139">
        <f ca="1">IF(ISERROR(IF(MEDIAN($H$140:$H$147) = 0, "", MEDIAN($H$140:$H$147))), "", (IF(MEDIAN($H$140:$H$147) = 0, "", MEDIAN($H$140:$H$147))))</f>
        <v>1.939956843</v>
      </c>
      <c r="I139">
        <f ca="1">IF(ISERROR(IF(MEDIAN($I$140:$I$147) = 0, "", MEDIAN($I$140:$I$147))), "", (IF(MEDIAN($I$140:$I$147) = 0, "", MEDIAN($I$140:$I$147))))</f>
        <v>1.915291442</v>
      </c>
      <c r="J139">
        <f ca="1">IF(ISERROR(IF(MEDIAN($J$140:$J$147) = 0, "", MEDIAN($J$140:$J$147))), "", (IF(MEDIAN($J$140:$J$147) = 0, "", MEDIAN($J$140:$J$147))))</f>
        <v>1.8430797215000001</v>
      </c>
      <c r="K139">
        <f ca="1">IF(ISERROR(IF(MEDIAN($K$140:$K$147) = 0, "", MEDIAN($K$140:$K$147))), "", (IF(MEDIAN($K$140:$K$147) = 0, "", MEDIAN($K$140:$K$147))))</f>
        <v>1.9151708269999999</v>
      </c>
      <c r="L139">
        <f ca="1">IF(ISERROR(IF(MEDIAN($L$140:$L$147) = 0, "", MEDIAN($L$140:$L$147))), "", (IF(MEDIAN($L$140:$L$147) = 0, "", MEDIAN($L$140:$L$147))))</f>
        <v>1.932732082</v>
      </c>
      <c r="M139">
        <f ca="1">IF(ISERROR(IF(MEDIAN($M$140:$M$147) = 0, "", MEDIAN($M$140:$M$147))), "", (IF(MEDIAN($M$140:$M$147) = 0, "", MEDIAN($M$140:$M$147))))</f>
        <v>1.9010578919999999</v>
      </c>
      <c r="N139">
        <f ca="1">IF(ISERROR(IF(MEDIAN($N$140:$N$147) = 0, "", MEDIAN($N$140:$N$147))), "", (IF(MEDIAN($N$140:$N$147) = 0, "", MEDIAN($N$140:$N$147))))</f>
        <v>1.9514319090000001</v>
      </c>
      <c r="O139">
        <f ca="1">IF(ISERROR(IF(MEDIAN($O$140:$O$147) = 0, "", MEDIAN($O$140:$O$147))), "", (IF(MEDIAN($O$140:$O$147) = 0, "", MEDIAN($O$140:$O$147))))</f>
        <v>1.9382226265</v>
      </c>
      <c r="P139">
        <f ca="1">IF(ISERROR(IF(MEDIAN($P$140:$P$147) = 0, "", MEDIAN($P$140:$P$147))), "", (IF(MEDIAN($P$140:$P$147) = 0, "", MEDIAN($P$140:$P$147))))</f>
        <v>1.7872719239999999</v>
      </c>
      <c r="Q139">
        <f ca="1">IF(ISERROR(IF(MEDIAN($Q$140:$Q$147) = 0, "", MEDIAN($Q$140:$Q$147))), "", (IF(MEDIAN($Q$140:$Q$147) = 0, "", MEDIAN($Q$140:$Q$147))))</f>
        <v>1.9272754599999999</v>
      </c>
      <c r="R139">
        <f ca="1">IF(ISERROR(IF(MEDIAN($R$140:$R$147) = 0, "", MEDIAN($R$140:$R$147))), "", (IF(MEDIAN($R$140:$R$147) = 0, "", MEDIAN($R$140:$R$147))))</f>
        <v>1.8376684905</v>
      </c>
      <c r="S139">
        <f ca="1">IF(ISERROR(IF(MEDIAN($S$140:$S$147) = 0, "", MEDIAN($S$140:$S$147))), "", (IF(MEDIAN($S$140:$S$147) = 0, "", MEDIAN($S$140:$S$147))))</f>
        <v>1.939632998</v>
      </c>
      <c r="T139">
        <f ca="1">IF(ISERROR(IF(MEDIAN($T$140:$T$147) = 0, "", MEDIAN($T$140:$T$147))), "", (IF(MEDIAN($T$140:$T$147) = 0, "", MEDIAN($T$140:$T$147))))</f>
        <v>1.8390995489999999</v>
      </c>
      <c r="U139">
        <f ca="1">IF(ISERROR(IF(MEDIAN($U$140:$U$147) = 0, "", MEDIAN($U$140:$U$147))), "", (IF(MEDIAN($U$140:$U$147) = 0, "", MEDIAN($U$140:$U$147))))</f>
        <v>1.757747578</v>
      </c>
      <c r="V139">
        <f ca="1">IF(ISERROR(IF(MEDIAN($V$140:$V$147) = 0, "", MEDIAN($V$140:$V$147))), "", (IF(MEDIAN($V$140:$V$147) = 0, "", MEDIAN($V$140:$V$147))))</f>
        <v>1.7394047095</v>
      </c>
      <c r="W139">
        <f ca="1">IF(ISERROR(IF(MEDIAN($W$140:$W$147) = 0, "", MEDIAN($W$140:$W$147))), "", (IF(MEDIAN($W$140:$W$147) = 0, "", MEDIAN($W$140:$W$147))))</f>
        <v>1.7836198225</v>
      </c>
      <c r="X139">
        <f ca="1">IF(ISERROR(IF(MEDIAN($X$140:$X$147) = 0, "", MEDIAN($X$140:$X$147))), "", (IF(MEDIAN($X$140:$X$147) = 0, "", MEDIAN($X$140:$X$147))))</f>
        <v>1.8152564524999999</v>
      </c>
      <c r="Y139">
        <f ca="1">IF(ISERROR(IF(MEDIAN($Y$140:$Y$147) = 0, "", MEDIAN($Y$140:$Y$147))), "", (IF(MEDIAN($Y$140:$Y$147) = 0, "", MEDIAN($Y$140:$Y$147))))</f>
        <v>1.7732804959999999</v>
      </c>
      <c r="Z139">
        <f ca="1">IF(ISERROR(IF(MEDIAN($Z$140:$Z$147) = 0, "", MEDIAN($Z$140:$Z$147))), "", (IF(MEDIAN($Z$140:$Z$147) = 0, "", MEDIAN($Z$140:$Z$147))))</f>
        <v>1.741518589</v>
      </c>
      <c r="AA139">
        <f ca="1">IF(ISERROR(IF(MEDIAN($AA$140:$AA$147) = 0, "", MEDIAN($AA$140:$AA$147))), "", (IF(MEDIAN($AA$140:$AA$147) = 0, "", MEDIAN($AA$140:$AA$147))))</f>
        <v>1.92418624</v>
      </c>
      <c r="AB139">
        <f ca="1">IF(ISERROR(IF(MEDIAN($AB$140:$AB$147) = 0, "", MEDIAN($AB$140:$AB$147))), "", (IF(MEDIAN($AB$140:$AB$147) = 0, "", MEDIAN($AB$140:$AB$147))))</f>
        <v>1.8872988625</v>
      </c>
      <c r="AC139">
        <f ca="1">IF(ISERROR(IF(MEDIAN($AC$140:$AC$147) = 0, "", MEDIAN($AC$140:$AC$147))), "", (IF(MEDIAN($AC$140:$AC$147) = 0, "", MEDIAN($AC$140:$AC$147))))</f>
        <v>1.9298879520000001</v>
      </c>
      <c r="AD139">
        <f ca="1">IF(ISERROR(IF(MEDIAN($AD$140:$AD$147) = 0, "", MEDIAN($AD$140:$AD$147))), "", (IF(MEDIAN($AD$140:$AD$147) = 0, "", MEDIAN($AD$140:$AD$147))))</f>
        <v>1.931688699</v>
      </c>
      <c r="AE139">
        <f ca="1">IF(ISERROR(IF(MEDIAN($AE$140:$AE$147) = 0, "", MEDIAN($AE$140:$AE$147))), "", (IF(MEDIAN($AE$140:$AE$147) = 0, "", MEDIAN($AE$140:$AE$147))))</f>
        <v>1.9606149755</v>
      </c>
      <c r="AF139">
        <f ca="1">IF(ISERROR(IF(MEDIAN($AF$140:$AF$147) = 0, "", MEDIAN($AF$140:$AF$147))), "", (IF(MEDIAN($AF$140:$AF$147) = 0, "", MEDIAN($AF$140:$AF$147))))</f>
        <v>1.7875643450000001</v>
      </c>
      <c r="AG139">
        <f ca="1">IF(ISERROR(IF(MEDIAN($AG$140:$AG$147) = 0, "", MEDIAN($AG$140:$AG$147))), "", (IF(MEDIAN($AG$140:$AG$147) = 0, "", MEDIAN($AG$140:$AG$147))))</f>
        <v>1.9743607125</v>
      </c>
      <c r="AH139">
        <f ca="1">IF(ISERROR(IF(MEDIAN($AH$140:$AH$147) = 0, "", MEDIAN($AH$140:$AH$147))), "", (IF(MEDIAN($AH$140:$AH$147) = 0, "", MEDIAN($AH$140:$AH$147))))</f>
        <v>1.8751962289999999</v>
      </c>
      <c r="AI139">
        <f ca="1">IF(ISERROR(IF(MEDIAN($AI$140:$AI$147) = 0, "", MEDIAN($AI$140:$AI$147))), "", (IF(MEDIAN($AI$140:$AI$147) = 0, "", MEDIAN($AI$140:$AI$147))))</f>
        <v>1.860278882</v>
      </c>
      <c r="AJ139">
        <f ca="1">IF(ISERROR(IF(MEDIAN($AJ$140:$AJ$147) = 0, "", MEDIAN($AJ$140:$AJ$147))), "", (IF(MEDIAN($AJ$140:$AJ$147) = 0, "", MEDIAN($AJ$140:$AJ$147))))</f>
        <v>1.764704118</v>
      </c>
      <c r="AK139">
        <f ca="1">IF(ISERROR(IF(MEDIAN($AK$140:$AK$147) = 0, "", MEDIAN($AK$140:$AK$147))), "", (IF(MEDIAN($AK$140:$AK$147) = 0, "", MEDIAN($AK$140:$AK$147))))</f>
        <v>1.8010126339999999</v>
      </c>
      <c r="AL139">
        <f ca="1">IF(ISERROR(IF(MEDIAN($AL$140:$AL$147) = 0, "", MEDIAN($AL$140:$AL$147))), "", (IF(MEDIAN($AL$140:$AL$147) = 0, "", MEDIAN($AL$140:$AL$147))))</f>
        <v>1.7437275830000001</v>
      </c>
      <c r="AM139">
        <f ca="1">IF(ISERROR(IF(MEDIAN($AM$140:$AM$147) = 0, "", MEDIAN($AM$140:$AM$147))), "", (IF(MEDIAN($AM$140:$AM$147) = 0, "", MEDIAN($AM$140:$AM$147))))</f>
        <v>1.890031056</v>
      </c>
      <c r="AN139">
        <f ca="1">IF(ISERROR(IF(MEDIAN($AN$140:$AN$147) = 0, "", MEDIAN($AN$140:$AN$147))), "", (IF(MEDIAN($AN$140:$AN$147) = 0, "", MEDIAN($AN$140:$AN$147))))</f>
        <v>1.6782909770000001</v>
      </c>
      <c r="AO139">
        <f ca="1">IF(ISERROR(IF(MEDIAN($AO$140:$AO$147) = 0, "", MEDIAN($AO$140:$AO$147))), "", (IF(MEDIAN($AO$140:$AO$147) = 0, "", MEDIAN($AO$140:$AO$147))))</f>
        <v>1.826488578</v>
      </c>
      <c r="AP139">
        <f ca="1">IF(ISERROR(IF(MEDIAN($AP$140:$AP$147) = 0, "", MEDIAN($AP$140:$AP$147))), "", (IF(MEDIAN($AP$140:$AP$147) = 0, "", MEDIAN($AP$140:$AP$147))))</f>
        <v>1.8279569179999999</v>
      </c>
      <c r="AQ139">
        <f ca="1">IF(ISERROR(IF(MEDIAN($AQ$140:$AQ$147) = 0, "", MEDIAN($AQ$140:$AQ$147))), "", (IF(MEDIAN($AQ$140:$AQ$147) = 0, "", MEDIAN($AQ$140:$AQ$147))))</f>
        <v>2.0899875344999996</v>
      </c>
      <c r="AR139">
        <f ca="1">IF(ISERROR(IF(MEDIAN($AR$140:$AR$147) = 0, "", MEDIAN($AR$140:$AR$147))), "", (IF(MEDIAN($AR$140:$AR$147) = 0, "", MEDIAN($AR$140:$AR$147))))</f>
        <v>1.8068318720000001</v>
      </c>
      <c r="AS139">
        <f ca="1">IF(ISERROR(IF(MEDIAN($AS$140:$AS$147) = 0, "", MEDIAN($AS$140:$AS$147))), "", (IF(MEDIAN($AS$140:$AS$147) = 0, "", MEDIAN($AS$140:$AS$147))))</f>
        <v>1.9252516664999999</v>
      </c>
      <c r="AT139">
        <f ca="1">IF(ISERROR(IF(MEDIAN($AT$140:$AT$147) = 0, "", MEDIAN($AT$140:$AT$147))), "", (IF(MEDIAN($AT$140:$AT$147) = 0, "", MEDIAN($AT$140:$AT$147))))</f>
        <v>1.921205029</v>
      </c>
      <c r="AU139">
        <f ca="1">IF(ISERROR(IF(MEDIAN($AU$140:$AU$147) = 0, "", MEDIAN($AU$140:$AU$147))), "", (IF(MEDIAN($AU$140:$AU$147) = 0, "", MEDIAN($AU$140:$AU$147))))</f>
        <v>2.0058066600000002</v>
      </c>
      <c r="AV139">
        <f ca="1">IF(ISERROR(IF(MEDIAN($AV$140:$AV$147) = 0, "", MEDIAN($AV$140:$AV$147))), "", (IF(MEDIAN($AV$140:$AV$147) = 0, "", MEDIAN($AV$140:$AV$147))))</f>
        <v>1.9188052870000001</v>
      </c>
      <c r="AW139">
        <f ca="1">IF(ISERROR(IF(MEDIAN($AW$140:$AW$147) = 0, "", MEDIAN($AW$140:$AW$147))), "", (IF(MEDIAN($AW$140:$AW$147) = 0, "", MEDIAN($AW$140:$AW$147))))</f>
        <v>1.8688277520000001</v>
      </c>
      <c r="AX139">
        <f ca="1">IF(ISERROR(IF(MEDIAN($AX$140:$AX$147) = 0, "", MEDIAN($AX$140:$AX$147))), "", (IF(MEDIAN($AX$140:$AX$147) = 0, "", MEDIAN($AX$140:$AX$147))))</f>
        <v>1.909894703</v>
      </c>
      <c r="AY139">
        <f ca="1">IF(ISERROR(IF(MEDIAN($AY$140:$AY$147) = 0, "", MEDIAN($AY$140:$AY$147))), "", (IF(MEDIAN($AY$140:$AY$147) = 0, "", MEDIAN($AY$140:$AY$147))))</f>
        <v>1.9327311890000001</v>
      </c>
      <c r="AZ139">
        <f ca="1">IF(ISERROR(IF(MEDIAN($AZ$140:$AZ$147) = 0, "", MEDIAN($AZ$140:$AZ$147))), "", (IF(MEDIAN($AZ$140:$AZ$147) = 0, "", MEDIAN($AZ$140:$AZ$147))))</f>
        <v>1.987201062</v>
      </c>
      <c r="BA139">
        <f ca="1">IF(ISERROR(IF(MEDIAN($BA$140:$BA$147) = 0, "", MEDIAN($BA$140:$BA$147))), "", (IF(MEDIAN($BA$140:$BA$147) = 0, "", MEDIAN($BA$140:$BA$147))))</f>
        <v>2.027785819</v>
      </c>
      <c r="BB139">
        <f ca="1">IF(ISERROR(IF(MEDIAN($BB$140:$BB$147) = 0, "", MEDIAN($BB$140:$BB$147))), "", (IF(MEDIAN($BB$140:$BB$147) = 0, "", MEDIAN($BB$140:$BB$147))))</f>
        <v>2.0549805380000001</v>
      </c>
      <c r="BC139">
        <f ca="1">IF(ISERROR(IF(MEDIAN($BC$140:$BC$147) = 0, "", MEDIAN($BC$140:$BC$147))), "", (IF(MEDIAN($BC$140:$BC$147) = 0, "", MEDIAN($BC$140:$BC$147))))</f>
        <v>2.15381483</v>
      </c>
      <c r="BD139">
        <f ca="1">IF(ISERROR(IF(MEDIAN($BD$140:$BD$147) = 0, "", MEDIAN($BD$140:$BD$147))), "", (IF(MEDIAN($BD$140:$BD$147) = 0, "", MEDIAN($BD$140:$BD$147))))</f>
        <v>1.9779998605</v>
      </c>
      <c r="BE139">
        <f ca="1">IF(ISERROR(IF(MEDIAN($BE$140:$BE$147) = 0, "", MEDIAN($BE$140:$BE$147))), "", (IF(MEDIAN($BE$140:$BE$147) = 0, "", MEDIAN($BE$140:$BE$147))))</f>
        <v>1.9818426309999999</v>
      </c>
      <c r="BF139">
        <f ca="1">IF(ISERROR(IF(MEDIAN($BF$140:$BF$147) = 0, "", MEDIAN($BF$140:$BF$147))), "", (IF(MEDIAN($BF$140:$BF$147) = 0, "", MEDIAN($BF$140:$BF$147))))</f>
        <v>2.0261164809999999</v>
      </c>
      <c r="BG139">
        <f ca="1">IF(ISERROR(IF(MEDIAN($BG$140:$BG$147) = 0, "", MEDIAN($BG$140:$BG$147))), "", (IF(MEDIAN($BG$140:$BG$147) = 0, "", MEDIAN($BG$140:$BG$147))))</f>
        <v>2.1825218660000001</v>
      </c>
      <c r="BH139">
        <f ca="1">IF(ISERROR(IF(MEDIAN($BH$140:$BH$147) = 0, "", MEDIAN($BH$140:$BH$147))), "", (IF(MEDIAN($BH$140:$BH$147) = 0, "", MEDIAN($BH$140:$BH$147))))</f>
        <v>2.1981669199999998</v>
      </c>
      <c r="BI139">
        <f ca="1">IF(ISERROR(IF(MEDIAN($BI$140:$BI$147) = 0, "", MEDIAN($BI$140:$BI$147))), "", (IF(MEDIAN($BI$140:$BI$147) = 0, "", MEDIAN($BI$140:$BI$147))))</f>
        <v>2.168481409</v>
      </c>
      <c r="BJ139">
        <f ca="1">IF(ISERROR(IF(MEDIAN($BJ$140:$BJ$147) = 0, "", MEDIAN($BJ$140:$BJ$147))), "", (IF(MEDIAN($BJ$140:$BJ$147) = 0, "", MEDIAN($BJ$140:$BJ$147))))</f>
        <v>2.4179553399999998</v>
      </c>
      <c r="BK139">
        <f ca="1">IF(ISERROR(IF(MEDIAN($BK$140:$BK$147) = 0, "", MEDIAN($BK$140:$BK$147))), "", (IF(MEDIAN($BK$140:$BK$147) = 0, "", MEDIAN($BK$140:$BK$147))))</f>
        <v>2.3288719679999996</v>
      </c>
      <c r="BL139">
        <f ca="1">IF(ISERROR(IF(MEDIAN($BL$140:$BL$147) = 0, "", MEDIAN($BL$140:$BL$147))), "", (IF(MEDIAN($BL$140:$BL$147) = 0, "", MEDIAN($BL$140:$BL$147))))</f>
        <v>2.3307758014999997</v>
      </c>
      <c r="BM139">
        <f ca="1">IF(ISERROR(IF(MEDIAN($BM$140:$BM$147) = 0, "", MEDIAN($BM$140:$BM$147))), "", (IF(MEDIAN($BM$140:$BM$147) = 0, "", MEDIAN($BM$140:$BM$147))))</f>
        <v>2.4160309545</v>
      </c>
      <c r="BN139" t="str">
        <f>""</f>
        <v/>
      </c>
      <c r="BO139">
        <f>2.024402823</f>
        <v>2.024402823</v>
      </c>
      <c r="BP139">
        <f>1.939956843</f>
        <v>1.939956843</v>
      </c>
      <c r="BQ139">
        <f>1.915291442</f>
        <v>1.915291442</v>
      </c>
      <c r="BR139">
        <f>1.843079722</f>
        <v>1.8430797219999999</v>
      </c>
      <c r="BS139">
        <f>1.915170827</f>
        <v>1.9151708270000001</v>
      </c>
      <c r="BT139">
        <f>1.932732082</f>
        <v>1.932732082</v>
      </c>
      <c r="BU139">
        <f>1.901057892</f>
        <v>1.9010578920000001</v>
      </c>
      <c r="BV139">
        <f>1.951431909</f>
        <v>1.9514319090000001</v>
      </c>
      <c r="BW139">
        <f>1.938222626</f>
        <v>1.9382226259999999</v>
      </c>
      <c r="BX139">
        <f>1.787271924</f>
        <v>1.7872719239999999</v>
      </c>
      <c r="BY139">
        <f>1.92727546</f>
        <v>1.9272754599999999</v>
      </c>
      <c r="BZ139">
        <f>1.83766849</f>
        <v>1.83766849</v>
      </c>
      <c r="CA139">
        <f>1.939632998</f>
        <v>1.939632998</v>
      </c>
      <c r="CB139">
        <f>1.839099549</f>
        <v>1.8390995489999999</v>
      </c>
      <c r="CC139">
        <f>1.757747578</f>
        <v>1.757747578</v>
      </c>
      <c r="CD139">
        <f>1.739404709</f>
        <v>1.739404709</v>
      </c>
      <c r="CE139">
        <f>1.783619822</f>
        <v>1.7836198219999999</v>
      </c>
      <c r="CF139">
        <f>1.815256452</f>
        <v>1.8152564520000001</v>
      </c>
      <c r="CG139">
        <f>1.773280496</f>
        <v>1.7732804959999999</v>
      </c>
      <c r="CH139">
        <f>1.741518589</f>
        <v>1.741518589</v>
      </c>
      <c r="CI139">
        <f>1.92418624</f>
        <v>1.92418624</v>
      </c>
      <c r="CJ139">
        <f>1.887298863</f>
        <v>1.887298863</v>
      </c>
      <c r="CK139">
        <f>1.929887952</f>
        <v>1.9298879520000001</v>
      </c>
      <c r="CL139">
        <f>1.931688699</f>
        <v>1.931688699</v>
      </c>
      <c r="CM139">
        <f>1.960614975</f>
        <v>1.9606149749999999</v>
      </c>
      <c r="CN139">
        <f>1.787564345</f>
        <v>1.7875643450000001</v>
      </c>
      <c r="CO139">
        <f>1.974360712</f>
        <v>1.974360712</v>
      </c>
      <c r="CP139">
        <f>1.875196229</f>
        <v>1.8751962289999999</v>
      </c>
      <c r="CQ139">
        <f>1.860278882</f>
        <v>1.860278882</v>
      </c>
      <c r="CR139">
        <f>1.764704118</f>
        <v>1.764704118</v>
      </c>
      <c r="CS139">
        <f>1.801012634</f>
        <v>1.8010126339999999</v>
      </c>
      <c r="CT139">
        <f>1.743727583</f>
        <v>1.7437275830000001</v>
      </c>
      <c r="CU139">
        <f>1.890031056</f>
        <v>1.890031056</v>
      </c>
      <c r="CV139">
        <f>1.678290977</f>
        <v>1.6782909770000001</v>
      </c>
      <c r="CW139">
        <f>1.826488578</f>
        <v>1.826488578</v>
      </c>
      <c r="CX139">
        <f>1.827956918</f>
        <v>1.8279569179999999</v>
      </c>
      <c r="CY139">
        <f>2.089987535</f>
        <v>2.0899875350000001</v>
      </c>
      <c r="CZ139">
        <f>1.806831872</f>
        <v>1.8068318720000001</v>
      </c>
      <c r="DA139">
        <f>1.925251667</f>
        <v>1.9252516669999999</v>
      </c>
      <c r="DB139">
        <f>1.921205029</f>
        <v>1.921205029</v>
      </c>
      <c r="DC139">
        <f>2.00580666</f>
        <v>2.0058066600000002</v>
      </c>
      <c r="DD139">
        <f>1.918805287</f>
        <v>1.9188052870000001</v>
      </c>
      <c r="DE139">
        <f>1.868827752</f>
        <v>1.8688277520000001</v>
      </c>
      <c r="DF139">
        <f>1.909894703</f>
        <v>1.909894703</v>
      </c>
      <c r="DG139">
        <f>1.932731189</f>
        <v>1.9327311890000001</v>
      </c>
      <c r="DH139">
        <f>1.987201062</f>
        <v>1.987201062</v>
      </c>
      <c r="DI139">
        <f>2.027785819</f>
        <v>2.027785819</v>
      </c>
      <c r="DJ139">
        <f>2.054980538</f>
        <v>2.0549805380000001</v>
      </c>
      <c r="DK139">
        <f>2.15381483</f>
        <v>2.15381483</v>
      </c>
      <c r="DL139">
        <f>1.977999861</f>
        <v>1.977999861</v>
      </c>
      <c r="DM139">
        <f>1.981842631</f>
        <v>1.9818426309999999</v>
      </c>
      <c r="DN139">
        <f>2.026116481</f>
        <v>2.0261164809999999</v>
      </c>
      <c r="DO139">
        <f>2.182521866</f>
        <v>2.1825218660000001</v>
      </c>
      <c r="DP139">
        <f>2.19816692</f>
        <v>2.1981669199999998</v>
      </c>
      <c r="DQ139">
        <f>2.168481409</f>
        <v>2.168481409</v>
      </c>
      <c r="DR139">
        <f>2.41795534</f>
        <v>2.4179553399999998</v>
      </c>
      <c r="DS139">
        <f>2.328871968</f>
        <v>2.3288719680000001</v>
      </c>
      <c r="DT139">
        <f>2.330775801</f>
        <v>2.3307758010000001</v>
      </c>
      <c r="DU139">
        <f>2.416030954</f>
        <v>2.416030954</v>
      </c>
    </row>
    <row r="140" spans="1:125">
      <c r="A140" t="str">
        <f>"    American Campus Communities In"</f>
        <v xml:space="preserve">    American Campus Communities In</v>
      </c>
      <c r="B140" t="str">
        <f>"ACC US Equity"</f>
        <v>ACC US Equity</v>
      </c>
      <c r="C140" t="str">
        <f t="shared" ref="C140:C147" si="45">"RR553"</f>
        <v>RR553</v>
      </c>
      <c r="D140" t="str">
        <f t="shared" ref="D140:D147" si="46">"EBITDA_RE_ASSET"</f>
        <v>EBITDA_RE_ASSET</v>
      </c>
      <c r="E140" t="str">
        <f t="shared" ref="E140:E147" si="47">"动态"</f>
        <v>动态</v>
      </c>
      <c r="F140" t="str">
        <f ca="1">IF(AND(ISNUMBER($F$348),$B$226=1),$F$348,HLOOKUP(INDIRECT(ADDRESS(2,COLUMN())),OFFSET($BN$2,0,0,ROW()-1,60),ROW()-1,FALSE))</f>
        <v/>
      </c>
      <c r="G140">
        <f ca="1">IF(AND(ISNUMBER($G$348),$B$226=1),$G$348,HLOOKUP(INDIRECT(ADDRESS(2,COLUMN())),OFFSET($BN$2,0,0,ROW()-1,60),ROW()-1,FALSE))</f>
        <v>1.97021877</v>
      </c>
      <c r="H140">
        <f ca="1">IF(AND(ISNUMBER($H$348),$B$226=1),$H$348,HLOOKUP(INDIRECT(ADDRESS(2,COLUMN())),OFFSET($BN$2,0,0,ROW()-1,60),ROW()-1,FALSE))</f>
        <v>1.240313107</v>
      </c>
      <c r="I140">
        <f ca="1">IF(AND(ISNUMBER($I$348),$B$226=1),$I$348,HLOOKUP(INDIRECT(ADDRESS(2,COLUMN())),OFFSET($BN$2,0,0,ROW()-1,60),ROW()-1,FALSE))</f>
        <v>1.1642154680000001</v>
      </c>
      <c r="J140">
        <f ca="1">IF(AND(ISNUMBER($J$348),$B$226=1),$J$348,HLOOKUP(INDIRECT(ADDRESS(2,COLUMN())),OFFSET($BN$2,0,0,ROW()-1,60),ROW()-1,FALSE))</f>
        <v>1.7968772399999999</v>
      </c>
      <c r="K140">
        <f ca="1">IF(AND(ISNUMBER($K$348),$B$226=1),$K$348,HLOOKUP(INDIRECT(ADDRESS(2,COLUMN())),OFFSET($BN$2,0,0,ROW()-1,60),ROW()-1,FALSE))</f>
        <v>1.871108478</v>
      </c>
      <c r="L140">
        <f ca="1">IF(AND(ISNUMBER($L$348),$B$226=1),$L$348,HLOOKUP(INDIRECT(ADDRESS(2,COLUMN())),OFFSET($BN$2,0,0,ROW()-1,60),ROW()-1,FALSE))</f>
        <v>1.371424236</v>
      </c>
      <c r="M140">
        <f ca="1">IF(AND(ISNUMBER($M$348),$B$226=1),$M$348,HLOOKUP(INDIRECT(ADDRESS(2,COLUMN())),OFFSET($BN$2,0,0,ROW()-1,60),ROW()-1,FALSE))</f>
        <v>1.597647692</v>
      </c>
      <c r="N140">
        <f ca="1">IF(AND(ISNUMBER($N$348),$B$226=1),$N$348,HLOOKUP(INDIRECT(ADDRESS(2,COLUMN())),OFFSET($BN$2,0,0,ROW()-1,60),ROW()-1,FALSE))</f>
        <v>1.885032295</v>
      </c>
      <c r="O140">
        <f ca="1">IF(AND(ISNUMBER($O$348),$B$226=1),$O$348,HLOOKUP(INDIRECT(ADDRESS(2,COLUMN())),OFFSET($BN$2,0,0,ROW()-1,60),ROW()-1,FALSE))</f>
        <v>1.9127506240000001</v>
      </c>
      <c r="P140">
        <f ca="1">IF(AND(ISNUMBER($P$348),$B$226=1),$P$348,HLOOKUP(INDIRECT(ADDRESS(2,COLUMN())),OFFSET($BN$2,0,0,ROW()-1,60),ROW()-1,FALSE))</f>
        <v>1.25773527</v>
      </c>
      <c r="Q140">
        <f ca="1">IF(AND(ISNUMBER($Q$348),$B$226=1),$Q$348,HLOOKUP(INDIRECT(ADDRESS(2,COLUMN())),OFFSET($BN$2,0,0,ROW()-1,60),ROW()-1,FALSE))</f>
        <v>1.5674041729999999</v>
      </c>
      <c r="R140">
        <f ca="1">IF(AND(ISNUMBER($R$348),$B$226=1),$R$348,HLOOKUP(INDIRECT(ADDRESS(2,COLUMN())),OFFSET($BN$2,0,0,ROW()-1,60),ROW()-1,FALSE))</f>
        <v>1.818911728</v>
      </c>
      <c r="S140">
        <f ca="1">IF(AND(ISNUMBER($S$348),$B$226=1),$S$348,HLOOKUP(INDIRECT(ADDRESS(2,COLUMN())),OFFSET($BN$2,0,0,ROW()-1,60),ROW()-1,FALSE))</f>
        <v>1.8804994500000001</v>
      </c>
      <c r="T140">
        <f ca="1">IF(AND(ISNUMBER($T$348),$B$226=1),$T$348,HLOOKUP(INDIRECT(ADDRESS(2,COLUMN())),OFFSET($BN$2,0,0,ROW()-1,60),ROW()-1,FALSE))</f>
        <v>1.298732027</v>
      </c>
      <c r="U140">
        <f ca="1">IF(AND(ISNUMBER($U$348),$B$226=1),$U$348,HLOOKUP(INDIRECT(ADDRESS(2,COLUMN())),OFFSET($BN$2,0,0,ROW()-1,60),ROW()-1,FALSE))</f>
        <v>1.558543338</v>
      </c>
      <c r="V140">
        <f ca="1">IF(AND(ISNUMBER($V$348),$B$226=1),$V$348,HLOOKUP(INDIRECT(ADDRESS(2,COLUMN())),OFFSET($BN$2,0,0,ROW()-1,60),ROW()-1,FALSE))</f>
        <v>1.8073189869999999</v>
      </c>
      <c r="W140">
        <f ca="1">IF(AND(ISNUMBER($W$348),$B$226=1),$W$348,HLOOKUP(INDIRECT(ADDRESS(2,COLUMN())),OFFSET($BN$2,0,0,ROW()-1,60),ROW()-1,FALSE))</f>
        <v>1.823062862</v>
      </c>
      <c r="X140">
        <f ca="1">IF(AND(ISNUMBER($X$348),$B$226=1),$X$348,HLOOKUP(INDIRECT(ADDRESS(2,COLUMN())),OFFSET($BN$2,0,0,ROW()-1,60),ROW()-1,FALSE))</f>
        <v>1.190282965</v>
      </c>
      <c r="Y140">
        <f ca="1">IF(AND(ISNUMBER($Y$348),$B$226=1),$Y$348,HLOOKUP(INDIRECT(ADDRESS(2,COLUMN())),OFFSET($BN$2,0,0,ROW()-1,60),ROW()-1,FALSE))</f>
        <v>1.462909743</v>
      </c>
      <c r="Z140">
        <f ca="1">IF(AND(ISNUMBER($Z$348),$B$226=1),$Z$348,HLOOKUP(INDIRECT(ADDRESS(2,COLUMN())),OFFSET($BN$2,0,0,ROW()-1,60),ROW()-1,FALSE))</f>
        <v>1.7788267550000001</v>
      </c>
      <c r="AA140">
        <f ca="1">IF(AND(ISNUMBER($AA$348),$B$226=1),$AA$348,HLOOKUP(INDIRECT(ADDRESS(2,COLUMN())),OFFSET($BN$2,0,0,ROW()-1,60),ROW()-1,FALSE))</f>
        <v>1.5665318509999999</v>
      </c>
      <c r="AB140">
        <f ca="1">IF(AND(ISNUMBER($AB$348),$B$226=1),$AB$348,HLOOKUP(INDIRECT(ADDRESS(2,COLUMN())),OFFSET($BN$2,0,0,ROW()-1,60),ROW()-1,FALSE))</f>
        <v>1.0407849039999999</v>
      </c>
      <c r="AC140">
        <f ca="1">IF(AND(ISNUMBER($AC$348),$B$226=1),$AC$348,HLOOKUP(INDIRECT(ADDRESS(2,COLUMN())),OFFSET($BN$2,0,0,ROW()-1,60),ROW()-1,FALSE))</f>
        <v>1.5723878870000001</v>
      </c>
      <c r="AD140">
        <f ca="1">IF(AND(ISNUMBER($AD$348),$B$226=1),$AD$348,HLOOKUP(INDIRECT(ADDRESS(2,COLUMN())),OFFSET($BN$2,0,0,ROW()-1,60),ROW()-1,FALSE))</f>
        <v>1.921712278</v>
      </c>
      <c r="AE140">
        <f ca="1">IF(AND(ISNUMBER($AE$348),$B$226=1),$AE$348,HLOOKUP(INDIRECT(ADDRESS(2,COLUMN())),OFFSET($BN$2,0,0,ROW()-1,60),ROW()-1,FALSE))</f>
        <v>1.8902703320000001</v>
      </c>
      <c r="AF140">
        <f ca="1">IF(AND(ISNUMBER($AF$348),$B$226=1),$AF$348,HLOOKUP(INDIRECT(ADDRESS(2,COLUMN())),OFFSET($BN$2,0,0,ROW()-1,60),ROW()-1,FALSE))</f>
        <v>1.47797011</v>
      </c>
      <c r="AG140">
        <f ca="1">IF(AND(ISNUMBER($AG$348),$B$226=1),$AG$348,HLOOKUP(INDIRECT(ADDRESS(2,COLUMN())),OFFSET($BN$2,0,0,ROW()-1,60),ROW()-1,FALSE))</f>
        <v>1.73068014</v>
      </c>
      <c r="AH140">
        <f ca="1">IF(AND(ISNUMBER($AH$348),$B$226=1),$AH$348,HLOOKUP(INDIRECT(ADDRESS(2,COLUMN())),OFFSET($BN$2,0,0,ROW()-1,60),ROW()-1,FALSE))</f>
        <v>2.1637685310000001</v>
      </c>
      <c r="AI140">
        <f ca="1">IF(AND(ISNUMBER($AI$348),$B$226=1),$AI$348,HLOOKUP(INDIRECT(ADDRESS(2,COLUMN())),OFFSET($BN$2,0,0,ROW()-1,60),ROW()-1,FALSE))</f>
        <v>1.9800667380000001</v>
      </c>
      <c r="AJ140">
        <f ca="1">IF(AND(ISNUMBER($AJ$348),$B$226=1),$AJ$348,HLOOKUP(INDIRECT(ADDRESS(2,COLUMN())),OFFSET($BN$2,0,0,ROW()-1,60),ROW()-1,FALSE))</f>
        <v>1.5363279030000001</v>
      </c>
      <c r="AK140">
        <f ca="1">IF(AND(ISNUMBER($AK$348),$B$226=1),$AK$348,HLOOKUP(INDIRECT(ADDRESS(2,COLUMN())),OFFSET($BN$2,0,0,ROW()-1,60),ROW()-1,FALSE))</f>
        <v>1.7114680849999999</v>
      </c>
      <c r="AL140">
        <f ca="1">IF(AND(ISNUMBER($AL$348),$B$226=1),$AL$348,HLOOKUP(INDIRECT(ADDRESS(2,COLUMN())),OFFSET($BN$2,0,0,ROW()-1,60),ROW()-1,FALSE))</f>
        <v>2.0063174670000001</v>
      </c>
      <c r="AM140">
        <f ca="1">IF(AND(ISNUMBER($AM$348),$B$226=1),$AM$348,HLOOKUP(INDIRECT(ADDRESS(2,COLUMN())),OFFSET($BN$2,0,0,ROW()-1,60),ROW()-1,FALSE))</f>
        <v>2.075447214</v>
      </c>
      <c r="AN140">
        <f ca="1">IF(AND(ISNUMBER($AN$348),$B$226=1),$AN$348,HLOOKUP(INDIRECT(ADDRESS(2,COLUMN())),OFFSET($BN$2,0,0,ROW()-1,60),ROW()-1,FALSE))</f>
        <v>1.453451984</v>
      </c>
      <c r="AO140">
        <f ca="1">IF(AND(ISNUMBER($AO$348),$B$226=1),$AO$348,HLOOKUP(INDIRECT(ADDRESS(2,COLUMN())),OFFSET($BN$2,0,0,ROW()-1,60),ROW()-1,FALSE))</f>
        <v>1.498113051</v>
      </c>
      <c r="AP140">
        <f ca="1">IF(AND(ISNUMBER($AP$348),$B$226=1),$AP$348,HLOOKUP(INDIRECT(ADDRESS(2,COLUMN())),OFFSET($BN$2,0,0,ROW()-1,60),ROW()-1,FALSE))</f>
        <v>1.815911906</v>
      </c>
      <c r="AQ140">
        <f ca="1">IF(AND(ISNUMBER($AQ$348),$B$226=1),$AQ$348,HLOOKUP(INDIRECT(ADDRESS(2,COLUMN())),OFFSET($BN$2,0,0,ROW()-1,60),ROW()-1,FALSE))</f>
        <v>1.766518249</v>
      </c>
      <c r="AR140">
        <f ca="1">IF(AND(ISNUMBER($AR$348),$B$226=1),$AR$348,HLOOKUP(INDIRECT(ADDRESS(2,COLUMN())),OFFSET($BN$2,0,0,ROW()-1,60),ROW()-1,FALSE))</f>
        <v>1.1228635849999999</v>
      </c>
      <c r="AS140">
        <f ca="1">IF(AND(ISNUMBER($AS$348),$B$226=1),$AS$348,HLOOKUP(INDIRECT(ADDRESS(2,COLUMN())),OFFSET($BN$2,0,0,ROW()-1,60),ROW()-1,FALSE))</f>
        <v>0.88448783099999995</v>
      </c>
      <c r="AT140">
        <f ca="1">IF(AND(ISNUMBER($AT$348),$B$226=1),$AT$348,HLOOKUP(INDIRECT(ADDRESS(2,COLUMN())),OFFSET($BN$2,0,0,ROW()-1,60),ROW()-1,FALSE))</f>
        <v>1.9402740979999999</v>
      </c>
      <c r="AU140">
        <f ca="1">IF(AND(ISNUMBER($AU$348),$B$226=1),$AU$348,HLOOKUP(INDIRECT(ADDRESS(2,COLUMN())),OFFSET($BN$2,0,0,ROW()-1,60),ROW()-1,FALSE))</f>
        <v>2.163011156</v>
      </c>
      <c r="AV140">
        <f ca="1">IF(AND(ISNUMBER($AV$348),$B$226=1),$AV$348,HLOOKUP(INDIRECT(ADDRESS(2,COLUMN())),OFFSET($BN$2,0,0,ROW()-1,60),ROW()-1,FALSE))</f>
        <v>1.4071189930000001</v>
      </c>
      <c r="AW140">
        <f ca="1">IF(AND(ISNUMBER($AW$348),$B$226=1),$AW$348,HLOOKUP(INDIRECT(ADDRESS(2,COLUMN())),OFFSET($BN$2,0,0,ROW()-1,60),ROW()-1,FALSE))</f>
        <v>1.519357351</v>
      </c>
      <c r="AX140">
        <f ca="1">IF(AND(ISNUMBER($AX$348),$B$226=1),$AX$348,HLOOKUP(INDIRECT(ADDRESS(2,COLUMN())),OFFSET($BN$2,0,0,ROW()-1,60),ROW()-1,FALSE))</f>
        <v>0.96715170399999995</v>
      </c>
      <c r="AY140">
        <f ca="1">IF(AND(ISNUMBER($AY$348),$B$226=1),$AY$348,HLOOKUP(INDIRECT(ADDRESS(2,COLUMN())),OFFSET($BN$2,0,0,ROW()-1,60),ROW()-1,FALSE))</f>
        <v>2.3561231569999999</v>
      </c>
      <c r="AZ140">
        <f ca="1">IF(AND(ISNUMBER($AZ$348),$B$226=1),$AZ$348,HLOOKUP(INDIRECT(ADDRESS(2,COLUMN())),OFFSET($BN$2,0,0,ROW()-1,60),ROW()-1,FALSE))</f>
        <v>1.5867315820000001</v>
      </c>
      <c r="BA140">
        <f ca="1">IF(AND(ISNUMBER($BA$348),$B$226=1),$BA$348,HLOOKUP(INDIRECT(ADDRESS(2,COLUMN())),OFFSET($BN$2,0,0,ROW()-1,60),ROW()-1,FALSE))</f>
        <v>1.5145492739999999</v>
      </c>
      <c r="BB140">
        <f ca="1">IF(AND(ISNUMBER($BB$348),$B$226=1),$BB$348,HLOOKUP(INDIRECT(ADDRESS(2,COLUMN())),OFFSET($BN$2,0,0,ROW()-1,60),ROW()-1,FALSE))</f>
        <v>1.8559337389999999</v>
      </c>
      <c r="BC140">
        <f ca="1">IF(AND(ISNUMBER($BC$348),$B$226=1),$BC$348,HLOOKUP(INDIRECT(ADDRESS(2,COLUMN())),OFFSET($BN$2,0,0,ROW()-1,60),ROW()-1,FALSE))</f>
        <v>2.321355343</v>
      </c>
      <c r="BD140">
        <f ca="1">IF(AND(ISNUMBER($BD$348),$B$226=1),$BD$348,HLOOKUP(INDIRECT(ADDRESS(2,COLUMN())),OFFSET($BN$2,0,0,ROW()-1,60),ROW()-1,FALSE))</f>
        <v>1.6768336109999999</v>
      </c>
      <c r="BE140">
        <f ca="1">IF(AND(ISNUMBER($BE$348),$B$226=1),$BE$348,HLOOKUP(INDIRECT(ADDRESS(2,COLUMN())),OFFSET($BN$2,0,0,ROW()-1,60),ROW()-1,FALSE))</f>
        <v>1.570135823</v>
      </c>
      <c r="BF140">
        <f ca="1">IF(AND(ISNUMBER($BF$348),$B$226=1),$BF$348,HLOOKUP(INDIRECT(ADDRESS(2,COLUMN())),OFFSET($BN$2,0,0,ROW()-1,60),ROW()-1,FALSE))</f>
        <v>2.0955599939999998</v>
      </c>
      <c r="BG140">
        <f ca="1">IF(AND(ISNUMBER($BG$348),$B$226=1),$BG$348,HLOOKUP(INDIRECT(ADDRESS(2,COLUMN())),OFFSET($BN$2,0,0,ROW()-1,60),ROW()-1,FALSE))</f>
        <v>2.6084096400000001</v>
      </c>
      <c r="BH140">
        <f ca="1">IF(AND(ISNUMBER($BH$348),$B$226=1),$BH$348,HLOOKUP(INDIRECT(ADDRESS(2,COLUMN())),OFFSET($BN$2,0,0,ROW()-1,60),ROW()-1,FALSE))</f>
        <v>0.93427097400000003</v>
      </c>
      <c r="BI140">
        <f ca="1">IF(AND(ISNUMBER($BI$348),$B$226=1),$BI$348,HLOOKUP(INDIRECT(ADDRESS(2,COLUMN())),OFFSET($BN$2,0,0,ROW()-1,60),ROW()-1,FALSE))</f>
        <v>1.7625996399999999</v>
      </c>
      <c r="BJ140">
        <f ca="1">IF(AND(ISNUMBER($BJ$348),$B$226=1),$BJ$348,HLOOKUP(INDIRECT(ADDRESS(2,COLUMN())),OFFSET($BN$2,0,0,ROW()-1,60),ROW()-1,FALSE))</f>
        <v>2.695672193</v>
      </c>
      <c r="BK140" t="str">
        <f ca="1">IF(AND(ISNUMBER($BK$348),$B$226=1),$BK$348,HLOOKUP(INDIRECT(ADDRESS(2,COLUMN())),OFFSET($BN$2,0,0,ROW()-1,60),ROW()-1,FALSE))</f>
        <v/>
      </c>
      <c r="BL140" t="str">
        <f ca="1">IF(AND(ISNUMBER($BL$348),$B$226=1),$BL$348,HLOOKUP(INDIRECT(ADDRESS(2,COLUMN())),OFFSET($BN$2,0,0,ROW()-1,60),ROW()-1,FALSE))</f>
        <v/>
      </c>
      <c r="BM140" t="str">
        <f ca="1">IF(AND(ISNUMBER($BM$348),$B$226=1),$BM$348,HLOOKUP(INDIRECT(ADDRESS(2,COLUMN())),OFFSET($BN$2,0,0,ROW()-1,60),ROW()-1,FALSE))</f>
        <v/>
      </c>
      <c r="BN140" t="str">
        <f>""</f>
        <v/>
      </c>
      <c r="BO140">
        <f>1.97021877</f>
        <v>1.97021877</v>
      </c>
      <c r="BP140">
        <f>1.240313107</f>
        <v>1.240313107</v>
      </c>
      <c r="BQ140">
        <f>1.164215468</f>
        <v>1.1642154680000001</v>
      </c>
      <c r="BR140">
        <f>1.79687724</f>
        <v>1.7968772399999999</v>
      </c>
      <c r="BS140">
        <f>1.871108478</f>
        <v>1.871108478</v>
      </c>
      <c r="BT140">
        <f>1.371424236</f>
        <v>1.371424236</v>
      </c>
      <c r="BU140">
        <f>1.597647692</f>
        <v>1.597647692</v>
      </c>
      <c r="BV140">
        <f>1.885032295</f>
        <v>1.885032295</v>
      </c>
      <c r="BW140">
        <f>1.912750624</f>
        <v>1.9127506240000001</v>
      </c>
      <c r="BX140">
        <f>1.25773527</f>
        <v>1.25773527</v>
      </c>
      <c r="BY140">
        <f>1.567404173</f>
        <v>1.5674041729999999</v>
      </c>
      <c r="BZ140">
        <f>1.818911728</f>
        <v>1.818911728</v>
      </c>
      <c r="CA140">
        <f>1.88049945</f>
        <v>1.8804994500000001</v>
      </c>
      <c r="CB140">
        <f>1.298732027</f>
        <v>1.298732027</v>
      </c>
      <c r="CC140">
        <f>1.558543338</f>
        <v>1.558543338</v>
      </c>
      <c r="CD140">
        <f>1.807318987</f>
        <v>1.8073189869999999</v>
      </c>
      <c r="CE140">
        <f>1.823062862</f>
        <v>1.823062862</v>
      </c>
      <c r="CF140">
        <f>1.190282965</f>
        <v>1.190282965</v>
      </c>
      <c r="CG140">
        <f>1.462909743</f>
        <v>1.462909743</v>
      </c>
      <c r="CH140">
        <f>1.778826755</f>
        <v>1.7788267550000001</v>
      </c>
      <c r="CI140">
        <f>1.566531851</f>
        <v>1.5665318509999999</v>
      </c>
      <c r="CJ140">
        <f>1.040784904</f>
        <v>1.0407849039999999</v>
      </c>
      <c r="CK140">
        <f>1.572387887</f>
        <v>1.5723878870000001</v>
      </c>
      <c r="CL140">
        <f>1.921712278</f>
        <v>1.921712278</v>
      </c>
      <c r="CM140">
        <f>1.890270332</f>
        <v>1.8902703320000001</v>
      </c>
      <c r="CN140">
        <f>1.47797011</f>
        <v>1.47797011</v>
      </c>
      <c r="CO140">
        <f>1.73068014</f>
        <v>1.73068014</v>
      </c>
      <c r="CP140">
        <f>2.163768531</f>
        <v>2.1637685310000001</v>
      </c>
      <c r="CQ140">
        <f>1.980066738</f>
        <v>1.9800667380000001</v>
      </c>
      <c r="CR140">
        <f>1.536327903</f>
        <v>1.5363279030000001</v>
      </c>
      <c r="CS140">
        <f>1.711468085</f>
        <v>1.7114680849999999</v>
      </c>
      <c r="CT140">
        <f>2.006317467</f>
        <v>2.0063174670000001</v>
      </c>
      <c r="CU140">
        <f>2.075447214</f>
        <v>2.075447214</v>
      </c>
      <c r="CV140">
        <f>1.453451984</f>
        <v>1.453451984</v>
      </c>
      <c r="CW140">
        <f>1.498113051</f>
        <v>1.498113051</v>
      </c>
      <c r="CX140">
        <f>1.815911906</f>
        <v>1.815911906</v>
      </c>
      <c r="CY140">
        <f>1.766518249</f>
        <v>1.766518249</v>
      </c>
      <c r="CZ140">
        <f>1.122863585</f>
        <v>1.1228635849999999</v>
      </c>
      <c r="DA140">
        <f>0.884487831</f>
        <v>0.88448783099999995</v>
      </c>
      <c r="DB140">
        <f>1.940274098</f>
        <v>1.9402740979999999</v>
      </c>
      <c r="DC140">
        <f>2.163011156</f>
        <v>2.163011156</v>
      </c>
      <c r="DD140">
        <f>1.407118993</f>
        <v>1.4071189930000001</v>
      </c>
      <c r="DE140">
        <f>1.519357351</f>
        <v>1.519357351</v>
      </c>
      <c r="DF140">
        <f>0.967151704</f>
        <v>0.96715170399999995</v>
      </c>
      <c r="DG140">
        <f>2.356123157</f>
        <v>2.3561231569999999</v>
      </c>
      <c r="DH140">
        <f>1.586731582</f>
        <v>1.5867315820000001</v>
      </c>
      <c r="DI140">
        <f>1.514549274</f>
        <v>1.5145492739999999</v>
      </c>
      <c r="DJ140">
        <f>1.855933739</f>
        <v>1.8559337389999999</v>
      </c>
      <c r="DK140">
        <f>2.321355343</f>
        <v>2.321355343</v>
      </c>
      <c r="DL140">
        <f>1.676833611</f>
        <v>1.6768336109999999</v>
      </c>
      <c r="DM140">
        <f>1.570135823</f>
        <v>1.570135823</v>
      </c>
      <c r="DN140">
        <f>2.095559994</f>
        <v>2.0955599939999998</v>
      </c>
      <c r="DO140">
        <f>2.60840964</f>
        <v>2.6084096400000001</v>
      </c>
      <c r="DP140">
        <f>0.934270974</f>
        <v>0.93427097400000003</v>
      </c>
      <c r="DQ140">
        <f>1.76259964</f>
        <v>1.7625996399999999</v>
      </c>
      <c r="DR140">
        <f>2.695672193</f>
        <v>2.695672193</v>
      </c>
      <c r="DS140" t="str">
        <f>""</f>
        <v/>
      </c>
      <c r="DT140" t="str">
        <f>""</f>
        <v/>
      </c>
      <c r="DU140" t="str">
        <f>""</f>
        <v/>
      </c>
    </row>
    <row r="141" spans="1:125">
      <c r="A141" t="str">
        <f>"    AvalonBay Communities Inc"</f>
        <v xml:space="preserve">    AvalonBay Communities Inc</v>
      </c>
      <c r="B141" t="str">
        <f>"AVB US Equity"</f>
        <v>AVB US Equity</v>
      </c>
      <c r="C141" t="str">
        <f t="shared" si="45"/>
        <v>RR553</v>
      </c>
      <c r="D141" t="str">
        <f t="shared" si="46"/>
        <v>EBITDA_RE_ASSET</v>
      </c>
      <c r="E141" t="str">
        <f t="shared" si="47"/>
        <v>动态</v>
      </c>
      <c r="F141" t="str">
        <f ca="1">IF(AND(ISNUMBER($F$349),$B$226=1),$F$349,HLOOKUP(INDIRECT(ADDRESS(2,COLUMN())),OFFSET($BN$2,0,0,ROW()-1,60),ROW()-1,FALSE))</f>
        <v/>
      </c>
      <c r="G141">
        <f ca="1">IF(AND(ISNUMBER($G$349),$B$226=1),$G$349,HLOOKUP(INDIRECT(ADDRESS(2,COLUMN())),OFFSET($BN$2,0,0,ROW()-1,60),ROW()-1,FALSE))</f>
        <v>2.1491432929999998</v>
      </c>
      <c r="H141">
        <f ca="1">IF(AND(ISNUMBER($H$349),$B$226=1),$H$349,HLOOKUP(INDIRECT(ADDRESS(2,COLUMN())),OFFSET($BN$2,0,0,ROW()-1,60),ROW()-1,FALSE))</f>
        <v>1.9928209859999999</v>
      </c>
      <c r="I141">
        <f ca="1">IF(AND(ISNUMBER($I$349),$B$226=1),$I$349,HLOOKUP(INDIRECT(ADDRESS(2,COLUMN())),OFFSET($BN$2,0,0,ROW()-1,60),ROW()-1,FALSE))</f>
        <v>1.940158818</v>
      </c>
      <c r="J141">
        <f ca="1">IF(AND(ISNUMBER($J$349),$B$226=1),$J$349,HLOOKUP(INDIRECT(ADDRESS(2,COLUMN())),OFFSET($BN$2,0,0,ROW()-1,60),ROW()-1,FALSE))</f>
        <v>1.8592726589999999</v>
      </c>
      <c r="K141">
        <f ca="1">IF(AND(ISNUMBER($K$349),$B$226=1),$K$349,HLOOKUP(INDIRECT(ADDRESS(2,COLUMN())),OFFSET($BN$2,0,0,ROW()-1,60),ROW()-1,FALSE))</f>
        <v>1.9592331759999999</v>
      </c>
      <c r="L141">
        <f ca="1">IF(AND(ISNUMBER($L$349),$B$226=1),$L$349,HLOOKUP(INDIRECT(ADDRESS(2,COLUMN())),OFFSET($BN$2,0,0,ROW()-1,60),ROW()-1,FALSE))</f>
        <v>1.896682671</v>
      </c>
      <c r="M141">
        <f ca="1">IF(AND(ISNUMBER($M$349),$B$226=1),$M$349,HLOOKUP(INDIRECT(ADDRESS(2,COLUMN())),OFFSET($BN$2,0,0,ROW()-1,60),ROW()-1,FALSE))</f>
        <v>1.905537115</v>
      </c>
      <c r="N141">
        <f ca="1">IF(AND(ISNUMBER($N$349),$B$226=1),$N$349,HLOOKUP(INDIRECT(ADDRESS(2,COLUMN())),OFFSET($BN$2,0,0,ROW()-1,60),ROW()-1,FALSE))</f>
        <v>1.9955988309999999</v>
      </c>
      <c r="O141">
        <f ca="1">IF(AND(ISNUMBER($O$349),$B$226=1),$O$349,HLOOKUP(INDIRECT(ADDRESS(2,COLUMN())),OFFSET($BN$2,0,0,ROW()-1,60),ROW()-1,FALSE))</f>
        <v>1.91383524</v>
      </c>
      <c r="P141">
        <f ca="1">IF(AND(ISNUMBER($P$349),$B$226=1),$P$349,HLOOKUP(INDIRECT(ADDRESS(2,COLUMN())),OFFSET($BN$2,0,0,ROW()-1,60),ROW()-1,FALSE))</f>
        <v>1.784147433</v>
      </c>
      <c r="Q141">
        <f ca="1">IF(AND(ISNUMBER($Q$349),$B$226=1),$Q$349,HLOOKUP(INDIRECT(ADDRESS(2,COLUMN())),OFFSET($BN$2,0,0,ROW()-1,60),ROW()-1,FALSE))</f>
        <v>1.9724355689999999</v>
      </c>
      <c r="R141">
        <f ca="1">IF(AND(ISNUMBER($R$349),$B$226=1),$R$349,HLOOKUP(INDIRECT(ADDRESS(2,COLUMN())),OFFSET($BN$2,0,0,ROW()-1,60),ROW()-1,FALSE))</f>
        <v>1.693488382</v>
      </c>
      <c r="S141">
        <f ca="1">IF(AND(ISNUMBER($S$349),$B$226=1),$S$349,HLOOKUP(INDIRECT(ADDRESS(2,COLUMN())),OFFSET($BN$2,0,0,ROW()-1,60),ROW()-1,FALSE))</f>
        <v>1.827898088</v>
      </c>
      <c r="T141">
        <f ca="1">IF(AND(ISNUMBER($T$349),$B$226=1),$T$349,HLOOKUP(INDIRECT(ADDRESS(2,COLUMN())),OFFSET($BN$2,0,0,ROW()-1,60),ROW()-1,FALSE))</f>
        <v>1.8390995489999999</v>
      </c>
      <c r="U141">
        <f ca="1">IF(AND(ISNUMBER($U$349),$B$226=1),$U$349,HLOOKUP(INDIRECT(ADDRESS(2,COLUMN())),OFFSET($BN$2,0,0,ROW()-1,60),ROW()-1,FALSE))</f>
        <v>1.757747578</v>
      </c>
      <c r="V141">
        <f ca="1">IF(AND(ISNUMBER($V$349),$B$226=1),$V$349,HLOOKUP(INDIRECT(ADDRESS(2,COLUMN())),OFFSET($BN$2,0,0,ROW()-1,60),ROW()-1,FALSE))</f>
        <v>1.668912285</v>
      </c>
      <c r="W141">
        <f ca="1">IF(AND(ISNUMBER($W$349),$B$226=1),$W$349,HLOOKUP(INDIRECT(ADDRESS(2,COLUMN())),OFFSET($BN$2,0,0,ROW()-1,60),ROW()-1,FALSE))</f>
        <v>1.7307241470000001</v>
      </c>
      <c r="X141">
        <f ca="1">IF(AND(ISNUMBER($X$349),$B$226=1),$X$349,HLOOKUP(INDIRECT(ADDRESS(2,COLUMN())),OFFSET($BN$2,0,0,ROW()-1,60),ROW()-1,FALSE))</f>
        <v>1.612331899</v>
      </c>
      <c r="Y141">
        <f ca="1">IF(AND(ISNUMBER($Y$349),$B$226=1),$Y$349,HLOOKUP(INDIRECT(ADDRESS(2,COLUMN())),OFFSET($BN$2,0,0,ROW()-1,60),ROW()-1,FALSE))</f>
        <v>1.679594762</v>
      </c>
      <c r="Z141">
        <f ca="1">IF(AND(ISNUMBER($Z$349),$B$226=1),$Z$349,HLOOKUP(INDIRECT(ADDRESS(2,COLUMN())),OFFSET($BN$2,0,0,ROW()-1,60),ROW()-1,FALSE))</f>
        <v>1.055173642</v>
      </c>
      <c r="AA141">
        <f ca="1">IF(AND(ISNUMBER($AA$349),$B$226=1),$AA$349,HLOOKUP(INDIRECT(ADDRESS(2,COLUMN())),OFFSET($BN$2,0,0,ROW()-1,60),ROW()-1,FALSE))</f>
        <v>1.8855120379999999</v>
      </c>
      <c r="AB141">
        <f ca="1">IF(AND(ISNUMBER($AB$349),$B$226=1),$AB$349,HLOOKUP(INDIRECT(ADDRESS(2,COLUMN())),OFFSET($BN$2,0,0,ROW()-1,60),ROW()-1,FALSE))</f>
        <v>2.081839569</v>
      </c>
      <c r="AC141">
        <f ca="1">IF(AND(ISNUMBER($AC$349),$B$226=1),$AC$349,HLOOKUP(INDIRECT(ADDRESS(2,COLUMN())),OFFSET($BN$2,0,0,ROW()-1,60),ROW()-1,FALSE))</f>
        <v>2.0055744369999999</v>
      </c>
      <c r="AD141">
        <f ca="1">IF(AND(ISNUMBER($AD$349),$B$226=1),$AD$349,HLOOKUP(INDIRECT(ADDRESS(2,COLUMN())),OFFSET($BN$2,0,0,ROW()-1,60),ROW()-1,FALSE))</f>
        <v>1.9416651199999999</v>
      </c>
      <c r="AE141">
        <f ca="1">IF(AND(ISNUMBER($AE$349),$B$226=1),$AE$349,HLOOKUP(INDIRECT(ADDRESS(2,COLUMN())),OFFSET($BN$2,0,0,ROW()-1,60),ROW()-1,FALSE))</f>
        <v>1.8938936070000001</v>
      </c>
      <c r="AF141">
        <f ca="1">IF(AND(ISNUMBER($AF$349),$B$226=1),$AF$349,HLOOKUP(INDIRECT(ADDRESS(2,COLUMN())),OFFSET($BN$2,0,0,ROW()-1,60),ROW()-1,FALSE))</f>
        <v>1.7956392940000001</v>
      </c>
      <c r="AG141">
        <f ca="1">IF(AND(ISNUMBER($AG$349),$B$226=1),$AG$349,HLOOKUP(INDIRECT(ADDRESS(2,COLUMN())),OFFSET($BN$2,0,0,ROW()-1,60),ROW()-1,FALSE))</f>
        <v>1.990348011</v>
      </c>
      <c r="AH141">
        <f ca="1">IF(AND(ISNUMBER($AH$349),$B$226=1),$AH$349,HLOOKUP(INDIRECT(ADDRESS(2,COLUMN())),OFFSET($BN$2,0,0,ROW()-1,60),ROW()-1,FALSE))</f>
        <v>1.871659293</v>
      </c>
      <c r="AI141">
        <f ca="1">IF(AND(ISNUMBER($AI$349),$B$226=1),$AI$349,HLOOKUP(INDIRECT(ADDRESS(2,COLUMN())),OFFSET($BN$2,0,0,ROW()-1,60),ROW()-1,FALSE))</f>
        <v>1.917189638</v>
      </c>
      <c r="AJ141">
        <f ca="1">IF(AND(ISNUMBER($AJ$349),$B$226=1),$AJ$349,HLOOKUP(INDIRECT(ADDRESS(2,COLUMN())),OFFSET($BN$2,0,0,ROW()-1,60),ROW()-1,FALSE))</f>
        <v>1.8309764829999999</v>
      </c>
      <c r="AK141">
        <f ca="1">IF(AND(ISNUMBER($AK$349),$B$226=1),$AK$349,HLOOKUP(INDIRECT(ADDRESS(2,COLUMN())),OFFSET($BN$2,0,0,ROW()-1,60),ROW()-1,FALSE))</f>
        <v>1.8899878130000001</v>
      </c>
      <c r="AL141">
        <f ca="1">IF(AND(ISNUMBER($AL$349),$B$226=1),$AL$349,HLOOKUP(INDIRECT(ADDRESS(2,COLUMN())),OFFSET($BN$2,0,0,ROW()-1,60),ROW()-1,FALSE))</f>
        <v>1.7083207490000001</v>
      </c>
      <c r="AM141">
        <f ca="1">IF(AND(ISNUMBER($AM$349),$B$226=1),$AM$349,HLOOKUP(INDIRECT(ADDRESS(2,COLUMN())),OFFSET($BN$2,0,0,ROW()-1,60),ROW()-1,FALSE))</f>
        <v>1.6318336689999999</v>
      </c>
      <c r="AN141">
        <f ca="1">IF(AND(ISNUMBER($AN$349),$B$226=1),$AN$349,HLOOKUP(INDIRECT(ADDRESS(2,COLUMN())),OFFSET($BN$2,0,0,ROW()-1,60),ROW()-1,FALSE))</f>
        <v>1.6782909770000001</v>
      </c>
      <c r="AO141">
        <f ca="1">IF(AND(ISNUMBER($AO$349),$B$226=1),$AO$349,HLOOKUP(INDIRECT(ADDRESS(2,COLUMN())),OFFSET($BN$2,0,0,ROW()-1,60),ROW()-1,FALSE))</f>
        <v>1.535601142</v>
      </c>
      <c r="AP141">
        <f ca="1">IF(AND(ISNUMBER($AP$349),$B$226=1),$AP$349,HLOOKUP(INDIRECT(ADDRESS(2,COLUMN())),OFFSET($BN$2,0,0,ROW()-1,60),ROW()-1,FALSE))</f>
        <v>1.7487380450000001</v>
      </c>
      <c r="AQ141">
        <f ca="1">IF(AND(ISNUMBER($AQ$349),$B$226=1),$AQ$349,HLOOKUP(INDIRECT(ADDRESS(2,COLUMN())),OFFSET($BN$2,0,0,ROW()-1,60),ROW()-1,FALSE))</f>
        <v>0.73707248299999995</v>
      </c>
      <c r="AR141">
        <f ca="1">IF(AND(ISNUMBER($AR$349),$B$226=1),$AR$349,HLOOKUP(INDIRECT(ADDRESS(2,COLUMN())),OFFSET($BN$2,0,0,ROW()-1,60),ROW()-1,FALSE))</f>
        <v>2.7886679729999999</v>
      </c>
      <c r="AS141">
        <f ca="1">IF(AND(ISNUMBER($AS$349),$B$226=1),$AS$349,HLOOKUP(INDIRECT(ADDRESS(2,COLUMN())),OFFSET($BN$2,0,0,ROW()-1,60),ROW()-1,FALSE))</f>
        <v>1.8660406439999999</v>
      </c>
      <c r="AT141">
        <f ca="1">IF(AND(ISNUMBER($AT$349),$B$226=1),$AT$349,HLOOKUP(INDIRECT(ADDRESS(2,COLUMN())),OFFSET($BN$2,0,0,ROW()-1,60),ROW()-1,FALSE))</f>
        <v>1.8433925600000001</v>
      </c>
      <c r="AU141">
        <f ca="1">IF(AND(ISNUMBER($AU$349),$B$226=1),$AU$349,HLOOKUP(INDIRECT(ADDRESS(2,COLUMN())),OFFSET($BN$2,0,0,ROW()-1,60),ROW()-1,FALSE))</f>
        <v>1.871153133</v>
      </c>
      <c r="AV141">
        <f ca="1">IF(AND(ISNUMBER($AV$349),$B$226=1),$AV$349,HLOOKUP(INDIRECT(ADDRESS(2,COLUMN())),OFFSET($BN$2,0,0,ROW()-1,60),ROW()-1,FALSE))</f>
        <v>1.9188052870000001</v>
      </c>
      <c r="AW141">
        <f ca="1">IF(AND(ISNUMBER($AW$349),$B$226=1),$AW$349,HLOOKUP(INDIRECT(ADDRESS(2,COLUMN())),OFFSET($BN$2,0,0,ROW()-1,60),ROW()-1,FALSE))</f>
        <v>1.8688277520000001</v>
      </c>
      <c r="AX141">
        <f ca="1">IF(AND(ISNUMBER($AX$349),$B$226=1),$AX$349,HLOOKUP(INDIRECT(ADDRESS(2,COLUMN())),OFFSET($BN$2,0,0,ROW()-1,60),ROW()-1,FALSE))</f>
        <v>2.0191070949999999</v>
      </c>
      <c r="AY141">
        <f ca="1">IF(AND(ISNUMBER($AY$349),$B$226=1),$AY$349,HLOOKUP(INDIRECT(ADDRESS(2,COLUMN())),OFFSET($BN$2,0,0,ROW()-1,60),ROW()-1,FALSE))</f>
        <v>1.9989965940000001</v>
      </c>
      <c r="AZ141">
        <f ca="1">IF(AND(ISNUMBER($AZ$349),$B$226=1),$AZ$349,HLOOKUP(INDIRECT(ADDRESS(2,COLUMN())),OFFSET($BN$2,0,0,ROW()-1,60),ROW()-1,FALSE))</f>
        <v>2.080736243</v>
      </c>
      <c r="BA141">
        <f ca="1">IF(AND(ISNUMBER($BA$349),$B$226=1),$BA$349,HLOOKUP(INDIRECT(ADDRESS(2,COLUMN())),OFFSET($BN$2,0,0,ROW()-1,60),ROW()-1,FALSE))</f>
        <v>2.027785819</v>
      </c>
      <c r="BB141">
        <f ca="1">IF(AND(ISNUMBER($BB$349),$B$226=1),$BB$349,HLOOKUP(INDIRECT(ADDRESS(2,COLUMN())),OFFSET($BN$2,0,0,ROW()-1,60),ROW()-1,FALSE))</f>
        <v>2.120897432</v>
      </c>
      <c r="BC141">
        <f ca="1">IF(AND(ISNUMBER($BC$349),$B$226=1),$BC$349,HLOOKUP(INDIRECT(ADDRESS(2,COLUMN())),OFFSET($BN$2,0,0,ROW()-1,60),ROW()-1,FALSE))</f>
        <v>1.9862743169999999</v>
      </c>
      <c r="BD141">
        <f ca="1">IF(AND(ISNUMBER($BD$349),$B$226=1),$BD$349,HLOOKUP(INDIRECT(ADDRESS(2,COLUMN())),OFFSET($BN$2,0,0,ROW()-1,60),ROW()-1,FALSE))</f>
        <v>2.0268807529999999</v>
      </c>
      <c r="BE141">
        <f ca="1">IF(AND(ISNUMBER($BE$349),$B$226=1),$BE$349,HLOOKUP(INDIRECT(ADDRESS(2,COLUMN())),OFFSET($BN$2,0,0,ROW()-1,60),ROW()-1,FALSE))</f>
        <v>2.01092352</v>
      </c>
      <c r="BF141">
        <f ca="1">IF(AND(ISNUMBER($BF$349),$B$226=1),$BF$349,HLOOKUP(INDIRECT(ADDRESS(2,COLUMN())),OFFSET($BN$2,0,0,ROW()-1,60),ROW()-1,FALSE))</f>
        <v>1.9768893089999999</v>
      </c>
      <c r="BG141">
        <f ca="1">IF(AND(ISNUMBER($BG$349),$B$226=1),$BG$349,HLOOKUP(INDIRECT(ADDRESS(2,COLUMN())),OFFSET($BN$2,0,0,ROW()-1,60),ROW()-1,FALSE))</f>
        <v>1.733674798</v>
      </c>
      <c r="BH141">
        <f ca="1">IF(AND(ISNUMBER($BH$349),$B$226=1),$BH$349,HLOOKUP(INDIRECT(ADDRESS(2,COLUMN())),OFFSET($BN$2,0,0,ROW()-1,60),ROW()-1,FALSE))</f>
        <v>1.966879804</v>
      </c>
      <c r="BI141">
        <f ca="1">IF(AND(ISNUMBER($BI$349),$B$226=1),$BI$349,HLOOKUP(INDIRECT(ADDRESS(2,COLUMN())),OFFSET($BN$2,0,0,ROW()-1,60),ROW()-1,FALSE))</f>
        <v>1.9542590520000001</v>
      </c>
      <c r="BJ141">
        <f ca="1">IF(AND(ISNUMBER($BJ$349),$B$226=1),$BJ$349,HLOOKUP(INDIRECT(ADDRESS(2,COLUMN())),OFFSET($BN$2,0,0,ROW()-1,60),ROW()-1,FALSE))</f>
        <v>1.9079230279999999</v>
      </c>
      <c r="BK141">
        <f ca="1">IF(AND(ISNUMBER($BK$349),$B$226=1),$BK$349,HLOOKUP(INDIRECT(ADDRESS(2,COLUMN())),OFFSET($BN$2,0,0,ROW()-1,60),ROW()-1,FALSE))</f>
        <v>1.9072519269999999</v>
      </c>
      <c r="BL141">
        <f ca="1">IF(AND(ISNUMBER($BL$349),$B$226=1),$BL$349,HLOOKUP(INDIRECT(ADDRESS(2,COLUMN())),OFFSET($BN$2,0,0,ROW()-1,60),ROW()-1,FALSE))</f>
        <v>1.894632111</v>
      </c>
      <c r="BM141">
        <f ca="1">IF(AND(ISNUMBER($BM$349),$B$226=1),$BM$349,HLOOKUP(INDIRECT(ADDRESS(2,COLUMN())),OFFSET($BN$2,0,0,ROW()-1,60),ROW()-1,FALSE))</f>
        <v>1.900919231</v>
      </c>
      <c r="BN141" t="str">
        <f>""</f>
        <v/>
      </c>
      <c r="BO141">
        <f>2.149143293</f>
        <v>2.1491432929999998</v>
      </c>
      <c r="BP141">
        <f>1.992820986</f>
        <v>1.9928209859999999</v>
      </c>
      <c r="BQ141">
        <f>1.940158818</f>
        <v>1.940158818</v>
      </c>
      <c r="BR141">
        <f>1.859272659</f>
        <v>1.8592726589999999</v>
      </c>
      <c r="BS141">
        <f>1.959233176</f>
        <v>1.9592331759999999</v>
      </c>
      <c r="BT141">
        <f>1.896682671</f>
        <v>1.896682671</v>
      </c>
      <c r="BU141">
        <f>1.905537115</f>
        <v>1.905537115</v>
      </c>
      <c r="BV141">
        <f>1.995598831</f>
        <v>1.9955988309999999</v>
      </c>
      <c r="BW141">
        <f>1.91383524</f>
        <v>1.91383524</v>
      </c>
      <c r="BX141">
        <f>1.784147433</f>
        <v>1.784147433</v>
      </c>
      <c r="BY141">
        <f>1.972435569</f>
        <v>1.9724355689999999</v>
      </c>
      <c r="BZ141">
        <f>1.693488382</f>
        <v>1.693488382</v>
      </c>
      <c r="CA141">
        <f>1.827898088</f>
        <v>1.827898088</v>
      </c>
      <c r="CB141">
        <f>1.839099549</f>
        <v>1.8390995489999999</v>
      </c>
      <c r="CC141">
        <f>1.757747578</f>
        <v>1.757747578</v>
      </c>
      <c r="CD141">
        <f>1.668912285</f>
        <v>1.668912285</v>
      </c>
      <c r="CE141">
        <f>1.730724147</f>
        <v>1.7307241470000001</v>
      </c>
      <c r="CF141">
        <f>1.612331899</f>
        <v>1.612331899</v>
      </c>
      <c r="CG141">
        <f>1.679594762</f>
        <v>1.679594762</v>
      </c>
      <c r="CH141">
        <f>1.055173642</f>
        <v>1.055173642</v>
      </c>
      <c r="CI141">
        <f>1.885512038</f>
        <v>1.8855120379999999</v>
      </c>
      <c r="CJ141">
        <f>2.081839569</f>
        <v>2.081839569</v>
      </c>
      <c r="CK141">
        <f>2.005574437</f>
        <v>2.0055744369999999</v>
      </c>
      <c r="CL141">
        <f>1.94166512</f>
        <v>1.9416651199999999</v>
      </c>
      <c r="CM141">
        <f>1.893893607</f>
        <v>1.8938936070000001</v>
      </c>
      <c r="CN141">
        <f>1.795639294</f>
        <v>1.7956392940000001</v>
      </c>
      <c r="CO141">
        <f>1.990348011</f>
        <v>1.990348011</v>
      </c>
      <c r="CP141">
        <f>1.871659293</f>
        <v>1.871659293</v>
      </c>
      <c r="CQ141">
        <f>1.917189638</f>
        <v>1.917189638</v>
      </c>
      <c r="CR141">
        <f>1.830976483</f>
        <v>1.8309764829999999</v>
      </c>
      <c r="CS141">
        <f>1.889987813</f>
        <v>1.8899878130000001</v>
      </c>
      <c r="CT141">
        <f>1.708320749</f>
        <v>1.7083207490000001</v>
      </c>
      <c r="CU141">
        <f>1.631833669</f>
        <v>1.6318336689999999</v>
      </c>
      <c r="CV141">
        <f>1.678290977</f>
        <v>1.6782909770000001</v>
      </c>
      <c r="CW141">
        <f>1.535601142</f>
        <v>1.535601142</v>
      </c>
      <c r="CX141">
        <f>1.748738045</f>
        <v>1.7487380450000001</v>
      </c>
      <c r="CY141">
        <f>0.737072483</f>
        <v>0.73707248299999995</v>
      </c>
      <c r="CZ141">
        <f>2.788667973</f>
        <v>2.7886679729999999</v>
      </c>
      <c r="DA141">
        <f>1.866040644</f>
        <v>1.8660406439999999</v>
      </c>
      <c r="DB141">
        <f>1.84339256</f>
        <v>1.8433925600000001</v>
      </c>
      <c r="DC141">
        <f>1.871153133</f>
        <v>1.871153133</v>
      </c>
      <c r="DD141">
        <f>1.918805287</f>
        <v>1.9188052870000001</v>
      </c>
      <c r="DE141">
        <f>1.868827752</f>
        <v>1.8688277520000001</v>
      </c>
      <c r="DF141">
        <f>2.019107095</f>
        <v>2.0191070949999999</v>
      </c>
      <c r="DG141">
        <f>1.998996594</f>
        <v>1.9989965940000001</v>
      </c>
      <c r="DH141">
        <f>2.080736243</f>
        <v>2.080736243</v>
      </c>
      <c r="DI141">
        <f>2.027785819</f>
        <v>2.027785819</v>
      </c>
      <c r="DJ141">
        <f>2.120897432</f>
        <v>2.120897432</v>
      </c>
      <c r="DK141">
        <f>1.986274317</f>
        <v>1.9862743169999999</v>
      </c>
      <c r="DL141">
        <f>2.026880753</f>
        <v>2.0268807529999999</v>
      </c>
      <c r="DM141">
        <f>2.01092352</f>
        <v>2.01092352</v>
      </c>
      <c r="DN141">
        <f>1.976889309</f>
        <v>1.9768893089999999</v>
      </c>
      <c r="DO141">
        <f>1.733674798</f>
        <v>1.733674798</v>
      </c>
      <c r="DP141">
        <f>1.966879804</f>
        <v>1.966879804</v>
      </c>
      <c r="DQ141">
        <f>1.954259052</f>
        <v>1.9542590520000001</v>
      </c>
      <c r="DR141">
        <f>1.907923028</f>
        <v>1.9079230279999999</v>
      </c>
      <c r="DS141">
        <f>1.907251927</f>
        <v>1.9072519269999999</v>
      </c>
      <c r="DT141">
        <f>1.894632111</f>
        <v>1.894632111</v>
      </c>
      <c r="DU141">
        <f>1.900919231</f>
        <v>1.900919231</v>
      </c>
    </row>
    <row r="142" spans="1:125">
      <c r="A142" t="str">
        <f>"    Camden Property Trust"</f>
        <v xml:space="preserve">    Camden Property Trust</v>
      </c>
      <c r="B142" t="str">
        <f>"CPT US Equity"</f>
        <v>CPT US Equity</v>
      </c>
      <c r="C142" t="str">
        <f t="shared" si="45"/>
        <v>RR553</v>
      </c>
      <c r="D142" t="str">
        <f t="shared" si="46"/>
        <v>EBITDA_RE_ASSET</v>
      </c>
      <c r="E142" t="str">
        <f t="shared" si="47"/>
        <v>动态</v>
      </c>
      <c r="F142" t="str">
        <f ca="1">IF(AND(ISNUMBER($F$350),$B$226=1),$F$350,HLOOKUP(INDIRECT(ADDRESS(2,COLUMN())),OFFSET($BN$2,0,0,ROW()-1,60),ROW()-1,FALSE))</f>
        <v/>
      </c>
      <c r="G142">
        <f ca="1">IF(AND(ISNUMBER($G$350),$B$226=1),$G$350,HLOOKUP(INDIRECT(ADDRESS(2,COLUMN())),OFFSET($BN$2,0,0,ROW()-1,60),ROW()-1,FALSE))</f>
        <v>2.3579210069999998</v>
      </c>
      <c r="H142">
        <f ca="1">IF(AND(ISNUMBER($H$350),$B$226=1),$H$350,HLOOKUP(INDIRECT(ADDRESS(2,COLUMN())),OFFSET($BN$2,0,0,ROW()-1,60),ROW()-1,FALSE))</f>
        <v>2.190109299</v>
      </c>
      <c r="I142">
        <f ca="1">IF(AND(ISNUMBER($I$350),$B$226=1),$I$350,HLOOKUP(INDIRECT(ADDRESS(2,COLUMN())),OFFSET($BN$2,0,0,ROW()-1,60),ROW()-1,FALSE))</f>
        <v>2.2341746339999999</v>
      </c>
      <c r="J142">
        <f ca="1">IF(AND(ISNUMBER($J$350),$B$226=1),$J$350,HLOOKUP(INDIRECT(ADDRESS(2,COLUMN())),OFFSET($BN$2,0,0,ROW()-1,60),ROW()-1,FALSE))</f>
        <v>2.1963722529999998</v>
      </c>
      <c r="K142">
        <f ca="1">IF(AND(ISNUMBER($K$350),$B$226=1),$K$350,HLOOKUP(INDIRECT(ADDRESS(2,COLUMN())),OFFSET($BN$2,0,0,ROW()-1,60),ROW()-1,FALSE))</f>
        <v>2.2761683220000002</v>
      </c>
      <c r="L142">
        <f ca="1">IF(AND(ISNUMBER($L$350),$B$226=1),$L$350,HLOOKUP(INDIRECT(ADDRESS(2,COLUMN())),OFFSET($BN$2,0,0,ROW()-1,60),ROW()-1,FALSE))</f>
        <v>2.2589882970000001</v>
      </c>
      <c r="M142">
        <f ca="1">IF(AND(ISNUMBER($M$350),$B$226=1),$M$350,HLOOKUP(INDIRECT(ADDRESS(2,COLUMN())),OFFSET($BN$2,0,0,ROW()-1,60),ROW()-1,FALSE))</f>
        <v>2.2252608010000001</v>
      </c>
      <c r="N142">
        <f ca="1">IF(AND(ISNUMBER($N$350),$B$226=1),$N$350,HLOOKUP(INDIRECT(ADDRESS(2,COLUMN())),OFFSET($BN$2,0,0,ROW()-1,60),ROW()-1,FALSE))</f>
        <v>2.154190303</v>
      </c>
      <c r="O142">
        <f ca="1">IF(AND(ISNUMBER($O$350),$B$226=1),$O$350,HLOOKUP(INDIRECT(ADDRESS(2,COLUMN())),OFFSET($BN$2,0,0,ROW()-1,60),ROW()-1,FALSE))</f>
        <v>1.9626100129999999</v>
      </c>
      <c r="P142">
        <f ca="1">IF(AND(ISNUMBER($P$350),$B$226=1),$P$350,HLOOKUP(INDIRECT(ADDRESS(2,COLUMN())),OFFSET($BN$2,0,0,ROW()-1,60),ROW()-1,FALSE))</f>
        <v>2.191746486</v>
      </c>
      <c r="Q142">
        <f ca="1">IF(AND(ISNUMBER($Q$350),$B$226=1),$Q$350,HLOOKUP(INDIRECT(ADDRESS(2,COLUMN())),OFFSET($BN$2,0,0,ROW()-1,60),ROW()-1,FALSE))</f>
        <v>1.922321215</v>
      </c>
      <c r="R142">
        <f ca="1">IF(AND(ISNUMBER($R$350),$B$226=1),$R$350,HLOOKUP(INDIRECT(ADDRESS(2,COLUMN())),OFFSET($BN$2,0,0,ROW()-1,60),ROW()-1,FALSE))</f>
        <v>2.1183736039999999</v>
      </c>
      <c r="S142">
        <f ca="1">IF(AND(ISNUMBER($S$350),$B$226=1),$S$350,HLOOKUP(INDIRECT(ADDRESS(2,COLUMN())),OFFSET($BN$2,0,0,ROW()-1,60),ROW()-1,FALSE))</f>
        <v>2.0071399560000001</v>
      </c>
      <c r="T142">
        <f ca="1">IF(AND(ISNUMBER($T$350),$B$226=1),$T$350,HLOOKUP(INDIRECT(ADDRESS(2,COLUMN())),OFFSET($BN$2,0,0,ROW()-1,60),ROW()-1,FALSE))</f>
        <v>2.1013063500000002</v>
      </c>
      <c r="U142">
        <f ca="1">IF(AND(ISNUMBER($U$350),$B$226=1),$U$350,HLOOKUP(INDIRECT(ADDRESS(2,COLUMN())),OFFSET($BN$2,0,0,ROW()-1,60),ROW()-1,FALSE))</f>
        <v>2.0606095280000001</v>
      </c>
      <c r="V142">
        <f ca="1">IF(AND(ISNUMBER($V$350),$B$226=1),$V$350,HLOOKUP(INDIRECT(ADDRESS(2,COLUMN())),OFFSET($BN$2,0,0,ROW()-1,60),ROW()-1,FALSE))</f>
        <v>2.1360453700000002</v>
      </c>
      <c r="W142">
        <f ca="1">IF(AND(ISNUMBER($W$350),$B$226=1),$W$350,HLOOKUP(INDIRECT(ADDRESS(2,COLUMN())),OFFSET($BN$2,0,0,ROW()-1,60),ROW()-1,FALSE))</f>
        <v>2.1901893079999999</v>
      </c>
      <c r="X142">
        <f ca="1">IF(AND(ISNUMBER($X$350),$B$226=1),$X$350,HLOOKUP(INDIRECT(ADDRESS(2,COLUMN())),OFFSET($BN$2,0,0,ROW()-1,60),ROW()-1,FALSE))</f>
        <v>2.1139127329999998</v>
      </c>
      <c r="Y142">
        <f ca="1">IF(AND(ISNUMBER($Y$350),$B$226=1),$Y$350,HLOOKUP(INDIRECT(ADDRESS(2,COLUMN())),OFFSET($BN$2,0,0,ROW()-1,60),ROW()-1,FALSE))</f>
        <v>2.0477553570000002</v>
      </c>
      <c r="Z142">
        <f ca="1">IF(AND(ISNUMBER($Z$350),$B$226=1),$Z$350,HLOOKUP(INDIRECT(ADDRESS(2,COLUMN())),OFFSET($BN$2,0,0,ROW()-1,60),ROW()-1,FALSE))</f>
        <v>2.0798736099999999</v>
      </c>
      <c r="AA142">
        <f ca="1">IF(AND(ISNUMBER($AA$350),$B$226=1),$AA$350,HLOOKUP(INDIRECT(ADDRESS(2,COLUMN())),OFFSET($BN$2,0,0,ROW()-1,60),ROW()-1,FALSE))</f>
        <v>2.0456490340000002</v>
      </c>
      <c r="AB142">
        <f ca="1">IF(AND(ISNUMBER($AB$350),$B$226=1),$AB$350,HLOOKUP(INDIRECT(ADDRESS(2,COLUMN())),OFFSET($BN$2,0,0,ROW()-1,60),ROW()-1,FALSE))</f>
        <v>2.0509540830000001</v>
      </c>
      <c r="AC142">
        <f ca="1">IF(AND(ISNUMBER($AC$350),$B$226=1),$AC$350,HLOOKUP(INDIRECT(ADDRESS(2,COLUMN())),OFFSET($BN$2,0,0,ROW()-1,60),ROW()-1,FALSE))</f>
        <v>2.0340633609999998</v>
      </c>
      <c r="AD142">
        <f ca="1">IF(AND(ISNUMBER($AD$350),$B$226=1),$AD$350,HLOOKUP(INDIRECT(ADDRESS(2,COLUMN())),OFFSET($BN$2,0,0,ROW()-1,60),ROW()-1,FALSE))</f>
        <v>1.9840817129999999</v>
      </c>
      <c r="AE142">
        <f ca="1">IF(AND(ISNUMBER($AE$350),$B$226=1),$AE$350,HLOOKUP(INDIRECT(ADDRESS(2,COLUMN())),OFFSET($BN$2,0,0,ROW()-1,60),ROW()-1,FALSE))</f>
        <v>2.0312822609999999</v>
      </c>
      <c r="AF142">
        <f ca="1">IF(AND(ISNUMBER($AF$350),$B$226=1),$AF$350,HLOOKUP(INDIRECT(ADDRESS(2,COLUMN())),OFFSET($BN$2,0,0,ROW()-1,60),ROW()-1,FALSE))</f>
        <v>1.9820954200000001</v>
      </c>
      <c r="AG142">
        <f ca="1">IF(AND(ISNUMBER($AG$350),$B$226=1),$AG$350,HLOOKUP(INDIRECT(ADDRESS(2,COLUMN())),OFFSET($BN$2,0,0,ROW()-1,60),ROW()-1,FALSE))</f>
        <v>1.9700173860000001</v>
      </c>
      <c r="AH142">
        <f ca="1">IF(AND(ISNUMBER($AH$350),$B$226=1),$AH$350,HLOOKUP(INDIRECT(ADDRESS(2,COLUMN())),OFFSET($BN$2,0,0,ROW()-1,60),ROW()-1,FALSE))</f>
        <v>1.8751962289999999</v>
      </c>
      <c r="AI142">
        <f ca="1">IF(AND(ISNUMBER($AI$350),$B$226=1),$AI$350,HLOOKUP(INDIRECT(ADDRESS(2,COLUMN())),OFFSET($BN$2,0,0,ROW()-1,60),ROW()-1,FALSE))</f>
        <v>1.860278882</v>
      </c>
      <c r="AJ142">
        <f ca="1">IF(AND(ISNUMBER($AJ$350),$B$226=1),$AJ$350,HLOOKUP(INDIRECT(ADDRESS(2,COLUMN())),OFFSET($BN$2,0,0,ROW()-1,60),ROW()-1,FALSE))</f>
        <v>1.8217992430000001</v>
      </c>
      <c r="AK142">
        <f ca="1">IF(AND(ISNUMBER($AK$350),$B$226=1),$AK$350,HLOOKUP(INDIRECT(ADDRESS(2,COLUMN())),OFFSET($BN$2,0,0,ROW()-1,60),ROW()-1,FALSE))</f>
        <v>1.8010126339999999</v>
      </c>
      <c r="AL142">
        <f ca="1">IF(AND(ISNUMBER($AL$350),$B$226=1),$AL$350,HLOOKUP(INDIRECT(ADDRESS(2,COLUMN())),OFFSET($BN$2,0,0,ROW()-1,60),ROW()-1,FALSE))</f>
        <v>1.7437275830000001</v>
      </c>
      <c r="AM142">
        <f ca="1">IF(AND(ISNUMBER($AM$350),$B$226=1),$AM$350,HLOOKUP(INDIRECT(ADDRESS(2,COLUMN())),OFFSET($BN$2,0,0,ROW()-1,60),ROW()-1,FALSE))</f>
        <v>-0.101136789</v>
      </c>
      <c r="AN142">
        <f ca="1">IF(AND(ISNUMBER($AN$350),$B$226=1),$AN$350,HLOOKUP(INDIRECT(ADDRESS(2,COLUMN())),OFFSET($BN$2,0,0,ROW()-1,60),ROW()-1,FALSE))</f>
        <v>1.772232714</v>
      </c>
      <c r="AO142">
        <f ca="1">IF(AND(ISNUMBER($AO$350),$B$226=1),$AO$350,HLOOKUP(INDIRECT(ADDRESS(2,COLUMN())),OFFSET($BN$2,0,0,ROW()-1,60),ROW()-1,FALSE))</f>
        <v>1.826488578</v>
      </c>
      <c r="AP142">
        <f ca="1">IF(AND(ISNUMBER($AP$350),$B$226=1),$AP$350,HLOOKUP(INDIRECT(ADDRESS(2,COLUMN())),OFFSET($BN$2,0,0,ROW()-1,60),ROW()-1,FALSE))</f>
        <v>1.8279569179999999</v>
      </c>
      <c r="AQ142">
        <f ca="1">IF(AND(ISNUMBER($AQ$350),$B$226=1),$AQ$350,HLOOKUP(INDIRECT(ADDRESS(2,COLUMN())),OFFSET($BN$2,0,0,ROW()-1,60),ROW()-1,FALSE))</f>
        <v>1.8080934369999999</v>
      </c>
      <c r="AR142">
        <f ca="1">IF(AND(ISNUMBER($AR$350),$B$226=1),$AR$350,HLOOKUP(INDIRECT(ADDRESS(2,COLUMN())),OFFSET($BN$2,0,0,ROW()-1,60),ROW()-1,FALSE))</f>
        <v>1.7485085520000001</v>
      </c>
      <c r="AS142">
        <f ca="1">IF(AND(ISNUMBER($AS$350),$B$226=1),$AS$350,HLOOKUP(INDIRECT(ADDRESS(2,COLUMN())),OFFSET($BN$2,0,0,ROW()-1,60),ROW()-1,FALSE))</f>
        <v>1.7659830439999999</v>
      </c>
      <c r="AT142">
        <f ca="1">IF(AND(ISNUMBER($AT$350),$B$226=1),$AT$350,HLOOKUP(INDIRECT(ADDRESS(2,COLUMN())),OFFSET($BN$2,0,0,ROW()-1,60),ROW()-1,FALSE))</f>
        <v>1.7437217819999999</v>
      </c>
      <c r="AU142">
        <f ca="1">IF(AND(ISNUMBER($AU$350),$B$226=1),$AU$350,HLOOKUP(INDIRECT(ADDRESS(2,COLUMN())),OFFSET($BN$2,0,0,ROW()-1,60),ROW()-1,FALSE))</f>
        <v>1.2971559239999999</v>
      </c>
      <c r="AV142">
        <f ca="1">IF(AND(ISNUMBER($AV$350),$B$226=1),$AV$350,HLOOKUP(INDIRECT(ADDRESS(2,COLUMN())),OFFSET($BN$2,0,0,ROW()-1,60),ROW()-1,FALSE))</f>
        <v>1.8010903170000001</v>
      </c>
      <c r="AW142">
        <f ca="1">IF(AND(ISNUMBER($AW$350),$B$226=1),$AW$350,HLOOKUP(INDIRECT(ADDRESS(2,COLUMN())),OFFSET($BN$2,0,0,ROW()-1,60),ROW()-1,FALSE))</f>
        <v>1.853883146</v>
      </c>
      <c r="AX142">
        <f ca="1">IF(AND(ISNUMBER($AX$350),$B$226=1),$AX$350,HLOOKUP(INDIRECT(ADDRESS(2,COLUMN())),OFFSET($BN$2,0,0,ROW()-1,60),ROW()-1,FALSE))</f>
        <v>1.855356453</v>
      </c>
      <c r="AY142">
        <f ca="1">IF(AND(ISNUMBER($AY$350),$B$226=1),$AY$350,HLOOKUP(INDIRECT(ADDRESS(2,COLUMN())),OFFSET($BN$2,0,0,ROW()-1,60),ROW()-1,FALSE))</f>
        <v>1.8664657840000001</v>
      </c>
      <c r="AZ142">
        <f ca="1">IF(AND(ISNUMBER($AZ$350),$B$226=1),$AZ$350,HLOOKUP(INDIRECT(ADDRESS(2,COLUMN())),OFFSET($BN$2,0,0,ROW()-1,60),ROW()-1,FALSE))</f>
        <v>1.987201062</v>
      </c>
      <c r="BA142">
        <f ca="1">IF(AND(ISNUMBER($BA$350),$B$226=1),$BA$350,HLOOKUP(INDIRECT(ADDRESS(2,COLUMN())),OFFSET($BN$2,0,0,ROW()-1,60),ROW()-1,FALSE))</f>
        <v>1.8822244969999999</v>
      </c>
      <c r="BB142">
        <f ca="1">IF(AND(ISNUMBER($BB$350),$B$226=1),$BB$350,HLOOKUP(INDIRECT(ADDRESS(2,COLUMN())),OFFSET($BN$2,0,0,ROW()-1,60),ROW()-1,FALSE))</f>
        <v>1.8766605700000001</v>
      </c>
      <c r="BC142">
        <f ca="1">IF(AND(ISNUMBER($BC$350),$B$226=1),$BC$350,HLOOKUP(INDIRECT(ADDRESS(2,COLUMN())),OFFSET($BN$2,0,0,ROW()-1,60),ROW()-1,FALSE))</f>
        <v>1.819652244</v>
      </c>
      <c r="BD142">
        <f ca="1">IF(AND(ISNUMBER($BD$350),$B$226=1),$BD$350,HLOOKUP(INDIRECT(ADDRESS(2,COLUMN())),OFFSET($BN$2,0,0,ROW()-1,60),ROW()-1,FALSE))</f>
        <v>1.7842091710000001</v>
      </c>
      <c r="BE142">
        <f ca="1">IF(AND(ISNUMBER($BE$350),$B$226=1),$BE$350,HLOOKUP(INDIRECT(ADDRESS(2,COLUMN())),OFFSET($BN$2,0,0,ROW()-1,60),ROW()-1,FALSE))</f>
        <v>1.804699657</v>
      </c>
      <c r="BF142">
        <f ca="1">IF(AND(ISNUMBER($BF$350),$B$226=1),$BF$350,HLOOKUP(INDIRECT(ADDRESS(2,COLUMN())),OFFSET($BN$2,0,0,ROW()-1,60),ROW()-1,FALSE))</f>
        <v>1.7287365219999999</v>
      </c>
      <c r="BG142">
        <f ca="1">IF(AND(ISNUMBER($BG$350),$B$226=1),$BG$350,HLOOKUP(INDIRECT(ADDRESS(2,COLUMN())),OFFSET($BN$2,0,0,ROW()-1,60),ROW()-1,FALSE))</f>
        <v>2.2662609109999998</v>
      </c>
      <c r="BH142">
        <f ca="1">IF(AND(ISNUMBER($BH$350),$B$226=1),$BH$350,HLOOKUP(INDIRECT(ADDRESS(2,COLUMN())),OFFSET($BN$2,0,0,ROW()-1,60),ROW()-1,FALSE))</f>
        <v>2.2758496130000001</v>
      </c>
      <c r="BI142">
        <f ca="1">IF(AND(ISNUMBER($BI$350),$B$226=1),$BI$350,HLOOKUP(INDIRECT(ADDRESS(2,COLUMN())),OFFSET($BN$2,0,0,ROW()-1,60),ROW()-1,FALSE))</f>
        <v>2.2229307280000001</v>
      </c>
      <c r="BJ142">
        <f ca="1">IF(AND(ISNUMBER($BJ$350),$B$226=1),$BJ$350,HLOOKUP(INDIRECT(ADDRESS(2,COLUMN())),OFFSET($BN$2,0,0,ROW()-1,60),ROW()-1,FALSE))</f>
        <v>2.4179553399999998</v>
      </c>
      <c r="BK142">
        <f ca="1">IF(AND(ISNUMBER($BK$350),$B$226=1),$BK$350,HLOOKUP(INDIRECT(ADDRESS(2,COLUMN())),OFFSET($BN$2,0,0,ROW()-1,60),ROW()-1,FALSE))</f>
        <v>2.3836998669999998</v>
      </c>
      <c r="BL142">
        <f ca="1">IF(AND(ISNUMBER($BL$350),$B$226=1),$BL$350,HLOOKUP(INDIRECT(ADDRESS(2,COLUMN())),OFFSET($BN$2,0,0,ROW()-1,60),ROW()-1,FALSE))</f>
        <v>2.1884410870000002</v>
      </c>
      <c r="BM142">
        <f ca="1">IF(AND(ISNUMBER($BM$350),$B$226=1),$BM$350,HLOOKUP(INDIRECT(ADDRESS(2,COLUMN())),OFFSET($BN$2,0,0,ROW()-1,60),ROW()-1,FALSE))</f>
        <v>2.0865982019999998</v>
      </c>
      <c r="BN142" t="str">
        <f>""</f>
        <v/>
      </c>
      <c r="BO142">
        <f>2.357921007</f>
        <v>2.3579210069999998</v>
      </c>
      <c r="BP142">
        <f>2.190109299</f>
        <v>2.190109299</v>
      </c>
      <c r="BQ142">
        <f>2.234174634</f>
        <v>2.2341746339999999</v>
      </c>
      <c r="BR142">
        <f>2.196372253</f>
        <v>2.1963722529999998</v>
      </c>
      <c r="BS142">
        <f>2.276168322</f>
        <v>2.2761683220000002</v>
      </c>
      <c r="BT142">
        <f>2.258988297</f>
        <v>2.2589882970000001</v>
      </c>
      <c r="BU142">
        <f>2.225260801</f>
        <v>2.2252608010000001</v>
      </c>
      <c r="BV142">
        <f>2.154190303</f>
        <v>2.154190303</v>
      </c>
      <c r="BW142">
        <f>1.962610013</f>
        <v>1.9626100129999999</v>
      </c>
      <c r="BX142">
        <f>2.191746486</f>
        <v>2.191746486</v>
      </c>
      <c r="BY142">
        <f>1.922321215</f>
        <v>1.922321215</v>
      </c>
      <c r="BZ142">
        <f>2.118373604</f>
        <v>2.1183736039999999</v>
      </c>
      <c r="CA142">
        <f>2.007139956</f>
        <v>2.0071399560000001</v>
      </c>
      <c r="CB142">
        <f>2.10130635</f>
        <v>2.1013063500000002</v>
      </c>
      <c r="CC142">
        <f>2.060609528</f>
        <v>2.0606095280000001</v>
      </c>
      <c r="CD142">
        <f>2.13604537</f>
        <v>2.1360453700000002</v>
      </c>
      <c r="CE142">
        <f>2.190189308</f>
        <v>2.1901893079999999</v>
      </c>
      <c r="CF142">
        <f>2.113912733</f>
        <v>2.1139127329999998</v>
      </c>
      <c r="CG142">
        <f>2.047755357</f>
        <v>2.0477553570000002</v>
      </c>
      <c r="CH142">
        <f>2.07987361</f>
        <v>2.0798736099999999</v>
      </c>
      <c r="CI142">
        <f>2.045649034</f>
        <v>2.0456490340000002</v>
      </c>
      <c r="CJ142">
        <f>2.050954083</f>
        <v>2.0509540830000001</v>
      </c>
      <c r="CK142">
        <f>2.034063361</f>
        <v>2.0340633609999998</v>
      </c>
      <c r="CL142">
        <f>1.984081713</f>
        <v>1.9840817129999999</v>
      </c>
      <c r="CM142">
        <f>2.031282261</f>
        <v>2.0312822609999999</v>
      </c>
      <c r="CN142">
        <f>1.98209542</f>
        <v>1.9820954200000001</v>
      </c>
      <c r="CO142">
        <f>1.970017386</f>
        <v>1.9700173860000001</v>
      </c>
      <c r="CP142">
        <f>1.875196229</f>
        <v>1.8751962289999999</v>
      </c>
      <c r="CQ142">
        <f>1.860278882</f>
        <v>1.860278882</v>
      </c>
      <c r="CR142">
        <f>1.821799243</f>
        <v>1.8217992430000001</v>
      </c>
      <c r="CS142">
        <f>1.801012634</f>
        <v>1.8010126339999999</v>
      </c>
      <c r="CT142">
        <f>1.743727583</f>
        <v>1.7437275830000001</v>
      </c>
      <c r="CU142">
        <f>-0.101136789</f>
        <v>-0.101136789</v>
      </c>
      <c r="CV142">
        <f>1.772232714</f>
        <v>1.772232714</v>
      </c>
      <c r="CW142">
        <f>1.826488578</f>
        <v>1.826488578</v>
      </c>
      <c r="CX142">
        <f>1.827956918</f>
        <v>1.8279569179999999</v>
      </c>
      <c r="CY142">
        <f>1.808093437</f>
        <v>1.8080934369999999</v>
      </c>
      <c r="CZ142">
        <f>1.748508552</f>
        <v>1.7485085520000001</v>
      </c>
      <c r="DA142">
        <f>1.765983044</f>
        <v>1.7659830439999999</v>
      </c>
      <c r="DB142">
        <f>1.743721782</f>
        <v>1.7437217819999999</v>
      </c>
      <c r="DC142">
        <f>1.297155924</f>
        <v>1.2971559239999999</v>
      </c>
      <c r="DD142">
        <f>1.801090317</f>
        <v>1.8010903170000001</v>
      </c>
      <c r="DE142">
        <f>1.853883146</f>
        <v>1.853883146</v>
      </c>
      <c r="DF142">
        <f>1.855356453</f>
        <v>1.855356453</v>
      </c>
      <c r="DG142">
        <f>1.866465784</f>
        <v>1.8664657840000001</v>
      </c>
      <c r="DH142">
        <f>1.987201062</f>
        <v>1.987201062</v>
      </c>
      <c r="DI142">
        <f>1.882224497</f>
        <v>1.8822244969999999</v>
      </c>
      <c r="DJ142">
        <f>1.87666057</f>
        <v>1.8766605700000001</v>
      </c>
      <c r="DK142">
        <f>1.819652244</f>
        <v>1.819652244</v>
      </c>
      <c r="DL142">
        <f>1.784209171</f>
        <v>1.7842091710000001</v>
      </c>
      <c r="DM142">
        <f>1.804699657</f>
        <v>1.804699657</v>
      </c>
      <c r="DN142">
        <f>1.728736522</f>
        <v>1.7287365219999999</v>
      </c>
      <c r="DO142">
        <f>2.266260911</f>
        <v>2.2662609109999998</v>
      </c>
      <c r="DP142">
        <f>2.275849613</f>
        <v>2.2758496130000001</v>
      </c>
      <c r="DQ142">
        <f>2.222930728</f>
        <v>2.2229307280000001</v>
      </c>
      <c r="DR142">
        <f>2.41795534</f>
        <v>2.4179553399999998</v>
      </c>
      <c r="DS142">
        <f>2.383699867</f>
        <v>2.3836998669999998</v>
      </c>
      <c r="DT142">
        <f>2.188441087</f>
        <v>2.1884410870000002</v>
      </c>
      <c r="DU142">
        <f>2.086598202</f>
        <v>2.0865982019999998</v>
      </c>
    </row>
    <row r="143" spans="1:125">
      <c r="A143" t="str">
        <f>"    Education Realty Trust Inc"</f>
        <v xml:space="preserve">    Education Realty Trust Inc</v>
      </c>
      <c r="B143" t="str">
        <f>"EDR US Equity"</f>
        <v>EDR US Equity</v>
      </c>
      <c r="C143" t="str">
        <f t="shared" si="45"/>
        <v>RR553</v>
      </c>
      <c r="D143" t="str">
        <f t="shared" si="46"/>
        <v>EBITDA_RE_ASSET</v>
      </c>
      <c r="E143" t="str">
        <f t="shared" si="47"/>
        <v>动态</v>
      </c>
      <c r="F143" t="str">
        <f ca="1">IF(AND(ISNUMBER($F$351),$B$226=1),$F$351,HLOOKUP(INDIRECT(ADDRESS(2,COLUMN())),OFFSET($BN$2,0,0,ROW()-1,60),ROW()-1,FALSE))</f>
        <v/>
      </c>
      <c r="G143">
        <f ca="1">IF(AND(ISNUMBER($G$351),$B$226=1),$G$351,HLOOKUP(INDIRECT(ADDRESS(2,COLUMN())),OFFSET($BN$2,0,0,ROW()-1,60),ROW()-1,FALSE))</f>
        <v>1.8781719619999999</v>
      </c>
      <c r="H143">
        <f ca="1">IF(AND(ISNUMBER($H$351),$B$226=1),$H$351,HLOOKUP(INDIRECT(ADDRESS(2,COLUMN())),OFFSET($BN$2,0,0,ROW()-1,60),ROW()-1,FALSE))</f>
        <v>0.93913868899999997</v>
      </c>
      <c r="I143">
        <f ca="1">IF(AND(ISNUMBER($I$351),$B$226=1),$I$351,HLOOKUP(INDIRECT(ADDRESS(2,COLUMN())),OFFSET($BN$2,0,0,ROW()-1,60),ROW()-1,FALSE))</f>
        <v>1.2293815699999999</v>
      </c>
      <c r="J143">
        <f ca="1">IF(AND(ISNUMBER($J$351),$B$226=1),$J$351,HLOOKUP(INDIRECT(ADDRESS(2,COLUMN())),OFFSET($BN$2,0,0,ROW()-1,60),ROW()-1,FALSE))</f>
        <v>1.698014879</v>
      </c>
      <c r="K143">
        <f ca="1">IF(AND(ISNUMBER($K$351),$B$226=1),$K$351,HLOOKUP(INDIRECT(ADDRESS(2,COLUMN())),OFFSET($BN$2,0,0,ROW()-1,60),ROW()-1,FALSE))</f>
        <v>1.692059014</v>
      </c>
      <c r="L143">
        <f ca="1">IF(AND(ISNUMBER($L$351),$B$226=1),$L$351,HLOOKUP(INDIRECT(ADDRESS(2,COLUMN())),OFFSET($BN$2,0,0,ROW()-1,60),ROW()-1,FALSE))</f>
        <v>1.0302621750000001</v>
      </c>
      <c r="M143">
        <f ca="1">IF(AND(ISNUMBER($M$351),$B$226=1),$M$351,HLOOKUP(INDIRECT(ADDRESS(2,COLUMN())),OFFSET($BN$2,0,0,ROW()-1,60),ROW()-1,FALSE))</f>
        <v>1.320970693</v>
      </c>
      <c r="N143">
        <f ca="1">IF(AND(ISNUMBER($N$351),$B$226=1),$N$351,HLOOKUP(INDIRECT(ADDRESS(2,COLUMN())),OFFSET($BN$2,0,0,ROW()-1,60),ROW()-1,FALSE))</f>
        <v>1.9555152920000001</v>
      </c>
      <c r="O143">
        <f ca="1">IF(AND(ISNUMBER($O$351),$B$226=1),$O$351,HLOOKUP(INDIRECT(ADDRESS(2,COLUMN())),OFFSET($BN$2,0,0,ROW()-1,60),ROW()-1,FALSE))</f>
        <v>2.0204323710000001</v>
      </c>
      <c r="P143">
        <f ca="1">IF(AND(ISNUMBER($P$351),$B$226=1),$P$351,HLOOKUP(INDIRECT(ADDRESS(2,COLUMN())),OFFSET($BN$2,0,0,ROW()-1,60),ROW()-1,FALSE))</f>
        <v>1.082693272</v>
      </c>
      <c r="Q143">
        <f ca="1">IF(AND(ISNUMBER($Q$351),$B$226=1),$Q$351,HLOOKUP(INDIRECT(ADDRESS(2,COLUMN())),OFFSET($BN$2,0,0,ROW()-1,60),ROW()-1,FALSE))</f>
        <v>1.3913061</v>
      </c>
      <c r="R143">
        <f ca="1">IF(AND(ISNUMBER($R$351),$B$226=1),$R$351,HLOOKUP(INDIRECT(ADDRESS(2,COLUMN())),OFFSET($BN$2,0,0,ROW()-1,60),ROW()-1,FALSE))</f>
        <v>1.7021910609999999</v>
      </c>
      <c r="S143">
        <f ca="1">IF(AND(ISNUMBER($S$351),$B$226=1),$S$351,HLOOKUP(INDIRECT(ADDRESS(2,COLUMN())),OFFSET($BN$2,0,0,ROW()-1,60),ROW()-1,FALSE))</f>
        <v>1.9659232170000001</v>
      </c>
      <c r="T143">
        <f ca="1">IF(AND(ISNUMBER($T$351),$B$226=1),$T$351,HLOOKUP(INDIRECT(ADDRESS(2,COLUMN())),OFFSET($BN$2,0,0,ROW()-1,60),ROW()-1,FALSE))</f>
        <v>0.95608194700000004</v>
      </c>
      <c r="U143">
        <f ca="1">IF(AND(ISNUMBER($U$351),$B$226=1),$U$351,HLOOKUP(INDIRECT(ADDRESS(2,COLUMN())),OFFSET($BN$2,0,0,ROW()-1,60),ROW()-1,FALSE))</f>
        <v>0.68234496300000003</v>
      </c>
      <c r="V143">
        <f ca="1">IF(AND(ISNUMBER($V$351),$B$226=1),$V$351,HLOOKUP(INDIRECT(ADDRESS(2,COLUMN())),OFFSET($BN$2,0,0,ROW()-1,60),ROW()-1,FALSE))</f>
        <v>1.4388512630000001</v>
      </c>
      <c r="W143">
        <f ca="1">IF(AND(ISNUMBER($W$351),$B$226=1),$W$351,HLOOKUP(INDIRECT(ADDRESS(2,COLUMN())),OFFSET($BN$2,0,0,ROW()-1,60),ROW()-1,FALSE))</f>
        <v>1.7116052820000001</v>
      </c>
      <c r="X143">
        <f ca="1">IF(AND(ISNUMBER($X$351),$B$226=1),$X$351,HLOOKUP(INDIRECT(ADDRESS(2,COLUMN())),OFFSET($BN$2,0,0,ROW()-1,60),ROW()-1,FALSE))</f>
        <v>0.78168834099999995</v>
      </c>
      <c r="Y143">
        <f ca="1">IF(AND(ISNUMBER($Y$351),$B$226=1),$Y$351,HLOOKUP(INDIRECT(ADDRESS(2,COLUMN())),OFFSET($BN$2,0,0,ROW()-1,60),ROW()-1,FALSE))</f>
        <v>1.1527665499999999</v>
      </c>
      <c r="Z143">
        <f ca="1">IF(AND(ISNUMBER($Z$351),$B$226=1),$Z$351,HLOOKUP(INDIRECT(ADDRESS(2,COLUMN())),OFFSET($BN$2,0,0,ROW()-1,60),ROW()-1,FALSE))</f>
        <v>1.412101136</v>
      </c>
      <c r="AA143">
        <f ca="1">IF(AND(ISNUMBER($AA$351),$B$226=1),$AA$351,HLOOKUP(INDIRECT(ADDRESS(2,COLUMN())),OFFSET($BN$2,0,0,ROW()-1,60),ROW()-1,FALSE))</f>
        <v>1.326155916</v>
      </c>
      <c r="AB143">
        <f ca="1">IF(AND(ISNUMBER($AB$351),$B$226=1),$AB$351,HLOOKUP(INDIRECT(ADDRESS(2,COLUMN())),OFFSET($BN$2,0,0,ROW()-1,60),ROW()-1,FALSE))</f>
        <v>0.61835764199999999</v>
      </c>
      <c r="AC143">
        <f ca="1">IF(AND(ISNUMBER($AC$351),$B$226=1),$AC$351,HLOOKUP(INDIRECT(ADDRESS(2,COLUMN())),OFFSET($BN$2,0,0,ROW()-1,60),ROW()-1,FALSE))</f>
        <v>1.1725853420000001</v>
      </c>
      <c r="AD143">
        <f ca="1">IF(AND(ISNUMBER($AD$351),$B$226=1),$AD$351,HLOOKUP(INDIRECT(ADDRESS(2,COLUMN())),OFFSET($BN$2,0,0,ROW()-1,60),ROW()-1,FALSE))</f>
        <v>1.5763146029999999</v>
      </c>
      <c r="AE143">
        <f ca="1">IF(AND(ISNUMBER($AE$351),$B$226=1),$AE$351,HLOOKUP(INDIRECT(ADDRESS(2,COLUMN())),OFFSET($BN$2,0,0,ROW()-1,60),ROW()-1,FALSE))</f>
        <v>1.6620369370000001</v>
      </c>
      <c r="AF143">
        <f ca="1">IF(AND(ISNUMBER($AF$351),$B$226=1),$AF$351,HLOOKUP(INDIRECT(ADDRESS(2,COLUMN())),OFFSET($BN$2,0,0,ROW()-1,60),ROW()-1,FALSE))</f>
        <v>0.72043896299999999</v>
      </c>
      <c r="AG143">
        <f ca="1">IF(AND(ISNUMBER($AG$351),$B$226=1),$AG$351,HLOOKUP(INDIRECT(ADDRESS(2,COLUMN())),OFFSET($BN$2,0,0,ROW()-1,60),ROW()-1,FALSE))</f>
        <v>1.5340554230000001</v>
      </c>
      <c r="AH143">
        <f ca="1">IF(AND(ISNUMBER($AH$351),$B$226=1),$AH$351,HLOOKUP(INDIRECT(ADDRESS(2,COLUMN())),OFFSET($BN$2,0,0,ROW()-1,60),ROW()-1,FALSE))</f>
        <v>1.880678004</v>
      </c>
      <c r="AI143">
        <f ca="1">IF(AND(ISNUMBER($AI$351),$B$226=1),$AI$351,HLOOKUP(INDIRECT(ADDRESS(2,COLUMN())),OFFSET($BN$2,0,0,ROW()-1,60),ROW()-1,FALSE))</f>
        <v>1.515190496</v>
      </c>
      <c r="AJ143">
        <f ca="1">IF(AND(ISNUMBER($AJ$351),$B$226=1),$AJ$351,HLOOKUP(INDIRECT(ADDRESS(2,COLUMN())),OFFSET($BN$2,0,0,ROW()-1,60),ROW()-1,FALSE))</f>
        <v>0.85572074799999998</v>
      </c>
      <c r="AK143">
        <f ca="1">IF(AND(ISNUMBER($AK$351),$B$226=1),$AK$351,HLOOKUP(INDIRECT(ADDRESS(2,COLUMN())),OFFSET($BN$2,0,0,ROW()-1,60),ROW()-1,FALSE))</f>
        <v>1.166145902</v>
      </c>
      <c r="AL143">
        <f ca="1">IF(AND(ISNUMBER($AL$351),$B$226=1),$AL$351,HLOOKUP(INDIRECT(ADDRESS(2,COLUMN())),OFFSET($BN$2,0,0,ROW()-1,60),ROW()-1,FALSE))</f>
        <v>1.667868192</v>
      </c>
      <c r="AM143">
        <f ca="1">IF(AND(ISNUMBER($AM$351),$B$226=1),$AM$351,HLOOKUP(INDIRECT(ADDRESS(2,COLUMN())),OFFSET($BN$2,0,0,ROW()-1,60),ROW()-1,FALSE))</f>
        <v>1.8957339660000001</v>
      </c>
      <c r="AN143">
        <f ca="1">IF(AND(ISNUMBER($AN$351),$B$226=1),$AN$351,HLOOKUP(INDIRECT(ADDRESS(2,COLUMN())),OFFSET($BN$2,0,0,ROW()-1,60),ROW()-1,FALSE))</f>
        <v>0.88244030900000003</v>
      </c>
      <c r="AO143">
        <f ca="1">IF(AND(ISNUMBER($AO$351),$B$226=1),$AO$351,HLOOKUP(INDIRECT(ADDRESS(2,COLUMN())),OFFSET($BN$2,0,0,ROW()-1,60),ROW()-1,FALSE))</f>
        <v>1.74896819</v>
      </c>
      <c r="AP143">
        <f ca="1">IF(AND(ISNUMBER($AP$351),$B$226=1),$AP$351,HLOOKUP(INDIRECT(ADDRESS(2,COLUMN())),OFFSET($BN$2,0,0,ROW()-1,60),ROW()-1,FALSE))</f>
        <v>1.9448266809999999</v>
      </c>
      <c r="AQ143">
        <f ca="1">IF(AND(ISNUMBER($AQ$351),$B$226=1),$AQ$351,HLOOKUP(INDIRECT(ADDRESS(2,COLUMN())),OFFSET($BN$2,0,0,ROW()-1,60),ROW()-1,FALSE))</f>
        <v>2.1793716889999999</v>
      </c>
      <c r="AR143">
        <f ca="1">IF(AND(ISNUMBER($AR$351),$B$226=1),$AR$351,HLOOKUP(INDIRECT(ADDRESS(2,COLUMN())),OFFSET($BN$2,0,0,ROW()-1,60),ROW()-1,FALSE))</f>
        <v>0.93386946599999998</v>
      </c>
      <c r="AS143">
        <f ca="1">IF(AND(ISNUMBER($AS$351),$B$226=1),$AS$351,HLOOKUP(INDIRECT(ADDRESS(2,COLUMN())),OFFSET($BN$2,0,0,ROW()-1,60),ROW()-1,FALSE))</f>
        <v>2.2920158800000001</v>
      </c>
      <c r="AT143">
        <f ca="1">IF(AND(ISNUMBER($AT$351),$B$226=1),$AT$351,HLOOKUP(INDIRECT(ADDRESS(2,COLUMN())),OFFSET($BN$2,0,0,ROW()-1,60),ROW()-1,FALSE))</f>
        <v>2.0482422840000001</v>
      </c>
      <c r="AU143">
        <f ca="1">IF(AND(ISNUMBER($AU$351),$B$226=1),$AU$351,HLOOKUP(INDIRECT(ADDRESS(2,COLUMN())),OFFSET($BN$2,0,0,ROW()-1,60),ROW()-1,FALSE))</f>
        <v>1.9170740209999999</v>
      </c>
      <c r="AV143">
        <f ca="1">IF(AND(ISNUMBER($AV$351),$B$226=1),$AV$351,HLOOKUP(INDIRECT(ADDRESS(2,COLUMN())),OFFSET($BN$2,0,0,ROW()-1,60),ROW()-1,FALSE))</f>
        <v>1.1586389189999999</v>
      </c>
      <c r="AW143">
        <f ca="1">IF(AND(ISNUMBER($AW$351),$B$226=1),$AW$351,HLOOKUP(INDIRECT(ADDRESS(2,COLUMN())),OFFSET($BN$2,0,0,ROW()-1,60),ROW()-1,FALSE))</f>
        <v>1.830802161</v>
      </c>
      <c r="AX143">
        <f ca="1">IF(AND(ISNUMBER($AX$351),$B$226=1),$AX$351,HLOOKUP(INDIRECT(ADDRESS(2,COLUMN())),OFFSET($BN$2,0,0,ROW()-1,60),ROW()-1,FALSE))</f>
        <v>1.8593500730000001</v>
      </c>
      <c r="AY143">
        <f ca="1">IF(AND(ISNUMBER($AY$351),$B$226=1),$AY$351,HLOOKUP(INDIRECT(ADDRESS(2,COLUMN())),OFFSET($BN$2,0,0,ROW()-1,60),ROW()-1,FALSE))</f>
        <v>1.8256733919999999</v>
      </c>
      <c r="AZ143">
        <f ca="1">IF(AND(ISNUMBER($AZ$351),$B$226=1),$AZ$351,HLOOKUP(INDIRECT(ADDRESS(2,COLUMN())),OFFSET($BN$2,0,0,ROW()-1,60),ROW()-1,FALSE))</f>
        <v>1.0880944379999999</v>
      </c>
      <c r="BA143">
        <f ca="1">IF(AND(ISNUMBER($BA$351),$B$226=1),$BA$351,HLOOKUP(INDIRECT(ADDRESS(2,COLUMN())),OFFSET($BN$2,0,0,ROW()-1,60),ROW()-1,FALSE))</f>
        <v>1.6452499220000001</v>
      </c>
      <c r="BB143">
        <f ca="1">IF(AND(ISNUMBER($BB$351),$B$226=1),$BB$351,HLOOKUP(INDIRECT(ADDRESS(2,COLUMN())),OFFSET($BN$2,0,0,ROW()-1,60),ROW()-1,FALSE))</f>
        <v>1.8735630210000001</v>
      </c>
      <c r="BC143">
        <f ca="1">IF(AND(ISNUMBER($BC$351),$B$226=1),$BC$351,HLOOKUP(INDIRECT(ADDRESS(2,COLUMN())),OFFSET($BN$2,0,0,ROW()-1,60),ROW()-1,FALSE))</f>
        <v>1.870766913</v>
      </c>
      <c r="BD143">
        <f ca="1">IF(AND(ISNUMBER($BD$351),$B$226=1),$BD$351,HLOOKUP(INDIRECT(ADDRESS(2,COLUMN())),OFFSET($BN$2,0,0,ROW()-1,60),ROW()-1,FALSE))</f>
        <v>0.96950825299999999</v>
      </c>
      <c r="BE143">
        <f ca="1">IF(AND(ISNUMBER($BE$351),$B$226=1),$BE$351,HLOOKUP(INDIRECT(ADDRESS(2,COLUMN())),OFFSET($BN$2,0,0,ROW()-1,60),ROW()-1,FALSE))</f>
        <v>1.4477224829999999</v>
      </c>
      <c r="BF143">
        <f ca="1">IF(AND(ISNUMBER($BF$351),$B$226=1),$BF$351,HLOOKUP(INDIRECT(ADDRESS(2,COLUMN())),OFFSET($BN$2,0,0,ROW()-1,60),ROW()-1,FALSE))</f>
        <v>0.60985737500000003</v>
      </c>
      <c r="BG143" t="str">
        <f ca="1">IF(AND(ISNUMBER($BG$351),$B$226=1),$BG$351,HLOOKUP(INDIRECT(ADDRESS(2,COLUMN())),OFFSET($BN$2,0,0,ROW()-1,60),ROW()-1,FALSE))</f>
        <v/>
      </c>
      <c r="BH143" t="str">
        <f ca="1">IF(AND(ISNUMBER($BH$351),$B$226=1),$BH$351,HLOOKUP(INDIRECT(ADDRESS(2,COLUMN())),OFFSET($BN$2,0,0,ROW()-1,60),ROW()-1,FALSE))</f>
        <v/>
      </c>
      <c r="BI143" t="str">
        <f ca="1">IF(AND(ISNUMBER($BI$351),$B$226=1),$BI$351,HLOOKUP(INDIRECT(ADDRESS(2,COLUMN())),OFFSET($BN$2,0,0,ROW()-1,60),ROW()-1,FALSE))</f>
        <v/>
      </c>
      <c r="BJ143" t="str">
        <f ca="1">IF(AND(ISNUMBER($BJ$351),$B$226=1),$BJ$351,HLOOKUP(INDIRECT(ADDRESS(2,COLUMN())),OFFSET($BN$2,0,0,ROW()-1,60),ROW()-1,FALSE))</f>
        <v/>
      </c>
      <c r="BK143" t="str">
        <f ca="1">IF(AND(ISNUMBER($BK$351),$B$226=1),$BK$351,HLOOKUP(INDIRECT(ADDRESS(2,COLUMN())),OFFSET($BN$2,0,0,ROW()-1,60),ROW()-1,FALSE))</f>
        <v/>
      </c>
      <c r="BL143" t="str">
        <f ca="1">IF(AND(ISNUMBER($BL$351),$B$226=1),$BL$351,HLOOKUP(INDIRECT(ADDRESS(2,COLUMN())),OFFSET($BN$2,0,0,ROW()-1,60),ROW()-1,FALSE))</f>
        <v/>
      </c>
      <c r="BM143" t="str">
        <f ca="1">IF(AND(ISNUMBER($BM$351),$B$226=1),$BM$351,HLOOKUP(INDIRECT(ADDRESS(2,COLUMN())),OFFSET($BN$2,0,0,ROW()-1,60),ROW()-1,FALSE))</f>
        <v/>
      </c>
      <c r="BN143" t="str">
        <f>""</f>
        <v/>
      </c>
      <c r="BO143">
        <f>1.878171962</f>
        <v>1.8781719619999999</v>
      </c>
      <c r="BP143">
        <f>0.939138689</f>
        <v>0.93913868899999997</v>
      </c>
      <c r="BQ143">
        <f>1.22938157</f>
        <v>1.2293815699999999</v>
      </c>
      <c r="BR143">
        <f>1.698014879</f>
        <v>1.698014879</v>
      </c>
      <c r="BS143">
        <f>1.692059014</f>
        <v>1.692059014</v>
      </c>
      <c r="BT143">
        <f>1.030262175</f>
        <v>1.0302621750000001</v>
      </c>
      <c r="BU143">
        <f>1.320970693</f>
        <v>1.320970693</v>
      </c>
      <c r="BV143">
        <f>1.955515292</f>
        <v>1.9555152920000001</v>
      </c>
      <c r="BW143">
        <f>2.020432371</f>
        <v>2.0204323710000001</v>
      </c>
      <c r="BX143">
        <f>1.082693272</f>
        <v>1.082693272</v>
      </c>
      <c r="BY143">
        <f>1.3913061</f>
        <v>1.3913061</v>
      </c>
      <c r="BZ143">
        <f>1.702191061</f>
        <v>1.7021910609999999</v>
      </c>
      <c r="CA143">
        <f>1.965923217</f>
        <v>1.9659232170000001</v>
      </c>
      <c r="CB143">
        <f>0.956081947</f>
        <v>0.95608194700000004</v>
      </c>
      <c r="CC143">
        <f>0.682344963</f>
        <v>0.68234496300000003</v>
      </c>
      <c r="CD143">
        <f>1.438851263</f>
        <v>1.4388512630000001</v>
      </c>
      <c r="CE143">
        <f>1.711605282</f>
        <v>1.7116052820000001</v>
      </c>
      <c r="CF143">
        <f>0.781688341</f>
        <v>0.78168834099999995</v>
      </c>
      <c r="CG143">
        <f>1.15276655</f>
        <v>1.1527665499999999</v>
      </c>
      <c r="CH143">
        <f>1.412101136</f>
        <v>1.412101136</v>
      </c>
      <c r="CI143">
        <f>1.326155916</f>
        <v>1.326155916</v>
      </c>
      <c r="CJ143">
        <f>0.618357642</f>
        <v>0.61835764199999999</v>
      </c>
      <c r="CK143">
        <f>1.172585342</f>
        <v>1.1725853420000001</v>
      </c>
      <c r="CL143">
        <f>1.576314603</f>
        <v>1.5763146029999999</v>
      </c>
      <c r="CM143">
        <f>1.662036937</f>
        <v>1.6620369370000001</v>
      </c>
      <c r="CN143">
        <f>0.720438963</f>
        <v>0.72043896299999999</v>
      </c>
      <c r="CO143">
        <f>1.534055423</f>
        <v>1.5340554230000001</v>
      </c>
      <c r="CP143">
        <f>1.880678004</f>
        <v>1.880678004</v>
      </c>
      <c r="CQ143">
        <f>1.515190496</f>
        <v>1.515190496</v>
      </c>
      <c r="CR143">
        <f>0.855720748</f>
        <v>0.85572074799999998</v>
      </c>
      <c r="CS143">
        <f>1.166145902</f>
        <v>1.166145902</v>
      </c>
      <c r="CT143">
        <f>1.667868192</f>
        <v>1.667868192</v>
      </c>
      <c r="CU143">
        <f>1.895733966</f>
        <v>1.8957339660000001</v>
      </c>
      <c r="CV143">
        <f>0.882440309</f>
        <v>0.88244030900000003</v>
      </c>
      <c r="CW143">
        <f>1.74896819</f>
        <v>1.74896819</v>
      </c>
      <c r="CX143">
        <f>1.944826681</f>
        <v>1.9448266809999999</v>
      </c>
      <c r="CY143">
        <f>2.179371689</f>
        <v>2.1793716889999999</v>
      </c>
      <c r="CZ143">
        <f>0.933869466</f>
        <v>0.93386946599999998</v>
      </c>
      <c r="DA143">
        <f>2.29201588</f>
        <v>2.2920158800000001</v>
      </c>
      <c r="DB143">
        <f>2.048242284</f>
        <v>2.0482422840000001</v>
      </c>
      <c r="DC143">
        <f>1.917074021</f>
        <v>1.9170740209999999</v>
      </c>
      <c r="DD143">
        <f>1.158638919</f>
        <v>1.1586389189999999</v>
      </c>
      <c r="DE143">
        <f>1.830802161</f>
        <v>1.830802161</v>
      </c>
      <c r="DF143">
        <f>1.859350073</f>
        <v>1.8593500730000001</v>
      </c>
      <c r="DG143">
        <f>1.825673392</f>
        <v>1.8256733919999999</v>
      </c>
      <c r="DH143">
        <f>1.088094438</f>
        <v>1.0880944379999999</v>
      </c>
      <c r="DI143">
        <f>1.645249922</f>
        <v>1.6452499220000001</v>
      </c>
      <c r="DJ143">
        <f>1.873563021</f>
        <v>1.8735630210000001</v>
      </c>
      <c r="DK143">
        <f>1.870766913</f>
        <v>1.870766913</v>
      </c>
      <c r="DL143">
        <f>0.969508253</f>
        <v>0.96950825299999999</v>
      </c>
      <c r="DM143">
        <f>1.447722483</f>
        <v>1.4477224829999999</v>
      </c>
      <c r="DN143">
        <f>0.609857375</f>
        <v>0.60985737500000003</v>
      </c>
      <c r="DO143" t="str">
        <f>""</f>
        <v/>
      </c>
      <c r="DP143" t="str">
        <f>""</f>
        <v/>
      </c>
      <c r="DQ143" t="str">
        <f>""</f>
        <v/>
      </c>
      <c r="DR143" t="str">
        <f>""</f>
        <v/>
      </c>
      <c r="DS143" t="str">
        <f>""</f>
        <v/>
      </c>
      <c r="DT143" t="str">
        <f>""</f>
        <v/>
      </c>
      <c r="DU143" t="str">
        <f>""</f>
        <v/>
      </c>
    </row>
    <row r="144" spans="1:125">
      <c r="A144" t="str">
        <f>"    Equity Residential"</f>
        <v xml:space="preserve">    Equity Residential</v>
      </c>
      <c r="B144" t="str">
        <f>"EQR US Equity"</f>
        <v>EQR US Equity</v>
      </c>
      <c r="C144" t="str">
        <f t="shared" si="45"/>
        <v>RR553</v>
      </c>
      <c r="D144" t="str">
        <f t="shared" si="46"/>
        <v>EBITDA_RE_ASSET</v>
      </c>
      <c r="E144" t="str">
        <f t="shared" si="47"/>
        <v>动态</v>
      </c>
      <c r="F144" t="str">
        <f ca="1">IF(AND(ISNUMBER($F$352),$B$226=1),$F$352,HLOOKUP(INDIRECT(ADDRESS(2,COLUMN())),OFFSET($BN$2,0,0,ROW()-1,60),ROW()-1,FALSE))</f>
        <v/>
      </c>
      <c r="G144">
        <f ca="1">IF(AND(ISNUMBER($G$352),$B$226=1),$G$352,HLOOKUP(INDIRECT(ADDRESS(2,COLUMN())),OFFSET($BN$2,0,0,ROW()-1,60),ROW()-1,FALSE))</f>
        <v>2.0785868750000001</v>
      </c>
      <c r="H144">
        <f ca="1">IF(AND(ISNUMBER($H$352),$B$226=1),$H$352,HLOOKUP(INDIRECT(ADDRESS(2,COLUMN())),OFFSET($BN$2,0,0,ROW()-1,60),ROW()-1,FALSE))</f>
        <v>1.9986544610000001</v>
      </c>
      <c r="I144">
        <f ca="1">IF(AND(ISNUMBER($I$352),$B$226=1),$I$352,HLOOKUP(INDIRECT(ADDRESS(2,COLUMN())),OFFSET($BN$2,0,0,ROW()-1,60),ROW()-1,FALSE))</f>
        <v>1.9685873810000001</v>
      </c>
      <c r="J144">
        <f ca="1">IF(AND(ISNUMBER($J$352),$B$226=1),$J$352,HLOOKUP(INDIRECT(ADDRESS(2,COLUMN())),OFFSET($BN$2,0,0,ROW()-1,60),ROW()-1,FALSE))</f>
        <v>1.920110854</v>
      </c>
      <c r="K144">
        <f ca="1">IF(AND(ISNUMBER($K$352),$B$226=1),$K$352,HLOOKUP(INDIRECT(ADDRESS(2,COLUMN())),OFFSET($BN$2,0,0,ROW()-1,60),ROW()-1,FALSE))</f>
        <v>2.0030541400000001</v>
      </c>
      <c r="L144">
        <f ca="1">IF(AND(ISNUMBER($L$352),$B$226=1),$L$352,HLOOKUP(INDIRECT(ADDRESS(2,COLUMN())),OFFSET($BN$2,0,0,ROW()-1,60),ROW()-1,FALSE))</f>
        <v>1.931257314</v>
      </c>
      <c r="M144">
        <f ca="1">IF(AND(ISNUMBER($M$352),$B$226=1),$M$352,HLOOKUP(INDIRECT(ADDRESS(2,COLUMN())),OFFSET($BN$2,0,0,ROW()-1,60),ROW()-1,FALSE))</f>
        <v>1.8965786689999999</v>
      </c>
      <c r="N144">
        <f ca="1">IF(AND(ISNUMBER($N$352),$B$226=1),$N$352,HLOOKUP(INDIRECT(ADDRESS(2,COLUMN())),OFFSET($BN$2,0,0,ROW()-1,60),ROW()-1,FALSE))</f>
        <v>1.9315174989999999</v>
      </c>
      <c r="O144">
        <f ca="1">IF(AND(ISNUMBER($O$352),$B$226=1),$O$352,HLOOKUP(INDIRECT(ADDRESS(2,COLUMN())),OFFSET($BN$2,0,0,ROW()-1,60),ROW()-1,FALSE))</f>
        <v>2.0817509150000002</v>
      </c>
      <c r="P144">
        <f ca="1">IF(AND(ISNUMBER($P$352),$B$226=1),$P$352,HLOOKUP(INDIRECT(ADDRESS(2,COLUMN())),OFFSET($BN$2,0,0,ROW()-1,60),ROW()-1,FALSE))</f>
        <v>2.0363733079999999</v>
      </c>
      <c r="Q144">
        <f ca="1">IF(AND(ISNUMBER($Q$352),$B$226=1),$Q$352,HLOOKUP(INDIRECT(ADDRESS(2,COLUMN())),OFFSET($BN$2,0,0,ROW()-1,60),ROW()-1,FALSE))</f>
        <v>1.971272819</v>
      </c>
      <c r="R144">
        <f ca="1">IF(AND(ISNUMBER($R$352),$B$226=1),$R$352,HLOOKUP(INDIRECT(ADDRESS(2,COLUMN())),OFFSET($BN$2,0,0,ROW()-1,60),ROW()-1,FALSE))</f>
        <v>1.8564252530000001</v>
      </c>
      <c r="S144">
        <f ca="1">IF(AND(ISNUMBER($S$352),$B$226=1),$S$352,HLOOKUP(INDIRECT(ADDRESS(2,COLUMN())),OFFSET($BN$2,0,0,ROW()-1,60),ROW()-1,FALSE))</f>
        <v>1.9888435710000001</v>
      </c>
      <c r="T144">
        <f ca="1">IF(AND(ISNUMBER($T$352),$B$226=1),$T$352,HLOOKUP(INDIRECT(ADDRESS(2,COLUMN())),OFFSET($BN$2,0,0,ROW()-1,60),ROW()-1,FALSE))</f>
        <v>1.941108251</v>
      </c>
      <c r="U144">
        <f ca="1">IF(AND(ISNUMBER($U$352),$B$226=1),$U$352,HLOOKUP(INDIRECT(ADDRESS(2,COLUMN())),OFFSET($BN$2,0,0,ROW()-1,60),ROW()-1,FALSE))</f>
        <v>1.8784904870000001</v>
      </c>
      <c r="V144">
        <f ca="1">IF(AND(ISNUMBER($V$352),$B$226=1),$V$352,HLOOKUP(INDIRECT(ADDRESS(2,COLUMN())),OFFSET($BN$2,0,0,ROW()-1,60),ROW()-1,FALSE))</f>
        <v>1.729359648</v>
      </c>
      <c r="W144">
        <f ca="1">IF(AND(ISNUMBER($W$352),$B$226=1),$W$352,HLOOKUP(INDIRECT(ADDRESS(2,COLUMN())),OFFSET($BN$2,0,0,ROW()-1,60),ROW()-1,FALSE))</f>
        <v>1.8294303590000001</v>
      </c>
      <c r="X144">
        <f ca="1">IF(AND(ISNUMBER($X$352),$B$226=1),$X$352,HLOOKUP(INDIRECT(ADDRESS(2,COLUMN())),OFFSET($BN$2,0,0,ROW()-1,60),ROW()-1,FALSE))</f>
        <v>1.802087269</v>
      </c>
      <c r="Y144">
        <f ca="1">IF(AND(ISNUMBER($Y$352),$B$226=1),$Y$352,HLOOKUP(INDIRECT(ADDRESS(2,COLUMN())),OFFSET($BN$2,0,0,ROW()-1,60),ROW()-1,FALSE))</f>
        <v>1.7470091459999999</v>
      </c>
      <c r="Z144">
        <f ca="1">IF(AND(ISNUMBER($Z$352),$B$226=1),$Z$352,HLOOKUP(INDIRECT(ADDRESS(2,COLUMN())),OFFSET($BN$2,0,0,ROW()-1,60),ROW()-1,FALSE))</f>
        <v>1.403714175</v>
      </c>
      <c r="AA144">
        <f ca="1">IF(AND(ISNUMBER($AA$352),$B$226=1),$AA$352,HLOOKUP(INDIRECT(ADDRESS(2,COLUMN())),OFFSET($BN$2,0,0,ROW()-1,60),ROW()-1,FALSE))</f>
        <v>1.962860442</v>
      </c>
      <c r="AB144">
        <f ca="1">IF(AND(ISNUMBER($AB$352),$B$226=1),$AB$352,HLOOKUP(INDIRECT(ADDRESS(2,COLUMN())),OFFSET($BN$2,0,0,ROW()-1,60),ROW()-1,FALSE))</f>
        <v>1.914004786</v>
      </c>
      <c r="AC144">
        <f ca="1">IF(AND(ISNUMBER($AC$352),$B$226=1),$AC$352,HLOOKUP(INDIRECT(ADDRESS(2,COLUMN())),OFFSET($BN$2,0,0,ROW()-1,60),ROW()-1,FALSE))</f>
        <v>1.854201467</v>
      </c>
      <c r="AD144">
        <f ca="1">IF(AND(ISNUMBER($AD$352),$B$226=1),$AD$352,HLOOKUP(INDIRECT(ADDRESS(2,COLUMN())),OFFSET($BN$2,0,0,ROW()-1,60),ROW()-1,FALSE))</f>
        <v>1.8220966599999999</v>
      </c>
      <c r="AE144">
        <f ca="1">IF(AND(ISNUMBER($AE$352),$B$226=1),$AE$352,HLOOKUP(INDIRECT(ADDRESS(2,COLUMN())),OFFSET($BN$2,0,0,ROW()-1,60),ROW()-1,FALSE))</f>
        <v>2.0273363440000001</v>
      </c>
      <c r="AF144">
        <f ca="1">IF(AND(ISNUMBER($AF$352),$B$226=1),$AF$352,HLOOKUP(INDIRECT(ADDRESS(2,COLUMN())),OFFSET($BN$2,0,0,ROW()-1,60),ROW()-1,FALSE))</f>
        <v>2.0487367270000001</v>
      </c>
      <c r="AG144">
        <f ca="1">IF(AND(ISNUMBER($AG$352),$B$226=1),$AG$352,HLOOKUP(INDIRECT(ADDRESS(2,COLUMN())),OFFSET($BN$2,0,0,ROW()-1,60),ROW()-1,FALSE))</f>
        <v>1.9787040389999999</v>
      </c>
      <c r="AH144">
        <f ca="1">IF(AND(ISNUMBER($AH$352),$B$226=1),$AH$352,HLOOKUP(INDIRECT(ADDRESS(2,COLUMN())),OFFSET($BN$2,0,0,ROW()-1,60),ROW()-1,FALSE))</f>
        <v>1.867816543</v>
      </c>
      <c r="AI144">
        <f ca="1">IF(AND(ISNUMBER($AI$352),$B$226=1),$AI$352,HLOOKUP(INDIRECT(ADDRESS(2,COLUMN())),OFFSET($BN$2,0,0,ROW()-1,60),ROW()-1,FALSE))</f>
        <v>1.6150968029999999</v>
      </c>
      <c r="AJ144">
        <f ca="1">IF(AND(ISNUMBER($AJ$352),$B$226=1),$AJ$352,HLOOKUP(INDIRECT(ADDRESS(2,COLUMN())),OFFSET($BN$2,0,0,ROW()-1,60),ROW()-1,FALSE))</f>
        <v>1.7753818939999999</v>
      </c>
      <c r="AK144">
        <f ca="1">IF(AND(ISNUMBER($AK$352),$B$226=1),$AK$352,HLOOKUP(INDIRECT(ADDRESS(2,COLUMN())),OFFSET($BN$2,0,0,ROW()-1,60),ROW()-1,FALSE))</f>
        <v>1.802685885</v>
      </c>
      <c r="AL144">
        <f ca="1">IF(AND(ISNUMBER($AL$352),$B$226=1),$AL$352,HLOOKUP(INDIRECT(ADDRESS(2,COLUMN())),OFFSET($BN$2,0,0,ROW()-1,60),ROW()-1,FALSE))</f>
        <v>1.7439882680000001</v>
      </c>
      <c r="AM144">
        <f ca="1">IF(AND(ISNUMBER($AM$352),$B$226=1),$AM$352,HLOOKUP(INDIRECT(ADDRESS(2,COLUMN())),OFFSET($BN$2,0,0,ROW()-1,60),ROW()-1,FALSE))</f>
        <v>1.890031056</v>
      </c>
      <c r="AN144">
        <f ca="1">IF(AND(ISNUMBER($AN$352),$B$226=1),$AN$352,HLOOKUP(INDIRECT(ADDRESS(2,COLUMN())),OFFSET($BN$2,0,0,ROW()-1,60),ROW()-1,FALSE))</f>
        <v>1.9065103189999999</v>
      </c>
      <c r="AO144">
        <f ca="1">IF(AND(ISNUMBER($AO$352),$B$226=1),$AO$352,HLOOKUP(INDIRECT(ADDRESS(2,COLUMN())),OFFSET($BN$2,0,0,ROW()-1,60),ROW()-1,FALSE))</f>
        <v>1.8713258159999999</v>
      </c>
      <c r="AP144">
        <f ca="1">IF(AND(ISNUMBER($AP$352),$B$226=1),$AP$352,HLOOKUP(INDIRECT(ADDRESS(2,COLUMN())),OFFSET($BN$2,0,0,ROW()-1,60),ROW()-1,FALSE))</f>
        <v>1.881678212</v>
      </c>
      <c r="AQ144">
        <f ca="1">IF(AND(ISNUMBER($AQ$352),$B$226=1),$AQ$352,HLOOKUP(INDIRECT(ADDRESS(2,COLUMN())),OFFSET($BN$2,0,0,ROW()-1,60),ROW()-1,FALSE))</f>
        <v>2.0006033799999998</v>
      </c>
      <c r="AR144">
        <f ca="1">IF(AND(ISNUMBER($AR$352),$B$226=1),$AR$352,HLOOKUP(INDIRECT(ADDRESS(2,COLUMN())),OFFSET($BN$2,0,0,ROW()-1,60),ROW()-1,FALSE))</f>
        <v>1.984523273</v>
      </c>
      <c r="AS144">
        <f ca="1">IF(AND(ISNUMBER($AS$352),$B$226=1),$AS$352,HLOOKUP(INDIRECT(ADDRESS(2,COLUMN())),OFFSET($BN$2,0,0,ROW()-1,60),ROW()-1,FALSE))</f>
        <v>1.9844626889999999</v>
      </c>
      <c r="AT144">
        <f ca="1">IF(AND(ISNUMBER($AT$352),$B$226=1),$AT$352,HLOOKUP(INDIRECT(ADDRESS(2,COLUMN())),OFFSET($BN$2,0,0,ROW()-1,60),ROW()-1,FALSE))</f>
        <v>1.9021359600000001</v>
      </c>
      <c r="AU144">
        <f ca="1">IF(AND(ISNUMBER($AU$352),$B$226=1),$AU$352,HLOOKUP(INDIRECT(ADDRESS(2,COLUMN())),OFFSET($BN$2,0,0,ROW()-1,60),ROW()-1,FALSE))</f>
        <v>2.094539299</v>
      </c>
      <c r="AV144">
        <f ca="1">IF(AND(ISNUMBER($AV$352),$B$226=1),$AV$352,HLOOKUP(INDIRECT(ADDRESS(2,COLUMN())),OFFSET($BN$2,0,0,ROW()-1,60),ROW()-1,FALSE))</f>
        <v>1.9500332810000001</v>
      </c>
      <c r="AW144">
        <f ca="1">IF(AND(ISNUMBER($AW$352),$B$226=1),$AW$352,HLOOKUP(INDIRECT(ADDRESS(2,COLUMN())),OFFSET($BN$2,0,0,ROW()-1,60),ROW()-1,FALSE))</f>
        <v>1.9503920699999999</v>
      </c>
      <c r="AX144">
        <f ca="1">IF(AND(ISNUMBER($AX$352),$B$226=1),$AX$352,HLOOKUP(INDIRECT(ADDRESS(2,COLUMN())),OFFSET($BN$2,0,0,ROW()-1,60),ROW()-1,FALSE))</f>
        <v>1.8650363400000001</v>
      </c>
      <c r="AY144">
        <f ca="1">IF(AND(ISNUMBER($AY$352),$B$226=1),$AY$352,HLOOKUP(INDIRECT(ADDRESS(2,COLUMN())),OFFSET($BN$2,0,0,ROW()-1,60),ROW()-1,FALSE))</f>
        <v>1.7603607139999999</v>
      </c>
      <c r="AZ144">
        <f ca="1">IF(AND(ISNUMBER($AZ$352),$B$226=1),$AZ$352,HLOOKUP(INDIRECT(ADDRESS(2,COLUMN())),OFFSET($BN$2,0,0,ROW()-1,60),ROW()-1,FALSE))</f>
        <v>1.947140742</v>
      </c>
      <c r="BA144">
        <f ca="1">IF(AND(ISNUMBER($BA$352),$B$226=1),$BA$352,HLOOKUP(INDIRECT(ADDRESS(2,COLUMN())),OFFSET($BN$2,0,0,ROW()-1,60),ROW()-1,FALSE))</f>
        <v>2.0660578809999999</v>
      </c>
      <c r="BB144">
        <f ca="1">IF(AND(ISNUMBER($BB$352),$B$226=1),$BB$352,HLOOKUP(INDIRECT(ADDRESS(2,COLUMN())),OFFSET($BN$2,0,0,ROW()-1,60),ROW()-1,FALSE))</f>
        <v>1.989063644</v>
      </c>
      <c r="BC144">
        <f ca="1">IF(AND(ISNUMBER($BC$352),$B$226=1),$BC$352,HLOOKUP(INDIRECT(ADDRESS(2,COLUMN())),OFFSET($BN$2,0,0,ROW()-1,60),ROW()-1,FALSE))</f>
        <v>1.69237617</v>
      </c>
      <c r="BD144">
        <f ca="1">IF(AND(ISNUMBER($BD$352),$B$226=1),$BD$352,HLOOKUP(INDIRECT(ADDRESS(2,COLUMN())),OFFSET($BN$2,0,0,ROW()-1,60),ROW()-1,FALSE))</f>
        <v>1.929118968</v>
      </c>
      <c r="BE144">
        <f ca="1">IF(AND(ISNUMBER($BE$352),$B$226=1),$BE$352,HLOOKUP(INDIRECT(ADDRESS(2,COLUMN())),OFFSET($BN$2,0,0,ROW()-1,60),ROW()-1,FALSE))</f>
        <v>1.9818426309999999</v>
      </c>
      <c r="BF144">
        <f ca="1">IF(AND(ISNUMBER($BF$352),$B$226=1),$BF$352,HLOOKUP(INDIRECT(ADDRESS(2,COLUMN())),OFFSET($BN$2,0,0,ROW()-1,60),ROW()-1,FALSE))</f>
        <v>2.0261164809999999</v>
      </c>
      <c r="BG144">
        <f ca="1">IF(AND(ISNUMBER($BG$352),$B$226=1),$BG$352,HLOOKUP(INDIRECT(ADDRESS(2,COLUMN())),OFFSET($BN$2,0,0,ROW()-1,60),ROW()-1,FALSE))</f>
        <v>1.9651254810000001</v>
      </c>
      <c r="BH144">
        <f ca="1">IF(AND(ISNUMBER($BH$352),$B$226=1),$BH$352,HLOOKUP(INDIRECT(ADDRESS(2,COLUMN())),OFFSET($BN$2,0,0,ROW()-1,60),ROW()-1,FALSE))</f>
        <v>1.9834099030000001</v>
      </c>
      <c r="BI144">
        <f ca="1">IF(AND(ISNUMBER($BI$352),$B$226=1),$BI$352,HLOOKUP(INDIRECT(ADDRESS(2,COLUMN())),OFFSET($BN$2,0,0,ROW()-1,60),ROW()-1,FALSE))</f>
        <v>1.2491783510000001</v>
      </c>
      <c r="BJ144">
        <f ca="1">IF(AND(ISNUMBER($BJ$352),$B$226=1),$BJ$352,HLOOKUP(INDIRECT(ADDRESS(2,COLUMN())),OFFSET($BN$2,0,0,ROW()-1,60),ROW()-1,FALSE))</f>
        <v>2.1494362119999999</v>
      </c>
      <c r="BK144">
        <f ca="1">IF(AND(ISNUMBER($BK$352),$B$226=1),$BK$352,HLOOKUP(INDIRECT(ADDRESS(2,COLUMN())),OFFSET($BN$2,0,0,ROW()-1,60),ROW()-1,FALSE))</f>
        <v>1.9939753140000001</v>
      </c>
      <c r="BL144">
        <f ca="1">IF(AND(ISNUMBER($BL$352),$B$226=1),$BL$352,HLOOKUP(INDIRECT(ADDRESS(2,COLUMN())),OFFSET($BN$2,0,0,ROW()-1,60),ROW()-1,FALSE))</f>
        <v>2.3554774369999998</v>
      </c>
      <c r="BM144">
        <f ca="1">IF(AND(ISNUMBER($BM$352),$B$226=1),$BM$352,HLOOKUP(INDIRECT(ADDRESS(2,COLUMN())),OFFSET($BN$2,0,0,ROW()-1,60),ROW()-1,FALSE))</f>
        <v>2.3617390930000002</v>
      </c>
      <c r="BN144" t="str">
        <f>""</f>
        <v/>
      </c>
      <c r="BO144">
        <f>2.078586875</f>
        <v>2.0785868750000001</v>
      </c>
      <c r="BP144">
        <f>1.998654461</f>
        <v>1.9986544610000001</v>
      </c>
      <c r="BQ144">
        <f>1.968587381</f>
        <v>1.9685873810000001</v>
      </c>
      <c r="BR144">
        <f>1.920110854</f>
        <v>1.920110854</v>
      </c>
      <c r="BS144">
        <f>2.00305414</f>
        <v>2.0030541400000001</v>
      </c>
      <c r="BT144">
        <f>1.931257314</f>
        <v>1.931257314</v>
      </c>
      <c r="BU144">
        <f>1.896578669</f>
        <v>1.8965786689999999</v>
      </c>
      <c r="BV144">
        <f>1.931517499</f>
        <v>1.9315174989999999</v>
      </c>
      <c r="BW144">
        <f>2.081750915</f>
        <v>2.0817509150000002</v>
      </c>
      <c r="BX144">
        <f>2.036373308</f>
        <v>2.0363733079999999</v>
      </c>
      <c r="BY144">
        <f>1.971272819</f>
        <v>1.971272819</v>
      </c>
      <c r="BZ144">
        <f>1.856425253</f>
        <v>1.8564252530000001</v>
      </c>
      <c r="CA144">
        <f>1.988843571</f>
        <v>1.9888435710000001</v>
      </c>
      <c r="CB144">
        <f>1.941108251</f>
        <v>1.941108251</v>
      </c>
      <c r="CC144">
        <f>1.878490487</f>
        <v>1.8784904870000001</v>
      </c>
      <c r="CD144">
        <f>1.729359648</f>
        <v>1.729359648</v>
      </c>
      <c r="CE144">
        <f>1.829430359</f>
        <v>1.8294303590000001</v>
      </c>
      <c r="CF144">
        <f>1.802087269</f>
        <v>1.802087269</v>
      </c>
      <c r="CG144">
        <f>1.747009146</f>
        <v>1.7470091459999999</v>
      </c>
      <c r="CH144">
        <f>1.403714175</f>
        <v>1.403714175</v>
      </c>
      <c r="CI144">
        <f>1.962860442</f>
        <v>1.962860442</v>
      </c>
      <c r="CJ144">
        <f>1.914004786</f>
        <v>1.914004786</v>
      </c>
      <c r="CK144">
        <f>1.854201467</f>
        <v>1.854201467</v>
      </c>
      <c r="CL144">
        <f>1.82209666</f>
        <v>1.8220966599999999</v>
      </c>
      <c r="CM144">
        <f>2.027336344</f>
        <v>2.0273363440000001</v>
      </c>
      <c r="CN144">
        <f>2.048736727</f>
        <v>2.0487367270000001</v>
      </c>
      <c r="CO144">
        <f>1.978704039</f>
        <v>1.9787040389999999</v>
      </c>
      <c r="CP144">
        <f>1.867816543</f>
        <v>1.867816543</v>
      </c>
      <c r="CQ144">
        <f>1.615096803</f>
        <v>1.6150968029999999</v>
      </c>
      <c r="CR144">
        <f>1.775381894</f>
        <v>1.7753818939999999</v>
      </c>
      <c r="CS144">
        <f>1.802685885</f>
        <v>1.802685885</v>
      </c>
      <c r="CT144">
        <f>1.743988268</f>
        <v>1.7439882680000001</v>
      </c>
      <c r="CU144">
        <f>1.890031056</f>
        <v>1.890031056</v>
      </c>
      <c r="CV144">
        <f>1.906510319</f>
        <v>1.9065103189999999</v>
      </c>
      <c r="CW144">
        <f>1.871325816</f>
        <v>1.8713258159999999</v>
      </c>
      <c r="CX144">
        <f>1.881678212</f>
        <v>1.881678212</v>
      </c>
      <c r="CY144">
        <f>2.00060338</f>
        <v>2.0006033799999998</v>
      </c>
      <c r="CZ144">
        <f>1.984523273</f>
        <v>1.984523273</v>
      </c>
      <c r="DA144">
        <f>1.984462689</f>
        <v>1.9844626889999999</v>
      </c>
      <c r="DB144">
        <f>1.90213596</f>
        <v>1.9021359600000001</v>
      </c>
      <c r="DC144">
        <f>2.094539299</f>
        <v>2.094539299</v>
      </c>
      <c r="DD144">
        <f>1.950033281</f>
        <v>1.9500332810000001</v>
      </c>
      <c r="DE144">
        <f>1.95039207</f>
        <v>1.9503920699999999</v>
      </c>
      <c r="DF144">
        <f>1.86503634</f>
        <v>1.8650363400000001</v>
      </c>
      <c r="DG144">
        <f>1.760360714</f>
        <v>1.7603607139999999</v>
      </c>
      <c r="DH144">
        <f>1.947140742</f>
        <v>1.947140742</v>
      </c>
      <c r="DI144">
        <f>2.066057881</f>
        <v>2.0660578809999999</v>
      </c>
      <c r="DJ144">
        <f>1.989063644</f>
        <v>1.989063644</v>
      </c>
      <c r="DK144">
        <f>1.69237617</f>
        <v>1.69237617</v>
      </c>
      <c r="DL144">
        <f>1.929118968</f>
        <v>1.929118968</v>
      </c>
      <c r="DM144">
        <f>1.981842631</f>
        <v>1.9818426309999999</v>
      </c>
      <c r="DN144">
        <f>2.026116481</f>
        <v>2.0261164809999999</v>
      </c>
      <c r="DO144">
        <f>1.965125481</f>
        <v>1.9651254810000001</v>
      </c>
      <c r="DP144">
        <f>1.983409903</f>
        <v>1.9834099030000001</v>
      </c>
      <c r="DQ144">
        <f>1.249178351</f>
        <v>1.2491783510000001</v>
      </c>
      <c r="DR144">
        <f>2.149436212</f>
        <v>2.1494362119999999</v>
      </c>
      <c r="DS144">
        <f>1.993975314</f>
        <v>1.9939753140000001</v>
      </c>
      <c r="DT144">
        <f>2.355477437</f>
        <v>2.3554774369999998</v>
      </c>
      <c r="DU144">
        <f>2.361739093</f>
        <v>2.3617390930000002</v>
      </c>
    </row>
    <row r="145" spans="1:125">
      <c r="A145" t="str">
        <f>"    Essex Property Trust Inc"</f>
        <v xml:space="preserve">    Essex Property Trust Inc</v>
      </c>
      <c r="B145" t="str">
        <f>"ESS US Equity"</f>
        <v>ESS US Equity</v>
      </c>
      <c r="C145" t="str">
        <f t="shared" si="45"/>
        <v>RR553</v>
      </c>
      <c r="D145" t="str">
        <f t="shared" si="46"/>
        <v>EBITDA_RE_ASSET</v>
      </c>
      <c r="E145" t="str">
        <f t="shared" si="47"/>
        <v>动态</v>
      </c>
      <c r="F145" t="str">
        <f ca="1">IF(AND(ISNUMBER($F$353),$B$226=1),$F$353,HLOOKUP(INDIRECT(ADDRESS(2,COLUMN())),OFFSET($BN$2,0,0,ROW()-1,60),ROW()-1,FALSE))</f>
        <v/>
      </c>
      <c r="G145">
        <f ca="1">IF(AND(ISNUMBER($G$353),$B$226=1),$G$353,HLOOKUP(INDIRECT(ADDRESS(2,COLUMN())),OFFSET($BN$2,0,0,ROW()-1,60),ROW()-1,FALSE))</f>
        <v>1.9315251200000001</v>
      </c>
      <c r="H145">
        <f ca="1">IF(AND(ISNUMBER($H$353),$B$226=1),$H$353,HLOOKUP(INDIRECT(ADDRESS(2,COLUMN())),OFFSET($BN$2,0,0,ROW()-1,60),ROW()-1,FALSE))</f>
        <v>1.877514232</v>
      </c>
      <c r="I145">
        <f ca="1">IF(AND(ISNUMBER($I$353),$B$226=1),$I$353,HLOOKUP(INDIRECT(ADDRESS(2,COLUMN())),OFFSET($BN$2,0,0,ROW()-1,60),ROW()-1,FALSE))</f>
        <v>1.890424066</v>
      </c>
      <c r="J145">
        <f ca="1">IF(AND(ISNUMBER($J$353),$B$226=1),$J$353,HLOOKUP(INDIRECT(ADDRESS(2,COLUMN())),OFFSET($BN$2,0,0,ROW()-1,60),ROW()-1,FALSE))</f>
        <v>1.821755958</v>
      </c>
      <c r="K145">
        <f ca="1">IF(AND(ISNUMBER($K$353),$B$226=1),$K$353,HLOOKUP(INDIRECT(ADDRESS(2,COLUMN())),OFFSET($BN$2,0,0,ROW()-1,60),ROW()-1,FALSE))</f>
        <v>1.832755216</v>
      </c>
      <c r="L145">
        <f ca="1">IF(AND(ISNUMBER($L$353),$B$226=1),$L$353,HLOOKUP(INDIRECT(ADDRESS(2,COLUMN())),OFFSET($BN$2,0,0,ROW()-1,60),ROW()-1,FALSE))</f>
        <v>1.93420685</v>
      </c>
      <c r="M145">
        <f ca="1">IF(AND(ISNUMBER($M$353),$B$226=1),$M$353,HLOOKUP(INDIRECT(ADDRESS(2,COLUMN())),OFFSET($BN$2,0,0,ROW()-1,60),ROW()-1,FALSE))</f>
        <v>1.7448010700000001</v>
      </c>
      <c r="N145">
        <f ca="1">IF(AND(ISNUMBER($N$353),$B$226=1),$N$353,HLOOKUP(INDIRECT(ADDRESS(2,COLUMN())),OFFSET($BN$2,0,0,ROW()-1,60),ROW()-1,FALSE))</f>
        <v>1.7945088220000001</v>
      </c>
      <c r="O145">
        <f ca="1">IF(AND(ISNUMBER($O$353),$B$226=1),$O$353,HLOOKUP(INDIRECT(ADDRESS(2,COLUMN())),OFFSET($BN$2,0,0,ROW()-1,60),ROW()-1,FALSE))</f>
        <v>1.7826667329999999</v>
      </c>
      <c r="P145">
        <f ca="1">IF(AND(ISNUMBER($P$353),$B$226=1),$P$353,HLOOKUP(INDIRECT(ADDRESS(2,COLUMN())),OFFSET($BN$2,0,0,ROW()-1,60),ROW()-1,FALSE))</f>
        <v>1.7872719239999999</v>
      </c>
      <c r="Q145">
        <f ca="1">IF(AND(ISNUMBER($Q$353),$B$226=1),$Q$353,HLOOKUP(INDIRECT(ADDRESS(2,COLUMN())),OFFSET($BN$2,0,0,ROW()-1,60),ROW()-1,FALSE))</f>
        <v>1.610802243</v>
      </c>
      <c r="R145">
        <f ca="1">IF(AND(ISNUMBER($R$353),$B$226=1),$R$353,HLOOKUP(INDIRECT(ADDRESS(2,COLUMN())),OFFSET($BN$2,0,0,ROW()-1,60),ROW()-1,FALSE))</f>
        <v>1.513976048</v>
      </c>
      <c r="S145">
        <f ca="1">IF(AND(ISNUMBER($S$353),$B$226=1),$S$353,HLOOKUP(INDIRECT(ADDRESS(2,COLUMN())),OFFSET($BN$2,0,0,ROW()-1,60),ROW()-1,FALSE))</f>
        <v>1.512060814</v>
      </c>
      <c r="T145">
        <f ca="1">IF(AND(ISNUMBER($T$353),$B$226=1),$T$353,HLOOKUP(INDIRECT(ADDRESS(2,COLUMN())),OFFSET($BN$2,0,0,ROW()-1,60),ROW()-1,FALSE))</f>
        <v>1.520812939</v>
      </c>
      <c r="U145">
        <f ca="1">IF(AND(ISNUMBER($U$353),$B$226=1),$U$353,HLOOKUP(INDIRECT(ADDRESS(2,COLUMN())),OFFSET($BN$2,0,0,ROW()-1,60),ROW()-1,FALSE))</f>
        <v>1.2291724040000001</v>
      </c>
      <c r="V145">
        <f ca="1">IF(AND(ISNUMBER($V$353),$B$226=1),$V$353,HLOOKUP(INDIRECT(ADDRESS(2,COLUMN())),OFFSET($BN$2,0,0,ROW()-1,60),ROW()-1,FALSE))</f>
        <v>1.3726248679999999</v>
      </c>
      <c r="W145">
        <f ca="1">IF(AND(ISNUMBER($W$353),$B$226=1),$W$353,HLOOKUP(INDIRECT(ADDRESS(2,COLUMN())),OFFSET($BN$2,0,0,ROW()-1,60),ROW()-1,FALSE))</f>
        <v>2.1510268739999998</v>
      </c>
      <c r="X145">
        <f ca="1">IF(AND(ISNUMBER($X$353),$B$226=1),$X$353,HLOOKUP(INDIRECT(ADDRESS(2,COLUMN())),OFFSET($BN$2,0,0,ROW()-1,60),ROW()-1,FALSE))</f>
        <v>1.9050142489999999</v>
      </c>
      <c r="Y145">
        <f ca="1">IF(AND(ISNUMBER($Y$353),$B$226=1),$Y$353,HLOOKUP(INDIRECT(ADDRESS(2,COLUMN())),OFFSET($BN$2,0,0,ROW()-1,60),ROW()-1,FALSE))</f>
        <v>2.0336964719999999</v>
      </c>
      <c r="Z145">
        <f ca="1">IF(AND(ISNUMBER($Z$353),$B$226=1),$Z$353,HLOOKUP(INDIRECT(ADDRESS(2,COLUMN())),OFFSET($BN$2,0,0,ROW()-1,60),ROW()-1,FALSE))</f>
        <v>2.0339571649999999</v>
      </c>
      <c r="AA145">
        <f ca="1">IF(AND(ISNUMBER($AA$353),$B$226=1),$AA$353,HLOOKUP(INDIRECT(ADDRESS(2,COLUMN())),OFFSET($BN$2,0,0,ROW()-1,60),ROW()-1,FALSE))</f>
        <v>2.1751035220000001</v>
      </c>
      <c r="AB145">
        <f ca="1">IF(AND(ISNUMBER($AB$353),$B$226=1),$AB$353,HLOOKUP(INDIRECT(ADDRESS(2,COLUMN())),OFFSET($BN$2,0,0,ROW()-1,60),ROW()-1,FALSE))</f>
        <v>1.860592939</v>
      </c>
      <c r="AC145">
        <f ca="1">IF(AND(ISNUMBER($AC$353),$B$226=1),$AC$353,HLOOKUP(INDIRECT(ADDRESS(2,COLUMN())),OFFSET($BN$2,0,0,ROW()-1,60),ROW()-1,FALSE))</f>
        <v>2.0630435989999998</v>
      </c>
      <c r="AD145">
        <f ca="1">IF(AND(ISNUMBER($AD$353),$B$226=1),$AD$353,HLOOKUP(INDIRECT(ADDRESS(2,COLUMN())),OFFSET($BN$2,0,0,ROW()-1,60),ROW()-1,FALSE))</f>
        <v>2.154327152</v>
      </c>
      <c r="AE145">
        <f ca="1">IF(AND(ISNUMBER($AE$353),$B$226=1),$AE$353,HLOOKUP(INDIRECT(ADDRESS(2,COLUMN())),OFFSET($BN$2,0,0,ROW()-1,60),ROW()-1,FALSE))</f>
        <v>2.3040833279999999</v>
      </c>
      <c r="AF145">
        <f ca="1">IF(AND(ISNUMBER($AF$353),$B$226=1),$AF$353,HLOOKUP(INDIRECT(ADDRESS(2,COLUMN())),OFFSET($BN$2,0,0,ROW()-1,60),ROW()-1,FALSE))</f>
        <v>1.779489396</v>
      </c>
      <c r="AG145">
        <f ca="1">IF(AND(ISNUMBER($AG$353),$B$226=1),$AG$353,HLOOKUP(INDIRECT(ADDRESS(2,COLUMN())),OFFSET($BN$2,0,0,ROW()-1,60),ROW()-1,FALSE))</f>
        <v>1.987515023</v>
      </c>
      <c r="AH145">
        <f ca="1">IF(AND(ISNUMBER($AH$353),$B$226=1),$AH$353,HLOOKUP(INDIRECT(ADDRESS(2,COLUMN())),OFFSET($BN$2,0,0,ROW()-1,60),ROW()-1,FALSE))</f>
        <v>1.956359738</v>
      </c>
      <c r="AI145">
        <f ca="1">IF(AND(ISNUMBER($AI$353),$B$226=1),$AI$353,HLOOKUP(INDIRECT(ADDRESS(2,COLUMN())),OFFSET($BN$2,0,0,ROW()-1,60),ROW()-1,FALSE))</f>
        <v>1.873409538</v>
      </c>
      <c r="AJ145">
        <f ca="1">IF(AND(ISNUMBER($AJ$353),$B$226=1),$AJ$353,HLOOKUP(INDIRECT(ADDRESS(2,COLUMN())),OFFSET($BN$2,0,0,ROW()-1,60),ROW()-1,FALSE))</f>
        <v>1.764704118</v>
      </c>
      <c r="AK145">
        <f ca="1">IF(AND(ISNUMBER($AK$353),$B$226=1),$AK$353,HLOOKUP(INDIRECT(ADDRESS(2,COLUMN())),OFFSET($BN$2,0,0,ROW()-1,60),ROW()-1,FALSE))</f>
        <v>1.8693027179999999</v>
      </c>
      <c r="AL145">
        <f ca="1">IF(AND(ISNUMBER($AL$353),$B$226=1),$AL$353,HLOOKUP(INDIRECT(ADDRESS(2,COLUMN())),OFFSET($BN$2,0,0,ROW()-1,60),ROW()-1,FALSE))</f>
        <v>1.968533994</v>
      </c>
      <c r="AM145">
        <f ca="1">IF(AND(ISNUMBER($AM$353),$B$226=1),$AM$353,HLOOKUP(INDIRECT(ADDRESS(2,COLUMN())),OFFSET($BN$2,0,0,ROW()-1,60),ROW()-1,FALSE))</f>
        <v>2.085161839</v>
      </c>
      <c r="AN145">
        <f ca="1">IF(AND(ISNUMBER($AN$353),$B$226=1),$AN$353,HLOOKUP(INDIRECT(ADDRESS(2,COLUMN())),OFFSET($BN$2,0,0,ROW()-1,60),ROW()-1,FALSE))</f>
        <v>1.612000653</v>
      </c>
      <c r="AO145">
        <f ca="1">IF(AND(ISNUMBER($AO$353),$B$226=1),$AO$353,HLOOKUP(INDIRECT(ADDRESS(2,COLUMN())),OFFSET($BN$2,0,0,ROW()-1,60),ROW()-1,FALSE))</f>
        <v>2.1248380130000002</v>
      </c>
      <c r="AP145">
        <f ca="1">IF(AND(ISNUMBER($AP$353),$B$226=1),$AP$353,HLOOKUP(INDIRECT(ADDRESS(2,COLUMN())),OFFSET($BN$2,0,0,ROW()-1,60),ROW()-1,FALSE))</f>
        <v>1.9874564640000001</v>
      </c>
      <c r="AQ145">
        <f ca="1">IF(AND(ISNUMBER($AQ$353),$B$226=1),$AQ$353,HLOOKUP(INDIRECT(ADDRESS(2,COLUMN())),OFFSET($BN$2,0,0,ROW()-1,60),ROW()-1,FALSE))</f>
        <v>2.1986035660000001</v>
      </c>
      <c r="AR145" t="str">
        <f ca="1">IF(AND(ISNUMBER($AR$353),$B$226=1),$AR$353,HLOOKUP(INDIRECT(ADDRESS(2,COLUMN())),OFFSET($BN$2,0,0,ROW()-1,60),ROW()-1,FALSE))</f>
        <v/>
      </c>
      <c r="AS145">
        <f ca="1">IF(AND(ISNUMBER($AS$353),$B$226=1),$AS$353,HLOOKUP(INDIRECT(ADDRESS(2,COLUMN())),OFFSET($BN$2,0,0,ROW()-1,60),ROW()-1,FALSE))</f>
        <v>2.0731081730000001</v>
      </c>
      <c r="AT145">
        <f ca="1">IF(AND(ISNUMBER($AT$353),$B$226=1),$AT$353,HLOOKUP(INDIRECT(ADDRESS(2,COLUMN())),OFFSET($BN$2,0,0,ROW()-1,60),ROW()-1,FALSE))</f>
        <v>2.1869894319999998</v>
      </c>
      <c r="AU145">
        <f ca="1">IF(AND(ISNUMBER($AU$353),$B$226=1),$AU$353,HLOOKUP(INDIRECT(ADDRESS(2,COLUMN())),OFFSET($BN$2,0,0,ROW()-1,60),ROW()-1,FALSE))</f>
        <v>3.7630337649999999</v>
      </c>
      <c r="AV145" t="str">
        <f ca="1">IF(AND(ISNUMBER($AV$353),$B$226=1),$AV$353,HLOOKUP(INDIRECT(ADDRESS(2,COLUMN())),OFFSET($BN$2,0,0,ROW()-1,60),ROW()-1,FALSE))</f>
        <v/>
      </c>
      <c r="AW145" t="str">
        <f ca="1">IF(AND(ISNUMBER($AW$353),$B$226=1),$AW$353,HLOOKUP(INDIRECT(ADDRESS(2,COLUMN())),OFFSET($BN$2,0,0,ROW()-1,60),ROW()-1,FALSE))</f>
        <v/>
      </c>
      <c r="AX145">
        <f ca="1">IF(AND(ISNUMBER($AX$353),$B$226=1),$AX$353,HLOOKUP(INDIRECT(ADDRESS(2,COLUMN())),OFFSET($BN$2,0,0,ROW()-1,60),ROW()-1,FALSE))</f>
        <v>2.3003810919999998</v>
      </c>
      <c r="AY145">
        <f ca="1">IF(AND(ISNUMBER($AY$353),$B$226=1),$AY$353,HLOOKUP(INDIRECT(ADDRESS(2,COLUMN())),OFFSET($BN$2,0,0,ROW()-1,60),ROW()-1,FALSE))</f>
        <v>4.8061845060000001</v>
      </c>
      <c r="AZ145" t="str">
        <f ca="1">IF(AND(ISNUMBER($AZ$353),$B$226=1),$AZ$353,HLOOKUP(INDIRECT(ADDRESS(2,COLUMN())),OFFSET($BN$2,0,0,ROW()-1,60),ROW()-1,FALSE))</f>
        <v/>
      </c>
      <c r="BA145" t="str">
        <f ca="1">IF(AND(ISNUMBER($BA$353),$B$226=1),$BA$353,HLOOKUP(INDIRECT(ADDRESS(2,COLUMN())),OFFSET($BN$2,0,0,ROW()-1,60),ROW()-1,FALSE))</f>
        <v/>
      </c>
      <c r="BB145">
        <f ca="1">IF(AND(ISNUMBER($BB$353),$B$226=1),$BB$353,HLOOKUP(INDIRECT(ADDRESS(2,COLUMN())),OFFSET($BN$2,0,0,ROW()-1,60),ROW()-1,FALSE))</f>
        <v>2.2705188660000002</v>
      </c>
      <c r="BC145">
        <f ca="1">IF(AND(ISNUMBER($BC$353),$B$226=1),$BC$353,HLOOKUP(INDIRECT(ADDRESS(2,COLUMN())),OFFSET($BN$2,0,0,ROW()-1,60),ROW()-1,FALSE))</f>
        <v>3.8292139270000001</v>
      </c>
      <c r="BD145">
        <f ca="1">IF(AND(ISNUMBER($BD$353),$B$226=1),$BD$353,HLOOKUP(INDIRECT(ADDRESS(2,COLUMN())),OFFSET($BN$2,0,0,ROW()-1,60),ROW()-1,FALSE))</f>
        <v>2.4860749059999998</v>
      </c>
      <c r="BE145" t="str">
        <f ca="1">IF(AND(ISNUMBER($BE$353),$B$226=1),$BE$353,HLOOKUP(INDIRECT(ADDRESS(2,COLUMN())),OFFSET($BN$2,0,0,ROW()-1,60),ROW()-1,FALSE))</f>
        <v/>
      </c>
      <c r="BF145" t="str">
        <f ca="1">IF(AND(ISNUMBER($BF$353),$B$226=1),$BF$353,HLOOKUP(INDIRECT(ADDRESS(2,COLUMN())),OFFSET($BN$2,0,0,ROW()-1,60),ROW()-1,FALSE))</f>
        <v/>
      </c>
      <c r="BG145">
        <f ca="1">IF(AND(ISNUMBER($BG$353),$B$226=1),$BG$353,HLOOKUP(INDIRECT(ADDRESS(2,COLUMN())),OFFSET($BN$2,0,0,ROW()-1,60),ROW()-1,FALSE))</f>
        <v>2.1825218660000001</v>
      </c>
      <c r="BH145">
        <f ca="1">IF(AND(ISNUMBER($BH$353),$B$226=1),$BH$353,HLOOKUP(INDIRECT(ADDRESS(2,COLUMN())),OFFSET($BN$2,0,0,ROW()-1,60),ROW()-1,FALSE))</f>
        <v>2.6816240040000001</v>
      </c>
      <c r="BI145">
        <f ca="1">IF(AND(ISNUMBER($BI$353),$B$226=1),$BI$353,HLOOKUP(INDIRECT(ADDRESS(2,COLUMN())),OFFSET($BN$2,0,0,ROW()-1,60),ROW()-1,FALSE))</f>
        <v>2.168481409</v>
      </c>
      <c r="BJ145">
        <f ca="1">IF(AND(ISNUMBER($BJ$353),$B$226=1),$BJ$353,HLOOKUP(INDIRECT(ADDRESS(2,COLUMN())),OFFSET($BN$2,0,0,ROW()-1,60),ROW()-1,FALSE))</f>
        <v>2.1610457580000002</v>
      </c>
      <c r="BK145">
        <f ca="1">IF(AND(ISNUMBER($BK$353),$B$226=1),$BK$353,HLOOKUP(INDIRECT(ADDRESS(2,COLUMN())),OFFSET($BN$2,0,0,ROW()-1,60),ROW()-1,FALSE))</f>
        <v>2.2740440689999999</v>
      </c>
      <c r="BL145">
        <f ca="1">IF(AND(ISNUMBER($BL$353),$B$226=1),$BL$353,HLOOKUP(INDIRECT(ADDRESS(2,COLUMN())),OFFSET($BN$2,0,0,ROW()-1,60),ROW()-1,FALSE))</f>
        <v>2.6367365779999998</v>
      </c>
      <c r="BM145">
        <f ca="1">IF(AND(ISNUMBER($BM$353),$B$226=1),$BM$353,HLOOKUP(INDIRECT(ADDRESS(2,COLUMN())),OFFSET($BN$2,0,0,ROW()-1,60),ROW()-1,FALSE))</f>
        <v>2.6732614560000001</v>
      </c>
      <c r="BN145" t="str">
        <f>""</f>
        <v/>
      </c>
      <c r="BO145">
        <f>1.93152512</f>
        <v>1.9315251200000001</v>
      </c>
      <c r="BP145">
        <f>1.877514232</f>
        <v>1.877514232</v>
      </c>
      <c r="BQ145">
        <f>1.890424066</f>
        <v>1.890424066</v>
      </c>
      <c r="BR145">
        <f>1.821755958</f>
        <v>1.821755958</v>
      </c>
      <c r="BS145">
        <f>1.832755216</f>
        <v>1.832755216</v>
      </c>
      <c r="BT145">
        <f>1.93420685</f>
        <v>1.93420685</v>
      </c>
      <c r="BU145">
        <f>1.74480107</f>
        <v>1.7448010700000001</v>
      </c>
      <c r="BV145">
        <f>1.794508822</f>
        <v>1.7945088220000001</v>
      </c>
      <c r="BW145">
        <f>1.782666733</f>
        <v>1.7826667329999999</v>
      </c>
      <c r="BX145">
        <f>1.787271924</f>
        <v>1.7872719239999999</v>
      </c>
      <c r="BY145">
        <f>1.610802243</f>
        <v>1.610802243</v>
      </c>
      <c r="BZ145">
        <f>1.513976048</f>
        <v>1.513976048</v>
      </c>
      <c r="CA145">
        <f>1.512060814</f>
        <v>1.512060814</v>
      </c>
      <c r="CB145">
        <f>1.520812939</f>
        <v>1.520812939</v>
      </c>
      <c r="CC145">
        <f>1.229172404</f>
        <v>1.2291724040000001</v>
      </c>
      <c r="CD145">
        <f>1.372624868</f>
        <v>1.3726248679999999</v>
      </c>
      <c r="CE145">
        <f>2.151026874</f>
        <v>2.1510268739999998</v>
      </c>
      <c r="CF145">
        <f>1.905014249</f>
        <v>1.9050142489999999</v>
      </c>
      <c r="CG145">
        <f>2.033696472</f>
        <v>2.0336964719999999</v>
      </c>
      <c r="CH145">
        <f>2.033957165</f>
        <v>2.0339571649999999</v>
      </c>
      <c r="CI145">
        <f>2.175103522</f>
        <v>2.1751035220000001</v>
      </c>
      <c r="CJ145">
        <f>1.860592939</f>
        <v>1.860592939</v>
      </c>
      <c r="CK145">
        <f>2.063043599</f>
        <v>2.0630435989999998</v>
      </c>
      <c r="CL145">
        <f>2.154327152</f>
        <v>2.154327152</v>
      </c>
      <c r="CM145">
        <f>2.304083328</f>
        <v>2.3040833279999999</v>
      </c>
      <c r="CN145">
        <f>1.779489396</f>
        <v>1.779489396</v>
      </c>
      <c r="CO145">
        <f>1.987515023</f>
        <v>1.987515023</v>
      </c>
      <c r="CP145">
        <f>1.956359738</f>
        <v>1.956359738</v>
      </c>
      <c r="CQ145">
        <f>1.873409538</f>
        <v>1.873409538</v>
      </c>
      <c r="CR145">
        <f>1.764704118</f>
        <v>1.764704118</v>
      </c>
      <c r="CS145">
        <f>1.869302718</f>
        <v>1.8693027179999999</v>
      </c>
      <c r="CT145">
        <f>1.968533994</f>
        <v>1.968533994</v>
      </c>
      <c r="CU145">
        <f>2.085161839</f>
        <v>2.085161839</v>
      </c>
      <c r="CV145">
        <f>1.612000653</f>
        <v>1.612000653</v>
      </c>
      <c r="CW145">
        <f>2.124838013</f>
        <v>2.1248380130000002</v>
      </c>
      <c r="CX145">
        <f>1.987456464</f>
        <v>1.9874564640000001</v>
      </c>
      <c r="CY145">
        <f>2.198603566</f>
        <v>2.1986035660000001</v>
      </c>
      <c r="CZ145" t="str">
        <f>""</f>
        <v/>
      </c>
      <c r="DA145">
        <f>2.073108173</f>
        <v>2.0731081730000001</v>
      </c>
      <c r="DB145">
        <f>2.186989432</f>
        <v>2.1869894319999998</v>
      </c>
      <c r="DC145">
        <f>3.763033765</f>
        <v>3.7630337649999999</v>
      </c>
      <c r="DD145" t="str">
        <f>""</f>
        <v/>
      </c>
      <c r="DE145" t="str">
        <f>""</f>
        <v/>
      </c>
      <c r="DF145">
        <f>2.300381092</f>
        <v>2.3003810919999998</v>
      </c>
      <c r="DG145">
        <f>4.806184506</f>
        <v>4.8061845060000001</v>
      </c>
      <c r="DH145" t="str">
        <f>""</f>
        <v/>
      </c>
      <c r="DI145" t="str">
        <f>""</f>
        <v/>
      </c>
      <c r="DJ145">
        <f>2.270518866</f>
        <v>2.2705188660000002</v>
      </c>
      <c r="DK145">
        <f>3.829213927</f>
        <v>3.8292139270000001</v>
      </c>
      <c r="DL145">
        <f>2.486074906</f>
        <v>2.4860749059999998</v>
      </c>
      <c r="DM145" t="str">
        <f>""</f>
        <v/>
      </c>
      <c r="DN145" t="str">
        <f>""</f>
        <v/>
      </c>
      <c r="DO145">
        <f>2.182521866</f>
        <v>2.1825218660000001</v>
      </c>
      <c r="DP145">
        <f>2.681624004</f>
        <v>2.6816240040000001</v>
      </c>
      <c r="DQ145">
        <f>2.168481409</f>
        <v>2.168481409</v>
      </c>
      <c r="DR145">
        <f>2.161045758</f>
        <v>2.1610457580000002</v>
      </c>
      <c r="DS145">
        <f>2.274044069</f>
        <v>2.2740440689999999</v>
      </c>
      <c r="DT145">
        <f>2.636736578</f>
        <v>2.6367365779999998</v>
      </c>
      <c r="DU145">
        <f>2.673261456</f>
        <v>2.6732614560000001</v>
      </c>
    </row>
    <row r="146" spans="1:125">
      <c r="A146" t="str">
        <f>"    Mid-America Apartment Communit"</f>
        <v xml:space="preserve">    Mid-America Apartment Communit</v>
      </c>
      <c r="B146" t="str">
        <f>"MAA US Equity"</f>
        <v>MAA US Equity</v>
      </c>
      <c r="C146" t="str">
        <f t="shared" si="45"/>
        <v>RR553</v>
      </c>
      <c r="D146" t="str">
        <f t="shared" si="46"/>
        <v>EBITDA_RE_ASSET</v>
      </c>
      <c r="E146" t="str">
        <f t="shared" si="47"/>
        <v>动态</v>
      </c>
      <c r="F146" t="str">
        <f ca="1">IF(AND(ISNUMBER($F$354),$B$226=1),$F$354,HLOOKUP(INDIRECT(ADDRESS(2,COLUMN())),OFFSET($BN$2,0,0,ROW()-1,60),ROW()-1,FALSE))</f>
        <v/>
      </c>
      <c r="G146">
        <f ca="1">IF(AND(ISNUMBER($G$354),$B$226=1),$G$354,HLOOKUP(INDIRECT(ADDRESS(2,COLUMN())),OFFSET($BN$2,0,0,ROW()-1,60),ROW()-1,FALSE))</f>
        <v>1.9185531709999999</v>
      </c>
      <c r="H146">
        <f ca="1">IF(AND(ISNUMBER($H$354),$B$226=1),$H$354,HLOOKUP(INDIRECT(ADDRESS(2,COLUMN())),OFFSET($BN$2,0,0,ROW()-1,60),ROW()-1,FALSE))</f>
        <v>1.8870927</v>
      </c>
      <c r="I146">
        <f ca="1">IF(AND(ISNUMBER($I$354),$B$226=1),$I$354,HLOOKUP(INDIRECT(ADDRESS(2,COLUMN())),OFFSET($BN$2,0,0,ROW()-1,60),ROW()-1,FALSE))</f>
        <v>1.8807197980000001</v>
      </c>
      <c r="J146">
        <f ca="1">IF(AND(ISNUMBER($J$354),$B$226=1),$J$354,HLOOKUP(INDIRECT(ADDRESS(2,COLUMN())),OFFSET($BN$2,0,0,ROW()-1,60),ROW()-1,FALSE))</f>
        <v>1.826886784</v>
      </c>
      <c r="K146">
        <f ca="1">IF(AND(ISNUMBER($K$354),$B$226=1),$K$354,HLOOKUP(INDIRECT(ADDRESS(2,COLUMN())),OFFSET($BN$2,0,0,ROW()-1,60),ROW()-1,FALSE))</f>
        <v>1.2328487159999999</v>
      </c>
      <c r="L146">
        <f ca="1">IF(AND(ISNUMBER($L$354),$B$226=1),$L$354,HLOOKUP(INDIRECT(ADDRESS(2,COLUMN())),OFFSET($BN$2,0,0,ROW()-1,60),ROW()-1,FALSE))</f>
        <v>2.2300738440000001</v>
      </c>
      <c r="M146">
        <f ca="1">IF(AND(ISNUMBER($M$354),$B$226=1),$M$354,HLOOKUP(INDIRECT(ADDRESS(2,COLUMN())),OFFSET($BN$2,0,0,ROW()-1,60),ROW()-1,FALSE))</f>
        <v>2.274626875</v>
      </c>
      <c r="N146">
        <f ca="1">IF(AND(ISNUMBER($N$354),$B$226=1),$N$354,HLOOKUP(INDIRECT(ADDRESS(2,COLUMN())),OFFSET($BN$2,0,0,ROW()-1,60),ROW()-1,FALSE))</f>
        <v>2.261672956</v>
      </c>
      <c r="O146">
        <f ca="1">IF(AND(ISNUMBER($O$354),$B$226=1),$O$354,HLOOKUP(INDIRECT(ADDRESS(2,COLUMN())),OFFSET($BN$2,0,0,ROW()-1,60),ROW()-1,FALSE))</f>
        <v>2.2166997149999998</v>
      </c>
      <c r="P146">
        <f ca="1">IF(AND(ISNUMBER($P$354),$B$226=1),$P$354,HLOOKUP(INDIRECT(ADDRESS(2,COLUMN())),OFFSET($BN$2,0,0,ROW()-1,60),ROW()-1,FALSE))</f>
        <v>2.1782243480000001</v>
      </c>
      <c r="Q146">
        <f ca="1">IF(AND(ISNUMBER($Q$354),$B$226=1),$Q$354,HLOOKUP(INDIRECT(ADDRESS(2,COLUMN())),OFFSET($BN$2,0,0,ROW()-1,60),ROW()-1,FALSE))</f>
        <v>2.1952377269999999</v>
      </c>
      <c r="R146">
        <f ca="1">IF(AND(ISNUMBER($R$354),$B$226=1),$R$354,HLOOKUP(INDIRECT(ADDRESS(2,COLUMN())),OFFSET($BN$2,0,0,ROW()-1,60),ROW()-1,FALSE))</f>
        <v>2.1883252670000002</v>
      </c>
      <c r="S146">
        <f ca="1">IF(AND(ISNUMBER($S$354),$B$226=1),$S$354,HLOOKUP(INDIRECT(ADDRESS(2,COLUMN())),OFFSET($BN$2,0,0,ROW()-1,60),ROW()-1,FALSE))</f>
        <v>2.0488665340000001</v>
      </c>
      <c r="T146">
        <f ca="1">IF(AND(ISNUMBER($T$354),$B$226=1),$T$354,HLOOKUP(INDIRECT(ADDRESS(2,COLUMN())),OFFSET($BN$2,0,0,ROW()-1,60),ROW()-1,FALSE))</f>
        <v>2.0755182849999998</v>
      </c>
      <c r="U146">
        <f ca="1">IF(AND(ISNUMBER($U$354),$B$226=1),$U$354,HLOOKUP(INDIRECT(ADDRESS(2,COLUMN())),OFFSET($BN$2,0,0,ROW()-1,60),ROW()-1,FALSE))</f>
        <v>1.95512398</v>
      </c>
      <c r="V146">
        <f ca="1">IF(AND(ISNUMBER($V$354),$B$226=1),$V$354,HLOOKUP(INDIRECT(ADDRESS(2,COLUMN())),OFFSET($BN$2,0,0,ROW()-1,60),ROW()-1,FALSE))</f>
        <v>2.0002809340000001</v>
      </c>
      <c r="W146">
        <f ca="1">IF(AND(ISNUMBER($W$354),$B$226=1),$W$354,HLOOKUP(INDIRECT(ADDRESS(2,COLUMN())),OFFSET($BN$2,0,0,ROW()-1,60),ROW()-1,FALSE))</f>
        <v>1.6212948060000001</v>
      </c>
      <c r="X146">
        <f ca="1">IF(AND(ISNUMBER($X$354),$B$226=1),$X$354,HLOOKUP(INDIRECT(ADDRESS(2,COLUMN())),OFFSET($BN$2,0,0,ROW()-1,60),ROW()-1,FALSE))</f>
        <v>2.43508353</v>
      </c>
      <c r="Y146">
        <f ca="1">IF(AND(ISNUMBER($Y$354),$B$226=1),$Y$354,HLOOKUP(INDIRECT(ADDRESS(2,COLUMN())),OFFSET($BN$2,0,0,ROW()-1,60),ROW()-1,FALSE))</f>
        <v>2.39976235</v>
      </c>
      <c r="Z146">
        <f ca="1">IF(AND(ISNUMBER($Z$354),$B$226=1),$Z$354,HLOOKUP(INDIRECT(ADDRESS(2,COLUMN())),OFFSET($BN$2,0,0,ROW()-1,60),ROW()-1,FALSE))</f>
        <v>2.6169710670000002</v>
      </c>
      <c r="AA146">
        <f ca="1">IF(AND(ISNUMBER($AA$354),$B$226=1),$AA$354,HLOOKUP(INDIRECT(ADDRESS(2,COLUMN())),OFFSET($BN$2,0,0,ROW()-1,60),ROW()-1,FALSE))</f>
        <v>2.5861604979999999</v>
      </c>
      <c r="AB146">
        <f ca="1">IF(AND(ISNUMBER($AB$354),$B$226=1),$AB$354,HLOOKUP(INDIRECT(ADDRESS(2,COLUMN())),OFFSET($BN$2,0,0,ROW()-1,60),ROW()-1,FALSE))</f>
        <v>2.3698793820000001</v>
      </c>
      <c r="AC146">
        <f ca="1">IF(AND(ISNUMBER($AC$354),$B$226=1),$AC$354,HLOOKUP(INDIRECT(ADDRESS(2,COLUMN())),OFFSET($BN$2,0,0,ROW()-1,60),ROW()-1,FALSE))</f>
        <v>2.4976326599999998</v>
      </c>
      <c r="AD146">
        <f ca="1">IF(AND(ISNUMBER($AD$354),$B$226=1),$AD$354,HLOOKUP(INDIRECT(ADDRESS(2,COLUMN())),OFFSET($BN$2,0,0,ROW()-1,60),ROW()-1,FALSE))</f>
        <v>2.5446941070000002</v>
      </c>
      <c r="AE146">
        <f ca="1">IF(AND(ISNUMBER($AE$354),$B$226=1),$AE$354,HLOOKUP(INDIRECT(ADDRESS(2,COLUMN())),OFFSET($BN$2,0,0,ROW()-1,60),ROW()-1,FALSE))</f>
        <v>2.3964356910000002</v>
      </c>
      <c r="AF146">
        <f ca="1">IF(AND(ISNUMBER($AF$354),$B$226=1),$AF$354,HLOOKUP(INDIRECT(ADDRESS(2,COLUMN())),OFFSET($BN$2,0,0,ROW()-1,60),ROW()-1,FALSE))</f>
        <v>2.3586766309999998</v>
      </c>
      <c r="AG146">
        <f ca="1">IF(AND(ISNUMBER($AG$354),$B$226=1),$AG$354,HLOOKUP(INDIRECT(ADDRESS(2,COLUMN())),OFFSET($BN$2,0,0,ROW()-1,60),ROW()-1,FALSE))</f>
        <v>2.2591288409999999</v>
      </c>
      <c r="AH146" t="str">
        <f ca="1">IF(AND(ISNUMBER($AH$354),$B$226=1),$AH$354,HLOOKUP(INDIRECT(ADDRESS(2,COLUMN())),OFFSET($BN$2,0,0,ROW()-1,60),ROW()-1,FALSE))</f>
        <v/>
      </c>
      <c r="AI146" t="str">
        <f ca="1">IF(AND(ISNUMBER($AI$354),$B$226=1),$AI$354,HLOOKUP(INDIRECT(ADDRESS(2,COLUMN())),OFFSET($BN$2,0,0,ROW()-1,60),ROW()-1,FALSE))</f>
        <v/>
      </c>
      <c r="AJ146" t="str">
        <f ca="1">IF(AND(ISNUMBER($AJ$354),$B$226=1),$AJ$354,HLOOKUP(INDIRECT(ADDRESS(2,COLUMN())),OFFSET($BN$2,0,0,ROW()-1,60),ROW()-1,FALSE))</f>
        <v/>
      </c>
      <c r="AK146" t="str">
        <f ca="1">IF(AND(ISNUMBER($AK$354),$B$226=1),$AK$354,HLOOKUP(INDIRECT(ADDRESS(2,COLUMN())),OFFSET($BN$2,0,0,ROW()-1,60),ROW()-1,FALSE))</f>
        <v/>
      </c>
      <c r="AL146" t="str">
        <f ca="1">IF(AND(ISNUMBER($AL$354),$B$226=1),$AL$354,HLOOKUP(INDIRECT(ADDRESS(2,COLUMN())),OFFSET($BN$2,0,0,ROW()-1,60),ROW()-1,FALSE))</f>
        <v/>
      </c>
      <c r="AM146" t="str">
        <f ca="1">IF(AND(ISNUMBER($AM$354),$B$226=1),$AM$354,HLOOKUP(INDIRECT(ADDRESS(2,COLUMN())),OFFSET($BN$2,0,0,ROW()-1,60),ROW()-1,FALSE))</f>
        <v/>
      </c>
      <c r="AN146" t="str">
        <f ca="1">IF(AND(ISNUMBER($AN$354),$B$226=1),$AN$354,HLOOKUP(INDIRECT(ADDRESS(2,COLUMN())),OFFSET($BN$2,0,0,ROW()-1,60),ROW()-1,FALSE))</f>
        <v/>
      </c>
      <c r="AO146" t="str">
        <f ca="1">IF(AND(ISNUMBER($AO$354),$B$226=1),$AO$354,HLOOKUP(INDIRECT(ADDRESS(2,COLUMN())),OFFSET($BN$2,0,0,ROW()-1,60),ROW()-1,FALSE))</f>
        <v/>
      </c>
      <c r="AP146" t="str">
        <f ca="1">IF(AND(ISNUMBER($AP$354),$B$226=1),$AP$354,HLOOKUP(INDIRECT(ADDRESS(2,COLUMN())),OFFSET($BN$2,0,0,ROW()-1,60),ROW()-1,FALSE))</f>
        <v/>
      </c>
      <c r="AQ146">
        <f ca="1">IF(AND(ISNUMBER($AQ$354),$B$226=1),$AQ$354,HLOOKUP(INDIRECT(ADDRESS(2,COLUMN())),OFFSET($BN$2,0,0,ROW()-1,60),ROW()-1,FALSE))</f>
        <v>2.6439356329999999</v>
      </c>
      <c r="AR146">
        <f ca="1">IF(AND(ISNUMBER($AR$354),$B$226=1),$AR$354,HLOOKUP(INDIRECT(ADDRESS(2,COLUMN())),OFFSET($BN$2,0,0,ROW()-1,60),ROW()-1,FALSE))</f>
        <v>2.482351564</v>
      </c>
      <c r="AS146">
        <f ca="1">IF(AND(ISNUMBER($AS$354),$B$226=1),$AS$354,HLOOKUP(INDIRECT(ADDRESS(2,COLUMN())),OFFSET($BN$2,0,0,ROW()-1,60),ROW()-1,FALSE))</f>
        <v>2.5997163150000002</v>
      </c>
      <c r="AT146">
        <f ca="1">IF(AND(ISNUMBER($AT$354),$B$226=1),$AT$354,HLOOKUP(INDIRECT(ADDRESS(2,COLUMN())),OFFSET($BN$2,0,0,ROW()-1,60),ROW()-1,FALSE))</f>
        <v>2.7219538609999998</v>
      </c>
      <c r="AU146">
        <f ca="1">IF(AND(ISNUMBER($AU$354),$B$226=1),$AU$354,HLOOKUP(INDIRECT(ADDRESS(2,COLUMN())),OFFSET($BN$2,0,0,ROW()-1,60),ROW()-1,FALSE))</f>
        <v>2.812293489</v>
      </c>
      <c r="AV146">
        <f ca="1">IF(AND(ISNUMBER($AV$354),$B$226=1),$AV$354,HLOOKUP(INDIRECT(ADDRESS(2,COLUMN())),OFFSET($BN$2,0,0,ROW()-1,60),ROW()-1,FALSE))</f>
        <v>2.6031044639999998</v>
      </c>
      <c r="AW146">
        <f ca="1">IF(AND(ISNUMBER($AW$354),$B$226=1),$AW$354,HLOOKUP(INDIRECT(ADDRESS(2,COLUMN())),OFFSET($BN$2,0,0,ROW()-1,60),ROW()-1,FALSE))</f>
        <v>2.6076188660000001</v>
      </c>
      <c r="AX146">
        <f ca="1">IF(AND(ISNUMBER($AX$354),$B$226=1),$AX$354,HLOOKUP(INDIRECT(ADDRESS(2,COLUMN())),OFFSET($BN$2,0,0,ROW()-1,60),ROW()-1,FALSE))</f>
        <v>2.6341945299999998</v>
      </c>
      <c r="AY146">
        <f ca="1">IF(AND(ISNUMBER($AY$354),$B$226=1),$AY$354,HLOOKUP(INDIRECT(ADDRESS(2,COLUMN())),OFFSET($BN$2,0,0,ROW()-1,60),ROW()-1,FALSE))</f>
        <v>2.5936501029999999</v>
      </c>
      <c r="AZ146">
        <f ca="1">IF(AND(ISNUMBER($AZ$354),$B$226=1),$AZ$354,HLOOKUP(INDIRECT(ADDRESS(2,COLUMN())),OFFSET($BN$2,0,0,ROW()-1,60),ROW()-1,FALSE))</f>
        <v>2.5308500390000002</v>
      </c>
      <c r="BA146">
        <f ca="1">IF(AND(ISNUMBER($BA$354),$B$226=1),$BA$354,HLOOKUP(INDIRECT(ADDRESS(2,COLUMN())),OFFSET($BN$2,0,0,ROW()-1,60),ROW()-1,FALSE))</f>
        <v>2.6710860809999999</v>
      </c>
      <c r="BB146">
        <f ca="1">IF(AND(ISNUMBER($BB$354),$B$226=1),$BB$354,HLOOKUP(INDIRECT(ADDRESS(2,COLUMN())),OFFSET($BN$2,0,0,ROW()-1,60),ROW()-1,FALSE))</f>
        <v>2.647217859</v>
      </c>
      <c r="BC146">
        <f ca="1">IF(AND(ISNUMBER($BC$354),$B$226=1),$BC$354,HLOOKUP(INDIRECT(ADDRESS(2,COLUMN())),OFFSET($BN$2,0,0,ROW()-1,60),ROW()-1,FALSE))</f>
        <v>2.6675689220000001</v>
      </c>
      <c r="BD146">
        <f ca="1">IF(AND(ISNUMBER($BD$354),$B$226=1),$BD$354,HLOOKUP(INDIRECT(ADDRESS(2,COLUMN())),OFFSET($BN$2,0,0,ROW()-1,60),ROW()-1,FALSE))</f>
        <v>2.4967113900000002</v>
      </c>
      <c r="BE146">
        <f ca="1">IF(AND(ISNUMBER($BE$354),$B$226=1),$BE$354,HLOOKUP(INDIRECT(ADDRESS(2,COLUMN())),OFFSET($BN$2,0,0,ROW()-1,60),ROW()-1,FALSE))</f>
        <v>2.5469760589999999</v>
      </c>
      <c r="BF146">
        <f ca="1">IF(AND(ISNUMBER($BF$354),$B$226=1),$BF$354,HLOOKUP(INDIRECT(ADDRESS(2,COLUMN())),OFFSET($BN$2,0,0,ROW()-1,60),ROW()-1,FALSE))</f>
        <v>2.4472775269999998</v>
      </c>
      <c r="BG146">
        <f ca="1">IF(AND(ISNUMBER($BG$354),$B$226=1),$BG$354,HLOOKUP(INDIRECT(ADDRESS(2,COLUMN())),OFFSET($BN$2,0,0,ROW()-1,60),ROW()-1,FALSE))</f>
        <v>2.436449965</v>
      </c>
      <c r="BH146">
        <f ca="1">IF(AND(ISNUMBER($BH$354),$B$226=1),$BH$354,HLOOKUP(INDIRECT(ADDRESS(2,COLUMN())),OFFSET($BN$2,0,0,ROW()-1,60),ROW()-1,FALSE))</f>
        <v>2.4698220260000001</v>
      </c>
      <c r="BI146">
        <f ca="1">IF(AND(ISNUMBER($BI$354),$B$226=1),$BI$354,HLOOKUP(INDIRECT(ADDRESS(2,COLUMN())),OFFSET($BN$2,0,0,ROW()-1,60),ROW()-1,FALSE))</f>
        <v>2.4618478000000001</v>
      </c>
      <c r="BJ146">
        <f ca="1">IF(AND(ISNUMBER($BJ$354),$B$226=1),$BJ$354,HLOOKUP(INDIRECT(ADDRESS(2,COLUMN())),OFFSET($BN$2,0,0,ROW()-1,60),ROW()-1,FALSE))</f>
        <v>2.4956714949999999</v>
      </c>
      <c r="BK146">
        <f ca="1">IF(AND(ISNUMBER($BK$354),$B$226=1),$BK$354,HLOOKUP(INDIRECT(ADDRESS(2,COLUMN())),OFFSET($BN$2,0,0,ROW()-1,60),ROW()-1,FALSE))</f>
        <v>2.4305969310000002</v>
      </c>
      <c r="BL146">
        <f ca="1">IF(AND(ISNUMBER($BL$354),$B$226=1),$BL$354,HLOOKUP(INDIRECT(ADDRESS(2,COLUMN())),OFFSET($BN$2,0,0,ROW()-1,60),ROW()-1,FALSE))</f>
        <v>2.3060741660000001</v>
      </c>
      <c r="BM146">
        <f ca="1">IF(AND(ISNUMBER($BM$354),$B$226=1),$BM$354,HLOOKUP(INDIRECT(ADDRESS(2,COLUMN())),OFFSET($BN$2,0,0,ROW()-1,60),ROW()-1,FALSE))</f>
        <v>2.586842818</v>
      </c>
      <c r="BN146" t="str">
        <f>""</f>
        <v/>
      </c>
      <c r="BO146">
        <f>1.918553171</f>
        <v>1.9185531709999999</v>
      </c>
      <c r="BP146">
        <f>1.8870927</f>
        <v>1.8870927</v>
      </c>
      <c r="BQ146">
        <f>1.880719798</f>
        <v>1.8807197980000001</v>
      </c>
      <c r="BR146">
        <f>1.826886784</f>
        <v>1.826886784</v>
      </c>
      <c r="BS146">
        <f>1.232848716</f>
        <v>1.2328487159999999</v>
      </c>
      <c r="BT146">
        <f>2.230073844</f>
        <v>2.2300738440000001</v>
      </c>
      <c r="BU146">
        <f>2.274626875</f>
        <v>2.274626875</v>
      </c>
      <c r="BV146">
        <f>2.261672956</f>
        <v>2.261672956</v>
      </c>
      <c r="BW146">
        <f>2.216699715</f>
        <v>2.2166997149999998</v>
      </c>
      <c r="BX146">
        <f>2.178224348</f>
        <v>2.1782243480000001</v>
      </c>
      <c r="BY146">
        <f>2.195237727</f>
        <v>2.1952377269999999</v>
      </c>
      <c r="BZ146">
        <f>2.188325267</f>
        <v>2.1883252670000002</v>
      </c>
      <c r="CA146">
        <f>2.048866534</f>
        <v>2.0488665340000001</v>
      </c>
      <c r="CB146">
        <f>2.075518285</f>
        <v>2.0755182849999998</v>
      </c>
      <c r="CC146">
        <f>1.95512398</f>
        <v>1.95512398</v>
      </c>
      <c r="CD146">
        <f>2.000280934</f>
        <v>2.0002809340000001</v>
      </c>
      <c r="CE146">
        <f>1.621294806</f>
        <v>1.6212948060000001</v>
      </c>
      <c r="CF146">
        <f>2.43508353</f>
        <v>2.43508353</v>
      </c>
      <c r="CG146">
        <f>2.39976235</f>
        <v>2.39976235</v>
      </c>
      <c r="CH146">
        <f>2.616971067</f>
        <v>2.6169710670000002</v>
      </c>
      <c r="CI146">
        <f>2.586160498</f>
        <v>2.5861604979999999</v>
      </c>
      <c r="CJ146">
        <f>2.369879382</f>
        <v>2.3698793820000001</v>
      </c>
      <c r="CK146">
        <f>2.49763266</f>
        <v>2.4976326599999998</v>
      </c>
      <c r="CL146">
        <f>2.544694107</f>
        <v>2.5446941070000002</v>
      </c>
      <c r="CM146">
        <f>2.396435691</f>
        <v>2.3964356910000002</v>
      </c>
      <c r="CN146">
        <f>2.358676631</f>
        <v>2.3586766309999998</v>
      </c>
      <c r="CO146">
        <f>2.259128841</f>
        <v>2.2591288409999999</v>
      </c>
      <c r="CP146" t="str">
        <f>""</f>
        <v/>
      </c>
      <c r="CQ146" t="str">
        <f>""</f>
        <v/>
      </c>
      <c r="CR146" t="str">
        <f>""</f>
        <v/>
      </c>
      <c r="CS146" t="str">
        <f>""</f>
        <v/>
      </c>
      <c r="CT146" t="str">
        <f>""</f>
        <v/>
      </c>
      <c r="CU146" t="str">
        <f>""</f>
        <v/>
      </c>
      <c r="CV146" t="str">
        <f>""</f>
        <v/>
      </c>
      <c r="CW146" t="str">
        <f>""</f>
        <v/>
      </c>
      <c r="CX146" t="str">
        <f>""</f>
        <v/>
      </c>
      <c r="CY146">
        <f>2.643935633</f>
        <v>2.6439356329999999</v>
      </c>
      <c r="CZ146">
        <f>2.482351564</f>
        <v>2.482351564</v>
      </c>
      <c r="DA146">
        <f>2.599716315</f>
        <v>2.5997163150000002</v>
      </c>
      <c r="DB146">
        <f>2.721953861</f>
        <v>2.7219538609999998</v>
      </c>
      <c r="DC146">
        <f>2.812293489</f>
        <v>2.812293489</v>
      </c>
      <c r="DD146">
        <f>2.603104464</f>
        <v>2.6031044639999998</v>
      </c>
      <c r="DE146">
        <f>2.607618866</f>
        <v>2.6076188660000001</v>
      </c>
      <c r="DF146">
        <f>2.63419453</f>
        <v>2.6341945299999998</v>
      </c>
      <c r="DG146">
        <f>2.593650103</f>
        <v>2.5936501029999999</v>
      </c>
      <c r="DH146">
        <f>2.530850039</f>
        <v>2.5308500390000002</v>
      </c>
      <c r="DI146">
        <f>2.671086081</f>
        <v>2.6710860809999999</v>
      </c>
      <c r="DJ146">
        <f>2.647217859</f>
        <v>2.647217859</v>
      </c>
      <c r="DK146">
        <f>2.667568922</f>
        <v>2.6675689220000001</v>
      </c>
      <c r="DL146">
        <f>2.49671139</f>
        <v>2.4967113900000002</v>
      </c>
      <c r="DM146">
        <f>2.546976059</f>
        <v>2.5469760589999999</v>
      </c>
      <c r="DN146">
        <f>2.447277527</f>
        <v>2.4472775269999998</v>
      </c>
      <c r="DO146">
        <f>2.436449965</f>
        <v>2.436449965</v>
      </c>
      <c r="DP146">
        <f>2.469822026</f>
        <v>2.4698220260000001</v>
      </c>
      <c r="DQ146">
        <f>2.4618478</f>
        <v>2.4618478000000001</v>
      </c>
      <c r="DR146">
        <f>2.495671495</f>
        <v>2.4956714949999999</v>
      </c>
      <c r="DS146">
        <f>2.430596931</f>
        <v>2.4305969310000002</v>
      </c>
      <c r="DT146">
        <f>2.306074166</f>
        <v>2.3060741660000001</v>
      </c>
      <c r="DU146">
        <f>2.586842818</f>
        <v>2.586842818</v>
      </c>
    </row>
    <row r="147" spans="1:125">
      <c r="A147" t="str">
        <f>"    UDR Inc"</f>
        <v xml:space="preserve">    UDR Inc</v>
      </c>
      <c r="B147" t="str">
        <f>"UDR US Equity"</f>
        <v>UDR US Equity</v>
      </c>
      <c r="C147" t="str">
        <f t="shared" si="45"/>
        <v>RR553</v>
      </c>
      <c r="D147" t="str">
        <f t="shared" si="46"/>
        <v>EBITDA_RE_ASSET</v>
      </c>
      <c r="E147" t="str">
        <f t="shared" si="47"/>
        <v>动态</v>
      </c>
      <c r="F147" t="str">
        <f ca="1">IF(AND(ISNUMBER($F$355),$B$226=1),$F$355,HLOOKUP(INDIRECT(ADDRESS(2,COLUMN())),OFFSET($BN$2,0,0,ROW()-1,60),ROW()-1,FALSE))</f>
        <v/>
      </c>
      <c r="G147">
        <f ca="1">IF(AND(ISNUMBER($G$355),$B$226=1),$G$355,HLOOKUP(INDIRECT(ADDRESS(2,COLUMN())),OFFSET($BN$2,0,0,ROW()-1,60),ROW()-1,FALSE))</f>
        <v>2.0868449400000002</v>
      </c>
      <c r="H147">
        <f ca="1">IF(AND(ISNUMBER($H$355),$B$226=1),$H$355,HLOOKUP(INDIRECT(ADDRESS(2,COLUMN())),OFFSET($BN$2,0,0,ROW()-1,60),ROW()-1,FALSE))</f>
        <v>2.0265178389999998</v>
      </c>
      <c r="I147">
        <f ca="1">IF(AND(ISNUMBER($I$355),$B$226=1),$I$355,HLOOKUP(INDIRECT(ADDRESS(2,COLUMN())),OFFSET($BN$2,0,0,ROW()-1,60),ROW()-1,FALSE))</f>
        <v>2.0508717870000002</v>
      </c>
      <c r="J147">
        <f ca="1">IF(AND(ISNUMBER($J$355),$B$226=1),$J$355,HLOOKUP(INDIRECT(ADDRESS(2,COLUMN())),OFFSET($BN$2,0,0,ROW()-1,60),ROW()-1,FALSE))</f>
        <v>2.0020556100000002</v>
      </c>
      <c r="K147">
        <f ca="1">IF(AND(ISNUMBER($K$355),$B$226=1),$K$355,HLOOKUP(INDIRECT(ADDRESS(2,COLUMN())),OFFSET($BN$2,0,0,ROW()-1,60),ROW()-1,FALSE))</f>
        <v>2.0305366419999999</v>
      </c>
      <c r="L147">
        <f ca="1">IF(AND(ISNUMBER($L$355),$B$226=1),$L$355,HLOOKUP(INDIRECT(ADDRESS(2,COLUMN())),OFFSET($BN$2,0,0,ROW()-1,60),ROW()-1,FALSE))</f>
        <v>2.0636160860000001</v>
      </c>
      <c r="M147">
        <f ca="1">IF(AND(ISNUMBER($M$355),$B$226=1),$M$355,HLOOKUP(INDIRECT(ADDRESS(2,COLUMN())),OFFSET($BN$2,0,0,ROW()-1,60),ROW()-1,FALSE))</f>
        <v>2.0083289820000001</v>
      </c>
      <c r="N147">
        <f ca="1">IF(AND(ISNUMBER($N$355),$B$226=1),$N$355,HLOOKUP(INDIRECT(ADDRESS(2,COLUMN())),OFFSET($BN$2,0,0,ROW()-1,60),ROW()-1,FALSE))</f>
        <v>1.9473485260000001</v>
      </c>
      <c r="O147">
        <f ca="1">IF(AND(ISNUMBER($O$355),$B$226=1),$O$355,HLOOKUP(INDIRECT(ADDRESS(2,COLUMN())),OFFSET($BN$2,0,0,ROW()-1,60),ROW()-1,FALSE))</f>
        <v>1.888557971</v>
      </c>
      <c r="P147" t="str">
        <f ca="1">IF(AND(ISNUMBER($P$355),$B$226=1),$P$355,HLOOKUP(INDIRECT(ADDRESS(2,COLUMN())),OFFSET($BN$2,0,0,ROW()-1,60),ROW()-1,FALSE))</f>
        <v/>
      </c>
      <c r="Q147">
        <f ca="1">IF(AND(ISNUMBER($Q$355),$B$226=1),$Q$355,HLOOKUP(INDIRECT(ADDRESS(2,COLUMN())),OFFSET($BN$2,0,0,ROW()-1,60),ROW()-1,FALSE))</f>
        <v>1.9322297049999999</v>
      </c>
      <c r="R147">
        <f ca="1">IF(AND(ISNUMBER($R$355),$B$226=1),$R$355,HLOOKUP(INDIRECT(ADDRESS(2,COLUMN())),OFFSET($BN$2,0,0,ROW()-1,60),ROW()-1,FALSE))</f>
        <v>2.0217769489999999</v>
      </c>
      <c r="S147">
        <f ca="1">IF(AND(ISNUMBER($S$355),$B$226=1),$S$355,HLOOKUP(INDIRECT(ADDRESS(2,COLUMN())),OFFSET($BN$2,0,0,ROW()-1,60),ROW()-1,FALSE))</f>
        <v>1.9133427789999999</v>
      </c>
      <c r="T147" t="str">
        <f ca="1">IF(AND(ISNUMBER($T$355),$B$226=1),$T$355,HLOOKUP(INDIRECT(ADDRESS(2,COLUMN())),OFFSET($BN$2,0,0,ROW()-1,60),ROW()-1,FALSE))</f>
        <v/>
      </c>
      <c r="U147" t="str">
        <f ca="1">IF(AND(ISNUMBER($U$355),$B$226=1),$U$355,HLOOKUP(INDIRECT(ADDRESS(2,COLUMN())),OFFSET($BN$2,0,0,ROW()-1,60),ROW()-1,FALSE))</f>
        <v/>
      </c>
      <c r="V147">
        <f ca="1">IF(AND(ISNUMBER($V$355),$B$226=1),$V$355,HLOOKUP(INDIRECT(ADDRESS(2,COLUMN())),OFFSET($BN$2,0,0,ROW()-1,60),ROW()-1,FALSE))</f>
        <v>1.7494497710000001</v>
      </c>
      <c r="W147">
        <f ca="1">IF(AND(ISNUMBER($W$355),$B$226=1),$W$355,HLOOKUP(INDIRECT(ADDRESS(2,COLUMN())),OFFSET($BN$2,0,0,ROW()-1,60),ROW()-1,FALSE))</f>
        <v>1.7441767829999999</v>
      </c>
      <c r="X147">
        <f ca="1">IF(AND(ISNUMBER($X$355),$B$226=1),$X$355,HLOOKUP(INDIRECT(ADDRESS(2,COLUMN())),OFFSET($BN$2,0,0,ROW()-1,60),ROW()-1,FALSE))</f>
        <v>1.828425636</v>
      </c>
      <c r="Y147">
        <f ca="1">IF(AND(ISNUMBER($Y$355),$B$226=1),$Y$355,HLOOKUP(INDIRECT(ADDRESS(2,COLUMN())),OFFSET($BN$2,0,0,ROW()-1,60),ROW()-1,FALSE))</f>
        <v>1.799551846</v>
      </c>
      <c r="Z147">
        <f ca="1">IF(AND(ISNUMBER($Z$355),$B$226=1),$Z$355,HLOOKUP(INDIRECT(ADDRESS(2,COLUMN())),OFFSET($BN$2,0,0,ROW()-1,60),ROW()-1,FALSE))</f>
        <v>1.7042104229999999</v>
      </c>
      <c r="AA147">
        <f ca="1">IF(AND(ISNUMBER($AA$355),$B$226=1),$AA$355,HLOOKUP(INDIRECT(ADDRESS(2,COLUMN())),OFFSET($BN$2,0,0,ROW()-1,60),ROW()-1,FALSE))</f>
        <v>1.517747543</v>
      </c>
      <c r="AB147">
        <f ca="1">IF(AND(ISNUMBER($AB$355),$B$226=1),$AB$355,HLOOKUP(INDIRECT(ADDRESS(2,COLUMN())),OFFSET($BN$2,0,0,ROW()-1,60),ROW()-1,FALSE))</f>
        <v>1.640448533</v>
      </c>
      <c r="AC147">
        <f ca="1">IF(AND(ISNUMBER($AC$355),$B$226=1),$AC$355,HLOOKUP(INDIRECT(ADDRESS(2,COLUMN())),OFFSET($BN$2,0,0,ROW()-1,60),ROW()-1,FALSE))</f>
        <v>1.5229408419999999</v>
      </c>
      <c r="AD147">
        <f ca="1">IF(AND(ISNUMBER($AD$355),$B$226=1),$AD$355,HLOOKUP(INDIRECT(ADDRESS(2,COLUMN())),OFFSET($BN$2,0,0,ROW()-1,60),ROW()-1,FALSE))</f>
        <v>1.640693561</v>
      </c>
      <c r="AE147">
        <f ca="1">IF(AND(ISNUMBER($AE$355),$B$226=1),$AE$355,HLOOKUP(INDIRECT(ADDRESS(2,COLUMN())),OFFSET($BN$2,0,0,ROW()-1,60),ROW()-1,FALSE))</f>
        <v>1.597791996</v>
      </c>
      <c r="AF147">
        <f ca="1">IF(AND(ISNUMBER($AF$355),$B$226=1),$AF$355,HLOOKUP(INDIRECT(ADDRESS(2,COLUMN())),OFFSET($BN$2,0,0,ROW()-1,60),ROW()-1,FALSE))</f>
        <v>1.6663896499999999</v>
      </c>
      <c r="AG147">
        <f ca="1">IF(AND(ISNUMBER($AG$355),$B$226=1),$AG$355,HLOOKUP(INDIRECT(ADDRESS(2,COLUMN())),OFFSET($BN$2,0,0,ROW()-1,60),ROW()-1,FALSE))</f>
        <v>1.6851194700000001</v>
      </c>
      <c r="AH147">
        <f ca="1">IF(AND(ISNUMBER($AH$355),$B$226=1),$AH$355,HLOOKUP(INDIRECT(ADDRESS(2,COLUMN())),OFFSET($BN$2,0,0,ROW()-1,60),ROW()-1,FALSE))</f>
        <v>1.732259183</v>
      </c>
      <c r="AI147">
        <f ca="1">IF(AND(ISNUMBER($AI$355),$B$226=1),$AI$355,HLOOKUP(INDIRECT(ADDRESS(2,COLUMN())),OFFSET($BN$2,0,0,ROW()-1,60),ROW()-1,FALSE))</f>
        <v>1.549173736</v>
      </c>
      <c r="AJ147">
        <f ca="1">IF(AND(ISNUMBER($AJ$355),$B$226=1),$AJ$355,HLOOKUP(INDIRECT(ADDRESS(2,COLUMN())),OFFSET($BN$2,0,0,ROW()-1,60),ROW()-1,FALSE))</f>
        <v>1.6990933589999999</v>
      </c>
      <c r="AK147">
        <f ca="1">IF(AND(ISNUMBER($AK$355),$B$226=1),$AK$355,HLOOKUP(INDIRECT(ADDRESS(2,COLUMN())),OFFSET($BN$2,0,0,ROW()-1,60),ROW()-1,FALSE))</f>
        <v>1.741418586</v>
      </c>
      <c r="AL147">
        <f ca="1">IF(AND(ISNUMBER($AL$355),$B$226=1),$AL$355,HLOOKUP(INDIRECT(ADDRESS(2,COLUMN())),OFFSET($BN$2,0,0,ROW()-1,60),ROW()-1,FALSE))</f>
        <v>1.6535074729999999</v>
      </c>
      <c r="AM147">
        <f ca="1">IF(AND(ISNUMBER($AM$355),$B$226=1),$AM$355,HLOOKUP(INDIRECT(ADDRESS(2,COLUMN())),OFFSET($BN$2,0,0,ROW()-1,60),ROW()-1,FALSE))</f>
        <v>1.6629827829999999</v>
      </c>
      <c r="AN147">
        <f ca="1">IF(AND(ISNUMBER($AN$355),$B$226=1),$AN$355,HLOOKUP(INDIRECT(ADDRESS(2,COLUMN())),OFFSET($BN$2,0,0,ROW()-1,60),ROW()-1,FALSE))</f>
        <v>1.698799706</v>
      </c>
      <c r="AO147">
        <f ca="1">IF(AND(ISNUMBER($AO$355),$B$226=1),$AO$355,HLOOKUP(INDIRECT(ADDRESS(2,COLUMN())),OFFSET($BN$2,0,0,ROW()-1,60),ROW()-1,FALSE))</f>
        <v>1.944004351</v>
      </c>
      <c r="AP147">
        <f ca="1">IF(AND(ISNUMBER($AP$355),$B$226=1),$AP$355,HLOOKUP(INDIRECT(ADDRESS(2,COLUMN())),OFFSET($BN$2,0,0,ROW()-1,60),ROW()-1,FALSE))</f>
        <v>1.7419079449999999</v>
      </c>
      <c r="AQ147">
        <f ca="1">IF(AND(ISNUMBER($AQ$355),$B$226=1),$AQ$355,HLOOKUP(INDIRECT(ADDRESS(2,COLUMN())),OFFSET($BN$2,0,0,ROW()-1,60),ROW()-1,FALSE))</f>
        <v>2.949419298</v>
      </c>
      <c r="AR147">
        <f ca="1">IF(AND(ISNUMBER($AR$355),$B$226=1),$AR$355,HLOOKUP(INDIRECT(ADDRESS(2,COLUMN())),OFFSET($BN$2,0,0,ROW()-1,60),ROW()-1,FALSE))</f>
        <v>1.8068318720000001</v>
      </c>
      <c r="AS147">
        <f ca="1">IF(AND(ISNUMBER($AS$355),$B$226=1),$AS$355,HLOOKUP(INDIRECT(ADDRESS(2,COLUMN())),OFFSET($BN$2,0,0,ROW()-1,60),ROW()-1,FALSE))</f>
        <v>1.826060915</v>
      </c>
      <c r="AT147">
        <f ca="1">IF(AND(ISNUMBER($AT$355),$B$226=1),$AT$355,HLOOKUP(INDIRECT(ADDRESS(2,COLUMN())),OFFSET($BN$2,0,0,ROW()-1,60),ROW()-1,FALSE))</f>
        <v>1.680245617</v>
      </c>
      <c r="AU147">
        <f ca="1">IF(AND(ISNUMBER($AU$355),$B$226=1),$AU$355,HLOOKUP(INDIRECT(ADDRESS(2,COLUMN())),OFFSET($BN$2,0,0,ROW()-1,60),ROW()-1,FALSE))</f>
        <v>1.8734336119999999</v>
      </c>
      <c r="AV147">
        <f ca="1">IF(AND(ISNUMBER($AV$355),$B$226=1),$AV$355,HLOOKUP(INDIRECT(ADDRESS(2,COLUMN())),OFFSET($BN$2,0,0,ROW()-1,60),ROW()-1,FALSE))</f>
        <v>2.1771843799999999</v>
      </c>
      <c r="AW147">
        <f ca="1">IF(AND(ISNUMBER($AW$355),$B$226=1),$AW$355,HLOOKUP(INDIRECT(ADDRESS(2,COLUMN())),OFFSET($BN$2,0,0,ROW()-1,60),ROW()-1,FALSE))</f>
        <v>1.920230401</v>
      </c>
      <c r="AX147">
        <f ca="1">IF(AND(ISNUMBER($AX$355),$B$226=1),$AX$355,HLOOKUP(INDIRECT(ADDRESS(2,COLUMN())),OFFSET($BN$2,0,0,ROW()-1,60),ROW()-1,FALSE))</f>
        <v>1.9547530660000001</v>
      </c>
      <c r="AY147">
        <f ca="1">IF(AND(ISNUMBER($AY$355),$B$226=1),$AY$355,HLOOKUP(INDIRECT(ADDRESS(2,COLUMN())),OFFSET($BN$2,0,0,ROW()-1,60),ROW()-1,FALSE))</f>
        <v>1.7674341469999999</v>
      </c>
      <c r="AZ147">
        <f ca="1">IF(AND(ISNUMBER($AZ$355),$B$226=1),$AZ$355,HLOOKUP(INDIRECT(ADDRESS(2,COLUMN())),OFFSET($BN$2,0,0,ROW()-1,60),ROW()-1,FALSE))</f>
        <v>2.307990835</v>
      </c>
      <c r="BA147">
        <f ca="1">IF(AND(ISNUMBER($BA$355),$B$226=1),$BA$355,HLOOKUP(INDIRECT(ADDRESS(2,COLUMN())),OFFSET($BN$2,0,0,ROW()-1,60),ROW()-1,FALSE))</f>
        <v>2.1195630539999999</v>
      </c>
      <c r="BB147">
        <f ca="1">IF(AND(ISNUMBER($BB$355),$B$226=1),$BB$355,HLOOKUP(INDIRECT(ADDRESS(2,COLUMN())),OFFSET($BN$2,0,0,ROW()-1,60),ROW()-1,FALSE))</f>
        <v>2.2120397380000001</v>
      </c>
      <c r="BC147">
        <f ca="1">IF(AND(ISNUMBER($BC$355),$B$226=1),$BC$355,HLOOKUP(INDIRECT(ADDRESS(2,COLUMN())),OFFSET($BN$2,0,0,ROW()-1,60),ROW()-1,FALSE))</f>
        <v>2.392666277</v>
      </c>
      <c r="BD147">
        <f ca="1">IF(AND(ISNUMBER($BD$355),$B$226=1),$BD$355,HLOOKUP(INDIRECT(ADDRESS(2,COLUMN())),OFFSET($BN$2,0,0,ROW()-1,60),ROW()-1,FALSE))</f>
        <v>2.1372654190000002</v>
      </c>
      <c r="BE147">
        <f ca="1">IF(AND(ISNUMBER($BE$355),$B$226=1),$BE$355,HLOOKUP(INDIRECT(ADDRESS(2,COLUMN())),OFFSET($BN$2,0,0,ROW()-1,60),ROW()-1,FALSE))</f>
        <v>2.175677801</v>
      </c>
      <c r="BF147">
        <f ca="1">IF(AND(ISNUMBER($BF$355),$B$226=1),$BF$355,HLOOKUP(INDIRECT(ADDRESS(2,COLUMN())),OFFSET($BN$2,0,0,ROW()-1,60),ROW()-1,FALSE))</f>
        <v>2.1051079079999999</v>
      </c>
      <c r="BG147">
        <f ca="1">IF(AND(ISNUMBER($BG$355),$B$226=1),$BG$355,HLOOKUP(INDIRECT(ADDRESS(2,COLUMN())),OFFSET($BN$2,0,0,ROW()-1,60),ROW()-1,FALSE))</f>
        <v>1.7195068840000001</v>
      </c>
      <c r="BH147">
        <f ca="1">IF(AND(ISNUMBER($BH$355),$B$226=1),$BH$355,HLOOKUP(INDIRECT(ADDRESS(2,COLUMN())),OFFSET($BN$2,0,0,ROW()-1,60),ROW()-1,FALSE))</f>
        <v>2.1981669199999998</v>
      </c>
      <c r="BI147">
        <f ca="1">IF(AND(ISNUMBER($BI$355),$B$226=1),$BI$355,HLOOKUP(INDIRECT(ADDRESS(2,COLUMN())),OFFSET($BN$2,0,0,ROW()-1,60),ROW()-1,FALSE))</f>
        <v>2.47060849</v>
      </c>
      <c r="BJ147">
        <f ca="1">IF(AND(ISNUMBER($BJ$355),$B$226=1),$BJ$355,HLOOKUP(INDIRECT(ADDRESS(2,COLUMN())),OFFSET($BN$2,0,0,ROW()-1,60),ROW()-1,FALSE))</f>
        <v>2.4529196400000002</v>
      </c>
      <c r="BK147">
        <f ca="1">IF(AND(ISNUMBER($BK$355),$B$226=1),$BK$355,HLOOKUP(INDIRECT(ADDRESS(2,COLUMN())),OFFSET($BN$2,0,0,ROW()-1,60),ROW()-1,FALSE))</f>
        <v>2.4541758539999998</v>
      </c>
      <c r="BL147">
        <f ca="1">IF(AND(ISNUMBER($BL$355),$B$226=1),$BL$355,HLOOKUP(INDIRECT(ADDRESS(2,COLUMN())),OFFSET($BN$2,0,0,ROW()-1,60),ROW()-1,FALSE))</f>
        <v>2.4365185</v>
      </c>
      <c r="BM147">
        <f ca="1">IF(AND(ISNUMBER($BM$355),$B$226=1),$BM$355,HLOOKUP(INDIRECT(ADDRESS(2,COLUMN())),OFFSET($BN$2,0,0,ROW()-1,60),ROW()-1,FALSE))</f>
        <v>2.4703228159999999</v>
      </c>
      <c r="BN147" t="str">
        <f>""</f>
        <v/>
      </c>
      <c r="BO147">
        <f>2.08684494</f>
        <v>2.0868449400000002</v>
      </c>
      <c r="BP147">
        <f>2.026517839</f>
        <v>2.0265178389999998</v>
      </c>
      <c r="BQ147">
        <f>2.050871787</f>
        <v>2.0508717870000002</v>
      </c>
      <c r="BR147">
        <f>2.00205561</f>
        <v>2.0020556100000002</v>
      </c>
      <c r="BS147">
        <f>2.030536642</f>
        <v>2.0305366419999999</v>
      </c>
      <c r="BT147">
        <f>2.063616086</f>
        <v>2.0636160860000001</v>
      </c>
      <c r="BU147">
        <f>2.008328982</f>
        <v>2.0083289820000001</v>
      </c>
      <c r="BV147">
        <f>1.947348526</f>
        <v>1.9473485260000001</v>
      </c>
      <c r="BW147">
        <f>1.888557971</f>
        <v>1.888557971</v>
      </c>
      <c r="BX147" t="str">
        <f>""</f>
        <v/>
      </c>
      <c r="BY147">
        <f>1.932229705</f>
        <v>1.9322297049999999</v>
      </c>
      <c r="BZ147">
        <f>2.021776949</f>
        <v>2.0217769489999999</v>
      </c>
      <c r="CA147">
        <f>1.913342779</f>
        <v>1.9133427789999999</v>
      </c>
      <c r="CB147" t="str">
        <f>""</f>
        <v/>
      </c>
      <c r="CC147" t="str">
        <f>""</f>
        <v/>
      </c>
      <c r="CD147">
        <f>1.749449771</f>
        <v>1.7494497710000001</v>
      </c>
      <c r="CE147">
        <f>1.744176783</f>
        <v>1.7441767829999999</v>
      </c>
      <c r="CF147">
        <f>1.828425636</f>
        <v>1.828425636</v>
      </c>
      <c r="CG147">
        <f>1.799551846</f>
        <v>1.799551846</v>
      </c>
      <c r="CH147">
        <f>1.704210423</f>
        <v>1.7042104229999999</v>
      </c>
      <c r="CI147">
        <f>1.517747543</f>
        <v>1.517747543</v>
      </c>
      <c r="CJ147">
        <f>1.640448533</f>
        <v>1.640448533</v>
      </c>
      <c r="CK147">
        <f>1.522940842</f>
        <v>1.5229408419999999</v>
      </c>
      <c r="CL147">
        <f>1.640693561</f>
        <v>1.640693561</v>
      </c>
      <c r="CM147">
        <f>1.597791996</f>
        <v>1.597791996</v>
      </c>
      <c r="CN147">
        <f>1.66638965</f>
        <v>1.6663896499999999</v>
      </c>
      <c r="CO147">
        <f>1.68511947</f>
        <v>1.6851194700000001</v>
      </c>
      <c r="CP147">
        <f>1.732259183</f>
        <v>1.732259183</v>
      </c>
      <c r="CQ147">
        <f>1.549173736</f>
        <v>1.549173736</v>
      </c>
      <c r="CR147">
        <f>1.699093359</f>
        <v>1.6990933589999999</v>
      </c>
      <c r="CS147">
        <f>1.741418586</f>
        <v>1.741418586</v>
      </c>
      <c r="CT147">
        <f>1.653507473</f>
        <v>1.6535074729999999</v>
      </c>
      <c r="CU147">
        <f>1.662982783</f>
        <v>1.6629827829999999</v>
      </c>
      <c r="CV147">
        <f>1.698799706</f>
        <v>1.698799706</v>
      </c>
      <c r="CW147">
        <f>1.944004351</f>
        <v>1.944004351</v>
      </c>
      <c r="CX147">
        <f>1.741907945</f>
        <v>1.7419079449999999</v>
      </c>
      <c r="CY147">
        <f>2.949419298</f>
        <v>2.949419298</v>
      </c>
      <c r="CZ147">
        <f>1.806831872</f>
        <v>1.8068318720000001</v>
      </c>
      <c r="DA147">
        <f>1.826060915</f>
        <v>1.826060915</v>
      </c>
      <c r="DB147">
        <f>1.680245617</f>
        <v>1.680245617</v>
      </c>
      <c r="DC147">
        <f>1.873433612</f>
        <v>1.8734336119999999</v>
      </c>
      <c r="DD147">
        <f>2.17718438</f>
        <v>2.1771843799999999</v>
      </c>
      <c r="DE147">
        <f>1.920230401</f>
        <v>1.920230401</v>
      </c>
      <c r="DF147">
        <f>1.954753066</f>
        <v>1.9547530660000001</v>
      </c>
      <c r="DG147">
        <f>1.767434147</f>
        <v>1.7674341469999999</v>
      </c>
      <c r="DH147">
        <f>2.307990835</f>
        <v>2.307990835</v>
      </c>
      <c r="DI147">
        <f>2.119563054</f>
        <v>2.1195630539999999</v>
      </c>
      <c r="DJ147">
        <f>2.212039738</f>
        <v>2.2120397380000001</v>
      </c>
      <c r="DK147">
        <f>2.392666277</f>
        <v>2.392666277</v>
      </c>
      <c r="DL147">
        <f>2.137265419</f>
        <v>2.1372654190000002</v>
      </c>
      <c r="DM147">
        <f>2.175677801</f>
        <v>2.175677801</v>
      </c>
      <c r="DN147">
        <f>2.105107908</f>
        <v>2.1051079079999999</v>
      </c>
      <c r="DO147">
        <f>1.719506884</f>
        <v>1.7195068840000001</v>
      </c>
      <c r="DP147">
        <f>2.19816692</f>
        <v>2.1981669199999998</v>
      </c>
      <c r="DQ147">
        <f>2.47060849</f>
        <v>2.47060849</v>
      </c>
      <c r="DR147">
        <f>2.45291964</f>
        <v>2.4529196400000002</v>
      </c>
      <c r="DS147">
        <f>2.454175854</f>
        <v>2.4541758539999998</v>
      </c>
      <c r="DT147">
        <f>2.4365185</f>
        <v>2.4365185</v>
      </c>
      <c r="DU147">
        <f>2.470322816</f>
        <v>2.4703228159999999</v>
      </c>
    </row>
    <row r="148" spans="1:125">
      <c r="A148" t="str">
        <f>"FFO/资产(%)"</f>
        <v>FFO/资产(%)</v>
      </c>
      <c r="B148" t="str">
        <f>""</f>
        <v/>
      </c>
      <c r="E148" t="str">
        <f>"Median"</f>
        <v>Median</v>
      </c>
      <c r="F148" t="str">
        <f ca="1">IF(ISERROR(IF(MEDIAN($F$149:$F$156) = 0, "", MEDIAN($F$149:$F$156))), "", (IF(MEDIAN($F$149:$F$156) = 0, "", MEDIAN($F$149:$F$156))))</f>
        <v/>
      </c>
      <c r="G148">
        <f ca="1">IF(ISERROR(IF(MEDIAN($G$149:$G$156) = 0, "", MEDIAN($G$149:$G$156))), "", (IF(MEDIAN($G$149:$G$156) = 0, "", MEDIAN($G$149:$G$156))))</f>
        <v>6.4213206165000001</v>
      </c>
      <c r="H148">
        <f ca="1">IF(ISERROR(IF(MEDIAN($H$149:$H$156) = 0, "", MEDIAN($H$149:$H$156))), "", (IF(MEDIAN($H$149:$H$156) = 0, "", MEDIAN($H$149:$H$156))))</f>
        <v>6.6686908384999999</v>
      </c>
      <c r="I148">
        <f ca="1">IF(ISERROR(IF(MEDIAN($I$149:$I$156) = 0, "", MEDIAN($I$149:$I$156))), "", (IF(MEDIAN($I$149:$I$156) = 0, "", MEDIAN($I$149:$I$156))))</f>
        <v>6.4224745199999997</v>
      </c>
      <c r="J148">
        <f ca="1">IF(ISERROR(IF(MEDIAN($J$149:$J$156) = 0, "", MEDIAN($J$149:$J$156))), "", (IF(MEDIAN($J$149:$J$156) = 0, "", MEDIAN($J$149:$J$156))))</f>
        <v>6.3094537339999999</v>
      </c>
      <c r="K148">
        <f ca="1">IF(ISERROR(IF(MEDIAN($K$149:$K$156) = 0, "", MEDIAN($K$149:$K$156))), "", (IF(MEDIAN($K$149:$K$156) = 0, "", MEDIAN($K$149:$K$156))))</f>
        <v>5.838948104</v>
      </c>
      <c r="L148">
        <f ca="1">IF(ISERROR(IF(MEDIAN($L$149:$L$156) = 0, "", MEDIAN($L$149:$L$156))), "", (IF(MEDIAN($L$149:$L$156) = 0, "", MEDIAN($L$149:$L$156))))</f>
        <v>6.4921013300000006</v>
      </c>
      <c r="M148">
        <f ca="1">IF(ISERROR(IF(MEDIAN($M$149:$M$156) = 0, "", MEDIAN($M$149:$M$156))), "", (IF(MEDIAN($M$149:$M$156) = 0, "", MEDIAN($M$149:$M$156))))</f>
        <v>6.3876901855000003</v>
      </c>
      <c r="N148">
        <f ca="1">IF(ISERROR(IF(MEDIAN($N$149:$N$156) = 0, "", MEDIAN($N$149:$N$156))), "", (IF(MEDIAN($N$149:$N$156) = 0, "", MEDIAN($N$149:$N$156))))</f>
        <v>6.2124381104999999</v>
      </c>
      <c r="O148">
        <f ca="1">IF(ISERROR(IF(MEDIAN($O$149:$O$156) = 0, "", MEDIAN($O$149:$O$156))), "", (IF(MEDIAN($O$149:$O$156) = 0, "", MEDIAN($O$149:$O$156))))</f>
        <v>6.1758210849999999</v>
      </c>
      <c r="P148">
        <f ca="1">IF(ISERROR(IF(MEDIAN($P$149:$P$156) = 0, "", MEDIAN($P$149:$P$156))), "", (IF(MEDIAN($P$149:$P$156) = 0, "", MEDIAN($P$149:$P$156))))</f>
        <v>6.2248316685000002</v>
      </c>
      <c r="Q148">
        <f ca="1">IF(ISERROR(IF(MEDIAN($Q$149:$Q$156) = 0, "", MEDIAN($Q$149:$Q$156))), "", (IF(MEDIAN($Q$149:$Q$156) = 0, "", MEDIAN($Q$149:$Q$156))))</f>
        <v>5.7049710449999997</v>
      </c>
      <c r="R148">
        <f ca="1">IF(ISERROR(IF(MEDIAN($R$149:$R$156) = 0, "", MEDIAN($R$149:$R$156))), "", (IF(MEDIAN($R$149:$R$156) = 0, "", MEDIAN($R$149:$R$156))))</f>
        <v>6.094723289</v>
      </c>
      <c r="S148">
        <f ca="1">IF(ISERROR(IF(MEDIAN($S$149:$S$156) = 0, "", MEDIAN($S$149:$S$156))), "", (IF(MEDIAN($S$149:$S$156) = 0, "", MEDIAN($S$149:$S$156))))</f>
        <v>5.7339363270000003</v>
      </c>
      <c r="T148">
        <f ca="1">IF(ISERROR(IF(MEDIAN($T$149:$T$156) = 0, "", MEDIAN($T$149:$T$156))), "", (IF(MEDIAN($T$149:$T$156) = 0, "", MEDIAN($T$149:$T$156))))</f>
        <v>4.9893767689999997</v>
      </c>
      <c r="U148">
        <f ca="1">IF(ISERROR(IF(MEDIAN($U$149:$U$156) = 0, "", MEDIAN($U$149:$U$156))), "", (IF(MEDIAN($U$149:$U$156) = 0, "", MEDIAN($U$149:$U$156))))</f>
        <v>4.7843039679999997</v>
      </c>
      <c r="V148">
        <f ca="1">IF(ISERROR(IF(MEDIAN($V$149:$V$156) = 0, "", MEDIAN($V$149:$V$156))), "", (IF(MEDIAN($V$149:$V$156) = 0, "", MEDIAN($V$149:$V$156))))</f>
        <v>5.2124732950000006</v>
      </c>
      <c r="W148">
        <f ca="1">IF(ISERROR(IF(MEDIAN($W$149:$W$156) = 0, "", MEDIAN($W$149:$W$156))), "", (IF(MEDIAN($W$149:$W$156) = 0, "", MEDIAN($W$149:$W$156))))</f>
        <v>5.3172576740000004</v>
      </c>
      <c r="X148">
        <f ca="1">IF(ISERROR(IF(MEDIAN($X$149:$X$156) = 0, "", MEDIAN($X$149:$X$156))), "", (IF(MEDIAN($X$149:$X$156) = 0, "", MEDIAN($X$149:$X$156))))</f>
        <v>5.3391545019999995</v>
      </c>
      <c r="Y148">
        <f ca="1">IF(ISERROR(IF(MEDIAN($Y$149:$Y$156) = 0, "", MEDIAN($Y$149:$Y$156))), "", (IF(MEDIAN($Y$149:$Y$156) = 0, "", MEDIAN($Y$149:$Y$156))))</f>
        <v>5.3166613555</v>
      </c>
      <c r="Z148">
        <f ca="1">IF(ISERROR(IF(MEDIAN($Z$149:$Z$156) = 0, "", MEDIAN($Z$149:$Z$156))), "", (IF(MEDIAN($Z$149:$Z$156) = 0, "", MEDIAN($Z$149:$Z$156))))</f>
        <v>4.9724768534999999</v>
      </c>
      <c r="AA148">
        <f ca="1">IF(ISERROR(IF(MEDIAN($AA$149:$AA$156) = 0, "", MEDIAN($AA$149:$AA$156))), "", (IF(MEDIAN($AA$149:$AA$156) = 0, "", MEDIAN($AA$149:$AA$156))))</f>
        <v>6.0375304075000003</v>
      </c>
      <c r="AB148">
        <f ca="1">IF(ISERROR(IF(MEDIAN($AB$149:$AB$156) = 0, "", MEDIAN($AB$149:$AB$156))), "", (IF(MEDIAN($AB$149:$AB$156) = 0, "", MEDIAN($AB$149:$AB$156))))</f>
        <v>5.8037969030000003</v>
      </c>
      <c r="AC148">
        <f ca="1">IF(ISERROR(IF(MEDIAN($AC$149:$AC$156) = 0, "", MEDIAN($AC$149:$AC$156))), "", (IF(MEDIAN($AC$149:$AC$156) = 0, "", MEDIAN($AC$149:$AC$156))))</f>
        <v>5.4775624760000001</v>
      </c>
      <c r="AD148">
        <f ca="1">IF(ISERROR(IF(MEDIAN($AD$149:$AD$156) = 0, "", MEDIAN($AD$149:$AD$156))), "", (IF(MEDIAN($AD$149:$AD$156) = 0, "", MEDIAN($AD$149:$AD$156))))</f>
        <v>4.9991110619999999</v>
      </c>
      <c r="AE148">
        <f ca="1">IF(ISERROR(IF(MEDIAN($AE$149:$AE$156) = 0, "", MEDIAN($AE$149:$AE$156))), "", (IF(MEDIAN($AE$149:$AE$156) = 0, "", MEDIAN($AE$149:$AE$156))))</f>
        <v>4.8945389349999999</v>
      </c>
      <c r="AF148">
        <f ca="1">IF(ISERROR(IF(MEDIAN($AF$149:$AF$156) = 0, "", MEDIAN($AF$149:$AF$156))), "", (IF(MEDIAN($AF$149:$AF$156) = 0, "", MEDIAN($AF$149:$AF$156))))</f>
        <v>4.8411100620000003</v>
      </c>
      <c r="AG148">
        <f ca="1">IF(ISERROR(IF(MEDIAN($AG$149:$AG$156) = 0, "", MEDIAN($AG$149:$AG$156))), "", (IF(MEDIAN($AG$149:$AG$156) = 0, "", MEDIAN($AG$149:$AG$156))))</f>
        <v>4.7182250039999998</v>
      </c>
      <c r="AH148">
        <f ca="1">IF(ISERROR(IF(MEDIAN($AH$149:$AH$156) = 0, "", MEDIAN($AH$149:$AH$156))), "", (IF(MEDIAN($AH$149:$AH$156) = 0, "", MEDIAN($AH$149:$AH$156))))</f>
        <v>4.8150848929999999</v>
      </c>
      <c r="AI148">
        <f ca="1">IF(ISERROR(IF(MEDIAN($AI$149:$AI$156) = 0, "", MEDIAN($AI$149:$AI$156))), "", (IF(MEDIAN($AI$149:$AI$156) = 0, "", MEDIAN($AI$149:$AI$156))))</f>
        <v>4.3369957340000003</v>
      </c>
      <c r="AJ148">
        <f ca="1">IF(ISERROR(IF(MEDIAN($AJ$149:$AJ$156) = 0, "", MEDIAN($AJ$149:$AJ$156))), "", (IF(MEDIAN($AJ$149:$AJ$156) = 0, "", MEDIAN($AJ$149:$AJ$156))))</f>
        <v>3.9786489319999996</v>
      </c>
      <c r="AK148">
        <f ca="1">IF(ISERROR(IF(MEDIAN($AK$149:$AK$156) = 0, "", MEDIAN($AK$149:$AK$156))), "", (IF(MEDIAN($AK$149:$AK$156) = 0, "", MEDIAN($AK$149:$AK$156))))</f>
        <v>3.8610473169999997</v>
      </c>
      <c r="AL148">
        <f ca="1">IF(ISERROR(IF(MEDIAN($AL$149:$AL$156) = 0, "", MEDIAN($AL$149:$AL$156))), "", (IF(MEDIAN($AL$149:$AL$156) = 0, "", MEDIAN($AL$149:$AL$156))))</f>
        <v>3.7673246494999999</v>
      </c>
      <c r="AM148">
        <f ca="1">IF(ISERROR(IF(MEDIAN($AM$149:$AM$156) = 0, "", MEDIAN($AM$149:$AM$156))), "", (IF(MEDIAN($AM$149:$AM$156) = 0, "", MEDIAN($AM$149:$AM$156))))</f>
        <v>3.8841114155000001</v>
      </c>
      <c r="AN148">
        <f ca="1">IF(ISERROR(IF(MEDIAN($AN$149:$AN$156) = 0, "", MEDIAN($AN$149:$AN$156))), "", (IF(MEDIAN($AN$149:$AN$156) = 0, "", MEDIAN($AN$149:$AN$156))))</f>
        <v>3.8393756845000002</v>
      </c>
      <c r="AO148">
        <f ca="1">IF(ISERROR(IF(MEDIAN($AO$149:$AO$156) = 0, "", MEDIAN($AO$149:$AO$156))), "", (IF(MEDIAN($AO$149:$AO$156) = 0, "", MEDIAN($AO$149:$AO$156))))</f>
        <v>4.1707148714999995</v>
      </c>
      <c r="AP148">
        <f ca="1">IF(ISERROR(IF(MEDIAN($AP$149:$AP$156) = 0, "", MEDIAN($AP$149:$AP$156))), "", (IF(MEDIAN($AP$149:$AP$156) = 0, "", MEDIAN($AP$149:$AP$156))))</f>
        <v>4.1373763139999999</v>
      </c>
      <c r="AQ148">
        <f ca="1">IF(ISERROR(IF(MEDIAN($AQ$149:$AQ$156) = 0, "", MEDIAN($AQ$149:$AQ$156))), "", (IF(MEDIAN($AQ$149:$AQ$156) = 0, "", MEDIAN($AQ$149:$AQ$156))))</f>
        <v>4.1245670895000002</v>
      </c>
      <c r="AR148">
        <f ca="1">IF(ISERROR(IF(MEDIAN($AR$149:$AR$156) = 0, "", MEDIAN($AR$149:$AR$156))), "", (IF(MEDIAN($AR$149:$AR$156) = 0, "", MEDIAN($AR$149:$AR$156))))</f>
        <v>4.7310465305000005</v>
      </c>
      <c r="AS148">
        <f ca="1">IF(ISERROR(IF(MEDIAN($AS$149:$AS$156) = 0, "", MEDIAN($AS$149:$AS$156))), "", (IF(MEDIAN($AS$149:$AS$156) = 0, "", MEDIAN($AS$149:$AS$156))))</f>
        <v>4.7873198260000001</v>
      </c>
      <c r="AT148">
        <f ca="1">IF(ISERROR(IF(MEDIAN($AT$149:$AT$156) = 0, "", MEDIAN($AT$149:$AT$156))), "", (IF(MEDIAN($AT$149:$AT$156) = 0, "", MEDIAN($AT$149:$AT$156))))</f>
        <v>5.0999459960000006</v>
      </c>
      <c r="AU148">
        <f ca="1">IF(ISERROR(IF(MEDIAN($AU$149:$AU$156) = 0, "", MEDIAN($AU$149:$AU$156))), "", (IF(MEDIAN($AU$149:$AU$156) = 0, "", MEDIAN($AU$149:$AU$156))))</f>
        <v>5.1758812899999995</v>
      </c>
      <c r="AV148">
        <f ca="1">IF(ISERROR(IF(MEDIAN($AV$149:$AV$156) = 0, "", MEDIAN($AV$149:$AV$156))), "", (IF(MEDIAN($AV$149:$AV$156) = 0, "", MEDIAN($AV$149:$AV$156))))</f>
        <v>5.2296682004999999</v>
      </c>
      <c r="AW148">
        <f ca="1">IF(ISERROR(IF(MEDIAN($AW$149:$AW$156) = 0, "", MEDIAN($AW$149:$AW$156))), "", (IF(MEDIAN($AW$149:$AW$156) = 0, "", MEDIAN($AW$149:$AW$156))))</f>
        <v>5.3069659575000001</v>
      </c>
      <c r="AX148">
        <f ca="1">IF(ISERROR(IF(MEDIAN($AX$149:$AX$156) = 0, "", MEDIAN($AX$149:$AX$156))), "", (IF(MEDIAN($AX$149:$AX$156) = 0, "", MEDIAN($AX$149:$AX$156))))</f>
        <v>5.3380226774999997</v>
      </c>
      <c r="AY148">
        <f ca="1">IF(ISERROR(IF(MEDIAN($AY$149:$AY$156) = 0, "", MEDIAN($AY$149:$AY$156))), "", (IF(MEDIAN($AY$149:$AY$156) = 0, "", MEDIAN($AY$149:$AY$156))))</f>
        <v>5.4290412075000001</v>
      </c>
      <c r="AZ148">
        <f ca="1">IF(ISERROR(IF(MEDIAN($AZ$149:$AZ$156) = 0, "", MEDIAN($AZ$149:$AZ$156))), "", (IF(MEDIAN($AZ$149:$AZ$156) = 0, "", MEDIAN($AZ$149:$AZ$156))))</f>
        <v>5.3396794500000002</v>
      </c>
      <c r="BA148">
        <f ca="1">IF(ISERROR(IF(MEDIAN($BA$149:$BA$156) = 0, "", MEDIAN($BA$149:$BA$156))), "", (IF(MEDIAN($BA$149:$BA$156) = 0, "", MEDIAN($BA$149:$BA$156))))</f>
        <v>5.3038853945</v>
      </c>
      <c r="BB148">
        <f ca="1">IF(ISERROR(IF(MEDIAN($BB$149:$BB$156) = 0, "", MEDIAN($BB$149:$BB$156))), "", (IF(MEDIAN($BB$149:$BB$156) = 0, "", MEDIAN($BB$149:$BB$156))))</f>
        <v>5.2147300669999996</v>
      </c>
      <c r="BC148">
        <f ca="1">IF(ISERROR(IF(MEDIAN($BC$149:$BC$156) = 0, "", MEDIAN($BC$149:$BC$156))), "", (IF(MEDIAN($BC$149:$BC$156) = 0, "", MEDIAN($BC$149:$BC$156))))</f>
        <v>5.6826580719999997</v>
      </c>
      <c r="BD148">
        <f ca="1">IF(ISERROR(IF(MEDIAN($BD$149:$BD$156) = 0, "", MEDIAN($BD$149:$BD$156))), "", (IF(MEDIAN($BD$149:$BD$156) = 0, "", MEDIAN($BD$149:$BD$156))))</f>
        <v>5.6100953020000004</v>
      </c>
      <c r="BE148">
        <f ca="1">IF(ISERROR(IF(MEDIAN($BE$149:$BE$156) = 0, "", MEDIAN($BE$149:$BE$156))), "", (IF(MEDIAN($BE$149:$BE$156) = 0, "", MEDIAN($BE$149:$BE$156))))</f>
        <v>5.6571556110000003</v>
      </c>
      <c r="BF148">
        <f ca="1">IF(ISERROR(IF(MEDIAN($BF$149:$BF$156) = 0, "", MEDIAN($BF$149:$BF$156))), "", (IF(MEDIAN($BF$149:$BF$156) = 0, "", MEDIAN($BF$149:$BF$156))))</f>
        <v>5.3612878730000002</v>
      </c>
      <c r="BG148">
        <f ca="1">IF(ISERROR(IF(MEDIAN($BG$149:$BG$156) = 0, "", MEDIAN($BG$149:$BG$156))), "", (IF(MEDIAN($BG$149:$BG$156) = 0, "", MEDIAN($BG$149:$BG$156))))</f>
        <v>5.3707933820000004</v>
      </c>
      <c r="BH148">
        <f ca="1">IF(ISERROR(IF(MEDIAN($BH$149:$BH$156) = 0, "", MEDIAN($BH$149:$BH$156))), "", (IF(MEDIAN($BH$149:$BH$156) = 0, "", MEDIAN($BH$149:$BH$156))))</f>
        <v>5.5456147869999999</v>
      </c>
      <c r="BI148">
        <f ca="1">IF(ISERROR(IF(MEDIAN($BI$149:$BI$156) = 0, "", MEDIAN($BI$149:$BI$156))), "", (IF(MEDIAN($BI$149:$BI$156) = 0, "", MEDIAN($BI$149:$BI$156))))</f>
        <v>5.3905166800000002</v>
      </c>
      <c r="BJ148">
        <f ca="1">IF(ISERROR(IF(MEDIAN($BJ$149:$BJ$156) = 0, "", MEDIAN($BJ$149:$BJ$156))), "", (IF(MEDIAN($BJ$149:$BJ$156) = 0, "", MEDIAN($BJ$149:$BJ$156))))</f>
        <v>5.4337503119999999</v>
      </c>
      <c r="BK148">
        <f ca="1">IF(ISERROR(IF(MEDIAN($BK$149:$BK$156) = 0, "", MEDIAN($BK$149:$BK$156))), "", (IF(MEDIAN($BK$149:$BK$156) = 0, "", MEDIAN($BK$149:$BK$156))))</f>
        <v>5.296198381</v>
      </c>
      <c r="BL148">
        <f ca="1">IF(ISERROR(IF(MEDIAN($BL$149:$BL$156) = 0, "", MEDIAN($BL$149:$BL$156))), "", (IF(MEDIAN($BL$149:$BL$156) = 0, "", MEDIAN($BL$149:$BL$156))))</f>
        <v>5.6853127885000001</v>
      </c>
      <c r="BM148">
        <f ca="1">IF(ISERROR(IF(MEDIAN($BM$149:$BM$156) = 0, "", MEDIAN($BM$149:$BM$156))), "", (IF(MEDIAN($BM$149:$BM$156) = 0, "", MEDIAN($BM$149:$BM$156))))</f>
        <v>5.6638778355000001</v>
      </c>
      <c r="BN148" t="str">
        <f>""</f>
        <v/>
      </c>
      <c r="BO148">
        <f>6.421320616</f>
        <v>6.421320616</v>
      </c>
      <c r="BP148">
        <f>6.668690839</f>
        <v>6.6686908389999999</v>
      </c>
      <c r="BQ148">
        <f>6.42247452</f>
        <v>6.4224745199999997</v>
      </c>
      <c r="BR148">
        <f>6.309453734</f>
        <v>6.3094537339999999</v>
      </c>
      <c r="BS148">
        <f>5.838948104</f>
        <v>5.838948104</v>
      </c>
      <c r="BT148">
        <f>6.49210133</f>
        <v>6.4921013299999997</v>
      </c>
      <c r="BU148">
        <f>6.387690186</f>
        <v>6.3876901860000004</v>
      </c>
      <c r="BV148">
        <f>6.21243811</f>
        <v>6.2124381099999999</v>
      </c>
      <c r="BW148">
        <f>6.175821085</f>
        <v>6.1758210849999999</v>
      </c>
      <c r="BX148">
        <f>6.224831669</f>
        <v>6.2248316690000003</v>
      </c>
      <c r="BY148">
        <f>5.704971045</f>
        <v>5.7049710449999997</v>
      </c>
      <c r="BZ148">
        <f>6.094723289</f>
        <v>6.094723289</v>
      </c>
      <c r="CA148">
        <f>5.733936327</f>
        <v>5.7339363270000003</v>
      </c>
      <c r="CB148">
        <f>4.989376769</f>
        <v>4.9893767689999997</v>
      </c>
      <c r="CC148">
        <f>4.784303968</f>
        <v>4.7843039679999997</v>
      </c>
      <c r="CD148">
        <f>5.212473295</f>
        <v>5.2124732949999997</v>
      </c>
      <c r="CE148">
        <f>5.317257674</f>
        <v>5.3172576740000004</v>
      </c>
      <c r="CF148">
        <f>5.339154502</f>
        <v>5.3391545020000004</v>
      </c>
      <c r="CG148">
        <f>5.316661356</f>
        <v>5.316661356</v>
      </c>
      <c r="CH148">
        <f>4.972476854</f>
        <v>4.9724768539999999</v>
      </c>
      <c r="CI148">
        <f>6.037530407</f>
        <v>6.0375304070000002</v>
      </c>
      <c r="CJ148">
        <f>5.803796903</f>
        <v>5.8037969030000003</v>
      </c>
      <c r="CK148">
        <f>5.477562476</f>
        <v>5.4775624760000001</v>
      </c>
      <c r="CL148">
        <f>4.999111062</f>
        <v>4.9991110619999999</v>
      </c>
      <c r="CM148">
        <f>4.894538935</f>
        <v>4.8945389349999999</v>
      </c>
      <c r="CN148">
        <f>4.841110062</f>
        <v>4.8411100620000003</v>
      </c>
      <c r="CO148">
        <f>4.718225004</f>
        <v>4.7182250039999998</v>
      </c>
      <c r="CP148">
        <f>4.815084893</f>
        <v>4.8150848929999999</v>
      </c>
      <c r="CQ148">
        <f>4.336995734</f>
        <v>4.3369957340000003</v>
      </c>
      <c r="CR148">
        <f>3.978648932</f>
        <v>3.978648932</v>
      </c>
      <c r="CS148">
        <f>3.861047317</f>
        <v>3.8610473170000001</v>
      </c>
      <c r="CT148">
        <f>3.767324649</f>
        <v>3.7673246489999999</v>
      </c>
      <c r="CU148">
        <f>3.884111415</f>
        <v>3.884111415</v>
      </c>
      <c r="CV148">
        <f>3.839375684</f>
        <v>3.8393756840000002</v>
      </c>
      <c r="CW148">
        <f>4.170714872</f>
        <v>4.1707148719999996</v>
      </c>
      <c r="CX148">
        <f>4.137376314</f>
        <v>4.1373763139999999</v>
      </c>
      <c r="CY148">
        <f>4.124567089</f>
        <v>4.1245670890000001</v>
      </c>
      <c r="CZ148">
        <f>4.73104653</f>
        <v>4.7310465300000004</v>
      </c>
      <c r="DA148">
        <f>4.787319826</f>
        <v>4.7873198260000001</v>
      </c>
      <c r="DB148">
        <f>5.099945996</f>
        <v>5.0999459959999998</v>
      </c>
      <c r="DC148">
        <f>5.17588129</f>
        <v>5.1758812900000004</v>
      </c>
      <c r="DD148">
        <f>5.229668201</f>
        <v>5.229668201</v>
      </c>
      <c r="DE148">
        <f>5.306965958</f>
        <v>5.3069659580000001</v>
      </c>
      <c r="DF148">
        <f>5.338022678</f>
        <v>5.3380226779999997</v>
      </c>
      <c r="DG148">
        <f>5.429041207</f>
        <v>5.429041207</v>
      </c>
      <c r="DH148">
        <f>5.33967945</f>
        <v>5.3396794500000002</v>
      </c>
      <c r="DI148">
        <f>5.303885395</f>
        <v>5.303885395</v>
      </c>
      <c r="DJ148">
        <f>5.214730067</f>
        <v>5.2147300669999996</v>
      </c>
      <c r="DK148">
        <f>5.682658072</f>
        <v>5.6826580719999997</v>
      </c>
      <c r="DL148">
        <f>5.610095302</f>
        <v>5.6100953020000004</v>
      </c>
      <c r="DM148">
        <f>5.657155611</f>
        <v>5.6571556110000003</v>
      </c>
      <c r="DN148">
        <f>5.361287873</f>
        <v>5.3612878730000002</v>
      </c>
      <c r="DO148">
        <f>5.370793382</f>
        <v>5.3707933819999996</v>
      </c>
      <c r="DP148">
        <f>5.545614787</f>
        <v>5.5456147869999999</v>
      </c>
      <c r="DQ148">
        <f>5.39051668</f>
        <v>5.3905166800000002</v>
      </c>
      <c r="DR148">
        <f>5.433750312</f>
        <v>5.4337503119999999</v>
      </c>
      <c r="DS148">
        <f>5.296198381</f>
        <v>5.296198381</v>
      </c>
      <c r="DT148">
        <f>5.685312788</f>
        <v>5.6853127880000001</v>
      </c>
      <c r="DU148">
        <f>5.663877836</f>
        <v>5.6638778360000002</v>
      </c>
    </row>
    <row r="149" spans="1:125">
      <c r="A149" t="str">
        <f>"    American Campus Communities In"</f>
        <v xml:space="preserve">    American Campus Communities In</v>
      </c>
      <c r="B149" t="str">
        <f>"ACC US Equity"</f>
        <v>ACC US Equity</v>
      </c>
      <c r="C149" t="str">
        <f t="shared" ref="C149:C156" si="48">"RR554"</f>
        <v>RR554</v>
      </c>
      <c r="D149" t="str">
        <f t="shared" ref="D149:D156" si="49">"FFO_RE_ASSET"</f>
        <v>FFO_RE_ASSET</v>
      </c>
      <c r="E149" t="str">
        <f t="shared" ref="E149:E156" si="50">"动态"</f>
        <v>动态</v>
      </c>
      <c r="F149" t="str">
        <f ca="1">IF(AND(ISNUMBER($F$356),$B$226=1),$F$356,HLOOKUP(INDIRECT(ADDRESS(2,COLUMN())),OFFSET($BN$2,0,0,ROW()-1,60),ROW()-1,FALSE))</f>
        <v/>
      </c>
      <c r="G149">
        <f ca="1">IF(AND(ISNUMBER($G$356),$B$226=1),$G$356,HLOOKUP(INDIRECT(ADDRESS(2,COLUMN())),OFFSET($BN$2,0,0,ROW()-1,60),ROW()-1,FALSE))</f>
        <v>5.2584813549999998</v>
      </c>
      <c r="H149">
        <f ca="1">IF(AND(ISNUMBER($H$356),$B$226=1),$H$356,HLOOKUP(INDIRECT(ADDRESS(2,COLUMN())),OFFSET($BN$2,0,0,ROW()-1,60),ROW()-1,FALSE))</f>
        <v>4.7473090469999999</v>
      </c>
      <c r="I149">
        <f ca="1">IF(AND(ISNUMBER($I$356),$B$226=1),$I$356,HLOOKUP(INDIRECT(ADDRESS(2,COLUMN())),OFFSET($BN$2,0,0,ROW()-1,60),ROW()-1,FALSE))</f>
        <v>5.0194717720000002</v>
      </c>
      <c r="J149">
        <f ca="1">IF(AND(ISNUMBER($J$356),$B$226=1),$J$356,HLOOKUP(INDIRECT(ADDRESS(2,COLUMN())),OFFSET($BN$2,0,0,ROW()-1,60),ROW()-1,FALSE))</f>
        <v>5.2450956819999996</v>
      </c>
      <c r="K149">
        <f ca="1">IF(AND(ISNUMBER($K$356),$B$226=1),$K$356,HLOOKUP(INDIRECT(ADDRESS(2,COLUMN())),OFFSET($BN$2,0,0,ROW()-1,60),ROW()-1,FALSE))</f>
        <v>5.2221884599999999</v>
      </c>
      <c r="L149">
        <f ca="1">IF(AND(ISNUMBER($L$356),$B$226=1),$L$356,HLOOKUP(INDIRECT(ADDRESS(2,COLUMN())),OFFSET($BN$2,0,0,ROW()-1,60),ROW()-1,FALSE))</f>
        <v>5.1428176490000004</v>
      </c>
      <c r="M149">
        <f ca="1">IF(AND(ISNUMBER($M$356),$B$226=1),$M$356,HLOOKUP(INDIRECT(ADDRESS(2,COLUMN())),OFFSET($BN$2,0,0,ROW()-1,60),ROW()-1,FALSE))</f>
        <v>5.0402498629999997</v>
      </c>
      <c r="N149">
        <f ca="1">IF(AND(ISNUMBER($N$356),$B$226=1),$N$356,HLOOKUP(INDIRECT(ADDRESS(2,COLUMN())),OFFSET($BN$2,0,0,ROW()-1,60),ROW()-1,FALSE))</f>
        <v>4.938293679</v>
      </c>
      <c r="O149">
        <f ca="1">IF(AND(ISNUMBER($O$356),$B$226=1),$O$356,HLOOKUP(INDIRECT(ADDRESS(2,COLUMN())),OFFSET($BN$2,0,0,ROW()-1,60),ROW()-1,FALSE))</f>
        <v>4.8453957880000003</v>
      </c>
      <c r="P149">
        <f ca="1">IF(AND(ISNUMBER($P$356),$B$226=1),$P$356,HLOOKUP(INDIRECT(ADDRESS(2,COLUMN())),OFFSET($BN$2,0,0,ROW()-1,60),ROW()-1,FALSE))</f>
        <v>4.8170325390000004</v>
      </c>
      <c r="Q149">
        <f ca="1">IF(AND(ISNUMBER($Q$356),$B$226=1),$Q$356,HLOOKUP(INDIRECT(ADDRESS(2,COLUMN())),OFFSET($BN$2,0,0,ROW()-1,60),ROW()-1,FALSE))</f>
        <v>4.8564591830000001</v>
      </c>
      <c r="R149">
        <f ca="1">IF(AND(ISNUMBER($R$356),$B$226=1),$R$356,HLOOKUP(INDIRECT(ADDRESS(2,COLUMN())),OFFSET($BN$2,0,0,ROW()-1,60),ROW()-1,FALSE))</f>
        <v>4.8399718979999999</v>
      </c>
      <c r="S149">
        <f ca="1">IF(AND(ISNUMBER($S$356),$B$226=1),$S$356,HLOOKUP(INDIRECT(ADDRESS(2,COLUMN())),OFFSET($BN$2,0,0,ROW()-1,60),ROW()-1,FALSE))</f>
        <v>4.7913627940000003</v>
      </c>
      <c r="T149">
        <f ca="1">IF(AND(ISNUMBER($T$356),$B$226=1),$T$356,HLOOKUP(INDIRECT(ADDRESS(2,COLUMN())),OFFSET($BN$2,0,0,ROW()-1,60),ROW()-1,FALSE))</f>
        <v>4.817564698</v>
      </c>
      <c r="U149">
        <f ca="1">IF(AND(ISNUMBER($U$356),$B$226=1),$U$356,HLOOKUP(INDIRECT(ADDRESS(2,COLUMN())),OFFSET($BN$2,0,0,ROW()-1,60),ROW()-1,FALSE))</f>
        <v>4.7622506859999998</v>
      </c>
      <c r="V149">
        <f ca="1">IF(AND(ISNUMBER($V$356),$B$226=1),$V$356,HLOOKUP(INDIRECT(ADDRESS(2,COLUMN())),OFFSET($BN$2,0,0,ROW()-1,60),ROW()-1,FALSE))</f>
        <v>4.6968439440000003</v>
      </c>
      <c r="W149">
        <f ca="1">IF(AND(ISNUMBER($W$356),$B$226=1),$W$356,HLOOKUP(INDIRECT(ADDRESS(2,COLUMN())),OFFSET($BN$2,0,0,ROW()-1,60),ROW()-1,FALSE))</f>
        <v>4.6355992610000003</v>
      </c>
      <c r="X149">
        <f ca="1">IF(AND(ISNUMBER($X$356),$B$226=1),$X$356,HLOOKUP(INDIRECT(ADDRESS(2,COLUMN())),OFFSET($BN$2,0,0,ROW()-1,60),ROW()-1,FALSE))</f>
        <v>4.8812093279999997</v>
      </c>
      <c r="Y149">
        <f ca="1">IF(AND(ISNUMBER($Y$356),$B$226=1),$Y$356,HLOOKUP(INDIRECT(ADDRESS(2,COLUMN())),OFFSET($BN$2,0,0,ROW()-1,60),ROW()-1,FALSE))</f>
        <v>5.2110366819999996</v>
      </c>
      <c r="Z149">
        <f ca="1">IF(AND(ISNUMBER($Z$356),$B$226=1),$Z$356,HLOOKUP(INDIRECT(ADDRESS(2,COLUMN())),OFFSET($BN$2,0,0,ROW()-1,60),ROW()-1,FALSE))</f>
        <v>4.8691975559999996</v>
      </c>
      <c r="AA149">
        <f ca="1">IF(AND(ISNUMBER($AA$356),$B$226=1),$AA$356,HLOOKUP(INDIRECT(ADDRESS(2,COLUMN())),OFFSET($BN$2,0,0,ROW()-1,60),ROW()-1,FALSE))</f>
        <v>4.3444607319999999</v>
      </c>
      <c r="AB149">
        <f ca="1">IF(AND(ISNUMBER($AB$356),$B$226=1),$AB$356,HLOOKUP(INDIRECT(ADDRESS(2,COLUMN())),OFFSET($BN$2,0,0,ROW()-1,60),ROW()-1,FALSE))</f>
        <v>4.5241659309999998</v>
      </c>
      <c r="AC149">
        <f ca="1">IF(AND(ISNUMBER($AC$356),$B$226=1),$AC$356,HLOOKUP(INDIRECT(ADDRESS(2,COLUMN())),OFFSET($BN$2,0,0,ROW()-1,60),ROW()-1,FALSE))</f>
        <v>5.1884279190000004</v>
      </c>
      <c r="AD149">
        <f ca="1">IF(AND(ISNUMBER($AD$356),$B$226=1),$AD$356,HLOOKUP(INDIRECT(ADDRESS(2,COLUMN())),OFFSET($BN$2,0,0,ROW()-1,60),ROW()-1,FALSE))</f>
        <v>5.0386314959999998</v>
      </c>
      <c r="AE149">
        <f ca="1">IF(AND(ISNUMBER($AE$356),$B$226=1),$AE$356,HLOOKUP(INDIRECT(ADDRESS(2,COLUMN())),OFFSET($BN$2,0,0,ROW()-1,60),ROW()-1,FALSE))</f>
        <v>4.9751247520000002</v>
      </c>
      <c r="AF149">
        <f ca="1">IF(AND(ISNUMBER($AF$356),$B$226=1),$AF$356,HLOOKUP(INDIRECT(ADDRESS(2,COLUMN())),OFFSET($BN$2,0,0,ROW()-1,60),ROW()-1,FALSE))</f>
        <v>5.1930000999999999</v>
      </c>
      <c r="AG149">
        <f ca="1">IF(AND(ISNUMBER($AG$356),$B$226=1),$AG$356,HLOOKUP(INDIRECT(ADDRESS(2,COLUMN())),OFFSET($BN$2,0,0,ROW()-1,60),ROW()-1,FALSE))</f>
        <v>5.6687171330000004</v>
      </c>
      <c r="AH149">
        <f ca="1">IF(AND(ISNUMBER($AH$356),$B$226=1),$AH$356,HLOOKUP(INDIRECT(ADDRESS(2,COLUMN())),OFFSET($BN$2,0,0,ROW()-1,60),ROW()-1,FALSE))</f>
        <v>5.148832445</v>
      </c>
      <c r="AI149">
        <f ca="1">IF(AND(ISNUMBER($AI$356),$B$226=1),$AI$356,HLOOKUP(INDIRECT(ADDRESS(2,COLUMN())),OFFSET($BN$2,0,0,ROW()-1,60),ROW()-1,FALSE))</f>
        <v>4.2516151439999996</v>
      </c>
      <c r="AJ149">
        <f ca="1">IF(AND(ISNUMBER($AJ$356),$B$226=1),$AJ$356,HLOOKUP(INDIRECT(ADDRESS(2,COLUMN())),OFFSET($BN$2,0,0,ROW()-1,60),ROW()-1,FALSE))</f>
        <v>3.913937717</v>
      </c>
      <c r="AK149">
        <f ca="1">IF(AND(ISNUMBER($AK$356),$B$226=1),$AK$356,HLOOKUP(INDIRECT(ADDRESS(2,COLUMN())),OFFSET($BN$2,0,0,ROW()-1,60),ROW()-1,FALSE))</f>
        <v>3.7318985659999999</v>
      </c>
      <c r="AL149">
        <f ca="1">IF(AND(ISNUMBER($AL$356),$B$226=1),$AL$356,HLOOKUP(INDIRECT(ADDRESS(2,COLUMN())),OFFSET($BN$2,0,0,ROW()-1,60),ROW()-1,FALSE))</f>
        <v>3.581137145</v>
      </c>
      <c r="AM149">
        <f ca="1">IF(AND(ISNUMBER($AM$356),$B$226=1),$AM$356,HLOOKUP(INDIRECT(ADDRESS(2,COLUMN())),OFFSET($BN$2,0,0,ROW()-1,60),ROW()-1,FALSE))</f>
        <v>3.6274942320000001</v>
      </c>
      <c r="AN149">
        <f ca="1">IF(AND(ISNUMBER($AN$356),$B$226=1),$AN$356,HLOOKUP(INDIRECT(ADDRESS(2,COLUMN())),OFFSET($BN$2,0,0,ROW()-1,60),ROW()-1,FALSE))</f>
        <v>3.170866583</v>
      </c>
      <c r="AO149">
        <f ca="1">IF(AND(ISNUMBER($AO$356),$B$226=1),$AO$356,HLOOKUP(INDIRECT(ADDRESS(2,COLUMN())),OFFSET($BN$2,0,0,ROW()-1,60),ROW()-1,FALSE))</f>
        <v>2.786533634</v>
      </c>
      <c r="AP149">
        <f ca="1">IF(AND(ISNUMBER($AP$356),$B$226=1),$AP$356,HLOOKUP(INDIRECT(ADDRESS(2,COLUMN())),OFFSET($BN$2,0,0,ROW()-1,60),ROW()-1,FALSE))</f>
        <v>3.3277746499999998</v>
      </c>
      <c r="AQ149">
        <f ca="1">IF(AND(ISNUMBER($AQ$356),$B$226=1),$AQ$356,HLOOKUP(INDIRECT(ADDRESS(2,COLUMN())),OFFSET($BN$2,0,0,ROW()-1,60),ROW()-1,FALSE))</f>
        <v>2.9109567890000001</v>
      </c>
      <c r="AR149">
        <f ca="1">IF(AND(ISNUMBER($AR$356),$B$226=1),$AR$356,HLOOKUP(INDIRECT(ADDRESS(2,COLUMN())),OFFSET($BN$2,0,0,ROW()-1,60),ROW()-1,FALSE))</f>
        <v>2.7978806920000001</v>
      </c>
      <c r="AS149">
        <f ca="1">IF(AND(ISNUMBER($AS$356),$B$226=1),$AS$356,HLOOKUP(INDIRECT(ADDRESS(2,COLUMN())),OFFSET($BN$2,0,0,ROW()-1,60),ROW()-1,FALSE))</f>
        <v>2.8227369339999999</v>
      </c>
      <c r="AT149">
        <f ca="1">IF(AND(ISNUMBER($AT$356),$B$226=1),$AT$356,HLOOKUP(INDIRECT(ADDRESS(2,COLUMN())),OFFSET($BN$2,0,0,ROW()-1,60),ROW()-1,FALSE))</f>
        <v>3.9973403529999998</v>
      </c>
      <c r="AU149">
        <f ca="1">IF(AND(ISNUMBER($AU$356),$B$226=1),$AU$356,HLOOKUP(INDIRECT(ADDRESS(2,COLUMN())),OFFSET($BN$2,0,0,ROW()-1,60),ROW()-1,FALSE))</f>
        <v>3.1708929600000002</v>
      </c>
      <c r="AV149">
        <f ca="1">IF(AND(ISNUMBER($AV$356),$B$226=1),$AV$356,HLOOKUP(INDIRECT(ADDRESS(2,COLUMN())),OFFSET($BN$2,0,0,ROW()-1,60),ROW()-1,FALSE))</f>
        <v>2.9649515019999999</v>
      </c>
      <c r="AW149">
        <f ca="1">IF(AND(ISNUMBER($AW$356),$B$226=1),$AW$356,HLOOKUP(INDIRECT(ADDRESS(2,COLUMN())),OFFSET($BN$2,0,0,ROW()-1,60),ROW()-1,FALSE))</f>
        <v>3.0340124770000001</v>
      </c>
      <c r="AX149">
        <f ca="1">IF(AND(ISNUMBER($AX$356),$B$226=1),$AX$356,HLOOKUP(INDIRECT(ADDRESS(2,COLUMN())),OFFSET($BN$2,0,0,ROW()-1,60),ROW()-1,FALSE))</f>
        <v>2.8692671000000001</v>
      </c>
      <c r="AY149">
        <f ca="1">IF(AND(ISNUMBER($AY$356),$B$226=1),$AY$356,HLOOKUP(INDIRECT(ADDRESS(2,COLUMN())),OFFSET($BN$2,0,0,ROW()-1,60),ROW()-1,FALSE))</f>
        <v>4.8792410310000003</v>
      </c>
      <c r="AZ149">
        <f ca="1">IF(AND(ISNUMBER($AZ$356),$B$226=1),$AZ$356,HLOOKUP(INDIRECT(ADDRESS(2,COLUMN())),OFFSET($BN$2,0,0,ROW()-1,60),ROW()-1,FALSE))</f>
        <v>3.922633619</v>
      </c>
      <c r="BA149">
        <f ca="1">IF(AND(ISNUMBER($BA$356),$B$226=1),$BA$356,HLOOKUP(INDIRECT(ADDRESS(2,COLUMN())),OFFSET($BN$2,0,0,ROW()-1,60),ROW()-1,FALSE))</f>
        <v>3.812519006</v>
      </c>
      <c r="BB149">
        <f ca="1">IF(AND(ISNUMBER($BB$356),$B$226=1),$BB$356,HLOOKUP(INDIRECT(ADDRESS(2,COLUMN())),OFFSET($BN$2,0,0,ROW()-1,60),ROW()-1,FALSE))</f>
        <v>3.5590189680000002</v>
      </c>
      <c r="BC149">
        <f ca="1">IF(AND(ISNUMBER($BC$356),$B$226=1),$BC$356,HLOOKUP(INDIRECT(ADDRESS(2,COLUMN())),OFFSET($BN$2,0,0,ROW()-1,60),ROW()-1,FALSE))</f>
        <v>4.3774209949999996</v>
      </c>
      <c r="BD149">
        <f ca="1">IF(AND(ISNUMBER($BD$356),$B$226=1),$BD$356,HLOOKUP(INDIRECT(ADDRESS(2,COLUMN())),OFFSET($BN$2,0,0,ROW()-1,60),ROW()-1,FALSE))</f>
        <v>4.3466337749999999</v>
      </c>
      <c r="BE149">
        <f ca="1">IF(AND(ISNUMBER($BE$356),$B$226=1),$BE$356,HLOOKUP(INDIRECT(ADDRESS(2,COLUMN())),OFFSET($BN$2,0,0,ROW()-1,60),ROW()-1,FALSE))</f>
        <v>2.9227210690000001</v>
      </c>
      <c r="BF149">
        <f ca="1">IF(AND(ISNUMBER($BF$356),$B$226=1),$BF$356,HLOOKUP(INDIRECT(ADDRESS(2,COLUMN())),OFFSET($BN$2,0,0,ROW()-1,60),ROW()-1,FALSE))</f>
        <v>2.7138439860000001</v>
      </c>
      <c r="BG149" t="str">
        <f ca="1">IF(AND(ISNUMBER($BG$356),$B$226=1),$BG$356,HLOOKUP(INDIRECT(ADDRESS(2,COLUMN())),OFFSET($BN$2,0,0,ROW()-1,60),ROW()-1,FALSE))</f>
        <v/>
      </c>
      <c r="BH149" t="str">
        <f ca="1">IF(AND(ISNUMBER($BH$356),$B$226=1),$BH$356,HLOOKUP(INDIRECT(ADDRESS(2,COLUMN())),OFFSET($BN$2,0,0,ROW()-1,60),ROW()-1,FALSE))</f>
        <v/>
      </c>
      <c r="BI149" t="str">
        <f ca="1">IF(AND(ISNUMBER($BI$356),$B$226=1),$BI$356,HLOOKUP(INDIRECT(ADDRESS(2,COLUMN())),OFFSET($BN$2,0,0,ROW()-1,60),ROW()-1,FALSE))</f>
        <v/>
      </c>
      <c r="BJ149" t="str">
        <f ca="1">IF(AND(ISNUMBER($BJ$356),$B$226=1),$BJ$356,HLOOKUP(INDIRECT(ADDRESS(2,COLUMN())),OFFSET($BN$2,0,0,ROW()-1,60),ROW()-1,FALSE))</f>
        <v/>
      </c>
      <c r="BK149" t="str">
        <f ca="1">IF(AND(ISNUMBER($BK$356),$B$226=1),$BK$356,HLOOKUP(INDIRECT(ADDRESS(2,COLUMN())),OFFSET($BN$2,0,0,ROW()-1,60),ROW()-1,FALSE))</f>
        <v/>
      </c>
      <c r="BL149" t="str">
        <f ca="1">IF(AND(ISNUMBER($BL$356),$B$226=1),$BL$356,HLOOKUP(INDIRECT(ADDRESS(2,COLUMN())),OFFSET($BN$2,0,0,ROW()-1,60),ROW()-1,FALSE))</f>
        <v/>
      </c>
      <c r="BM149" t="str">
        <f ca="1">IF(AND(ISNUMBER($BM$356),$B$226=1),$BM$356,HLOOKUP(INDIRECT(ADDRESS(2,COLUMN())),OFFSET($BN$2,0,0,ROW()-1,60),ROW()-1,FALSE))</f>
        <v/>
      </c>
      <c r="BN149" t="str">
        <f>""</f>
        <v/>
      </c>
      <c r="BO149">
        <f>5.258481355</f>
        <v>5.2584813549999998</v>
      </c>
      <c r="BP149">
        <f>4.747309047</f>
        <v>4.7473090469999999</v>
      </c>
      <c r="BQ149">
        <f>5.019471772</f>
        <v>5.0194717720000002</v>
      </c>
      <c r="BR149">
        <f>5.245095682</f>
        <v>5.2450956819999996</v>
      </c>
      <c r="BS149">
        <f>5.22218846</f>
        <v>5.2221884599999999</v>
      </c>
      <c r="BT149">
        <f>5.142817649</f>
        <v>5.1428176490000004</v>
      </c>
      <c r="BU149">
        <f>5.040249863</f>
        <v>5.0402498629999997</v>
      </c>
      <c r="BV149">
        <f>4.938293679</f>
        <v>4.938293679</v>
      </c>
      <c r="BW149">
        <f>4.845395788</f>
        <v>4.8453957880000003</v>
      </c>
      <c r="BX149">
        <f>4.817032539</f>
        <v>4.8170325390000004</v>
      </c>
      <c r="BY149">
        <f>4.856459183</f>
        <v>4.8564591830000001</v>
      </c>
      <c r="BZ149">
        <f>4.839971898</f>
        <v>4.8399718979999999</v>
      </c>
      <c r="CA149">
        <f>4.791362794</f>
        <v>4.7913627940000003</v>
      </c>
      <c r="CB149">
        <f>4.817564698</f>
        <v>4.817564698</v>
      </c>
      <c r="CC149">
        <f>4.762250686</f>
        <v>4.7622506859999998</v>
      </c>
      <c r="CD149">
        <f>4.696843944</f>
        <v>4.6968439440000003</v>
      </c>
      <c r="CE149">
        <f>4.635599261</f>
        <v>4.6355992610000003</v>
      </c>
      <c r="CF149">
        <f>4.881209328</f>
        <v>4.8812093279999997</v>
      </c>
      <c r="CG149">
        <f>5.211036682</f>
        <v>5.2110366819999996</v>
      </c>
      <c r="CH149">
        <f>4.869197556</f>
        <v>4.8691975559999996</v>
      </c>
      <c r="CI149">
        <f>4.344460732</f>
        <v>4.3444607319999999</v>
      </c>
      <c r="CJ149">
        <f>4.524165931</f>
        <v>4.5241659309999998</v>
      </c>
      <c r="CK149">
        <f>5.188427919</f>
        <v>5.1884279190000004</v>
      </c>
      <c r="CL149">
        <f>5.038631496</f>
        <v>5.0386314959999998</v>
      </c>
      <c r="CM149">
        <f>4.975124752</f>
        <v>4.9751247520000002</v>
      </c>
      <c r="CN149">
        <f>5.1930001</f>
        <v>5.1930000999999999</v>
      </c>
      <c r="CO149">
        <f>5.668717133</f>
        <v>5.6687171330000004</v>
      </c>
      <c r="CP149">
        <f>5.148832445</f>
        <v>5.148832445</v>
      </c>
      <c r="CQ149">
        <f>4.251615144</f>
        <v>4.2516151439999996</v>
      </c>
      <c r="CR149">
        <f>3.913937717</f>
        <v>3.913937717</v>
      </c>
      <c r="CS149">
        <f>3.731898566</f>
        <v>3.7318985659999999</v>
      </c>
      <c r="CT149">
        <f>3.581137145</f>
        <v>3.581137145</v>
      </c>
      <c r="CU149">
        <f>3.627494232</f>
        <v>3.6274942320000001</v>
      </c>
      <c r="CV149">
        <f>3.170866583</f>
        <v>3.170866583</v>
      </c>
      <c r="CW149">
        <f>2.786533634</f>
        <v>2.786533634</v>
      </c>
      <c r="CX149">
        <f>3.32777465</f>
        <v>3.3277746499999998</v>
      </c>
      <c r="CY149">
        <f>2.910956789</f>
        <v>2.9109567890000001</v>
      </c>
      <c r="CZ149">
        <f>2.797880692</f>
        <v>2.7978806920000001</v>
      </c>
      <c r="DA149">
        <f>2.822736934</f>
        <v>2.8227369339999999</v>
      </c>
      <c r="DB149">
        <f>3.997340353</f>
        <v>3.9973403529999998</v>
      </c>
      <c r="DC149">
        <f>3.17089296</f>
        <v>3.1708929600000002</v>
      </c>
      <c r="DD149">
        <f>2.964951502</f>
        <v>2.9649515019999999</v>
      </c>
      <c r="DE149">
        <f>3.034012477</f>
        <v>3.0340124770000001</v>
      </c>
      <c r="DF149">
        <f>2.8692671</f>
        <v>2.8692671000000001</v>
      </c>
      <c r="DG149">
        <f>4.879241031</f>
        <v>4.8792410310000003</v>
      </c>
      <c r="DH149">
        <f>3.922633619</f>
        <v>3.922633619</v>
      </c>
      <c r="DI149">
        <f>3.812519006</f>
        <v>3.812519006</v>
      </c>
      <c r="DJ149">
        <f>3.559018968</f>
        <v>3.5590189680000002</v>
      </c>
      <c r="DK149">
        <f>4.377420995</f>
        <v>4.3774209949999996</v>
      </c>
      <c r="DL149">
        <f>4.346633775</f>
        <v>4.3466337749999999</v>
      </c>
      <c r="DM149">
        <f>2.922721069</f>
        <v>2.9227210690000001</v>
      </c>
      <c r="DN149">
        <f>2.713843986</f>
        <v>2.7138439860000001</v>
      </c>
      <c r="DO149" t="str">
        <f>""</f>
        <v/>
      </c>
      <c r="DP149" t="str">
        <f>""</f>
        <v/>
      </c>
      <c r="DQ149" t="str">
        <f>""</f>
        <v/>
      </c>
      <c r="DR149" t="str">
        <f>""</f>
        <v/>
      </c>
      <c r="DS149" t="str">
        <f>""</f>
        <v/>
      </c>
      <c r="DT149" t="str">
        <f>""</f>
        <v/>
      </c>
      <c r="DU149" t="str">
        <f>""</f>
        <v/>
      </c>
    </row>
    <row r="150" spans="1:125">
      <c r="A150" t="str">
        <f>"    AvalonBay Communities Inc"</f>
        <v xml:space="preserve">    AvalonBay Communities Inc</v>
      </c>
      <c r="B150" t="str">
        <f>"AVB US Equity"</f>
        <v>AVB US Equity</v>
      </c>
      <c r="C150" t="str">
        <f t="shared" si="48"/>
        <v>RR554</v>
      </c>
      <c r="D150" t="str">
        <f t="shared" si="49"/>
        <v>FFO_RE_ASSET</v>
      </c>
      <c r="E150" t="str">
        <f t="shared" si="50"/>
        <v>动态</v>
      </c>
      <c r="F150" t="str">
        <f ca="1">IF(AND(ISNUMBER($F$357),$B$226=1),$F$357,HLOOKUP(INDIRECT(ADDRESS(2,COLUMN())),OFFSET($BN$2,0,0,ROW()-1,60),ROW()-1,FALSE))</f>
        <v/>
      </c>
      <c r="G150">
        <f ca="1">IF(AND(ISNUMBER($G$357),$B$226=1),$G$357,HLOOKUP(INDIRECT(ADDRESS(2,COLUMN())),OFFSET($BN$2,0,0,ROW()-1,60),ROW()-1,FALSE))</f>
        <v>6.6528728460000002</v>
      </c>
      <c r="H150">
        <f ca="1">IF(AND(ISNUMBER($H$357),$B$226=1),$H$357,HLOOKUP(INDIRECT(ADDRESS(2,COLUMN())),OFFSET($BN$2,0,0,ROW()-1,60),ROW()-1,FALSE))</f>
        <v>6.6614385570000003</v>
      </c>
      <c r="I150">
        <f ca="1">IF(AND(ISNUMBER($I$357),$B$226=1),$I$357,HLOOKUP(INDIRECT(ADDRESS(2,COLUMN())),OFFSET($BN$2,0,0,ROW()-1,60),ROW()-1,FALSE))</f>
        <v>6.5639297030000003</v>
      </c>
      <c r="J150">
        <f ca="1">IF(AND(ISNUMBER($J$357),$B$226=1),$J$357,HLOOKUP(INDIRECT(ADDRESS(2,COLUMN())),OFFSET($BN$2,0,0,ROW()-1,60),ROW()-1,FALSE))</f>
        <v>6.7056905149999997</v>
      </c>
      <c r="K150">
        <f ca="1">IF(AND(ISNUMBER($K$357),$B$226=1),$K$357,HLOOKUP(INDIRECT(ADDRESS(2,COLUMN())),OFFSET($BN$2,0,0,ROW()-1,60),ROW()-1,FALSE))</f>
        <v>6.807627267</v>
      </c>
      <c r="L150">
        <f ca="1">IF(AND(ISNUMBER($L$357),$B$226=1),$L$357,HLOOKUP(INDIRECT(ADDRESS(2,COLUMN())),OFFSET($BN$2,0,0,ROW()-1,60),ROW()-1,FALSE))</f>
        <v>6.7527599970000001</v>
      </c>
      <c r="M150">
        <f ca="1">IF(AND(ISNUMBER($M$357),$B$226=1),$M$357,HLOOKUP(INDIRECT(ADDRESS(2,COLUMN())),OFFSET($BN$2,0,0,ROW()-1,60),ROW()-1,FALSE))</f>
        <v>6.7353720519999998</v>
      </c>
      <c r="N150">
        <f ca="1">IF(AND(ISNUMBER($N$357),$B$226=1),$N$357,HLOOKUP(INDIRECT(ADDRESS(2,COLUMN())),OFFSET($BN$2,0,0,ROW()-1,60),ROW()-1,FALSE))</f>
        <v>6.9514859590000002</v>
      </c>
      <c r="O150">
        <f ca="1">IF(AND(ISNUMBER($O$357),$B$226=1),$O$357,HLOOKUP(INDIRECT(ADDRESS(2,COLUMN())),OFFSET($BN$2,0,0,ROW()-1,60),ROW()-1,FALSE))</f>
        <v>6.9001066250000003</v>
      </c>
      <c r="P150">
        <f ca="1">IF(AND(ISNUMBER($P$357),$B$226=1),$P$357,HLOOKUP(INDIRECT(ADDRESS(2,COLUMN())),OFFSET($BN$2,0,0,ROW()-1,60),ROW()-1,FALSE))</f>
        <v>6.7318698469999996</v>
      </c>
      <c r="Q150">
        <f ca="1">IF(AND(ISNUMBER($Q$357),$B$226=1),$Q$357,HLOOKUP(INDIRECT(ADDRESS(2,COLUMN())),OFFSET($BN$2,0,0,ROW()-1,60),ROW()-1,FALSE))</f>
        <v>6.8902287329999998</v>
      </c>
      <c r="R150">
        <f ca="1">IF(AND(ISNUMBER($R$357),$B$226=1),$R$357,HLOOKUP(INDIRECT(ADDRESS(2,COLUMN())),OFFSET($BN$2,0,0,ROW()-1,60),ROW()-1,FALSE))</f>
        <v>6.4938863509999996</v>
      </c>
      <c r="S150">
        <f ca="1">IF(AND(ISNUMBER($S$357),$B$226=1),$S$357,HLOOKUP(INDIRECT(ADDRESS(2,COLUMN())),OFFSET($BN$2,0,0,ROW()-1,60),ROW()-1,FALSE))</f>
        <v>6.3643971300000004</v>
      </c>
      <c r="T150">
        <f ca="1">IF(AND(ISNUMBER($T$357),$B$226=1),$T$357,HLOOKUP(INDIRECT(ADDRESS(2,COLUMN())),OFFSET($BN$2,0,0,ROW()-1,60),ROW()-1,FALSE))</f>
        <v>6.1555036449999996</v>
      </c>
      <c r="U150">
        <f ca="1">IF(AND(ISNUMBER($U$357),$B$226=1),$U$357,HLOOKUP(INDIRECT(ADDRESS(2,COLUMN())),OFFSET($BN$2,0,0,ROW()-1,60),ROW()-1,FALSE))</f>
        <v>5.349923521</v>
      </c>
      <c r="V150">
        <f ca="1">IF(AND(ISNUMBER($V$357),$B$226=1),$V$357,HLOOKUP(INDIRECT(ADDRESS(2,COLUMN())),OFFSET($BN$2,0,0,ROW()-1,60),ROW()-1,FALSE))</f>
        <v>5.2214518520000004</v>
      </c>
      <c r="W150">
        <f ca="1">IF(AND(ISNUMBER($W$357),$B$226=1),$W$357,HLOOKUP(INDIRECT(ADDRESS(2,COLUMN())),OFFSET($BN$2,0,0,ROW()-1,60),ROW()-1,FALSE))</f>
        <v>5.6395821699999997</v>
      </c>
      <c r="X150">
        <f ca="1">IF(AND(ISNUMBER($X$357),$B$226=1),$X$357,HLOOKUP(INDIRECT(ADDRESS(2,COLUMN())),OFFSET($BN$2,0,0,ROW()-1,60),ROW()-1,FALSE))</f>
        <v>5.1046684579999999</v>
      </c>
      <c r="Y150">
        <f ca="1">IF(AND(ISNUMBER($Y$357),$B$226=1),$Y$357,HLOOKUP(INDIRECT(ADDRESS(2,COLUMN())),OFFSET($BN$2,0,0,ROW()-1,60),ROW()-1,FALSE))</f>
        <v>5.0825033199999998</v>
      </c>
      <c r="Z150">
        <f ca="1">IF(AND(ISNUMBER($Z$357),$B$226=1),$Z$357,HLOOKUP(INDIRECT(ADDRESS(2,COLUMN())),OFFSET($BN$2,0,0,ROW()-1,60),ROW()-1,FALSE))</f>
        <v>4.4630390819999999</v>
      </c>
      <c r="AA150">
        <f ca="1">IF(AND(ISNUMBER($AA$357),$B$226=1),$AA$357,HLOOKUP(INDIRECT(ADDRESS(2,COLUMN())),OFFSET($BN$2,0,0,ROW()-1,60),ROW()-1,FALSE))</f>
        <v>6.6316012610000001</v>
      </c>
      <c r="AB150">
        <f ca="1">IF(AND(ISNUMBER($AB$357),$B$226=1),$AB$357,HLOOKUP(INDIRECT(ADDRESS(2,COLUMN())),OFFSET($BN$2,0,0,ROW()-1,60),ROW()-1,FALSE))</f>
        <v>6.5155785750000001</v>
      </c>
      <c r="AC150">
        <f ca="1">IF(AND(ISNUMBER($AC$357),$B$226=1),$AC$357,HLOOKUP(INDIRECT(ADDRESS(2,COLUMN())),OFFSET($BN$2,0,0,ROW()-1,60),ROW()-1,FALSE))</f>
        <v>6.2583004559999997</v>
      </c>
      <c r="AD150">
        <f ca="1">IF(AND(ISNUMBER($AD$357),$B$226=1),$AD$357,HLOOKUP(INDIRECT(ADDRESS(2,COLUMN())),OFFSET($BN$2,0,0,ROW()-1,60),ROW()-1,FALSE))</f>
        <v>5.9801799779999998</v>
      </c>
      <c r="AE150">
        <f ca="1">IF(AND(ISNUMBER($AE$357),$B$226=1),$AE$357,HLOOKUP(INDIRECT(ADDRESS(2,COLUMN())),OFFSET($BN$2,0,0,ROW()-1,60),ROW()-1,FALSE))</f>
        <v>5.6597313280000003</v>
      </c>
      <c r="AF150">
        <f ca="1">IF(AND(ISNUMBER($AF$357),$B$226=1),$AF$357,HLOOKUP(INDIRECT(ADDRESS(2,COLUMN())),OFFSET($BN$2,0,0,ROW()-1,60),ROW()-1,FALSE))</f>
        <v>5.3633555399999997</v>
      </c>
      <c r="AG150">
        <f ca="1">IF(AND(ISNUMBER($AG$357),$B$226=1),$AG$357,HLOOKUP(INDIRECT(ADDRESS(2,COLUMN())),OFFSET($BN$2,0,0,ROW()-1,60),ROW()-1,FALSE))</f>
        <v>5.130714523</v>
      </c>
      <c r="AH150">
        <f ca="1">IF(AND(ISNUMBER($AH$357),$B$226=1),$AH$357,HLOOKUP(INDIRECT(ADDRESS(2,COLUMN())),OFFSET($BN$2,0,0,ROW()-1,60),ROW()-1,FALSE))</f>
        <v>5.0137715350000001</v>
      </c>
      <c r="AI150">
        <f ca="1">IF(AND(ISNUMBER($AI$357),$B$226=1),$AI$357,HLOOKUP(INDIRECT(ADDRESS(2,COLUMN())),OFFSET($BN$2,0,0,ROW()-1,60),ROW()-1,FALSE))</f>
        <v>4.8386874190000002</v>
      </c>
      <c r="AJ150">
        <f ca="1">IF(AND(ISNUMBER($AJ$357),$B$226=1),$AJ$357,HLOOKUP(INDIRECT(ADDRESS(2,COLUMN())),OFFSET($BN$2,0,0,ROW()-1,60),ROW()-1,FALSE))</f>
        <v>4.3656772930000001</v>
      </c>
      <c r="AK150">
        <f ca="1">IF(AND(ISNUMBER($AK$357),$B$226=1),$AK$357,HLOOKUP(INDIRECT(ADDRESS(2,COLUMN())),OFFSET($BN$2,0,0,ROW()-1,60),ROW()-1,FALSE))</f>
        <v>4.4567137370000003</v>
      </c>
      <c r="AL150">
        <f ca="1">IF(AND(ISNUMBER($AL$357),$B$226=1),$AL$357,HLOOKUP(INDIRECT(ADDRESS(2,COLUMN())),OFFSET($BN$2,0,0,ROW()-1,60),ROW()-1,FALSE))</f>
        <v>4.2441524309999998</v>
      </c>
      <c r="AM150">
        <f ca="1">IF(AND(ISNUMBER($AM$357),$B$226=1),$AM$357,HLOOKUP(INDIRECT(ADDRESS(2,COLUMN())),OFFSET($BN$2,0,0,ROW()-1,60),ROW()-1,FALSE))</f>
        <v>4.6021454029999997</v>
      </c>
      <c r="AN150">
        <f ca="1">IF(AND(ISNUMBER($AN$357),$B$226=1),$AN$357,HLOOKUP(INDIRECT(ADDRESS(2,COLUMN())),OFFSET($BN$2,0,0,ROW()-1,60),ROW()-1,FALSE))</f>
        <v>4.1988321170000003</v>
      </c>
      <c r="AO150">
        <f ca="1">IF(AND(ISNUMBER($AO$357),$B$226=1),$AO$357,HLOOKUP(INDIRECT(ADDRESS(2,COLUMN())),OFFSET($BN$2,0,0,ROW()-1,60),ROW()-1,FALSE))</f>
        <v>4.3731919430000001</v>
      </c>
      <c r="AP150">
        <f ca="1">IF(AND(ISNUMBER($AP$357),$B$226=1),$AP$357,HLOOKUP(INDIRECT(ADDRESS(2,COLUMN())),OFFSET($BN$2,0,0,ROW()-1,60),ROW()-1,FALSE))</f>
        <v>4.8195118680000002</v>
      </c>
      <c r="AQ150">
        <f ca="1">IF(AND(ISNUMBER($AQ$357),$B$226=1),$AQ$357,HLOOKUP(INDIRECT(ADDRESS(2,COLUMN())),OFFSET($BN$2,0,0,ROW()-1,60),ROW()-1,FALSE))</f>
        <v>4.8384142649999999</v>
      </c>
      <c r="AR150">
        <f ca="1">IF(AND(ISNUMBER($AR$357),$B$226=1),$AR$357,HLOOKUP(INDIRECT(ADDRESS(2,COLUMN())),OFFSET($BN$2,0,0,ROW()-1,60),ROW()-1,FALSE))</f>
        <v>5.9727107249999998</v>
      </c>
      <c r="AS150">
        <f ca="1">IF(AND(ISNUMBER($AS$357),$B$226=1),$AS$357,HLOOKUP(INDIRECT(ADDRESS(2,COLUMN())),OFFSET($BN$2,0,0,ROW()-1,60),ROW()-1,FALSE))</f>
        <v>6.0029562580000002</v>
      </c>
      <c r="AT150">
        <f ca="1">IF(AND(ISNUMBER($AT$357),$B$226=1),$AT$357,HLOOKUP(INDIRECT(ADDRESS(2,COLUMN())),OFFSET($BN$2,0,0,ROW()-1,60),ROW()-1,FALSE))</f>
        <v>6.0918120699999996</v>
      </c>
      <c r="AU150">
        <f ca="1">IF(AND(ISNUMBER($AU$357),$B$226=1),$AU$357,HLOOKUP(INDIRECT(ADDRESS(2,COLUMN())),OFFSET($BN$2,0,0,ROW()-1,60),ROW()-1,FALSE))</f>
        <v>6.1815590489999996</v>
      </c>
      <c r="AV150">
        <f ca="1">IF(AND(ISNUMBER($AV$357),$B$226=1),$AV$357,HLOOKUP(INDIRECT(ADDRESS(2,COLUMN())),OFFSET($BN$2,0,0,ROW()-1,60),ROW()-1,FALSE))</f>
        <v>6.2482231779999999</v>
      </c>
      <c r="AW150">
        <f ca="1">IF(AND(ISNUMBER($AW$357),$B$226=1),$AW$357,HLOOKUP(INDIRECT(ADDRESS(2,COLUMN())),OFFSET($BN$2,0,0,ROW()-1,60),ROW()-1,FALSE))</f>
        <v>6.1845705820000001</v>
      </c>
      <c r="AX150">
        <f ca="1">IF(AND(ISNUMBER($AX$357),$B$226=1),$AX$357,HLOOKUP(INDIRECT(ADDRESS(2,COLUMN())),OFFSET($BN$2,0,0,ROW()-1,60),ROW()-1,FALSE))</f>
        <v>6.0403988179999999</v>
      </c>
      <c r="AY150">
        <f ca="1">IF(AND(ISNUMBER($AY$357),$B$226=1),$AY$357,HLOOKUP(INDIRECT(ADDRESS(2,COLUMN())),OFFSET($BN$2,0,0,ROW()-1,60),ROW()-1,FALSE))</f>
        <v>6.0754119979999999</v>
      </c>
      <c r="AZ150">
        <f ca="1">IF(AND(ISNUMBER($AZ$357),$B$226=1),$AZ$357,HLOOKUP(INDIRECT(ADDRESS(2,COLUMN())),OFFSET($BN$2,0,0,ROW()-1,60),ROW()-1,FALSE))</f>
        <v>6.1006494250000003</v>
      </c>
      <c r="BA150">
        <f ca="1">IF(AND(ISNUMBER($BA$357),$B$226=1),$BA$357,HLOOKUP(INDIRECT(ADDRESS(2,COLUMN())),OFFSET($BN$2,0,0,ROW()-1,60),ROW()-1,FALSE))</f>
        <v>5.9077939099999996</v>
      </c>
      <c r="BB150">
        <f ca="1">IF(AND(ISNUMBER($BB$357),$B$226=1),$BB$357,HLOOKUP(INDIRECT(ADDRESS(2,COLUMN())),OFFSET($BN$2,0,0,ROW()-1,60),ROW()-1,FALSE))</f>
        <v>5.9640350350000002</v>
      </c>
      <c r="BC150">
        <f ca="1">IF(AND(ISNUMBER($BC$357),$B$226=1),$BC$357,HLOOKUP(INDIRECT(ADDRESS(2,COLUMN())),OFFSET($BN$2,0,0,ROW()-1,60),ROW()-1,FALSE))</f>
        <v>5.68839966</v>
      </c>
      <c r="BD150">
        <f ca="1">IF(AND(ISNUMBER($BD$357),$B$226=1),$BD$357,HLOOKUP(INDIRECT(ADDRESS(2,COLUMN())),OFFSET($BN$2,0,0,ROW()-1,60),ROW()-1,FALSE))</f>
        <v>5.6100953020000004</v>
      </c>
      <c r="BE150">
        <f ca="1">IF(AND(ISNUMBER($BE$357),$B$226=1),$BE$357,HLOOKUP(INDIRECT(ADDRESS(2,COLUMN())),OFFSET($BN$2,0,0,ROW()-1,60),ROW()-1,FALSE))</f>
        <v>5.5348423220000003</v>
      </c>
      <c r="BF150">
        <f ca="1">IF(AND(ISNUMBER($BF$357),$B$226=1),$BF$357,HLOOKUP(INDIRECT(ADDRESS(2,COLUMN())),OFFSET($BN$2,0,0,ROW()-1,60),ROW()-1,FALSE))</f>
        <v>5.3612878730000002</v>
      </c>
      <c r="BG150">
        <f ca="1">IF(AND(ISNUMBER($BG$357),$B$226=1),$BG$357,HLOOKUP(INDIRECT(ADDRESS(2,COLUMN())),OFFSET($BN$2,0,0,ROW()-1,60),ROW()-1,FALSE))</f>
        <v>5.0789275299999996</v>
      </c>
      <c r="BH150">
        <f ca="1">IF(AND(ISNUMBER($BH$357),$B$226=1),$BH$357,HLOOKUP(INDIRECT(ADDRESS(2,COLUMN())),OFFSET($BN$2,0,0,ROW()-1,60),ROW()-1,FALSE))</f>
        <v>4.923083063</v>
      </c>
      <c r="BI150">
        <f ca="1">IF(AND(ISNUMBER($BI$357),$B$226=1),$BI$357,HLOOKUP(INDIRECT(ADDRESS(2,COLUMN())),OFFSET($BN$2,0,0,ROW()-1,60),ROW()-1,FALSE))</f>
        <v>4.8108290880000002</v>
      </c>
      <c r="BJ150">
        <f ca="1">IF(AND(ISNUMBER($BJ$357),$B$226=1),$BJ$357,HLOOKUP(INDIRECT(ADDRESS(2,COLUMN())),OFFSET($BN$2,0,0,ROW()-1,60),ROW()-1,FALSE))</f>
        <v>4.7578520810000002</v>
      </c>
      <c r="BK150">
        <f ca="1">IF(AND(ISNUMBER($BK$357),$B$226=1),$BK$357,HLOOKUP(INDIRECT(ADDRESS(2,COLUMN())),OFFSET($BN$2,0,0,ROW()-1,60),ROW()-1,FALSE))</f>
        <v>4.778192089</v>
      </c>
      <c r="BL150">
        <f ca="1">IF(AND(ISNUMBER($BL$357),$B$226=1),$BL$357,HLOOKUP(INDIRECT(ADDRESS(2,COLUMN())),OFFSET($BN$2,0,0,ROW()-1,60),ROW()-1,FALSE))</f>
        <v>4.6429662690000004</v>
      </c>
      <c r="BM150">
        <f ca="1">IF(AND(ISNUMBER($BM$357),$B$226=1),$BM$357,HLOOKUP(INDIRECT(ADDRESS(2,COLUMN())),OFFSET($BN$2,0,0,ROW()-1,60),ROW()-1,FALSE))</f>
        <v>4.8035249929999999</v>
      </c>
      <c r="BN150" t="str">
        <f>""</f>
        <v/>
      </c>
      <c r="BO150">
        <f>6.652872846</f>
        <v>6.6528728460000002</v>
      </c>
      <c r="BP150">
        <f>6.661438557</f>
        <v>6.6614385570000003</v>
      </c>
      <c r="BQ150">
        <f>6.563929703</f>
        <v>6.5639297030000003</v>
      </c>
      <c r="BR150">
        <f>6.705690515</f>
        <v>6.7056905149999997</v>
      </c>
      <c r="BS150">
        <f>6.807627267</f>
        <v>6.807627267</v>
      </c>
      <c r="BT150">
        <f>6.752759997</f>
        <v>6.7527599970000001</v>
      </c>
      <c r="BU150">
        <f>6.735372052</f>
        <v>6.7353720519999998</v>
      </c>
      <c r="BV150">
        <f>6.951485959</f>
        <v>6.9514859590000002</v>
      </c>
      <c r="BW150">
        <f>6.900106625</f>
        <v>6.9001066250000003</v>
      </c>
      <c r="BX150">
        <f>6.731869847</f>
        <v>6.7318698469999996</v>
      </c>
      <c r="BY150">
        <f>6.890228733</f>
        <v>6.8902287329999998</v>
      </c>
      <c r="BZ150">
        <f>6.493886351</f>
        <v>6.4938863509999996</v>
      </c>
      <c r="CA150">
        <f>6.36439713</f>
        <v>6.3643971300000004</v>
      </c>
      <c r="CB150">
        <f>6.155503645</f>
        <v>6.1555036449999996</v>
      </c>
      <c r="CC150">
        <f>5.349923521</f>
        <v>5.349923521</v>
      </c>
      <c r="CD150">
        <f>5.221451852</f>
        <v>5.2214518520000004</v>
      </c>
      <c r="CE150">
        <f>5.63958217</f>
        <v>5.6395821699999997</v>
      </c>
      <c r="CF150">
        <f>5.104668458</f>
        <v>5.1046684579999999</v>
      </c>
      <c r="CG150">
        <f>5.08250332</f>
        <v>5.0825033199999998</v>
      </c>
      <c r="CH150">
        <f>4.463039082</f>
        <v>4.4630390819999999</v>
      </c>
      <c r="CI150">
        <f>6.631601261</f>
        <v>6.6316012610000001</v>
      </c>
      <c r="CJ150">
        <f>6.515578575</f>
        <v>6.5155785750000001</v>
      </c>
      <c r="CK150">
        <f>6.258300456</f>
        <v>6.2583004559999997</v>
      </c>
      <c r="CL150">
        <f>5.980179978</f>
        <v>5.9801799779999998</v>
      </c>
      <c r="CM150">
        <f>5.659731328</f>
        <v>5.6597313280000003</v>
      </c>
      <c r="CN150">
        <f>5.36335554</f>
        <v>5.3633555399999997</v>
      </c>
      <c r="CO150">
        <f>5.130714523</f>
        <v>5.130714523</v>
      </c>
      <c r="CP150">
        <f>5.013771535</f>
        <v>5.0137715350000001</v>
      </c>
      <c r="CQ150">
        <f>4.838687419</f>
        <v>4.8386874190000002</v>
      </c>
      <c r="CR150">
        <f>4.365677293</f>
        <v>4.3656772930000001</v>
      </c>
      <c r="CS150">
        <f>4.456713737</f>
        <v>4.4567137370000003</v>
      </c>
      <c r="CT150">
        <f>4.244152431</f>
        <v>4.2441524309999998</v>
      </c>
      <c r="CU150">
        <f>4.602145403</f>
        <v>4.6021454029999997</v>
      </c>
      <c r="CV150">
        <f>4.198832117</f>
        <v>4.1988321170000003</v>
      </c>
      <c r="CW150">
        <f>4.373191943</f>
        <v>4.3731919430000001</v>
      </c>
      <c r="CX150">
        <f>4.819511868</f>
        <v>4.8195118680000002</v>
      </c>
      <c r="CY150">
        <f>4.838414265</f>
        <v>4.8384142649999999</v>
      </c>
      <c r="CZ150">
        <f>5.972710725</f>
        <v>5.9727107249999998</v>
      </c>
      <c r="DA150">
        <f>6.002956258</f>
        <v>6.0029562580000002</v>
      </c>
      <c r="DB150">
        <f>6.09181207</f>
        <v>6.0918120699999996</v>
      </c>
      <c r="DC150">
        <f>6.181559049</f>
        <v>6.1815590489999996</v>
      </c>
      <c r="DD150">
        <f>6.248223178</f>
        <v>6.2482231779999999</v>
      </c>
      <c r="DE150">
        <f>6.184570582</f>
        <v>6.1845705820000001</v>
      </c>
      <c r="DF150">
        <f>6.040398818</f>
        <v>6.0403988179999999</v>
      </c>
      <c r="DG150">
        <f>6.075411998</f>
        <v>6.0754119979999999</v>
      </c>
      <c r="DH150">
        <f>6.100649425</f>
        <v>6.1006494250000003</v>
      </c>
      <c r="DI150">
        <f>5.90779391</f>
        <v>5.9077939099999996</v>
      </c>
      <c r="DJ150">
        <f>5.964035035</f>
        <v>5.9640350350000002</v>
      </c>
      <c r="DK150">
        <f>5.68839966</f>
        <v>5.68839966</v>
      </c>
      <c r="DL150">
        <f>5.610095302</f>
        <v>5.6100953020000004</v>
      </c>
      <c r="DM150">
        <f>5.534842322</f>
        <v>5.5348423220000003</v>
      </c>
      <c r="DN150">
        <f>5.361287873</f>
        <v>5.3612878730000002</v>
      </c>
      <c r="DO150">
        <f>5.07892753</f>
        <v>5.0789275299999996</v>
      </c>
      <c r="DP150">
        <f>4.923083063</f>
        <v>4.923083063</v>
      </c>
      <c r="DQ150">
        <f>4.810829088</f>
        <v>4.8108290880000002</v>
      </c>
      <c r="DR150">
        <f>4.757852081</f>
        <v>4.7578520810000002</v>
      </c>
      <c r="DS150">
        <f>4.778192089</f>
        <v>4.778192089</v>
      </c>
      <c r="DT150">
        <f>4.642966269</f>
        <v>4.6429662690000004</v>
      </c>
      <c r="DU150">
        <f>4.803524993</f>
        <v>4.8035249929999999</v>
      </c>
    </row>
    <row r="151" spans="1:125">
      <c r="A151" t="str">
        <f>"    Camden Property Trust"</f>
        <v xml:space="preserve">    Camden Property Trust</v>
      </c>
      <c r="B151" t="str">
        <f>"CPT US Equity"</f>
        <v>CPT US Equity</v>
      </c>
      <c r="C151" t="str">
        <f t="shared" si="48"/>
        <v>RR554</v>
      </c>
      <c r="D151" t="str">
        <f t="shared" si="49"/>
        <v>FFO_RE_ASSET</v>
      </c>
      <c r="E151" t="str">
        <f t="shared" si="50"/>
        <v>动态</v>
      </c>
      <c r="F151" t="str">
        <f ca="1">IF(AND(ISNUMBER($F$358),$B$226=1),$F$358,HLOOKUP(INDIRECT(ADDRESS(2,COLUMN())),OFFSET($BN$2,0,0,ROW()-1,60),ROW()-1,FALSE))</f>
        <v/>
      </c>
      <c r="G151">
        <f ca="1">IF(AND(ISNUMBER($G$358),$B$226=1),$G$358,HLOOKUP(INDIRECT(ADDRESS(2,COLUMN())),OFFSET($BN$2,0,0,ROW()-1,60),ROW()-1,FALSE))</f>
        <v>7.6461521640000001</v>
      </c>
      <c r="H151">
        <f ca="1">IF(AND(ISNUMBER($H$358),$B$226=1),$H$358,HLOOKUP(INDIRECT(ADDRESS(2,COLUMN())),OFFSET($BN$2,0,0,ROW()-1,60),ROW()-1,FALSE))</f>
        <v>7.4817588150000001</v>
      </c>
      <c r="I151">
        <f ca="1">IF(AND(ISNUMBER($I$358),$B$226=1),$I$358,HLOOKUP(INDIRECT(ADDRESS(2,COLUMN())),OFFSET($BN$2,0,0,ROW()-1,60),ROW()-1,FALSE))</f>
        <v>7.4556433750000002</v>
      </c>
      <c r="J151">
        <f ca="1">IF(AND(ISNUMBER($J$358),$B$226=1),$J$358,HLOOKUP(INDIRECT(ADDRESS(2,COLUMN())),OFFSET($BN$2,0,0,ROW()-1,60),ROW()-1,FALSE))</f>
        <v>7.444219479</v>
      </c>
      <c r="K151">
        <f ca="1">IF(AND(ISNUMBER($K$358),$B$226=1),$K$358,HLOOKUP(INDIRECT(ADDRESS(2,COLUMN())),OFFSET($BN$2,0,0,ROW()-1,60),ROW()-1,FALSE))</f>
        <v>7.6269289760000003</v>
      </c>
      <c r="L151">
        <f ca="1">IF(AND(ISNUMBER($L$358),$B$226=1),$L$358,HLOOKUP(INDIRECT(ADDRESS(2,COLUMN())),OFFSET($BN$2,0,0,ROW()-1,60),ROW()-1,FALSE))</f>
        <v>7.5699212039999999</v>
      </c>
      <c r="M151">
        <f ca="1">IF(AND(ISNUMBER($M$358),$B$226=1),$M$358,HLOOKUP(INDIRECT(ADDRESS(2,COLUMN())),OFFSET($BN$2,0,0,ROW()-1,60),ROW()-1,FALSE))</f>
        <v>7.5369945459999999</v>
      </c>
      <c r="N151">
        <f ca="1">IF(AND(ISNUMBER($N$358),$B$226=1),$N$358,HLOOKUP(INDIRECT(ADDRESS(2,COLUMN())),OFFSET($BN$2,0,0,ROW()-1,60),ROW()-1,FALSE))</f>
        <v>7.4696664610000001</v>
      </c>
      <c r="O151">
        <f ca="1">IF(AND(ISNUMBER($O$358),$B$226=1),$O$358,HLOOKUP(INDIRECT(ADDRESS(2,COLUMN())),OFFSET($BN$2,0,0,ROW()-1,60),ROW()-1,FALSE))</f>
        <v>7.2976853930000001</v>
      </c>
      <c r="P151">
        <f ca="1">IF(AND(ISNUMBER($P$358),$B$226=1),$P$358,HLOOKUP(INDIRECT(ADDRESS(2,COLUMN())),OFFSET($BN$2,0,0,ROW()-1,60),ROW()-1,FALSE))</f>
        <v>6.850685414</v>
      </c>
      <c r="Q151">
        <f ca="1">IF(AND(ISNUMBER($Q$358),$B$226=1),$Q$358,HLOOKUP(INDIRECT(ADDRESS(2,COLUMN())),OFFSET($BN$2,0,0,ROW()-1,60),ROW()-1,FALSE))</f>
        <v>6.799176031</v>
      </c>
      <c r="R151">
        <f ca="1">IF(AND(ISNUMBER($R$358),$B$226=1),$R$358,HLOOKUP(INDIRECT(ADDRESS(2,COLUMN())),OFFSET($BN$2,0,0,ROW()-1,60),ROW()-1,FALSE))</f>
        <v>6.7724932869999996</v>
      </c>
      <c r="S151">
        <f ca="1">IF(AND(ISNUMBER($S$358),$B$226=1),$S$358,HLOOKUP(INDIRECT(ADDRESS(2,COLUMN())),OFFSET($BN$2,0,0,ROW()-1,60),ROW()-1,FALSE))</f>
        <v>6.7569782439999999</v>
      </c>
      <c r="T151">
        <f ca="1">IF(AND(ISNUMBER($T$358),$B$226=1),$T$358,HLOOKUP(INDIRECT(ADDRESS(2,COLUMN())),OFFSET($BN$2,0,0,ROW()-1,60),ROW()-1,FALSE))</f>
        <v>6.9195752119999998</v>
      </c>
      <c r="U151">
        <f ca="1">IF(AND(ISNUMBER($U$358),$B$226=1),$U$358,HLOOKUP(INDIRECT(ADDRESS(2,COLUMN())),OFFSET($BN$2,0,0,ROW()-1,60),ROW()-1,FALSE))</f>
        <v>6.9082677449999998</v>
      </c>
      <c r="V151">
        <f ca="1">IF(AND(ISNUMBER($V$358),$B$226=1),$V$358,HLOOKUP(INDIRECT(ADDRESS(2,COLUMN())),OFFSET($BN$2,0,0,ROW()-1,60),ROW()-1,FALSE))</f>
        <v>7.0312270950000002</v>
      </c>
      <c r="W151">
        <f ca="1">IF(AND(ISNUMBER($W$358),$B$226=1),$W$358,HLOOKUP(INDIRECT(ADDRESS(2,COLUMN())),OFFSET($BN$2,0,0,ROW()-1,60),ROW()-1,FALSE))</f>
        <v>6.903387049</v>
      </c>
      <c r="X151">
        <f ca="1">IF(AND(ISNUMBER($X$358),$B$226=1),$X$358,HLOOKUP(INDIRECT(ADDRESS(2,COLUMN())),OFFSET($BN$2,0,0,ROW()-1,60),ROW()-1,FALSE))</f>
        <v>6.805839078</v>
      </c>
      <c r="Y151">
        <f ca="1">IF(AND(ISNUMBER($Y$358),$B$226=1),$Y$358,HLOOKUP(INDIRECT(ADDRESS(2,COLUMN())),OFFSET($BN$2,0,0,ROW()-1,60),ROW()-1,FALSE))</f>
        <v>6.7282597969999998</v>
      </c>
      <c r="Z151">
        <f ca="1">IF(AND(ISNUMBER($Z$358),$B$226=1),$Z$358,HLOOKUP(INDIRECT(ADDRESS(2,COLUMN())),OFFSET($BN$2,0,0,ROW()-1,60),ROW()-1,FALSE))</f>
        <v>6.6168210490000003</v>
      </c>
      <c r="AA151">
        <f ca="1">IF(AND(ISNUMBER($AA$358),$B$226=1),$AA$358,HLOOKUP(INDIRECT(ADDRESS(2,COLUMN())),OFFSET($BN$2,0,0,ROW()-1,60),ROW()-1,FALSE))</f>
        <v>6.5063729700000001</v>
      </c>
      <c r="AB151">
        <f ca="1">IF(AND(ISNUMBER($AB$358),$B$226=1),$AB$358,HLOOKUP(INDIRECT(ADDRESS(2,COLUMN())),OFFSET($BN$2,0,0,ROW()-1,60),ROW()-1,FALSE))</f>
        <v>6.1482206140000004</v>
      </c>
      <c r="AC151">
        <f ca="1">IF(AND(ISNUMBER($AC$358),$B$226=1),$AC$358,HLOOKUP(INDIRECT(ADDRESS(2,COLUMN())),OFFSET($BN$2,0,0,ROW()-1,60),ROW()-1,FALSE))</f>
        <v>5.7666970329999998</v>
      </c>
      <c r="AD151">
        <f ca="1">IF(AND(ISNUMBER($AD$358),$B$226=1),$AD$358,HLOOKUP(INDIRECT(ADDRESS(2,COLUMN())),OFFSET($BN$2,0,0,ROW()-1,60),ROW()-1,FALSE))</f>
        <v>4.8331897420000001</v>
      </c>
      <c r="AE151">
        <f ca="1">IF(AND(ISNUMBER($AE$358),$B$226=1),$AE$358,HLOOKUP(INDIRECT(ADDRESS(2,COLUMN())),OFFSET($BN$2,0,0,ROW()-1,60),ROW()-1,FALSE))</f>
        <v>4.7075227359999996</v>
      </c>
      <c r="AF151">
        <f ca="1">IF(AND(ISNUMBER($AF$358),$B$226=1),$AF$358,HLOOKUP(INDIRECT(ADDRESS(2,COLUMN())),OFFSET($BN$2,0,0,ROW()-1,60),ROW()-1,FALSE))</f>
        <v>4.4892200239999998</v>
      </c>
      <c r="AG151">
        <f ca="1">IF(AND(ISNUMBER($AG$358),$B$226=1),$AG$358,HLOOKUP(INDIRECT(ADDRESS(2,COLUMN())),OFFSET($BN$2,0,0,ROW()-1,60),ROW()-1,FALSE))</f>
        <v>4.2481577609999999</v>
      </c>
      <c r="AH151">
        <f ca="1">IF(AND(ISNUMBER($AH$358),$B$226=1),$AH$358,HLOOKUP(INDIRECT(ADDRESS(2,COLUMN())),OFFSET($BN$2,0,0,ROW()-1,60),ROW()-1,FALSE))</f>
        <v>4.6163982509999997</v>
      </c>
      <c r="AI151">
        <f ca="1">IF(AND(ISNUMBER($AI$358),$B$226=1),$AI$358,HLOOKUP(INDIRECT(ADDRESS(2,COLUMN())),OFFSET($BN$2,0,0,ROW()-1,60),ROW()-1,FALSE))</f>
        <v>4.422376324</v>
      </c>
      <c r="AJ151">
        <f ca="1">IF(AND(ISNUMBER($AJ$358),$B$226=1),$AJ$358,HLOOKUP(INDIRECT(ADDRESS(2,COLUMN())),OFFSET($BN$2,0,0,ROW()-1,60),ROW()-1,FALSE))</f>
        <v>2.3432502899999998</v>
      </c>
      <c r="AK151">
        <f ca="1">IF(AND(ISNUMBER($AK$358),$B$226=1),$AK$358,HLOOKUP(INDIRECT(ADDRESS(2,COLUMN())),OFFSET($BN$2,0,0,ROW()-1,60),ROW()-1,FALSE))</f>
        <v>2.383469872</v>
      </c>
      <c r="AL151">
        <f ca="1">IF(AND(ISNUMBER($AL$358),$B$226=1),$AL$358,HLOOKUP(INDIRECT(ADDRESS(2,COLUMN())),OFFSET($BN$2,0,0,ROW()-1,60),ROW()-1,FALSE))</f>
        <v>2.3640916060000001</v>
      </c>
      <c r="AM151">
        <f ca="1">IF(AND(ISNUMBER($AM$358),$B$226=1),$AM$358,HLOOKUP(INDIRECT(ADDRESS(2,COLUMN())),OFFSET($BN$2,0,0,ROW()-1,60),ROW()-1,FALSE))</f>
        <v>2.4488931350000001</v>
      </c>
      <c r="AN151">
        <f ca="1">IF(AND(ISNUMBER($AN$358),$B$226=1),$AN$358,HLOOKUP(INDIRECT(ADDRESS(2,COLUMN())),OFFSET($BN$2,0,0,ROW()-1,60),ROW()-1,FALSE))</f>
        <v>3.4151055690000001</v>
      </c>
      <c r="AO151">
        <f ca="1">IF(AND(ISNUMBER($AO$358),$B$226=1),$AO$358,HLOOKUP(INDIRECT(ADDRESS(2,COLUMN())),OFFSET($BN$2,0,0,ROW()-1,60),ROW()-1,FALSE))</f>
        <v>3.4719273369999999</v>
      </c>
      <c r="AP151">
        <f ca="1">IF(AND(ISNUMBER($AP$358),$B$226=1),$AP$358,HLOOKUP(INDIRECT(ADDRESS(2,COLUMN())),OFFSET($BN$2,0,0,ROW()-1,60),ROW()-1,FALSE))</f>
        <v>3.6402732339999999</v>
      </c>
      <c r="AQ151">
        <f ca="1">IF(AND(ISNUMBER($AQ$358),$B$226=1),$AQ$358,HLOOKUP(INDIRECT(ADDRESS(2,COLUMN())),OFFSET($BN$2,0,0,ROW()-1,60),ROW()-1,FALSE))</f>
        <v>3.6475324549999999</v>
      </c>
      <c r="AR151">
        <f ca="1">IF(AND(ISNUMBER($AR$358),$B$226=1),$AR$358,HLOOKUP(INDIRECT(ADDRESS(2,COLUMN())),OFFSET($BN$2,0,0,ROW()-1,60),ROW()-1,FALSE))</f>
        <v>4.6161235730000003</v>
      </c>
      <c r="AS151">
        <f ca="1">IF(AND(ISNUMBER($AS$358),$B$226=1),$AS$358,HLOOKUP(INDIRECT(ADDRESS(2,COLUMN())),OFFSET($BN$2,0,0,ROW()-1,60),ROW()-1,FALSE))</f>
        <v>4.6905027209999997</v>
      </c>
      <c r="AT151">
        <f ca="1">IF(AND(ISNUMBER($AT$358),$B$226=1),$AT$358,HLOOKUP(INDIRECT(ADDRESS(2,COLUMN())),OFFSET($BN$2,0,0,ROW()-1,60),ROW()-1,FALSE))</f>
        <v>4.8321847660000001</v>
      </c>
      <c r="AU151">
        <f ca="1">IF(AND(ISNUMBER($AU$358),$B$226=1),$AU$358,HLOOKUP(INDIRECT(ADDRESS(2,COLUMN())),OFFSET($BN$2,0,0,ROW()-1,60),ROW()-1,FALSE))</f>
        <v>4.9898715620000003</v>
      </c>
      <c r="AV151">
        <f ca="1">IF(AND(ISNUMBER($AV$358),$B$226=1),$AV$358,HLOOKUP(INDIRECT(ADDRESS(2,COLUMN())),OFFSET($BN$2,0,0,ROW()-1,60),ROW()-1,FALSE))</f>
        <v>4.9278970150000001</v>
      </c>
      <c r="AW151">
        <f ca="1">IF(AND(ISNUMBER($AW$358),$B$226=1),$AW$358,HLOOKUP(INDIRECT(ADDRESS(2,COLUMN())),OFFSET($BN$2,0,0,ROW()-1,60),ROW()-1,FALSE))</f>
        <v>5.3679114720000003</v>
      </c>
      <c r="AX151">
        <f ca="1">IF(AND(ISNUMBER($AX$358),$B$226=1),$AX$358,HLOOKUP(INDIRECT(ADDRESS(2,COLUMN())),OFFSET($BN$2,0,0,ROW()-1,60),ROW()-1,FALSE))</f>
        <v>5.3774557280000002</v>
      </c>
      <c r="AY151">
        <f ca="1">IF(AND(ISNUMBER($AY$358),$B$226=1),$AY$358,HLOOKUP(INDIRECT(ADDRESS(2,COLUMN())),OFFSET($BN$2,0,0,ROW()-1,60),ROW()-1,FALSE))</f>
        <v>5.4471245340000003</v>
      </c>
      <c r="AZ151">
        <f ca="1">IF(AND(ISNUMBER($AZ$358),$B$226=1),$AZ$358,HLOOKUP(INDIRECT(ADDRESS(2,COLUMN())),OFFSET($BN$2,0,0,ROW()-1,60),ROW()-1,FALSE))</f>
        <v>5.3367374229999998</v>
      </c>
      <c r="BA151">
        <f ca="1">IF(AND(ISNUMBER($BA$358),$B$226=1),$BA$358,HLOOKUP(INDIRECT(ADDRESS(2,COLUMN())),OFFSET($BN$2,0,0,ROW()-1,60),ROW()-1,FALSE))</f>
        <v>4.521725773</v>
      </c>
      <c r="BB151">
        <f ca="1">IF(AND(ISNUMBER($BB$358),$B$226=1),$BB$358,HLOOKUP(INDIRECT(ADDRESS(2,COLUMN())),OFFSET($BN$2,0,0,ROW()-1,60),ROW()-1,FALSE))</f>
        <v>4.3870481549999996</v>
      </c>
      <c r="BC151">
        <f ca="1">IF(AND(ISNUMBER($BC$358),$B$226=1),$BC$358,HLOOKUP(INDIRECT(ADDRESS(2,COLUMN())),OFFSET($BN$2,0,0,ROW()-1,60),ROW()-1,FALSE))</f>
        <v>5.6826580719999997</v>
      </c>
      <c r="BD151">
        <f ca="1">IF(AND(ISNUMBER($BD$358),$B$226=1),$BD$358,HLOOKUP(INDIRECT(ADDRESS(2,COLUMN())),OFFSET($BN$2,0,0,ROW()-1,60),ROW()-1,FALSE))</f>
        <v>5.3472322659999998</v>
      </c>
      <c r="BE151">
        <f ca="1">IF(AND(ISNUMBER($BE$358),$B$226=1),$BE$358,HLOOKUP(INDIRECT(ADDRESS(2,COLUMN())),OFFSET($BN$2,0,0,ROW()-1,60),ROW()-1,FALSE))</f>
        <v>5.0605005570000001</v>
      </c>
      <c r="BF151">
        <f ca="1">IF(AND(ISNUMBER($BF$358),$B$226=1),$BF$358,HLOOKUP(INDIRECT(ADDRESS(2,COLUMN())),OFFSET($BN$2,0,0,ROW()-1,60),ROW()-1,FALSE))</f>
        <v>4.7150381509999999</v>
      </c>
      <c r="BG151">
        <f ca="1">IF(AND(ISNUMBER($BG$358),$B$226=1),$BG$358,HLOOKUP(INDIRECT(ADDRESS(2,COLUMN())),OFFSET($BN$2,0,0,ROW()-1,60),ROW()-1,FALSE))</f>
        <v>5.6626592340000004</v>
      </c>
      <c r="BH151">
        <f ca="1">IF(AND(ISNUMBER($BH$358),$B$226=1),$BH$358,HLOOKUP(INDIRECT(ADDRESS(2,COLUMN())),OFFSET($BN$2,0,0,ROW()-1,60),ROW()-1,FALSE))</f>
        <v>5.5456147869999999</v>
      </c>
      <c r="BI151">
        <f ca="1">IF(AND(ISNUMBER($BI$358),$B$226=1),$BI$358,HLOOKUP(INDIRECT(ADDRESS(2,COLUMN())),OFFSET($BN$2,0,0,ROW()-1,60),ROW()-1,FALSE))</f>
        <v>5.5086138250000003</v>
      </c>
      <c r="BJ151">
        <f ca="1">IF(AND(ISNUMBER($BJ$358),$B$226=1),$BJ$358,HLOOKUP(INDIRECT(ADDRESS(2,COLUMN())),OFFSET($BN$2,0,0,ROW()-1,60),ROW()-1,FALSE))</f>
        <v>5.4337503119999999</v>
      </c>
      <c r="BK151">
        <f ca="1">IF(AND(ISNUMBER($BK$358),$B$226=1),$BK$358,HLOOKUP(INDIRECT(ADDRESS(2,COLUMN())),OFFSET($BN$2,0,0,ROW()-1,60),ROW()-1,FALSE))</f>
        <v>5.296198381</v>
      </c>
      <c r="BL151">
        <f ca="1">IF(AND(ISNUMBER($BL$358),$B$226=1),$BL$358,HLOOKUP(INDIRECT(ADDRESS(2,COLUMN())),OFFSET($BN$2,0,0,ROW()-1,60),ROW()-1,FALSE))</f>
        <v>5.3036422520000004</v>
      </c>
      <c r="BM151">
        <f ca="1">IF(AND(ISNUMBER($BM$358),$B$226=1),$BM$358,HLOOKUP(INDIRECT(ADDRESS(2,COLUMN())),OFFSET($BN$2,0,0,ROW()-1,60),ROW()-1,FALSE))</f>
        <v>5.4749505300000001</v>
      </c>
      <c r="BN151" t="str">
        <f>""</f>
        <v/>
      </c>
      <c r="BO151">
        <f>7.646152164</f>
        <v>7.6461521640000001</v>
      </c>
      <c r="BP151">
        <f>7.481758815</f>
        <v>7.4817588150000001</v>
      </c>
      <c r="BQ151">
        <f>7.455643375</f>
        <v>7.4556433750000002</v>
      </c>
      <c r="BR151">
        <f>7.444219479</f>
        <v>7.444219479</v>
      </c>
      <c r="BS151">
        <f>7.626928976</f>
        <v>7.6269289760000003</v>
      </c>
      <c r="BT151">
        <f>7.569921204</f>
        <v>7.5699212039999999</v>
      </c>
      <c r="BU151">
        <f>7.536994546</f>
        <v>7.5369945459999999</v>
      </c>
      <c r="BV151">
        <f>7.469666461</f>
        <v>7.4696664610000001</v>
      </c>
      <c r="BW151">
        <f>7.297685393</f>
        <v>7.2976853930000001</v>
      </c>
      <c r="BX151">
        <f>6.850685414</f>
        <v>6.850685414</v>
      </c>
      <c r="BY151">
        <f>6.799176031</f>
        <v>6.799176031</v>
      </c>
      <c r="BZ151">
        <f>6.772493287</f>
        <v>6.7724932869999996</v>
      </c>
      <c r="CA151">
        <f>6.756978244</f>
        <v>6.7569782439999999</v>
      </c>
      <c r="CB151">
        <f>6.919575212</f>
        <v>6.9195752119999998</v>
      </c>
      <c r="CC151">
        <f>6.908267745</f>
        <v>6.9082677449999998</v>
      </c>
      <c r="CD151">
        <f>7.031227095</f>
        <v>7.0312270950000002</v>
      </c>
      <c r="CE151">
        <f>6.903387049</f>
        <v>6.903387049</v>
      </c>
      <c r="CF151">
        <f>6.805839078</f>
        <v>6.805839078</v>
      </c>
      <c r="CG151">
        <f>6.728259797</f>
        <v>6.7282597969999998</v>
      </c>
      <c r="CH151">
        <f>6.616821049</f>
        <v>6.6168210490000003</v>
      </c>
      <c r="CI151">
        <f>6.50637297</f>
        <v>6.5063729700000001</v>
      </c>
      <c r="CJ151">
        <f>6.148220614</f>
        <v>6.1482206140000004</v>
      </c>
      <c r="CK151">
        <f>5.766697033</f>
        <v>5.7666970329999998</v>
      </c>
      <c r="CL151">
        <f>4.833189742</f>
        <v>4.8331897420000001</v>
      </c>
      <c r="CM151">
        <f>4.707522736</f>
        <v>4.7075227359999996</v>
      </c>
      <c r="CN151">
        <f>4.489220024</f>
        <v>4.4892200239999998</v>
      </c>
      <c r="CO151">
        <f>4.248157761</f>
        <v>4.2481577609999999</v>
      </c>
      <c r="CP151">
        <f>4.616398251</f>
        <v>4.6163982509999997</v>
      </c>
      <c r="CQ151">
        <f>4.422376324</f>
        <v>4.422376324</v>
      </c>
      <c r="CR151">
        <f>2.34325029</f>
        <v>2.3432502899999998</v>
      </c>
      <c r="CS151">
        <f>2.383469872</f>
        <v>2.383469872</v>
      </c>
      <c r="CT151">
        <f>2.364091606</f>
        <v>2.3640916060000001</v>
      </c>
      <c r="CU151">
        <f>2.448893135</f>
        <v>2.4488931350000001</v>
      </c>
      <c r="CV151">
        <f>3.415105569</f>
        <v>3.4151055690000001</v>
      </c>
      <c r="CW151">
        <f>3.471927337</f>
        <v>3.4719273369999999</v>
      </c>
      <c r="CX151">
        <f>3.640273234</f>
        <v>3.6402732339999999</v>
      </c>
      <c r="CY151">
        <f>3.647532455</f>
        <v>3.6475324549999999</v>
      </c>
      <c r="CZ151">
        <f>4.616123573</f>
        <v>4.6161235730000003</v>
      </c>
      <c r="DA151">
        <f>4.690502721</f>
        <v>4.6905027209999997</v>
      </c>
      <c r="DB151">
        <f>4.832184766</f>
        <v>4.8321847660000001</v>
      </c>
      <c r="DC151">
        <f>4.989871562</f>
        <v>4.9898715620000003</v>
      </c>
      <c r="DD151">
        <f>4.927897015</f>
        <v>4.9278970150000001</v>
      </c>
      <c r="DE151">
        <f>5.367911472</f>
        <v>5.3679114720000003</v>
      </c>
      <c r="DF151">
        <f>5.377455728</f>
        <v>5.3774557280000002</v>
      </c>
      <c r="DG151">
        <f>5.447124534</f>
        <v>5.4471245340000003</v>
      </c>
      <c r="DH151">
        <f>5.336737423</f>
        <v>5.3367374229999998</v>
      </c>
      <c r="DI151">
        <f>4.521725773</f>
        <v>4.521725773</v>
      </c>
      <c r="DJ151">
        <f>4.387048155</f>
        <v>4.3870481549999996</v>
      </c>
      <c r="DK151">
        <f>5.682658072</f>
        <v>5.6826580719999997</v>
      </c>
      <c r="DL151">
        <f>5.347232266</f>
        <v>5.3472322659999998</v>
      </c>
      <c r="DM151">
        <f>5.060500557</f>
        <v>5.0605005570000001</v>
      </c>
      <c r="DN151">
        <f>4.715038151</f>
        <v>4.7150381509999999</v>
      </c>
      <c r="DO151">
        <f>5.662659234</f>
        <v>5.6626592340000004</v>
      </c>
      <c r="DP151">
        <f>5.545614787</f>
        <v>5.5456147869999999</v>
      </c>
      <c r="DQ151">
        <f>5.508613825</f>
        <v>5.5086138250000003</v>
      </c>
      <c r="DR151">
        <f>5.433750312</f>
        <v>5.4337503119999999</v>
      </c>
      <c r="DS151">
        <f>5.296198381</f>
        <v>5.296198381</v>
      </c>
      <c r="DT151">
        <f>5.303642252</f>
        <v>5.3036422520000004</v>
      </c>
      <c r="DU151">
        <f>5.47495053</f>
        <v>5.4749505300000001</v>
      </c>
    </row>
    <row r="152" spans="1:125">
      <c r="A152" t="str">
        <f>"    Education Realty Trust Inc"</f>
        <v xml:space="preserve">    Education Realty Trust Inc</v>
      </c>
      <c r="B152" t="str">
        <f>"EDR US Equity"</f>
        <v>EDR US Equity</v>
      </c>
      <c r="C152" t="str">
        <f t="shared" si="48"/>
        <v>RR554</v>
      </c>
      <c r="D152" t="str">
        <f t="shared" si="49"/>
        <v>FFO_RE_ASSET</v>
      </c>
      <c r="E152" t="str">
        <f t="shared" si="50"/>
        <v>动态</v>
      </c>
      <c r="F152" t="str">
        <f ca="1">IF(AND(ISNUMBER($F$359),$B$226=1),$F$359,HLOOKUP(INDIRECT(ADDRESS(2,COLUMN())),OFFSET($BN$2,0,0,ROW()-1,60),ROW()-1,FALSE))</f>
        <v/>
      </c>
      <c r="G152">
        <f ca="1">IF(AND(ISNUMBER($G$359),$B$226=1),$G$359,HLOOKUP(INDIRECT(ADDRESS(2,COLUMN())),OFFSET($BN$2,0,0,ROW()-1,60),ROW()-1,FALSE))</f>
        <v>5.3741638219999999</v>
      </c>
      <c r="H152">
        <f ca="1">IF(AND(ISNUMBER($H$359),$B$226=1),$H$359,HLOOKUP(INDIRECT(ADDRESS(2,COLUMN())),OFFSET($BN$2,0,0,ROW()-1,60),ROW()-1,FALSE))</f>
        <v>5.2672082830000004</v>
      </c>
      <c r="I152">
        <f ca="1">IF(AND(ISNUMBER($I$359),$B$226=1),$I$359,HLOOKUP(INDIRECT(ADDRESS(2,COLUMN())),OFFSET($BN$2,0,0,ROW()-1,60),ROW()-1,FALSE))</f>
        <v>5.3711000589999998</v>
      </c>
      <c r="J152">
        <f ca="1">IF(AND(ISNUMBER($J$359),$B$226=1),$J$359,HLOOKUP(INDIRECT(ADDRESS(2,COLUMN())),OFFSET($BN$2,0,0,ROW()-1,60),ROW()-1,FALSE))</f>
        <v>5.5314343340000001</v>
      </c>
      <c r="K152">
        <f ca="1">IF(AND(ISNUMBER($K$359),$B$226=1),$K$359,HLOOKUP(INDIRECT(ADDRESS(2,COLUMN())),OFFSET($BN$2,0,0,ROW()-1,60),ROW()-1,FALSE))</f>
        <v>4.9364445520000002</v>
      </c>
      <c r="L152">
        <f ca="1">IF(AND(ISNUMBER($L$359),$B$226=1),$L$359,HLOOKUP(INDIRECT(ADDRESS(2,COLUMN())),OFFSET($BN$2,0,0,ROW()-1,60),ROW()-1,FALSE))</f>
        <v>4.6835123340000004</v>
      </c>
      <c r="M152">
        <f ca="1">IF(AND(ISNUMBER($M$359),$B$226=1),$M$359,HLOOKUP(INDIRECT(ADDRESS(2,COLUMN())),OFFSET($BN$2,0,0,ROW()-1,60),ROW()-1,FALSE))</f>
        <v>4.6493978460000003</v>
      </c>
      <c r="N152">
        <f ca="1">IF(AND(ISNUMBER($N$359),$B$226=1),$N$359,HLOOKUP(INDIRECT(ADDRESS(2,COLUMN())),OFFSET($BN$2,0,0,ROW()-1,60),ROW()-1,FALSE))</f>
        <v>4.6679849190000002</v>
      </c>
      <c r="O152">
        <f ca="1">IF(AND(ISNUMBER($O$359),$B$226=1),$O$359,HLOOKUP(INDIRECT(ADDRESS(2,COLUMN())),OFFSET($BN$2,0,0,ROW()-1,60),ROW()-1,FALSE))</f>
        <v>4.7802638560000004</v>
      </c>
      <c r="P152">
        <f ca="1">IF(AND(ISNUMBER($P$359),$B$226=1),$P$359,HLOOKUP(INDIRECT(ADDRESS(2,COLUMN())),OFFSET($BN$2,0,0,ROW()-1,60),ROW()-1,FALSE))</f>
        <v>4.4576924440000001</v>
      </c>
      <c r="Q152">
        <f ca="1">IF(AND(ISNUMBER($Q$359),$B$226=1),$Q$359,HLOOKUP(INDIRECT(ADDRESS(2,COLUMN())),OFFSET($BN$2,0,0,ROW()-1,60),ROW()-1,FALSE))</f>
        <v>5.1777619130000003</v>
      </c>
      <c r="R152">
        <f ca="1">IF(AND(ISNUMBER($R$359),$B$226=1),$R$359,HLOOKUP(INDIRECT(ADDRESS(2,COLUMN())),OFFSET($BN$2,0,0,ROW()-1,60),ROW()-1,FALSE))</f>
        <v>5.1067396809999996</v>
      </c>
      <c r="S152">
        <f ca="1">IF(AND(ISNUMBER($S$359),$B$226=1),$S$359,HLOOKUP(INDIRECT(ADDRESS(2,COLUMN())),OFFSET($BN$2,0,0,ROW()-1,60),ROW()-1,FALSE))</f>
        <v>4.8062973309999997</v>
      </c>
      <c r="T152">
        <f ca="1">IF(AND(ISNUMBER($T$359),$B$226=1),$T$359,HLOOKUP(INDIRECT(ADDRESS(2,COLUMN())),OFFSET($BN$2,0,0,ROW()-1,60),ROW()-1,FALSE))</f>
        <v>4.665707533</v>
      </c>
      <c r="U152">
        <f ca="1">IF(AND(ISNUMBER($U$359),$B$226=1),$U$359,HLOOKUP(INDIRECT(ADDRESS(2,COLUMN())),OFFSET($BN$2,0,0,ROW()-1,60),ROW()-1,FALSE))</f>
        <v>4.1897573570000004</v>
      </c>
      <c r="V152">
        <f ca="1">IF(AND(ISNUMBER($V$359),$B$226=1),$V$359,HLOOKUP(INDIRECT(ADDRESS(2,COLUMN())),OFFSET($BN$2,0,0,ROW()-1,60),ROW()-1,FALSE))</f>
        <v>4.0753875610000003</v>
      </c>
      <c r="W152">
        <f ca="1">IF(AND(ISNUMBER($W$359),$B$226=1),$W$359,HLOOKUP(INDIRECT(ADDRESS(2,COLUMN())),OFFSET($BN$2,0,0,ROW()-1,60),ROW()-1,FALSE))</f>
        <v>3.9816419550000002</v>
      </c>
      <c r="X152">
        <f ca="1">IF(AND(ISNUMBER($X$359),$B$226=1),$X$359,HLOOKUP(INDIRECT(ADDRESS(2,COLUMN())),OFFSET($BN$2,0,0,ROW()-1,60),ROW()-1,FALSE))</f>
        <v>4.0071577789999999</v>
      </c>
      <c r="Y152">
        <f ca="1">IF(AND(ISNUMBER($Y$359),$B$226=1),$Y$359,HLOOKUP(INDIRECT(ADDRESS(2,COLUMN())),OFFSET($BN$2,0,0,ROW()-1,60),ROW()-1,FALSE))</f>
        <v>4.0560546469999998</v>
      </c>
      <c r="Z152">
        <f ca="1">IF(AND(ISNUMBER($Z$359),$B$226=1),$Z$359,HLOOKUP(INDIRECT(ADDRESS(2,COLUMN())),OFFSET($BN$2,0,0,ROW()-1,60),ROW()-1,FALSE))</f>
        <v>4.0155146730000002</v>
      </c>
      <c r="AA152">
        <f ca="1">IF(AND(ISNUMBER($AA$359),$B$226=1),$AA$359,HLOOKUP(INDIRECT(ADDRESS(2,COLUMN())),OFFSET($BN$2,0,0,ROW()-1,60),ROW()-1,FALSE))</f>
        <v>3.8417080619999999</v>
      </c>
      <c r="AB152">
        <f ca="1">IF(AND(ISNUMBER($AB$359),$B$226=1),$AB$359,HLOOKUP(INDIRECT(ADDRESS(2,COLUMN())),OFFSET($BN$2,0,0,ROW()-1,60),ROW()-1,FALSE))</f>
        <v>4.0342683560000001</v>
      </c>
      <c r="AC152">
        <f ca="1">IF(AND(ISNUMBER($AC$359),$B$226=1),$AC$359,HLOOKUP(INDIRECT(ADDRESS(2,COLUMN())),OFFSET($BN$2,0,0,ROW()-1,60),ROW()-1,FALSE))</f>
        <v>3.837474507</v>
      </c>
      <c r="AD152">
        <f ca="1">IF(AND(ISNUMBER($AD$359),$B$226=1),$AD$359,HLOOKUP(INDIRECT(ADDRESS(2,COLUMN())),OFFSET($BN$2,0,0,ROW()-1,60),ROW()-1,FALSE))</f>
        <v>3.54597929</v>
      </c>
      <c r="AE152">
        <f ca="1">IF(AND(ISNUMBER($AE$359),$B$226=1),$AE$359,HLOOKUP(INDIRECT(ADDRESS(2,COLUMN())),OFFSET($BN$2,0,0,ROW()-1,60),ROW()-1,FALSE))</f>
        <v>3.1006298189999999</v>
      </c>
      <c r="AF152">
        <f ca="1">IF(AND(ISNUMBER($AF$359),$B$226=1),$AF$359,HLOOKUP(INDIRECT(ADDRESS(2,COLUMN())),OFFSET($BN$2,0,0,ROW()-1,60),ROW()-1,FALSE))</f>
        <v>2.6430587459999999</v>
      </c>
      <c r="AG152">
        <f ca="1">IF(AND(ISNUMBER($AG$359),$B$226=1),$AG$359,HLOOKUP(INDIRECT(ADDRESS(2,COLUMN())),OFFSET($BN$2,0,0,ROW()-1,60),ROW()-1,FALSE))</f>
        <v>-1.9130793239999999</v>
      </c>
      <c r="AH152">
        <f ca="1">IF(AND(ISNUMBER($AH$359),$B$226=1),$AH$359,HLOOKUP(INDIRECT(ADDRESS(2,COLUMN())),OFFSET($BN$2,0,0,ROW()-1,60),ROW()-1,FALSE))</f>
        <v>-1.8617612079999999</v>
      </c>
      <c r="AI152">
        <f ca="1">IF(AND(ISNUMBER($AI$359),$B$226=1),$AI$359,HLOOKUP(INDIRECT(ADDRESS(2,COLUMN())),OFFSET($BN$2,0,0,ROW()-1,60),ROW()-1,FALSE))</f>
        <v>-1.7021335259999999</v>
      </c>
      <c r="AJ152">
        <f ca="1">IF(AND(ISNUMBER($AJ$359),$B$226=1),$AJ$359,HLOOKUP(INDIRECT(ADDRESS(2,COLUMN())),OFFSET($BN$2,0,0,ROW()-1,60),ROW()-1,FALSE))</f>
        <v>-1.4441924239999999</v>
      </c>
      <c r="AK152">
        <f ca="1">IF(AND(ISNUMBER($AK$359),$B$226=1),$AK$359,HLOOKUP(INDIRECT(ADDRESS(2,COLUMN())),OFFSET($BN$2,0,0,ROW()-1,60),ROW()-1,FALSE))</f>
        <v>2.8844793009999998</v>
      </c>
      <c r="AL152">
        <f ca="1">IF(AND(ISNUMBER($AL$359),$B$226=1),$AL$359,HLOOKUP(INDIRECT(ADDRESS(2,COLUMN())),OFFSET($BN$2,0,0,ROW()-1,60),ROW()-1,FALSE))</f>
        <v>2.940160643</v>
      </c>
      <c r="AM152">
        <f ca="1">IF(AND(ISNUMBER($AM$359),$B$226=1),$AM$359,HLOOKUP(INDIRECT(ADDRESS(2,COLUMN())),OFFSET($BN$2,0,0,ROW()-1,60),ROW()-1,FALSE))</f>
        <v>2.9403448870000002</v>
      </c>
      <c r="AN152">
        <f ca="1">IF(AND(ISNUMBER($AN$359),$B$226=1),$AN$359,HLOOKUP(INDIRECT(ADDRESS(2,COLUMN())),OFFSET($BN$2,0,0,ROW()-1,60),ROW()-1,FALSE))</f>
        <v>2.2998154890000002</v>
      </c>
      <c r="AO152">
        <f ca="1">IF(AND(ISNUMBER($AO$359),$B$226=1),$AO$359,HLOOKUP(INDIRECT(ADDRESS(2,COLUMN())),OFFSET($BN$2,0,0,ROW()-1,60),ROW()-1,FALSE))</f>
        <v>2.2972478789999999</v>
      </c>
      <c r="AP152">
        <f ca="1">IF(AND(ISNUMBER($AP$359),$B$226=1),$AP$359,HLOOKUP(INDIRECT(ADDRESS(2,COLUMN())),OFFSET($BN$2,0,0,ROW()-1,60),ROW()-1,FALSE))</f>
        <v>2.76435597</v>
      </c>
      <c r="AQ152">
        <f ca="1">IF(AND(ISNUMBER($AQ$359),$B$226=1),$AQ$359,HLOOKUP(INDIRECT(ADDRESS(2,COLUMN())),OFFSET($BN$2,0,0,ROW()-1,60),ROW()-1,FALSE))</f>
        <v>2.9357084969999998</v>
      </c>
      <c r="AR152">
        <f ca="1">IF(AND(ISNUMBER($AR$359),$B$226=1),$AR$359,HLOOKUP(INDIRECT(ADDRESS(2,COLUMN())),OFFSET($BN$2,0,0,ROW()-1,60),ROW()-1,FALSE))</f>
        <v>3.825118571</v>
      </c>
      <c r="AS152">
        <f ca="1">IF(AND(ISNUMBER($AS$359),$B$226=1),$AS$359,HLOOKUP(INDIRECT(ADDRESS(2,COLUMN())),OFFSET($BN$2,0,0,ROW()-1,60),ROW()-1,FALSE))</f>
        <v>4.1436413810000001</v>
      </c>
      <c r="AT152">
        <f ca="1">IF(AND(ISNUMBER($AT$359),$B$226=1),$AT$359,HLOOKUP(INDIRECT(ADDRESS(2,COLUMN())),OFFSET($BN$2,0,0,ROW()-1,60),ROW()-1,FALSE))</f>
        <v>3.4939044560000001</v>
      </c>
      <c r="AU152">
        <f ca="1">IF(AND(ISNUMBER($AU$359),$B$226=1),$AU$359,HLOOKUP(INDIRECT(ADDRESS(2,COLUMN())),OFFSET($BN$2,0,0,ROW()-1,60),ROW()-1,FALSE))</f>
        <v>3.352701218</v>
      </c>
      <c r="AV152">
        <f ca="1">IF(AND(ISNUMBER($AV$359),$B$226=1),$AV$359,HLOOKUP(INDIRECT(ADDRESS(2,COLUMN())),OFFSET($BN$2,0,0,ROW()-1,60),ROW()-1,FALSE))</f>
        <v>3.1788348470000001</v>
      </c>
      <c r="AW152">
        <f ca="1">IF(AND(ISNUMBER($AW$359),$B$226=1),$AW$359,HLOOKUP(INDIRECT(ADDRESS(2,COLUMN())),OFFSET($BN$2,0,0,ROW()-1,60),ROW()-1,FALSE))</f>
        <v>2.9795315200000001</v>
      </c>
      <c r="AX152">
        <f ca="1">IF(AND(ISNUMBER($AX$359),$B$226=1),$AX$359,HLOOKUP(INDIRECT(ADDRESS(2,COLUMN())),OFFSET($BN$2,0,0,ROW()-1,60),ROW()-1,FALSE))</f>
        <v>2.8470377450000002</v>
      </c>
      <c r="AY152">
        <f ca="1">IF(AND(ISNUMBER($AY$359),$B$226=1),$AY$359,HLOOKUP(INDIRECT(ADDRESS(2,COLUMN())),OFFSET($BN$2,0,0,ROW()-1,60),ROW()-1,FALSE))</f>
        <v>3.249493449</v>
      </c>
      <c r="AZ152">
        <f ca="1">IF(AND(ISNUMBER($AZ$359),$B$226=1),$AZ$359,HLOOKUP(INDIRECT(ADDRESS(2,COLUMN())),OFFSET($BN$2,0,0,ROW()-1,60),ROW()-1,FALSE))</f>
        <v>3.1459580140000001</v>
      </c>
      <c r="BA152">
        <f ca="1">IF(AND(ISNUMBER($BA$359),$B$226=1),$BA$359,HLOOKUP(INDIRECT(ADDRESS(2,COLUMN())),OFFSET($BN$2,0,0,ROW()-1,60),ROW()-1,FALSE))</f>
        <v>3.222221217</v>
      </c>
      <c r="BB152" t="str">
        <f ca="1">IF(AND(ISNUMBER($BB$359),$B$226=1),$BB$359,HLOOKUP(INDIRECT(ADDRESS(2,COLUMN())),OFFSET($BN$2,0,0,ROW()-1,60),ROW()-1,FALSE))</f>
        <v/>
      </c>
      <c r="BC152" t="str">
        <f ca="1">IF(AND(ISNUMBER($BC$359),$B$226=1),$BC$359,HLOOKUP(INDIRECT(ADDRESS(2,COLUMN())),OFFSET($BN$2,0,0,ROW()-1,60),ROW()-1,FALSE))</f>
        <v/>
      </c>
      <c r="BD152" t="str">
        <f ca="1">IF(AND(ISNUMBER($BD$359),$B$226=1),$BD$359,HLOOKUP(INDIRECT(ADDRESS(2,COLUMN())),OFFSET($BN$2,0,0,ROW()-1,60),ROW()-1,FALSE))</f>
        <v/>
      </c>
      <c r="BE152" t="str">
        <f ca="1">IF(AND(ISNUMBER($BE$359),$B$226=1),$BE$359,HLOOKUP(INDIRECT(ADDRESS(2,COLUMN())),OFFSET($BN$2,0,0,ROW()-1,60),ROW()-1,FALSE))</f>
        <v/>
      </c>
      <c r="BF152" t="str">
        <f ca="1">IF(AND(ISNUMBER($BF$359),$B$226=1),$BF$359,HLOOKUP(INDIRECT(ADDRESS(2,COLUMN())),OFFSET($BN$2,0,0,ROW()-1,60),ROW()-1,FALSE))</f>
        <v/>
      </c>
      <c r="BG152" t="str">
        <f ca="1">IF(AND(ISNUMBER($BG$359),$B$226=1),$BG$359,HLOOKUP(INDIRECT(ADDRESS(2,COLUMN())),OFFSET($BN$2,0,0,ROW()-1,60),ROW()-1,FALSE))</f>
        <v/>
      </c>
      <c r="BH152" t="str">
        <f ca="1">IF(AND(ISNUMBER($BH$359),$B$226=1),$BH$359,HLOOKUP(INDIRECT(ADDRESS(2,COLUMN())),OFFSET($BN$2,0,0,ROW()-1,60),ROW()-1,FALSE))</f>
        <v/>
      </c>
      <c r="BI152" t="str">
        <f ca="1">IF(AND(ISNUMBER($BI$359),$B$226=1),$BI$359,HLOOKUP(INDIRECT(ADDRESS(2,COLUMN())),OFFSET($BN$2,0,0,ROW()-1,60),ROW()-1,FALSE))</f>
        <v/>
      </c>
      <c r="BJ152" t="str">
        <f ca="1">IF(AND(ISNUMBER($BJ$359),$B$226=1),$BJ$359,HLOOKUP(INDIRECT(ADDRESS(2,COLUMN())),OFFSET($BN$2,0,0,ROW()-1,60),ROW()-1,FALSE))</f>
        <v/>
      </c>
      <c r="BK152" t="str">
        <f ca="1">IF(AND(ISNUMBER($BK$359),$B$226=1),$BK$359,HLOOKUP(INDIRECT(ADDRESS(2,COLUMN())),OFFSET($BN$2,0,0,ROW()-1,60),ROW()-1,FALSE))</f>
        <v/>
      </c>
      <c r="BL152" t="str">
        <f ca="1">IF(AND(ISNUMBER($BL$359),$B$226=1),$BL$359,HLOOKUP(INDIRECT(ADDRESS(2,COLUMN())),OFFSET($BN$2,0,0,ROW()-1,60),ROW()-1,FALSE))</f>
        <v/>
      </c>
      <c r="BM152" t="str">
        <f ca="1">IF(AND(ISNUMBER($BM$359),$B$226=1),$BM$359,HLOOKUP(INDIRECT(ADDRESS(2,COLUMN())),OFFSET($BN$2,0,0,ROW()-1,60),ROW()-1,FALSE))</f>
        <v/>
      </c>
      <c r="BN152" t="str">
        <f>""</f>
        <v/>
      </c>
      <c r="BO152">
        <f>5.374163822</f>
        <v>5.3741638219999999</v>
      </c>
      <c r="BP152">
        <f>5.267208283</f>
        <v>5.2672082830000004</v>
      </c>
      <c r="BQ152">
        <f>5.371100059</f>
        <v>5.3711000589999998</v>
      </c>
      <c r="BR152">
        <f>5.531434334</f>
        <v>5.5314343340000001</v>
      </c>
      <c r="BS152">
        <f>4.936444552</f>
        <v>4.9364445520000002</v>
      </c>
      <c r="BT152">
        <f>4.683512334</f>
        <v>4.6835123340000004</v>
      </c>
      <c r="BU152">
        <f>4.649397846</f>
        <v>4.6493978460000003</v>
      </c>
      <c r="BV152">
        <f>4.667984919</f>
        <v>4.6679849190000002</v>
      </c>
      <c r="BW152">
        <f>4.780263856</f>
        <v>4.7802638560000004</v>
      </c>
      <c r="BX152">
        <f>4.457692444</f>
        <v>4.4576924440000001</v>
      </c>
      <c r="BY152">
        <f>5.177761913</f>
        <v>5.1777619130000003</v>
      </c>
      <c r="BZ152">
        <f>5.106739681</f>
        <v>5.1067396809999996</v>
      </c>
      <c r="CA152">
        <f>4.806297331</f>
        <v>4.8062973309999997</v>
      </c>
      <c r="CB152">
        <f>4.665707533</f>
        <v>4.665707533</v>
      </c>
      <c r="CC152">
        <f>4.189757357</f>
        <v>4.1897573570000004</v>
      </c>
      <c r="CD152">
        <f>4.075387561</f>
        <v>4.0753875610000003</v>
      </c>
      <c r="CE152">
        <f>3.981641955</f>
        <v>3.9816419550000002</v>
      </c>
      <c r="CF152">
        <f>4.007157779</f>
        <v>4.0071577789999999</v>
      </c>
      <c r="CG152">
        <f>4.056054647</f>
        <v>4.0560546469999998</v>
      </c>
      <c r="CH152">
        <f>4.015514673</f>
        <v>4.0155146730000002</v>
      </c>
      <c r="CI152">
        <f>3.841708062</f>
        <v>3.8417080619999999</v>
      </c>
      <c r="CJ152">
        <f>4.034268356</f>
        <v>4.0342683560000001</v>
      </c>
      <c r="CK152">
        <f>3.837474507</f>
        <v>3.837474507</v>
      </c>
      <c r="CL152">
        <f>3.54597929</f>
        <v>3.54597929</v>
      </c>
      <c r="CM152">
        <f>3.100629819</f>
        <v>3.1006298189999999</v>
      </c>
      <c r="CN152">
        <f>2.643058746</f>
        <v>2.6430587459999999</v>
      </c>
      <c r="CO152">
        <f>-1.913079324</f>
        <v>-1.9130793239999999</v>
      </c>
      <c r="CP152">
        <f>-1.861761208</f>
        <v>-1.8617612079999999</v>
      </c>
      <c r="CQ152">
        <f>-1.702133526</f>
        <v>-1.7021335259999999</v>
      </c>
      <c r="CR152">
        <f>-1.444192424</f>
        <v>-1.4441924239999999</v>
      </c>
      <c r="CS152">
        <f>2.884479301</f>
        <v>2.8844793009999998</v>
      </c>
      <c r="CT152">
        <f>2.940160643</f>
        <v>2.940160643</v>
      </c>
      <c r="CU152">
        <f>2.940344887</f>
        <v>2.9403448870000002</v>
      </c>
      <c r="CV152">
        <f>2.299815489</f>
        <v>2.2998154890000002</v>
      </c>
      <c r="CW152">
        <f>2.297247879</f>
        <v>2.2972478789999999</v>
      </c>
      <c r="CX152">
        <f>2.76435597</f>
        <v>2.76435597</v>
      </c>
      <c r="CY152">
        <f>2.935708497</f>
        <v>2.9357084969999998</v>
      </c>
      <c r="CZ152">
        <f>3.825118571</f>
        <v>3.825118571</v>
      </c>
      <c r="DA152">
        <f>4.143641381</f>
        <v>4.1436413810000001</v>
      </c>
      <c r="DB152">
        <f>3.493904456</f>
        <v>3.4939044560000001</v>
      </c>
      <c r="DC152">
        <f>3.352701218</f>
        <v>3.352701218</v>
      </c>
      <c r="DD152">
        <f>3.178834847</f>
        <v>3.1788348470000001</v>
      </c>
      <c r="DE152">
        <f>2.97953152</f>
        <v>2.9795315200000001</v>
      </c>
      <c r="DF152">
        <f>2.847037745</f>
        <v>2.8470377450000002</v>
      </c>
      <c r="DG152">
        <f>3.249493449</f>
        <v>3.249493449</v>
      </c>
      <c r="DH152">
        <f>3.145958014</f>
        <v>3.1459580140000001</v>
      </c>
      <c r="DI152">
        <f>3.222221217</f>
        <v>3.222221217</v>
      </c>
      <c r="DJ152" t="str">
        <f>""</f>
        <v/>
      </c>
      <c r="DK152" t="str">
        <f>""</f>
        <v/>
      </c>
      <c r="DL152" t="str">
        <f>""</f>
        <v/>
      </c>
      <c r="DM152" t="str">
        <f>""</f>
        <v/>
      </c>
      <c r="DN152" t="str">
        <f>""</f>
        <v/>
      </c>
      <c r="DO152" t="str">
        <f>""</f>
        <v/>
      </c>
      <c r="DP152" t="str">
        <f>""</f>
        <v/>
      </c>
      <c r="DQ152" t="str">
        <f>""</f>
        <v/>
      </c>
      <c r="DR152" t="str">
        <f>""</f>
        <v/>
      </c>
      <c r="DS152" t="str">
        <f>""</f>
        <v/>
      </c>
      <c r="DT152" t="str">
        <f>""</f>
        <v/>
      </c>
      <c r="DU152" t="str">
        <f>""</f>
        <v/>
      </c>
    </row>
    <row r="153" spans="1:125">
      <c r="A153" t="str">
        <f>"    Equity Residential"</f>
        <v xml:space="preserve">    Equity Residential</v>
      </c>
      <c r="B153" t="str">
        <f>"EQR US Equity"</f>
        <v>EQR US Equity</v>
      </c>
      <c r="C153" t="str">
        <f t="shared" si="48"/>
        <v>RR554</v>
      </c>
      <c r="D153" t="str">
        <f t="shared" si="49"/>
        <v>FFO_RE_ASSET</v>
      </c>
      <c r="E153" t="str">
        <f t="shared" si="50"/>
        <v>动态</v>
      </c>
      <c r="F153" t="str">
        <f ca="1">IF(AND(ISNUMBER($F$360),$B$226=1),$F$360,HLOOKUP(INDIRECT(ADDRESS(2,COLUMN())),OFFSET($BN$2,0,0,ROW()-1,60),ROW()-1,FALSE))</f>
        <v/>
      </c>
      <c r="G153">
        <f ca="1">IF(AND(ISNUMBER($G$360),$B$226=1),$G$360,HLOOKUP(INDIRECT(ADDRESS(2,COLUMN())),OFFSET($BN$2,0,0,ROW()-1,60),ROW()-1,FALSE))</f>
        <v>6.0048617340000003</v>
      </c>
      <c r="H153">
        <f ca="1">IF(AND(ISNUMBER($H$360),$B$226=1),$H$360,HLOOKUP(INDIRECT(ADDRESS(2,COLUMN())),OFFSET($BN$2,0,0,ROW()-1,60),ROW()-1,FALSE))</f>
        <v>5.9373607469999996</v>
      </c>
      <c r="I153">
        <f ca="1">IF(AND(ISNUMBER($I$360),$B$226=1),$I$360,HLOOKUP(INDIRECT(ADDRESS(2,COLUMN())),OFFSET($BN$2,0,0,ROW()-1,60),ROW()-1,FALSE))</f>
        <v>5.9080877010000004</v>
      </c>
      <c r="J153">
        <f ca="1">IF(AND(ISNUMBER($J$360),$B$226=1),$J$360,HLOOKUP(INDIRECT(ADDRESS(2,COLUMN())),OFFSET($BN$2,0,0,ROW()-1,60),ROW()-1,FALSE))</f>
        <v>6.1393713510000003</v>
      </c>
      <c r="K153">
        <f ca="1">IF(AND(ISNUMBER($K$360),$B$226=1),$K$360,HLOOKUP(INDIRECT(ADDRESS(2,COLUMN())),OFFSET($BN$2,0,0,ROW()-1,60),ROW()-1,FALSE))</f>
        <v>5.2732588680000001</v>
      </c>
      <c r="L153">
        <f ca="1">IF(AND(ISNUMBER($L$360),$B$226=1),$L$360,HLOOKUP(INDIRECT(ADDRESS(2,COLUMN())),OFFSET($BN$2,0,0,ROW()-1,60),ROW()-1,FALSE))</f>
        <v>5.5071847219999999</v>
      </c>
      <c r="M153">
        <f ca="1">IF(AND(ISNUMBER($M$360),$B$226=1),$M$360,HLOOKUP(INDIRECT(ADDRESS(2,COLUMN())),OFFSET($BN$2,0,0,ROW()-1,60),ROW()-1,FALSE))</f>
        <v>5.6654356019999996</v>
      </c>
      <c r="N153">
        <f ca="1">IF(AND(ISNUMBER($N$360),$B$226=1),$N$360,HLOOKUP(INDIRECT(ADDRESS(2,COLUMN())),OFFSET($BN$2,0,0,ROW()-1,60),ROW()-1,FALSE))</f>
        <v>5.6616109410000002</v>
      </c>
      <c r="O153">
        <f ca="1">IF(AND(ISNUMBER($O$360),$B$226=1),$O$360,HLOOKUP(INDIRECT(ADDRESS(2,COLUMN())),OFFSET($BN$2,0,0,ROW()-1,60),ROW()-1,FALSE))</f>
        <v>5.8999878639999999</v>
      </c>
      <c r="P153">
        <f ca="1">IF(AND(ISNUMBER($P$360),$B$226=1),$P$360,HLOOKUP(INDIRECT(ADDRESS(2,COLUMN())),OFFSET($BN$2,0,0,ROW()-1,60),ROW()-1,FALSE))</f>
        <v>5.81965048</v>
      </c>
      <c r="Q153">
        <f ca="1">IF(AND(ISNUMBER($Q$360),$B$226=1),$Q$360,HLOOKUP(INDIRECT(ADDRESS(2,COLUMN())),OFFSET($BN$2,0,0,ROW()-1,60),ROW()-1,FALSE))</f>
        <v>5.7049710449999997</v>
      </c>
      <c r="R153">
        <f ca="1">IF(AND(ISNUMBER($R$360),$B$226=1),$R$360,HLOOKUP(INDIRECT(ADDRESS(2,COLUMN())),OFFSET($BN$2,0,0,ROW()-1,60),ROW()-1,FALSE))</f>
        <v>5.4963404000000002</v>
      </c>
      <c r="S153">
        <f ca="1">IF(AND(ISNUMBER($S$360),$B$226=1),$S$360,HLOOKUP(INDIRECT(ADDRESS(2,COLUMN())),OFFSET($BN$2,0,0,ROW()-1,60),ROW()-1,FALSE))</f>
        <v>5.3500492599999996</v>
      </c>
      <c r="T153">
        <f ca="1">IF(AND(ISNUMBER($T$360),$B$226=1),$T$360,HLOOKUP(INDIRECT(ADDRESS(2,COLUMN())),OFFSET($BN$2,0,0,ROW()-1,60),ROW()-1,FALSE))</f>
        <v>4.9893767689999997</v>
      </c>
      <c r="U153">
        <f ca="1">IF(AND(ISNUMBER($U$360),$B$226=1),$U$360,HLOOKUP(INDIRECT(ADDRESS(2,COLUMN())),OFFSET($BN$2,0,0,ROW()-1,60),ROW()-1,FALSE))</f>
        <v>4.7843039679999997</v>
      </c>
      <c r="V153">
        <f ca="1">IF(AND(ISNUMBER($V$360),$B$226=1),$V$360,HLOOKUP(INDIRECT(ADDRESS(2,COLUMN())),OFFSET($BN$2,0,0,ROW()-1,60),ROW()-1,FALSE))</f>
        <v>4.6649715260000004</v>
      </c>
      <c r="W153">
        <f ca="1">IF(AND(ISNUMBER($W$360),$B$226=1),$W$360,HLOOKUP(INDIRECT(ADDRESS(2,COLUMN())),OFFSET($BN$2,0,0,ROW()-1,60),ROW()-1,FALSE))</f>
        <v>4.5574069789999996</v>
      </c>
      <c r="X153">
        <f ca="1">IF(AND(ISNUMBER($X$360),$B$226=1),$X$360,HLOOKUP(INDIRECT(ADDRESS(2,COLUMN())),OFFSET($BN$2,0,0,ROW()-1,60),ROW()-1,FALSE))</f>
        <v>4.8211071820000004</v>
      </c>
      <c r="Y153">
        <f ca="1">IF(AND(ISNUMBER($Y$360),$B$226=1),$Y$360,HLOOKUP(INDIRECT(ADDRESS(2,COLUMN())),OFFSET($BN$2,0,0,ROW()-1,60),ROW()-1,FALSE))</f>
        <v>4.9061364989999996</v>
      </c>
      <c r="Z153">
        <f ca="1">IF(AND(ISNUMBER($Z$360),$B$226=1),$Z$360,HLOOKUP(INDIRECT(ADDRESS(2,COLUMN())),OFFSET($BN$2,0,0,ROW()-1,60),ROW()-1,FALSE))</f>
        <v>4.5316642419999997</v>
      </c>
      <c r="AA153">
        <f ca="1">IF(AND(ISNUMBER($AA$360),$B$226=1),$AA$360,HLOOKUP(INDIRECT(ADDRESS(2,COLUMN())),OFFSET($BN$2,0,0,ROW()-1,60),ROW()-1,FALSE))</f>
        <v>6.2086200009999999</v>
      </c>
      <c r="AB153">
        <f ca="1">IF(AND(ISNUMBER($AB$360),$B$226=1),$AB$360,HLOOKUP(INDIRECT(ADDRESS(2,COLUMN())),OFFSET($BN$2,0,0,ROW()-1,60),ROW()-1,FALSE))</f>
        <v>5.6408074800000003</v>
      </c>
      <c r="AC153">
        <f ca="1">IF(AND(ISNUMBER($AC$360),$B$226=1),$AC$360,HLOOKUP(INDIRECT(ADDRESS(2,COLUMN())),OFFSET($BN$2,0,0,ROW()-1,60),ROW()-1,FALSE))</f>
        <v>5.0215541830000001</v>
      </c>
      <c r="AD153">
        <f ca="1">IF(AND(ISNUMBER($AD$360),$B$226=1),$AD$360,HLOOKUP(INDIRECT(ADDRESS(2,COLUMN())),OFFSET($BN$2,0,0,ROW()-1,60),ROW()-1,FALSE))</f>
        <v>4.9216389129999998</v>
      </c>
      <c r="AE153">
        <f ca="1">IF(AND(ISNUMBER($AE$360),$B$226=1),$AE$360,HLOOKUP(INDIRECT(ADDRESS(2,COLUMN())),OFFSET($BN$2,0,0,ROW()-1,60),ROW()-1,FALSE))</f>
        <v>4.8139531179999997</v>
      </c>
      <c r="AF153">
        <f ca="1">IF(AND(ISNUMBER($AF$360),$B$226=1),$AF$360,HLOOKUP(INDIRECT(ADDRESS(2,COLUMN())),OFFSET($BN$2,0,0,ROW()-1,60),ROW()-1,FALSE))</f>
        <v>4.4515437110000002</v>
      </c>
      <c r="AG153">
        <f ca="1">IF(AND(ISNUMBER($AG$360),$B$226=1),$AG$360,HLOOKUP(INDIRECT(ADDRESS(2,COLUMN())),OFFSET($BN$2,0,0,ROW()-1,60),ROW()-1,FALSE))</f>
        <v>4.3057354849999996</v>
      </c>
      <c r="AH153">
        <f ca="1">IF(AND(ISNUMBER($AH$360),$B$226=1),$AH$360,HLOOKUP(INDIRECT(ADDRESS(2,COLUMN())),OFFSET($BN$2,0,0,ROW()-1,60),ROW()-1,FALSE))</f>
        <v>4.2901082989999999</v>
      </c>
      <c r="AI153">
        <f ca="1">IF(AND(ISNUMBER($AI$360),$B$226=1),$AI$360,HLOOKUP(INDIRECT(ADDRESS(2,COLUMN())),OFFSET($BN$2,0,0,ROW()-1,60),ROW()-1,FALSE))</f>
        <v>4.1570675269999997</v>
      </c>
      <c r="AJ153">
        <f ca="1">IF(AND(ISNUMBER($AJ$360),$B$226=1),$AJ$360,HLOOKUP(INDIRECT(ADDRESS(2,COLUMN())),OFFSET($BN$2,0,0,ROW()-1,60),ROW()-1,FALSE))</f>
        <v>4.0433601469999996</v>
      </c>
      <c r="AK153">
        <f ca="1">IF(AND(ISNUMBER($AK$360),$B$226=1),$AK$360,HLOOKUP(INDIRECT(ADDRESS(2,COLUMN())),OFFSET($BN$2,0,0,ROW()-1,60),ROW()-1,FALSE))</f>
        <v>3.9901960679999999</v>
      </c>
      <c r="AL153">
        <f ca="1">IF(AND(ISNUMBER($AL$360),$B$226=1),$AL$360,HLOOKUP(INDIRECT(ADDRESS(2,COLUMN())),OFFSET($BN$2,0,0,ROW()-1,60),ROW()-1,FALSE))</f>
        <v>3.9535121539999998</v>
      </c>
      <c r="AM153">
        <f ca="1">IF(AND(ISNUMBER($AM$360),$B$226=1),$AM$360,HLOOKUP(INDIRECT(ADDRESS(2,COLUMN())),OFFSET($BN$2,0,0,ROW()-1,60),ROW()-1,FALSE))</f>
        <v>4.140728599</v>
      </c>
      <c r="AN153">
        <f ca="1">IF(AND(ISNUMBER($AN$360),$B$226=1),$AN$360,HLOOKUP(INDIRECT(ADDRESS(2,COLUMN())),OFFSET($BN$2,0,0,ROW()-1,60),ROW()-1,FALSE))</f>
        <v>3.809272843</v>
      </c>
      <c r="AO153">
        <f ca="1">IF(AND(ISNUMBER($AO$360),$B$226=1),$AO$360,HLOOKUP(INDIRECT(ADDRESS(2,COLUMN())),OFFSET($BN$2,0,0,ROW()-1,60),ROW()-1,FALSE))</f>
        <v>3.9682377999999998</v>
      </c>
      <c r="AP153">
        <f ca="1">IF(AND(ISNUMBER($AP$360),$B$226=1),$AP$360,HLOOKUP(INDIRECT(ADDRESS(2,COLUMN())),OFFSET($BN$2,0,0,ROW()-1,60),ROW()-1,FALSE))</f>
        <v>4.0913091220000002</v>
      </c>
      <c r="AQ153">
        <f ca="1">IF(AND(ISNUMBER($AQ$360),$B$226=1),$AQ$360,HLOOKUP(INDIRECT(ADDRESS(2,COLUMN())),OFFSET($BN$2,0,0,ROW()-1,60),ROW()-1,FALSE))</f>
        <v>4.081460506</v>
      </c>
      <c r="AR153">
        <f ca="1">IF(AND(ISNUMBER($AR$360),$B$226=1),$AR$360,HLOOKUP(INDIRECT(ADDRESS(2,COLUMN())),OFFSET($BN$2,0,0,ROW()-1,60),ROW()-1,FALSE))</f>
        <v>4.8459694879999997</v>
      </c>
      <c r="AS153">
        <f ca="1">IF(AND(ISNUMBER($AS$360),$B$226=1),$AS$360,HLOOKUP(INDIRECT(ADDRESS(2,COLUMN())),OFFSET($BN$2,0,0,ROW()-1,60),ROW()-1,FALSE))</f>
        <v>4.7309897919999999</v>
      </c>
      <c r="AT153">
        <f ca="1">IF(AND(ISNUMBER($AT$360),$B$226=1),$AT$360,HLOOKUP(INDIRECT(ADDRESS(2,COLUMN())),OFFSET($BN$2,0,0,ROW()-1,60),ROW()-1,FALSE))</f>
        <v>4.8151475919999998</v>
      </c>
      <c r="AU153">
        <f ca="1">IF(AND(ISNUMBER($AU$360),$B$226=1),$AU$360,HLOOKUP(INDIRECT(ADDRESS(2,COLUMN())),OFFSET($BN$2,0,0,ROW()-1,60),ROW()-1,FALSE))</f>
        <v>4.925599601</v>
      </c>
      <c r="AV153">
        <f ca="1">IF(AND(ISNUMBER($AV$360),$B$226=1),$AV$360,HLOOKUP(INDIRECT(ADDRESS(2,COLUMN())),OFFSET($BN$2,0,0,ROW()-1,60),ROW()-1,FALSE))</f>
        <v>4.6193172249999996</v>
      </c>
      <c r="AW153">
        <f ca="1">IF(AND(ISNUMBER($AW$360),$B$226=1),$AW$360,HLOOKUP(INDIRECT(ADDRESS(2,COLUMN())),OFFSET($BN$2,0,0,ROW()-1,60),ROW()-1,FALSE))</f>
        <v>4.861379189</v>
      </c>
      <c r="AX153">
        <f ca="1">IF(AND(ISNUMBER($AX$360),$B$226=1),$AX$360,HLOOKUP(INDIRECT(ADDRESS(2,COLUMN())),OFFSET($BN$2,0,0,ROW()-1,60),ROW()-1,FALSE))</f>
        <v>5.0149094930000002</v>
      </c>
      <c r="AY153">
        <f ca="1">IF(AND(ISNUMBER($AY$360),$B$226=1),$AY$360,HLOOKUP(INDIRECT(ADDRESS(2,COLUMN())),OFFSET($BN$2,0,0,ROW()-1,60),ROW()-1,FALSE))</f>
        <v>5.1303272040000003</v>
      </c>
      <c r="AZ153">
        <f ca="1">IF(AND(ISNUMBER($AZ$360),$B$226=1),$AZ$360,HLOOKUP(INDIRECT(ADDRESS(2,COLUMN())),OFFSET($BN$2,0,0,ROW()-1,60),ROW()-1,FALSE))</f>
        <v>5.6723261340000004</v>
      </c>
      <c r="BA153">
        <f ca="1">IF(AND(ISNUMBER($BA$360),$B$226=1),$BA$360,HLOOKUP(INDIRECT(ADDRESS(2,COLUMN())),OFFSET($BN$2,0,0,ROW()-1,60),ROW()-1,FALSE))</f>
        <v>5.63882423</v>
      </c>
      <c r="BB153">
        <f ca="1">IF(AND(ISNUMBER($BB$360),$B$226=1),$BB$360,HLOOKUP(INDIRECT(ADDRESS(2,COLUMN())),OFFSET($BN$2,0,0,ROW()-1,60),ROW()-1,FALSE))</f>
        <v>5.6195201499999996</v>
      </c>
      <c r="BC153">
        <f ca="1">IF(AND(ISNUMBER($BC$360),$B$226=1),$BC$360,HLOOKUP(INDIRECT(ADDRESS(2,COLUMN())),OFFSET($BN$2,0,0,ROW()-1,60),ROW()-1,FALSE))</f>
        <v>6.0417837179999996</v>
      </c>
      <c r="BD153">
        <f ca="1">IF(AND(ISNUMBER($BD$360),$B$226=1),$BD$360,HLOOKUP(INDIRECT(ADDRESS(2,COLUMN())),OFFSET($BN$2,0,0,ROW()-1,60),ROW()-1,FALSE))</f>
        <v>6.1042704690000003</v>
      </c>
      <c r="BE153">
        <f ca="1">IF(AND(ISNUMBER($BE$360),$B$226=1),$BE$360,HLOOKUP(INDIRECT(ADDRESS(2,COLUMN())),OFFSET($BN$2,0,0,ROW()-1,60),ROW()-1,FALSE))</f>
        <v>5.9584333330000003</v>
      </c>
      <c r="BF153">
        <f ca="1">IF(AND(ISNUMBER($BF$360),$B$226=1),$BF$360,HLOOKUP(INDIRECT(ADDRESS(2,COLUMN())),OFFSET($BN$2,0,0,ROW()-1,60),ROW()-1,FALSE))</f>
        <v>4.719293103</v>
      </c>
      <c r="BG153">
        <f ca="1">IF(AND(ISNUMBER($BG$360),$B$226=1),$BG$360,HLOOKUP(INDIRECT(ADDRESS(2,COLUMN())),OFFSET($BN$2,0,0,ROW()-1,60),ROW()-1,FALSE))</f>
        <v>4.2723899080000001</v>
      </c>
      <c r="BH153" t="str">
        <f ca="1">IF(AND(ISNUMBER($BH$360),$B$226=1),$BH$360,HLOOKUP(INDIRECT(ADDRESS(2,COLUMN())),OFFSET($BN$2,0,0,ROW()-1,60),ROW()-1,FALSE))</f>
        <v/>
      </c>
      <c r="BI153" t="str">
        <f ca="1">IF(AND(ISNUMBER($BI$360),$B$226=1),$BI$360,HLOOKUP(INDIRECT(ADDRESS(2,COLUMN())),OFFSET($BN$2,0,0,ROW()-1,60),ROW()-1,FALSE))</f>
        <v/>
      </c>
      <c r="BJ153" t="str">
        <f ca="1">IF(AND(ISNUMBER($BJ$360),$B$226=1),$BJ$360,HLOOKUP(INDIRECT(ADDRESS(2,COLUMN())),OFFSET($BN$2,0,0,ROW()-1,60),ROW()-1,FALSE))</f>
        <v/>
      </c>
      <c r="BK153" t="str">
        <f ca="1">IF(AND(ISNUMBER($BK$360),$B$226=1),$BK$360,HLOOKUP(INDIRECT(ADDRESS(2,COLUMN())),OFFSET($BN$2,0,0,ROW()-1,60),ROW()-1,FALSE))</f>
        <v/>
      </c>
      <c r="BL153">
        <f ca="1">IF(AND(ISNUMBER($BL$360),$B$226=1),$BL$360,HLOOKUP(INDIRECT(ADDRESS(2,COLUMN())),OFFSET($BN$2,0,0,ROW()-1,60),ROW()-1,FALSE))</f>
        <v>6.0752670120000003</v>
      </c>
      <c r="BM153">
        <f ca="1">IF(AND(ISNUMBER($BM$360),$B$226=1),$BM$360,HLOOKUP(INDIRECT(ADDRESS(2,COLUMN())),OFFSET($BN$2,0,0,ROW()-1,60),ROW()-1,FALSE))</f>
        <v>6.0202993019999997</v>
      </c>
      <c r="BN153" t="str">
        <f>""</f>
        <v/>
      </c>
      <c r="BO153">
        <f>6.004861734</f>
        <v>6.0048617340000003</v>
      </c>
      <c r="BP153">
        <f>5.937360747</f>
        <v>5.9373607469999996</v>
      </c>
      <c r="BQ153">
        <f>5.908087701</f>
        <v>5.9080877010000004</v>
      </c>
      <c r="BR153">
        <f>6.139371351</f>
        <v>6.1393713510000003</v>
      </c>
      <c r="BS153">
        <f>5.273258868</f>
        <v>5.2732588680000001</v>
      </c>
      <c r="BT153">
        <f>5.507184722</f>
        <v>5.5071847219999999</v>
      </c>
      <c r="BU153">
        <f>5.665435602</f>
        <v>5.6654356019999996</v>
      </c>
      <c r="BV153">
        <f>5.661610941</f>
        <v>5.6616109410000002</v>
      </c>
      <c r="BW153">
        <f>5.899987864</f>
        <v>5.8999878639999999</v>
      </c>
      <c r="BX153">
        <f>5.81965048</f>
        <v>5.81965048</v>
      </c>
      <c r="BY153">
        <f>5.704971045</f>
        <v>5.7049710449999997</v>
      </c>
      <c r="BZ153">
        <f>5.4963404</f>
        <v>5.4963404000000002</v>
      </c>
      <c r="CA153">
        <f>5.35004926</f>
        <v>5.3500492599999996</v>
      </c>
      <c r="CB153">
        <f>4.989376769</f>
        <v>4.9893767689999997</v>
      </c>
      <c r="CC153">
        <f>4.784303968</f>
        <v>4.7843039679999997</v>
      </c>
      <c r="CD153">
        <f>4.664971526</f>
        <v>4.6649715260000004</v>
      </c>
      <c r="CE153">
        <f>4.557406979</f>
        <v>4.5574069789999996</v>
      </c>
      <c r="CF153">
        <f>4.821107182</f>
        <v>4.8211071820000004</v>
      </c>
      <c r="CG153">
        <f>4.906136499</f>
        <v>4.9061364989999996</v>
      </c>
      <c r="CH153">
        <f>4.531664242</f>
        <v>4.5316642419999997</v>
      </c>
      <c r="CI153">
        <f>6.208620001</f>
        <v>6.2086200009999999</v>
      </c>
      <c r="CJ153">
        <f>5.64080748</f>
        <v>5.6408074800000003</v>
      </c>
      <c r="CK153">
        <f>5.021554183</f>
        <v>5.0215541830000001</v>
      </c>
      <c r="CL153">
        <f>4.921638913</f>
        <v>4.9216389129999998</v>
      </c>
      <c r="CM153">
        <f>4.813953118</f>
        <v>4.8139531179999997</v>
      </c>
      <c r="CN153">
        <f>4.451543711</f>
        <v>4.4515437110000002</v>
      </c>
      <c r="CO153">
        <f>4.305735485</f>
        <v>4.3057354849999996</v>
      </c>
      <c r="CP153">
        <f>4.290108299</f>
        <v>4.2901082989999999</v>
      </c>
      <c r="CQ153">
        <f>4.157067527</f>
        <v>4.1570675269999997</v>
      </c>
      <c r="CR153">
        <f>4.043360147</f>
        <v>4.0433601469999996</v>
      </c>
      <c r="CS153">
        <f>3.990196068</f>
        <v>3.9901960679999999</v>
      </c>
      <c r="CT153">
        <f>3.953512154</f>
        <v>3.9535121539999998</v>
      </c>
      <c r="CU153">
        <f>4.140728599</f>
        <v>4.140728599</v>
      </c>
      <c r="CV153">
        <f>3.809272843</f>
        <v>3.809272843</v>
      </c>
      <c r="CW153">
        <f>3.9682378</f>
        <v>3.9682377999999998</v>
      </c>
      <c r="CX153">
        <f>4.091309122</f>
        <v>4.0913091220000002</v>
      </c>
      <c r="CY153">
        <f>4.081460506</f>
        <v>4.081460506</v>
      </c>
      <c r="CZ153">
        <f>4.845969488</f>
        <v>4.8459694879999997</v>
      </c>
      <c r="DA153">
        <f>4.730989792</f>
        <v>4.7309897919999999</v>
      </c>
      <c r="DB153">
        <f>4.815147592</f>
        <v>4.8151475919999998</v>
      </c>
      <c r="DC153">
        <f>4.925599601</f>
        <v>4.925599601</v>
      </c>
      <c r="DD153">
        <f>4.619317225</f>
        <v>4.6193172249999996</v>
      </c>
      <c r="DE153">
        <f>4.861379189</f>
        <v>4.861379189</v>
      </c>
      <c r="DF153">
        <f>5.014909493</f>
        <v>5.0149094930000002</v>
      </c>
      <c r="DG153">
        <f>5.130327204</f>
        <v>5.1303272040000003</v>
      </c>
      <c r="DH153">
        <f>5.672326134</f>
        <v>5.6723261340000004</v>
      </c>
      <c r="DI153">
        <f>5.63882423</f>
        <v>5.63882423</v>
      </c>
      <c r="DJ153">
        <f>5.61952015</f>
        <v>5.6195201499999996</v>
      </c>
      <c r="DK153">
        <f>6.041783718</f>
        <v>6.0417837179999996</v>
      </c>
      <c r="DL153">
        <f>6.104270469</f>
        <v>6.1042704690000003</v>
      </c>
      <c r="DM153">
        <f>5.958433333</f>
        <v>5.9584333330000003</v>
      </c>
      <c r="DN153">
        <f>4.719293103</f>
        <v>4.719293103</v>
      </c>
      <c r="DO153">
        <f>4.272389908</f>
        <v>4.2723899080000001</v>
      </c>
      <c r="DP153" t="str">
        <f>""</f>
        <v/>
      </c>
      <c r="DQ153" t="str">
        <f>""</f>
        <v/>
      </c>
      <c r="DR153" t="str">
        <f>""</f>
        <v/>
      </c>
      <c r="DS153" t="str">
        <f>""</f>
        <v/>
      </c>
      <c r="DT153">
        <f>6.075267012</f>
        <v>6.0752670120000003</v>
      </c>
      <c r="DU153">
        <f>6.020299302</f>
        <v>6.0202993019999997</v>
      </c>
    </row>
    <row r="154" spans="1:125">
      <c r="A154" t="str">
        <f>"    Essex Property Trust Inc"</f>
        <v xml:space="preserve">    Essex Property Trust Inc</v>
      </c>
      <c r="B154" t="str">
        <f>"ESS US Equity"</f>
        <v>ESS US Equity</v>
      </c>
      <c r="C154" t="str">
        <f t="shared" si="48"/>
        <v>RR554</v>
      </c>
      <c r="D154" t="str">
        <f t="shared" si="49"/>
        <v>FFO_RE_ASSET</v>
      </c>
      <c r="E154" t="str">
        <f t="shared" si="50"/>
        <v>动态</v>
      </c>
      <c r="F154" t="str">
        <f ca="1">IF(AND(ISNUMBER($F$361),$B$226=1),$F$361,HLOOKUP(INDIRECT(ADDRESS(2,COLUMN())),OFFSET($BN$2,0,0,ROW()-1,60),ROW()-1,FALSE))</f>
        <v/>
      </c>
      <c r="G154">
        <f ca="1">IF(AND(ISNUMBER($G$361),$B$226=1),$G$361,HLOOKUP(INDIRECT(ADDRESS(2,COLUMN())),OFFSET($BN$2,0,0,ROW()-1,60),ROW()-1,FALSE))</f>
        <v>6.7530430140000002</v>
      </c>
      <c r="H154">
        <f ca="1">IF(AND(ISNUMBER($H$361),$B$226=1),$H$361,HLOOKUP(INDIRECT(ADDRESS(2,COLUMN())),OFFSET($BN$2,0,0,ROW()-1,60),ROW()-1,FALSE))</f>
        <v>6.6759431200000003</v>
      </c>
      <c r="I154">
        <f ca="1">IF(AND(ISNUMBER($I$361),$B$226=1),$I$361,HLOOKUP(INDIRECT(ADDRESS(2,COLUMN())),OFFSET($BN$2,0,0,ROW()-1,60),ROW()-1,FALSE))</f>
        <v>6.5893914650000003</v>
      </c>
      <c r="J154">
        <f ca="1">IF(AND(ISNUMBER($J$361),$B$226=1),$J$361,HLOOKUP(INDIRECT(ADDRESS(2,COLUMN())),OFFSET($BN$2,0,0,ROW()-1,60),ROW()-1,FALSE))</f>
        <v>6.4795361170000003</v>
      </c>
      <c r="K154">
        <f ca="1">IF(AND(ISNUMBER($K$361),$B$226=1),$K$361,HLOOKUP(INDIRECT(ADDRESS(2,COLUMN())),OFFSET($BN$2,0,0,ROW()-1,60),ROW()-1,FALSE))</f>
        <v>6.4046373399999998</v>
      </c>
      <c r="L154">
        <f ca="1">IF(AND(ISNUMBER($L$361),$B$226=1),$L$361,HLOOKUP(INDIRECT(ADDRESS(2,COLUMN())),OFFSET($BN$2,0,0,ROW()-1,60),ROW()-1,FALSE))</f>
        <v>6.2314426630000002</v>
      </c>
      <c r="M154">
        <f ca="1">IF(AND(ISNUMBER($M$361),$B$226=1),$M$361,HLOOKUP(INDIRECT(ADDRESS(2,COLUMN())),OFFSET($BN$2,0,0,ROW()-1,60),ROW()-1,FALSE))</f>
        <v>6.040008319</v>
      </c>
      <c r="N154">
        <f ca="1">IF(AND(ISNUMBER($N$361),$B$226=1),$N$361,HLOOKUP(INDIRECT(ADDRESS(2,COLUMN())),OFFSET($BN$2,0,0,ROW()-1,60),ROW()-1,FALSE))</f>
        <v>5.8225416379999997</v>
      </c>
      <c r="O154">
        <f ca="1">IF(AND(ISNUMBER($O$361),$B$226=1),$O$361,HLOOKUP(INDIRECT(ADDRESS(2,COLUMN())),OFFSET($BN$2,0,0,ROW()-1,60),ROW()-1,FALSE))</f>
        <v>5.7026694280000001</v>
      </c>
      <c r="P154">
        <f ca="1">IF(AND(ISNUMBER($P$361),$B$226=1),$P$361,HLOOKUP(INDIRECT(ADDRESS(2,COLUMN())),OFFSET($BN$2,0,0,ROW()-1,60),ROW()-1,FALSE))</f>
        <v>5.481291068</v>
      </c>
      <c r="Q154">
        <f ca="1">IF(AND(ISNUMBER($Q$361),$B$226=1),$Q$361,HLOOKUP(INDIRECT(ADDRESS(2,COLUMN())),OFFSET($BN$2,0,0,ROW()-1,60),ROW()-1,FALSE))</f>
        <v>5.234546355</v>
      </c>
      <c r="R154">
        <f ca="1">IF(AND(ISNUMBER($R$361),$B$226=1),$R$361,HLOOKUP(INDIRECT(ADDRESS(2,COLUMN())),OFFSET($BN$2,0,0,ROW()-1,60),ROW()-1,FALSE))</f>
        <v>6.094723289</v>
      </c>
      <c r="S154">
        <f ca="1">IF(AND(ISNUMBER($S$361),$B$226=1),$S$361,HLOOKUP(INDIRECT(ADDRESS(2,COLUMN())),OFFSET($BN$2,0,0,ROW()-1,60),ROW()-1,FALSE))</f>
        <v>5.7339363270000003</v>
      </c>
      <c r="T154">
        <f ca="1">IF(AND(ISNUMBER($T$361),$B$226=1),$T$361,HLOOKUP(INDIRECT(ADDRESS(2,COLUMN())),OFFSET($BN$2,0,0,ROW()-1,60),ROW()-1,FALSE))</f>
        <v>4.7772247649999997</v>
      </c>
      <c r="U154">
        <f ca="1">IF(AND(ISNUMBER($U$361),$B$226=1),$U$361,HLOOKUP(INDIRECT(ADDRESS(2,COLUMN())),OFFSET($BN$2,0,0,ROW()-1,60),ROW()-1,FALSE))</f>
        <v>4.0849941960000002</v>
      </c>
      <c r="V154">
        <f ca="1">IF(AND(ISNUMBER($V$361),$B$226=1),$V$361,HLOOKUP(INDIRECT(ADDRESS(2,COLUMN())),OFFSET($BN$2,0,0,ROW()-1,60),ROW()-1,FALSE))</f>
        <v>5.2034947379999998</v>
      </c>
      <c r="W154">
        <f ca="1">IF(AND(ISNUMBER($W$361),$B$226=1),$W$361,HLOOKUP(INDIRECT(ADDRESS(2,COLUMN())),OFFSET($BN$2,0,0,ROW()-1,60),ROW()-1,FALSE))</f>
        <v>6.2177302980000002</v>
      </c>
      <c r="X154">
        <f ca="1">IF(AND(ISNUMBER($X$361),$B$226=1),$X$361,HLOOKUP(INDIRECT(ADDRESS(2,COLUMN())),OFFSET($BN$2,0,0,ROW()-1,60),ROW()-1,FALSE))</f>
        <v>6.4576112229999998</v>
      </c>
      <c r="Y154">
        <f ca="1">IF(AND(ISNUMBER($Y$361),$B$226=1),$Y$361,HLOOKUP(INDIRECT(ADDRESS(2,COLUMN())),OFFSET($BN$2,0,0,ROW()-1,60),ROW()-1,FALSE))</f>
        <v>6.2460003159999999</v>
      </c>
      <c r="Z154">
        <f ca="1">IF(AND(ISNUMBER($Z$361),$B$226=1),$Z$361,HLOOKUP(INDIRECT(ADDRESS(2,COLUMN())),OFFSET($BN$2,0,0,ROW()-1,60),ROW()-1,FALSE))</f>
        <v>6.223327426</v>
      </c>
      <c r="AA154">
        <f ca="1">IF(AND(ISNUMBER($AA$361),$B$226=1),$AA$361,HLOOKUP(INDIRECT(ADDRESS(2,COLUMN())),OFFSET($BN$2,0,0,ROW()-1,60),ROW()-1,FALSE))</f>
        <v>5.8664408139999997</v>
      </c>
      <c r="AB154">
        <f ca="1">IF(AND(ISNUMBER($AB$361),$B$226=1),$AB$361,HLOOKUP(INDIRECT(ADDRESS(2,COLUMN())),OFFSET($BN$2,0,0,ROW()-1,60),ROW()-1,FALSE))</f>
        <v>5.9667863260000003</v>
      </c>
      <c r="AC154">
        <f ca="1">IF(AND(ISNUMBER($AC$361),$B$226=1),$AC$361,HLOOKUP(INDIRECT(ADDRESS(2,COLUMN())),OFFSET($BN$2,0,0,ROW()-1,60),ROW()-1,FALSE))</f>
        <v>5.819238747</v>
      </c>
      <c r="AD154">
        <f ca="1">IF(AND(ISNUMBER($AD$361),$B$226=1),$AD$361,HLOOKUP(INDIRECT(ADDRESS(2,COLUMN())),OFFSET($BN$2,0,0,ROW()-1,60),ROW()-1,FALSE))</f>
        <v>5.6026826339999998</v>
      </c>
      <c r="AE154">
        <f ca="1">IF(AND(ISNUMBER($AE$361),$B$226=1),$AE$361,HLOOKUP(INDIRECT(ADDRESS(2,COLUMN())),OFFSET($BN$2,0,0,ROW()-1,60),ROW()-1,FALSE))</f>
        <v>5.3639536149999998</v>
      </c>
      <c r="AF154">
        <f ca="1">IF(AND(ISNUMBER($AF$361),$B$226=1),$AF$361,HLOOKUP(INDIRECT(ADDRESS(2,COLUMN())),OFFSET($BN$2,0,0,ROW()-1,60),ROW()-1,FALSE))</f>
        <v>5.2837664459999996</v>
      </c>
      <c r="AG154">
        <f ca="1">IF(AND(ISNUMBER($AG$361),$B$226=1),$AG$361,HLOOKUP(INDIRECT(ADDRESS(2,COLUMN())),OFFSET($BN$2,0,0,ROW()-1,60),ROW()-1,FALSE))</f>
        <v>5.1676776809999998</v>
      </c>
      <c r="AH154">
        <f ca="1">IF(AND(ISNUMBER($AH$361),$B$226=1),$AH$361,HLOOKUP(INDIRECT(ADDRESS(2,COLUMN())),OFFSET($BN$2,0,0,ROW()-1,60),ROW()-1,FALSE))</f>
        <v>5.1598239340000003</v>
      </c>
      <c r="AI154">
        <f ca="1">IF(AND(ISNUMBER($AI$361),$B$226=1),$AI$361,HLOOKUP(INDIRECT(ADDRESS(2,COLUMN())),OFFSET($BN$2,0,0,ROW()-1,60),ROW()-1,FALSE))</f>
        <v>5.1855994140000004</v>
      </c>
      <c r="AJ154">
        <f ca="1">IF(AND(ISNUMBER($AJ$361),$B$226=1),$AJ$361,HLOOKUP(INDIRECT(ADDRESS(2,COLUMN())),OFFSET($BN$2,0,0,ROW()-1,60),ROW()-1,FALSE))</f>
        <v>5.1800064389999996</v>
      </c>
      <c r="AK154">
        <f ca="1">IF(AND(ISNUMBER($AK$361),$B$226=1),$AK$361,HLOOKUP(INDIRECT(ADDRESS(2,COLUMN())),OFFSET($BN$2,0,0,ROW()-1,60),ROW()-1,FALSE))</f>
        <v>5.6683417220000001</v>
      </c>
      <c r="AL154">
        <f ca="1">IF(AND(ISNUMBER($AL$361),$B$226=1),$AL$361,HLOOKUP(INDIRECT(ADDRESS(2,COLUMN())),OFFSET($BN$2,0,0,ROW()-1,60),ROW()-1,FALSE))</f>
        <v>5.6814972619999997</v>
      </c>
      <c r="AM154">
        <f ca="1">IF(AND(ISNUMBER($AM$361),$B$226=1),$AM$361,HLOOKUP(INDIRECT(ADDRESS(2,COLUMN())),OFFSET($BN$2,0,0,ROW()-1,60),ROW()-1,FALSE))</f>
        <v>6.5899788160000004</v>
      </c>
      <c r="AN154">
        <f ca="1">IF(AND(ISNUMBER($AN$361),$B$226=1),$AN$361,HLOOKUP(INDIRECT(ADDRESS(2,COLUMN())),OFFSET($BN$2,0,0,ROW()-1,60),ROW()-1,FALSE))</f>
        <v>6.9337252889999998</v>
      </c>
      <c r="AO154">
        <f ca="1">IF(AND(ISNUMBER($AO$361),$B$226=1),$AO$361,HLOOKUP(INDIRECT(ADDRESS(2,COLUMN())),OFFSET($BN$2,0,0,ROW()-1,60),ROW()-1,FALSE))</f>
        <v>6.6467146860000001</v>
      </c>
      <c r="AP154">
        <f ca="1">IF(AND(ISNUMBER($AP$361),$B$226=1),$AP$361,HLOOKUP(INDIRECT(ADDRESS(2,COLUMN())),OFFSET($BN$2,0,0,ROW()-1,60),ROW()-1,FALSE))</f>
        <v>6.6019165989999999</v>
      </c>
      <c r="AQ154">
        <f ca="1">IF(AND(ISNUMBER($AQ$361),$B$226=1),$AQ$361,HLOOKUP(INDIRECT(ADDRESS(2,COLUMN())),OFFSET($BN$2,0,0,ROW()-1,60),ROW()-1,FALSE))</f>
        <v>5.697284647</v>
      </c>
      <c r="AR154">
        <f ca="1">IF(AND(ISNUMBER($AR$361),$B$226=1),$AR$361,HLOOKUP(INDIRECT(ADDRESS(2,COLUMN())),OFFSET($BN$2,0,0,ROW()-1,60),ROW()-1,FALSE))</f>
        <v>5.4588394679999999</v>
      </c>
      <c r="AS154">
        <f ca="1">IF(AND(ISNUMBER($AS$361),$B$226=1),$AS$361,HLOOKUP(INDIRECT(ADDRESS(2,COLUMN())),OFFSET($BN$2,0,0,ROW()-1,60),ROW()-1,FALSE))</f>
        <v>5.464172112</v>
      </c>
      <c r="AT154">
        <f ca="1">IF(AND(ISNUMBER($AT$361),$B$226=1),$AT$361,HLOOKUP(INDIRECT(ADDRESS(2,COLUMN())),OFFSET($BN$2,0,0,ROW()-1,60),ROW()-1,FALSE))</f>
        <v>5.626596589</v>
      </c>
      <c r="AU154">
        <f ca="1">IF(AND(ISNUMBER($AU$361),$B$226=1),$AU$361,HLOOKUP(INDIRECT(ADDRESS(2,COLUMN())),OFFSET($BN$2,0,0,ROW()-1,60),ROW()-1,FALSE))</f>
        <v>5.7701925809999999</v>
      </c>
      <c r="AV154">
        <f ca="1">IF(AND(ISNUMBER($AV$361),$B$226=1),$AV$361,HLOOKUP(INDIRECT(ADDRESS(2,COLUMN())),OFFSET($BN$2,0,0,ROW()-1,60),ROW()-1,FALSE))</f>
        <v>5.7214228110000001</v>
      </c>
      <c r="AW154">
        <f ca="1">IF(AND(ISNUMBER($AW$361),$B$226=1),$AW$361,HLOOKUP(INDIRECT(ADDRESS(2,COLUMN())),OFFSET($BN$2,0,0,ROW()-1,60),ROW()-1,FALSE))</f>
        <v>5.8746815689999998</v>
      </c>
      <c r="AX154">
        <f ca="1">IF(AND(ISNUMBER($AX$361),$B$226=1),$AX$361,HLOOKUP(INDIRECT(ADDRESS(2,COLUMN())),OFFSET($BN$2,0,0,ROW()-1,60),ROW()-1,FALSE))</f>
        <v>6.1963600620000001</v>
      </c>
      <c r="AY154">
        <f ca="1">IF(AND(ISNUMBER($AY$361),$B$226=1),$AY$361,HLOOKUP(INDIRECT(ADDRESS(2,COLUMN())),OFFSET($BN$2,0,0,ROW()-1,60),ROW()-1,FALSE))</f>
        <v>5.7049281220000001</v>
      </c>
      <c r="AZ154">
        <f ca="1">IF(AND(ISNUMBER($AZ$361),$B$226=1),$AZ$361,HLOOKUP(INDIRECT(ADDRESS(2,COLUMN())),OFFSET($BN$2,0,0,ROW()-1,60),ROW()-1,FALSE))</f>
        <v>5.2799619780000002</v>
      </c>
      <c r="BA154">
        <f ca="1">IF(AND(ISNUMBER($BA$361),$B$226=1),$BA$361,HLOOKUP(INDIRECT(ADDRESS(2,COLUMN())),OFFSET($BN$2,0,0,ROW()-1,60),ROW()-1,FALSE))</f>
        <v>5.2880697830000001</v>
      </c>
      <c r="BB154">
        <f ca="1">IF(AND(ISNUMBER($BB$361),$B$226=1),$BB$361,HLOOKUP(INDIRECT(ADDRESS(2,COLUMN())),OFFSET($BN$2,0,0,ROW()-1,60),ROW()-1,FALSE))</f>
        <v>4.8837132790000002</v>
      </c>
      <c r="BC154">
        <f ca="1">IF(AND(ISNUMBER($BC$361),$B$226=1),$BC$361,HLOOKUP(INDIRECT(ADDRESS(2,COLUMN())),OFFSET($BN$2,0,0,ROW()-1,60),ROW()-1,FALSE))</f>
        <v>5.1818102670000004</v>
      </c>
      <c r="BD154">
        <f ca="1">IF(AND(ISNUMBER($BD$361),$B$226=1),$BD$361,HLOOKUP(INDIRECT(ADDRESS(2,COLUMN())),OFFSET($BN$2,0,0,ROW()-1,60),ROW()-1,FALSE))</f>
        <v>5.6109241010000002</v>
      </c>
      <c r="BE154">
        <f ca="1">IF(AND(ISNUMBER($BE$361),$B$226=1),$BE$361,HLOOKUP(INDIRECT(ADDRESS(2,COLUMN())),OFFSET($BN$2,0,0,ROW()-1,60),ROW()-1,FALSE))</f>
        <v>5.8419253080000004</v>
      </c>
      <c r="BF154">
        <f ca="1">IF(AND(ISNUMBER($BF$361),$B$226=1),$BF$361,HLOOKUP(INDIRECT(ADDRESS(2,COLUMN())),OFFSET($BN$2,0,0,ROW()-1,60),ROW()-1,FALSE))</f>
        <v>5.7968838859999998</v>
      </c>
      <c r="BG154">
        <f ca="1">IF(AND(ISNUMBER($BG$361),$B$226=1),$BG$361,HLOOKUP(INDIRECT(ADDRESS(2,COLUMN())),OFFSET($BN$2,0,0,ROW()-1,60),ROW()-1,FALSE))</f>
        <v>5.7391493049999998</v>
      </c>
      <c r="BH154">
        <f ca="1">IF(AND(ISNUMBER($BH$361),$B$226=1),$BH$361,HLOOKUP(INDIRECT(ADDRESS(2,COLUMN())),OFFSET($BN$2,0,0,ROW()-1,60),ROW()-1,FALSE))</f>
        <v>5.9581901330000004</v>
      </c>
      <c r="BI154">
        <f ca="1">IF(AND(ISNUMBER($BI$361),$B$226=1),$BI$361,HLOOKUP(INDIRECT(ADDRESS(2,COLUMN())),OFFSET($BN$2,0,0,ROW()-1,60),ROW()-1,FALSE))</f>
        <v>5.3905166800000002</v>
      </c>
      <c r="BJ154">
        <f ca="1">IF(AND(ISNUMBER($BJ$361),$B$226=1),$BJ$361,HLOOKUP(INDIRECT(ADDRESS(2,COLUMN())),OFFSET($BN$2,0,0,ROW()-1,60),ROW()-1,FALSE))</f>
        <v>5.5641608739999997</v>
      </c>
      <c r="BK154">
        <f ca="1">IF(AND(ISNUMBER($BK$361),$B$226=1),$BK$361,HLOOKUP(INDIRECT(ADDRESS(2,COLUMN())),OFFSET($BN$2,0,0,ROW()-1,60),ROW()-1,FALSE))</f>
        <v>5.7647188920000003</v>
      </c>
      <c r="BL154">
        <f ca="1">IF(AND(ISNUMBER($BL$361),$B$226=1),$BL$361,HLOOKUP(INDIRECT(ADDRESS(2,COLUMN())),OFFSET($BN$2,0,0,ROW()-1,60),ROW()-1,FALSE))</f>
        <v>6.8780689930000003</v>
      </c>
      <c r="BM154">
        <f ca="1">IF(AND(ISNUMBER($BM$361),$B$226=1),$BM$361,HLOOKUP(INDIRECT(ADDRESS(2,COLUMN())),OFFSET($BN$2,0,0,ROW()-1,60),ROW()-1,FALSE))</f>
        <v>6.6824603060000003</v>
      </c>
      <c r="BN154" t="str">
        <f>""</f>
        <v/>
      </c>
      <c r="BO154">
        <f>6.753043014</f>
        <v>6.7530430140000002</v>
      </c>
      <c r="BP154">
        <f>6.67594312</f>
        <v>6.6759431200000003</v>
      </c>
      <c r="BQ154">
        <f>6.589391465</f>
        <v>6.5893914650000003</v>
      </c>
      <c r="BR154">
        <f>6.479536117</f>
        <v>6.4795361170000003</v>
      </c>
      <c r="BS154">
        <f>6.40463734</f>
        <v>6.4046373399999998</v>
      </c>
      <c r="BT154">
        <f>6.231442663</f>
        <v>6.2314426630000002</v>
      </c>
      <c r="BU154">
        <f>6.040008319</f>
        <v>6.040008319</v>
      </c>
      <c r="BV154">
        <f>5.822541638</f>
        <v>5.8225416379999997</v>
      </c>
      <c r="BW154">
        <f>5.702669428</f>
        <v>5.7026694280000001</v>
      </c>
      <c r="BX154">
        <f>5.481291068</f>
        <v>5.481291068</v>
      </c>
      <c r="BY154">
        <f>5.234546355</f>
        <v>5.234546355</v>
      </c>
      <c r="BZ154">
        <f>6.094723289</f>
        <v>6.094723289</v>
      </c>
      <c r="CA154">
        <f>5.733936327</f>
        <v>5.7339363270000003</v>
      </c>
      <c r="CB154">
        <f>4.777224765</f>
        <v>4.7772247649999997</v>
      </c>
      <c r="CC154">
        <f>4.084994196</f>
        <v>4.0849941960000002</v>
      </c>
      <c r="CD154">
        <f>5.203494738</f>
        <v>5.2034947379999998</v>
      </c>
      <c r="CE154">
        <f>6.217730298</f>
        <v>6.2177302980000002</v>
      </c>
      <c r="CF154">
        <f>6.457611223</f>
        <v>6.4576112229999998</v>
      </c>
      <c r="CG154">
        <f>6.246000316</f>
        <v>6.2460003159999999</v>
      </c>
      <c r="CH154">
        <f>6.223327426</f>
        <v>6.223327426</v>
      </c>
      <c r="CI154">
        <f>5.866440814</f>
        <v>5.8664408139999997</v>
      </c>
      <c r="CJ154">
        <f>5.966786326</f>
        <v>5.9667863260000003</v>
      </c>
      <c r="CK154">
        <f>5.819238747</f>
        <v>5.819238747</v>
      </c>
      <c r="CL154">
        <f>5.602682634</f>
        <v>5.6026826339999998</v>
      </c>
      <c r="CM154">
        <f>5.363953615</f>
        <v>5.3639536149999998</v>
      </c>
      <c r="CN154">
        <f>5.283766446</f>
        <v>5.2837664459999996</v>
      </c>
      <c r="CO154">
        <f>5.167677681</f>
        <v>5.1676776809999998</v>
      </c>
      <c r="CP154">
        <f>5.159823934</f>
        <v>5.1598239340000003</v>
      </c>
      <c r="CQ154">
        <f>5.185599414</f>
        <v>5.1855994140000004</v>
      </c>
      <c r="CR154">
        <f>5.180006439</f>
        <v>5.1800064389999996</v>
      </c>
      <c r="CS154">
        <f>5.668341722</f>
        <v>5.6683417220000001</v>
      </c>
      <c r="CT154">
        <f>5.681497262</f>
        <v>5.6814972619999997</v>
      </c>
      <c r="CU154">
        <f>6.589978816</f>
        <v>6.5899788160000004</v>
      </c>
      <c r="CV154">
        <f>6.933725289</f>
        <v>6.9337252889999998</v>
      </c>
      <c r="CW154">
        <f>6.646714686</f>
        <v>6.6467146860000001</v>
      </c>
      <c r="CX154">
        <f>6.601916599</f>
        <v>6.6019165989999999</v>
      </c>
      <c r="CY154">
        <f>5.697284647</f>
        <v>5.697284647</v>
      </c>
      <c r="CZ154">
        <f>5.458839468</f>
        <v>5.4588394679999999</v>
      </c>
      <c r="DA154">
        <f>5.464172112</f>
        <v>5.464172112</v>
      </c>
      <c r="DB154">
        <f>5.626596589</f>
        <v>5.626596589</v>
      </c>
      <c r="DC154">
        <f>5.770192581</f>
        <v>5.7701925809999999</v>
      </c>
      <c r="DD154">
        <f>5.721422811</f>
        <v>5.7214228110000001</v>
      </c>
      <c r="DE154">
        <f>5.874681569</f>
        <v>5.8746815689999998</v>
      </c>
      <c r="DF154">
        <f>6.196360062</f>
        <v>6.1963600620000001</v>
      </c>
      <c r="DG154">
        <f>5.704928122</f>
        <v>5.7049281220000001</v>
      </c>
      <c r="DH154">
        <f>5.279961978</f>
        <v>5.2799619780000002</v>
      </c>
      <c r="DI154">
        <f>5.288069783</f>
        <v>5.2880697830000001</v>
      </c>
      <c r="DJ154">
        <f>4.883713279</f>
        <v>4.8837132790000002</v>
      </c>
      <c r="DK154">
        <f>5.181810267</f>
        <v>5.1818102670000004</v>
      </c>
      <c r="DL154">
        <f>5.610924101</f>
        <v>5.6109241010000002</v>
      </c>
      <c r="DM154">
        <f>5.841925308</f>
        <v>5.8419253080000004</v>
      </c>
      <c r="DN154">
        <f>5.796883886</f>
        <v>5.7968838859999998</v>
      </c>
      <c r="DO154">
        <f>5.739149305</f>
        <v>5.7391493049999998</v>
      </c>
      <c r="DP154">
        <f>5.958190133</f>
        <v>5.9581901330000004</v>
      </c>
      <c r="DQ154">
        <f>5.39051668</f>
        <v>5.3905166800000002</v>
      </c>
      <c r="DR154">
        <f>5.564160874</f>
        <v>5.5641608739999997</v>
      </c>
      <c r="DS154">
        <f>5.764718892</f>
        <v>5.7647188920000003</v>
      </c>
      <c r="DT154">
        <f>6.878068993</f>
        <v>6.8780689930000003</v>
      </c>
      <c r="DU154">
        <f>6.682460306</f>
        <v>6.6824603060000003</v>
      </c>
    </row>
    <row r="155" spans="1:125">
      <c r="A155" t="str">
        <f>"    Mid-America Apartment Communit"</f>
        <v xml:space="preserve">    Mid-America Apartment Communit</v>
      </c>
      <c r="B155" t="str">
        <f>"MAA US Equity"</f>
        <v>MAA US Equity</v>
      </c>
      <c r="C155" t="str">
        <f t="shared" si="48"/>
        <v>RR554</v>
      </c>
      <c r="D155" t="str">
        <f t="shared" si="49"/>
        <v>FFO_RE_ASSET</v>
      </c>
      <c r="E155" t="str">
        <f t="shared" si="50"/>
        <v>动态</v>
      </c>
      <c r="F155" t="str">
        <f ca="1">IF(AND(ISNUMBER($F$362),$B$226=1),$F$362,HLOOKUP(INDIRECT(ADDRESS(2,COLUMN())),OFFSET($BN$2,0,0,ROW()-1,60),ROW()-1,FALSE))</f>
        <v/>
      </c>
      <c r="G155">
        <f ca="1">IF(AND(ISNUMBER($G$362),$B$226=1),$G$362,HLOOKUP(INDIRECT(ADDRESS(2,COLUMN())),OFFSET($BN$2,0,0,ROW()-1,60),ROW()-1,FALSE))</f>
        <v>6.189768387</v>
      </c>
      <c r="H155">
        <f ca="1">IF(AND(ISNUMBER($H$362),$B$226=1),$H$362,HLOOKUP(INDIRECT(ADDRESS(2,COLUMN())),OFFSET($BN$2,0,0,ROW()-1,60),ROW()-1,FALSE))</f>
        <v>6.9485761689999999</v>
      </c>
      <c r="I155">
        <f ca="1">IF(AND(ISNUMBER($I$362),$B$226=1),$I$362,HLOOKUP(INDIRECT(ADDRESS(2,COLUMN())),OFFSET($BN$2,0,0,ROW()-1,60),ROW()-1,FALSE))</f>
        <v>6.281019337</v>
      </c>
      <c r="J155">
        <f ca="1">IF(AND(ISNUMBER($J$362),$B$226=1),$J$362,HLOOKUP(INDIRECT(ADDRESS(2,COLUMN())),OFFSET($BN$2,0,0,ROW()-1,60),ROW()-1,FALSE))</f>
        <v>5.7028072300000003</v>
      </c>
      <c r="K155">
        <f ca="1">IF(AND(ISNUMBER($K$362),$B$226=1),$K$362,HLOOKUP(INDIRECT(ADDRESS(2,COLUMN())),OFFSET($BN$2,0,0,ROW()-1,60),ROW()-1,FALSE))</f>
        <v>5.1315520489999997</v>
      </c>
      <c r="L155">
        <f ca="1">IF(AND(ISNUMBER($L$362),$B$226=1),$L$362,HLOOKUP(INDIRECT(ADDRESS(2,COLUMN())),OFFSET($BN$2,0,0,ROW()-1,60),ROW()-1,FALSE))</f>
        <v>7.1122131419999999</v>
      </c>
      <c r="M155">
        <f ca="1">IF(AND(ISNUMBER($M$362),$B$226=1),$M$362,HLOOKUP(INDIRECT(ADDRESS(2,COLUMN())),OFFSET($BN$2,0,0,ROW()-1,60),ROW()-1,FALSE))</f>
        <v>7.1016464480000003</v>
      </c>
      <c r="N155">
        <f ca="1">IF(AND(ISNUMBER($N$362),$B$226=1),$N$362,HLOOKUP(INDIRECT(ADDRESS(2,COLUMN())),OFFSET($BN$2,0,0,ROW()-1,60),ROW()-1,FALSE))</f>
        <v>7.0291106169999997</v>
      </c>
      <c r="O155">
        <f ca="1">IF(AND(ISNUMBER($O$362),$B$226=1),$O$362,HLOOKUP(INDIRECT(ADDRESS(2,COLUMN())),OFFSET($BN$2,0,0,ROW()-1,60),ROW()-1,FALSE))</f>
        <v>6.7438468790000003</v>
      </c>
      <c r="P155">
        <f ca="1">IF(AND(ISNUMBER($P$362),$B$226=1),$P$362,HLOOKUP(INDIRECT(ADDRESS(2,COLUMN())),OFFSET($BN$2,0,0,ROW()-1,60),ROW()-1,FALSE))</f>
        <v>6.688585819</v>
      </c>
      <c r="Q155">
        <f ca="1">IF(AND(ISNUMBER($Q$362),$B$226=1),$Q$362,HLOOKUP(INDIRECT(ADDRESS(2,COLUMN())),OFFSET($BN$2,0,0,ROW()-1,60),ROW()-1,FALSE))</f>
        <v>6.5207959999999998</v>
      </c>
      <c r="R155">
        <f ca="1">IF(AND(ISNUMBER($R$362),$B$226=1),$R$362,HLOOKUP(INDIRECT(ADDRESS(2,COLUMN())),OFFSET($BN$2,0,0,ROW()-1,60),ROW()-1,FALSE))</f>
        <v>6.3506125430000004</v>
      </c>
      <c r="S155">
        <f ca="1">IF(AND(ISNUMBER($S$362),$B$226=1),$S$362,HLOOKUP(INDIRECT(ADDRESS(2,COLUMN())),OFFSET($BN$2,0,0,ROW()-1,60),ROW()-1,FALSE))</f>
        <v>6.0976876759999996</v>
      </c>
      <c r="T155">
        <f ca="1">IF(AND(ISNUMBER($T$362),$B$226=1),$T$362,HLOOKUP(INDIRECT(ADDRESS(2,COLUMN())),OFFSET($BN$2,0,0,ROW()-1,60),ROW()-1,FALSE))</f>
        <v>8.0436139369999999</v>
      </c>
      <c r="U155">
        <f ca="1">IF(AND(ISNUMBER($U$362),$B$226=1),$U$362,HLOOKUP(INDIRECT(ADDRESS(2,COLUMN())),OFFSET($BN$2,0,0,ROW()-1,60),ROW()-1,FALSE))</f>
        <v>6.8128468050000004</v>
      </c>
      <c r="V155">
        <f ca="1">IF(AND(ISNUMBER($V$362),$B$226=1),$V$362,HLOOKUP(INDIRECT(ADDRESS(2,COLUMN())),OFFSET($BN$2,0,0,ROW()-1,60),ROW()-1,FALSE))</f>
        <v>5.9189264000000001</v>
      </c>
      <c r="W155">
        <f ca="1">IF(AND(ISNUMBER($W$362),$B$226=1),$W$362,HLOOKUP(INDIRECT(ADDRESS(2,COLUMN())),OFFSET($BN$2,0,0,ROW()-1,60),ROW()-1,FALSE))</f>
        <v>4.9949331780000001</v>
      </c>
      <c r="X155">
        <f ca="1">IF(AND(ISNUMBER($X$362),$B$226=1),$X$362,HLOOKUP(INDIRECT(ADDRESS(2,COLUMN())),OFFSET($BN$2,0,0,ROW()-1,60),ROW()-1,FALSE))</f>
        <v>7.7284430610000001</v>
      </c>
      <c r="Y155">
        <f ca="1">IF(AND(ISNUMBER($Y$362),$B$226=1),$Y$362,HLOOKUP(INDIRECT(ADDRESS(2,COLUMN())),OFFSET($BN$2,0,0,ROW()-1,60),ROW()-1,FALSE))</f>
        <v>7.8849307609999997</v>
      </c>
      <c r="Z155">
        <f ca="1">IF(AND(ISNUMBER($Z$362),$B$226=1),$Z$362,HLOOKUP(INDIRECT(ADDRESS(2,COLUMN())),OFFSET($BN$2,0,0,ROW()-1,60),ROW()-1,FALSE))</f>
        <v>7.9898939039999997</v>
      </c>
      <c r="AA155">
        <f ca="1">IF(AND(ISNUMBER($AA$362),$B$226=1),$AA$362,HLOOKUP(INDIRECT(ADDRESS(2,COLUMN())),OFFSET($BN$2,0,0,ROW()-1,60),ROW()-1,FALSE))</f>
        <v>7.6714982909999998</v>
      </c>
      <c r="AB155">
        <f ca="1">IF(AND(ISNUMBER($AB$362),$B$226=1),$AB$362,HLOOKUP(INDIRECT(ADDRESS(2,COLUMN())),OFFSET($BN$2,0,0,ROW()-1,60),ROW()-1,FALSE))</f>
        <v>7.3983276890000003</v>
      </c>
      <c r="AC155">
        <f ca="1">IF(AND(ISNUMBER($AC$362),$B$226=1),$AC$362,HLOOKUP(INDIRECT(ADDRESS(2,COLUMN())),OFFSET($BN$2,0,0,ROW()-1,60),ROW()-1,FALSE))</f>
        <v>7.4193073280000004</v>
      </c>
      <c r="AD155">
        <f ca="1">IF(AND(ISNUMBER($AD$362),$B$226=1),$AD$362,HLOOKUP(INDIRECT(ADDRESS(2,COLUMN())),OFFSET($BN$2,0,0,ROW()-1,60),ROW()-1,FALSE))</f>
        <v>7.2886683190000001</v>
      </c>
      <c r="AE155">
        <f ca="1">IF(AND(ISNUMBER($AE$362),$B$226=1),$AE$362,HLOOKUP(INDIRECT(ADDRESS(2,COLUMN())),OFFSET($BN$2,0,0,ROW()-1,60),ROW()-1,FALSE))</f>
        <v>6.898494006</v>
      </c>
      <c r="AF155">
        <f ca="1">IF(AND(ISNUMBER($AF$362),$B$226=1),$AF$362,HLOOKUP(INDIRECT(ADDRESS(2,COLUMN())),OFFSET($BN$2,0,0,ROW()-1,60),ROW()-1,FALSE))</f>
        <v>6.7506347870000001</v>
      </c>
      <c r="AG155">
        <f ca="1">IF(AND(ISNUMBER($AG$362),$B$226=1),$AG$362,HLOOKUP(INDIRECT(ADDRESS(2,COLUMN())),OFFSET($BN$2,0,0,ROW()-1,60),ROW()-1,FALSE))</f>
        <v>6.5734732070000002</v>
      </c>
      <c r="AH155">
        <f ca="1">IF(AND(ISNUMBER($AH$362),$B$226=1),$AH$362,HLOOKUP(INDIRECT(ADDRESS(2,COLUMN())),OFFSET($BN$2,0,0,ROW()-1,60),ROW()-1,FALSE))</f>
        <v>6.4094487830000002</v>
      </c>
      <c r="AI155">
        <f ca="1">IF(AND(ISNUMBER($AI$362),$B$226=1),$AI$362,HLOOKUP(INDIRECT(ADDRESS(2,COLUMN())),OFFSET($BN$2,0,0,ROW()-1,60),ROW()-1,FALSE))</f>
        <v>6.0680038429999996</v>
      </c>
      <c r="AJ155">
        <f ca="1">IF(AND(ISNUMBER($AJ$362),$B$226=1),$AJ$362,HLOOKUP(INDIRECT(ADDRESS(2,COLUMN())),OFFSET($BN$2,0,0,ROW()-1,60),ROW()-1,FALSE))</f>
        <v>5.9963071990000003</v>
      </c>
      <c r="AK155">
        <f ca="1">IF(AND(ISNUMBER($AK$362),$B$226=1),$AK$362,HLOOKUP(INDIRECT(ADDRESS(2,COLUMN())),OFFSET($BN$2,0,0,ROW()-1,60),ROW()-1,FALSE))</f>
        <v>5.9989982839999998</v>
      </c>
      <c r="AL155">
        <f ca="1">IF(AND(ISNUMBER($AL$362),$B$226=1),$AL$362,HLOOKUP(INDIRECT(ADDRESS(2,COLUMN())),OFFSET($BN$2,0,0,ROW()-1,60),ROW()-1,FALSE))</f>
        <v>6.2789453550000003</v>
      </c>
      <c r="AM155">
        <f ca="1">IF(AND(ISNUMBER($AM$362),$B$226=1),$AM$362,HLOOKUP(INDIRECT(ADDRESS(2,COLUMN())),OFFSET($BN$2,0,0,ROW()-1,60),ROW()-1,FALSE))</f>
        <v>6.1620704010000003</v>
      </c>
      <c r="AN155">
        <f ca="1">IF(AND(ISNUMBER($AN$362),$B$226=1),$AN$362,HLOOKUP(INDIRECT(ADDRESS(2,COLUMN())),OFFSET($BN$2,0,0,ROW()-1,60),ROW()-1,FALSE))</f>
        <v>6.2781130120000004</v>
      </c>
      <c r="AO155">
        <f ca="1">IF(AND(ISNUMBER($AO$362),$B$226=1),$AO$362,HLOOKUP(INDIRECT(ADDRESS(2,COLUMN())),OFFSET($BN$2,0,0,ROW()-1,60),ROW()-1,FALSE))</f>
        <v>6.3483722020000002</v>
      </c>
      <c r="AP155">
        <f ca="1">IF(AND(ISNUMBER($AP$362),$B$226=1),$AP$362,HLOOKUP(INDIRECT(ADDRESS(2,COLUMN())),OFFSET($BN$2,0,0,ROW()-1,60),ROW()-1,FALSE))</f>
        <v>6.3145390690000003</v>
      </c>
      <c r="AQ155">
        <f ca="1">IF(AND(ISNUMBER($AQ$362),$B$226=1),$AQ$362,HLOOKUP(INDIRECT(ADDRESS(2,COLUMN())),OFFSET($BN$2,0,0,ROW()-1,60),ROW()-1,FALSE))</f>
        <v>6.1451603690000001</v>
      </c>
      <c r="AR155">
        <f ca="1">IF(AND(ISNUMBER($AR$362),$B$226=1),$AR$362,HLOOKUP(INDIRECT(ADDRESS(2,COLUMN())),OFFSET($BN$2,0,0,ROW()-1,60),ROW()-1,FALSE))</f>
        <v>5.7862966179999997</v>
      </c>
      <c r="AS155">
        <f ca="1">IF(AND(ISNUMBER($AS$362),$B$226=1),$AS$362,HLOOKUP(INDIRECT(ADDRESS(2,COLUMN())),OFFSET($BN$2,0,0,ROW()-1,60),ROW()-1,FALSE))</f>
        <v>5.899041746</v>
      </c>
      <c r="AT155">
        <f ca="1">IF(AND(ISNUMBER($AT$362),$B$226=1),$AT$362,HLOOKUP(INDIRECT(ADDRESS(2,COLUMN())),OFFSET($BN$2,0,0,ROW()-1,60),ROW()-1,FALSE))</f>
        <v>5.7598544169999997</v>
      </c>
      <c r="AU155">
        <f ca="1">IF(AND(ISNUMBER($AU$362),$B$226=1),$AU$362,HLOOKUP(INDIRECT(ADDRESS(2,COLUMN())),OFFSET($BN$2,0,0,ROW()-1,60),ROW()-1,FALSE))</f>
        <v>5.610585199</v>
      </c>
      <c r="AV155">
        <f ca="1">IF(AND(ISNUMBER($AV$362),$B$226=1),$AV$362,HLOOKUP(INDIRECT(ADDRESS(2,COLUMN())),OFFSET($BN$2,0,0,ROW()-1,60),ROW()-1,FALSE))</f>
        <v>5.6695379050000003</v>
      </c>
      <c r="AW155">
        <f ca="1">IF(AND(ISNUMBER($AW$362),$B$226=1),$AW$362,HLOOKUP(INDIRECT(ADDRESS(2,COLUMN())),OFFSET($BN$2,0,0,ROW()-1,60),ROW()-1,FALSE))</f>
        <v>5.6642858</v>
      </c>
      <c r="AX155">
        <f ca="1">IF(AND(ISNUMBER($AX$362),$B$226=1),$AX$362,HLOOKUP(INDIRECT(ADDRESS(2,COLUMN())),OFFSET($BN$2,0,0,ROW()-1,60),ROW()-1,FALSE))</f>
        <v>5.6502680830000003</v>
      </c>
      <c r="AY155">
        <f ca="1">IF(AND(ISNUMBER($AY$362),$B$226=1),$AY$362,HLOOKUP(INDIRECT(ADDRESS(2,COLUMN())),OFFSET($BN$2,0,0,ROW()-1,60),ROW()-1,FALSE))</f>
        <v>5.4843846899999997</v>
      </c>
      <c r="AZ155">
        <f ca="1">IF(AND(ISNUMBER($AZ$362),$B$226=1),$AZ$362,HLOOKUP(INDIRECT(ADDRESS(2,COLUMN())),OFFSET($BN$2,0,0,ROW()-1,60),ROW()-1,FALSE))</f>
        <v>5.3426214769999998</v>
      </c>
      <c r="BA155">
        <f ca="1">IF(AND(ISNUMBER($BA$362),$B$226=1),$BA$362,HLOOKUP(INDIRECT(ADDRESS(2,COLUMN())),OFFSET($BN$2,0,0,ROW()-1,60),ROW()-1,FALSE))</f>
        <v>5.3197010059999998</v>
      </c>
      <c r="BB155">
        <f ca="1">IF(AND(ISNUMBER($BB$362),$B$226=1),$BB$362,HLOOKUP(INDIRECT(ADDRESS(2,COLUMN())),OFFSET($BN$2,0,0,ROW()-1,60),ROW()-1,FALSE))</f>
        <v>5.2147300669999996</v>
      </c>
      <c r="BC155">
        <f ca="1">IF(AND(ISNUMBER($BC$362),$B$226=1),$BC$362,HLOOKUP(INDIRECT(ADDRESS(2,COLUMN())),OFFSET($BN$2,0,0,ROW()-1,60),ROW()-1,FALSE))</f>
        <v>6.4745587980000003</v>
      </c>
      <c r="BD155">
        <f ca="1">IF(AND(ISNUMBER($BD$362),$B$226=1),$BD$362,HLOOKUP(INDIRECT(ADDRESS(2,COLUMN())),OFFSET($BN$2,0,0,ROW()-1,60),ROW()-1,FALSE))</f>
        <v>6.4918357430000002</v>
      </c>
      <c r="BE155">
        <f ca="1">IF(AND(ISNUMBER($BE$362),$B$226=1),$BE$362,HLOOKUP(INDIRECT(ADDRESS(2,COLUMN())),OFFSET($BN$2,0,0,ROW()-1,60),ROW()-1,FALSE))</f>
        <v>6.5208932559999999</v>
      </c>
      <c r="BF155">
        <f ca="1">IF(AND(ISNUMBER($BF$362),$B$226=1),$BF$362,HLOOKUP(INDIRECT(ADDRESS(2,COLUMN())),OFFSET($BN$2,0,0,ROW()-1,60),ROW()-1,FALSE))</f>
        <v>6.2658903180000003</v>
      </c>
      <c r="BG155">
        <f ca="1">IF(AND(ISNUMBER($BG$362),$B$226=1),$BG$362,HLOOKUP(INDIRECT(ADDRESS(2,COLUMN())),OFFSET($BN$2,0,0,ROW()-1,60),ROW()-1,FALSE))</f>
        <v>4.9807934500000002</v>
      </c>
      <c r="BH155">
        <f ca="1">IF(AND(ISNUMBER($BH$362),$B$226=1),$BH$362,HLOOKUP(INDIRECT(ADDRESS(2,COLUMN())),OFFSET($BN$2,0,0,ROW()-1,60),ROW()-1,FALSE))</f>
        <v>5.0964028560000001</v>
      </c>
      <c r="BI155">
        <f ca="1">IF(AND(ISNUMBER($BI$362),$B$226=1),$BI$362,HLOOKUP(INDIRECT(ADDRESS(2,COLUMN())),OFFSET($BN$2,0,0,ROW()-1,60),ROW()-1,FALSE))</f>
        <v>4.6844876529999997</v>
      </c>
      <c r="BJ155">
        <f ca="1">IF(AND(ISNUMBER($BJ$362),$B$226=1),$BJ$362,HLOOKUP(INDIRECT(ADDRESS(2,COLUMN())),OFFSET($BN$2,0,0,ROW()-1,60),ROW()-1,FALSE))</f>
        <v>4.520885088</v>
      </c>
      <c r="BK155">
        <f ca="1">IF(AND(ISNUMBER($BK$362),$B$226=1),$BK$362,HLOOKUP(INDIRECT(ADDRESS(2,COLUMN())),OFFSET($BN$2,0,0,ROW()-1,60),ROW()-1,FALSE))</f>
        <v>4.3526283079999999</v>
      </c>
      <c r="BL155">
        <f ca="1">IF(AND(ISNUMBER($BL$362),$B$226=1),$BL$362,HLOOKUP(INDIRECT(ADDRESS(2,COLUMN())),OFFSET($BN$2,0,0,ROW()-1,60),ROW()-1,FALSE))</f>
        <v>3.860019195</v>
      </c>
      <c r="BM155">
        <f ca="1">IF(AND(ISNUMBER($BM$362),$B$226=1),$BM$362,HLOOKUP(INDIRECT(ADDRESS(2,COLUMN())),OFFSET($BN$2,0,0,ROW()-1,60),ROW()-1,FALSE))</f>
        <v>4.5588730279999998</v>
      </c>
      <c r="BN155" t="str">
        <f>""</f>
        <v/>
      </c>
      <c r="BO155">
        <f>6.189768387</f>
        <v>6.189768387</v>
      </c>
      <c r="BP155">
        <f>6.948576169</f>
        <v>6.9485761689999999</v>
      </c>
      <c r="BQ155">
        <f>6.281019337</f>
        <v>6.281019337</v>
      </c>
      <c r="BR155">
        <f>5.70280723</f>
        <v>5.7028072300000003</v>
      </c>
      <c r="BS155">
        <f>5.131552049</f>
        <v>5.1315520489999997</v>
      </c>
      <c r="BT155">
        <f>7.112213142</f>
        <v>7.1122131419999999</v>
      </c>
      <c r="BU155">
        <f>7.101646448</f>
        <v>7.1016464480000003</v>
      </c>
      <c r="BV155">
        <f>7.029110617</f>
        <v>7.0291106169999997</v>
      </c>
      <c r="BW155">
        <f>6.743846879</f>
        <v>6.7438468790000003</v>
      </c>
      <c r="BX155">
        <f>6.688585819</f>
        <v>6.688585819</v>
      </c>
      <c r="BY155">
        <f>6.520796</f>
        <v>6.5207959999999998</v>
      </c>
      <c r="BZ155">
        <f>6.350612543</f>
        <v>6.3506125430000004</v>
      </c>
      <c r="CA155">
        <f>6.097687676</f>
        <v>6.0976876759999996</v>
      </c>
      <c r="CB155">
        <f>8.043613937</f>
        <v>8.0436139369999999</v>
      </c>
      <c r="CC155">
        <f>6.812846805</f>
        <v>6.8128468050000004</v>
      </c>
      <c r="CD155">
        <f>5.9189264</f>
        <v>5.9189264000000001</v>
      </c>
      <c r="CE155">
        <f>4.994933178</f>
        <v>4.9949331780000001</v>
      </c>
      <c r="CF155">
        <f>7.728443061</f>
        <v>7.7284430610000001</v>
      </c>
      <c r="CG155">
        <f>7.884930761</f>
        <v>7.8849307609999997</v>
      </c>
      <c r="CH155">
        <f>7.989893904</f>
        <v>7.9898939039999997</v>
      </c>
      <c r="CI155">
        <f>7.671498291</f>
        <v>7.6714982909999998</v>
      </c>
      <c r="CJ155">
        <f>7.398327689</f>
        <v>7.3983276890000003</v>
      </c>
      <c r="CK155">
        <f>7.419307328</f>
        <v>7.4193073280000004</v>
      </c>
      <c r="CL155">
        <f>7.288668319</f>
        <v>7.2886683190000001</v>
      </c>
      <c r="CM155">
        <f>6.898494006</f>
        <v>6.898494006</v>
      </c>
      <c r="CN155">
        <f>6.750634787</f>
        <v>6.7506347870000001</v>
      </c>
      <c r="CO155">
        <f>6.573473207</f>
        <v>6.5734732070000002</v>
      </c>
      <c r="CP155">
        <f>6.409448783</f>
        <v>6.4094487830000002</v>
      </c>
      <c r="CQ155">
        <f>6.068003843</f>
        <v>6.0680038429999996</v>
      </c>
      <c r="CR155">
        <f>5.996307199</f>
        <v>5.9963071990000003</v>
      </c>
      <c r="CS155">
        <f>5.998998284</f>
        <v>5.9989982839999998</v>
      </c>
      <c r="CT155">
        <f>6.278945355</f>
        <v>6.2789453550000003</v>
      </c>
      <c r="CU155">
        <f>6.162070401</f>
        <v>6.1620704010000003</v>
      </c>
      <c r="CV155">
        <f>6.278113012</f>
        <v>6.2781130120000004</v>
      </c>
      <c r="CW155">
        <f>6.348372202</f>
        <v>6.3483722020000002</v>
      </c>
      <c r="CX155">
        <f>6.314539069</f>
        <v>6.3145390690000003</v>
      </c>
      <c r="CY155">
        <f>6.145160369</f>
        <v>6.1451603690000001</v>
      </c>
      <c r="CZ155">
        <f>5.786296618</f>
        <v>5.7862966179999997</v>
      </c>
      <c r="DA155">
        <f>5.899041746</f>
        <v>5.899041746</v>
      </c>
      <c r="DB155">
        <f>5.759854417</f>
        <v>5.7598544169999997</v>
      </c>
      <c r="DC155">
        <f>5.610585199</f>
        <v>5.610585199</v>
      </c>
      <c r="DD155">
        <f>5.669537905</f>
        <v>5.6695379050000003</v>
      </c>
      <c r="DE155">
        <f>5.6642858</f>
        <v>5.6642858</v>
      </c>
      <c r="DF155">
        <f>5.650268083</f>
        <v>5.6502680830000003</v>
      </c>
      <c r="DG155">
        <f>5.48438469</f>
        <v>5.4843846899999997</v>
      </c>
      <c r="DH155">
        <f>5.342621477</f>
        <v>5.3426214769999998</v>
      </c>
      <c r="DI155">
        <f>5.319701006</f>
        <v>5.3197010059999998</v>
      </c>
      <c r="DJ155">
        <f>5.214730067</f>
        <v>5.2147300669999996</v>
      </c>
      <c r="DK155">
        <f>6.474558798</f>
        <v>6.4745587980000003</v>
      </c>
      <c r="DL155">
        <f>6.491835743</f>
        <v>6.4918357430000002</v>
      </c>
      <c r="DM155">
        <f>6.520893256</f>
        <v>6.5208932559999999</v>
      </c>
      <c r="DN155">
        <f>6.265890318</f>
        <v>6.2658903180000003</v>
      </c>
      <c r="DO155">
        <f>4.98079345</f>
        <v>4.9807934500000002</v>
      </c>
      <c r="DP155">
        <f>5.096402856</f>
        <v>5.0964028560000001</v>
      </c>
      <c r="DQ155">
        <f>4.684487653</f>
        <v>4.6844876529999997</v>
      </c>
      <c r="DR155">
        <f>4.520885088</f>
        <v>4.520885088</v>
      </c>
      <c r="DS155">
        <f>4.352628308</f>
        <v>4.3526283079999999</v>
      </c>
      <c r="DT155">
        <f>3.860019195</f>
        <v>3.860019195</v>
      </c>
      <c r="DU155">
        <f>4.558873028</f>
        <v>4.5588730279999998</v>
      </c>
    </row>
    <row r="156" spans="1:125">
      <c r="A156" t="str">
        <f>"    UDR Inc"</f>
        <v xml:space="preserve">    UDR Inc</v>
      </c>
      <c r="B156" t="str">
        <f>"UDR US Equity"</f>
        <v>UDR US Equity</v>
      </c>
      <c r="C156" t="str">
        <f t="shared" si="48"/>
        <v>RR554</v>
      </c>
      <c r="D156" t="str">
        <f t="shared" si="49"/>
        <v>FFO_RE_ASSET</v>
      </c>
      <c r="E156" t="str">
        <f t="shared" si="50"/>
        <v>动态</v>
      </c>
      <c r="F156" t="str">
        <f ca="1">IF(AND(ISNUMBER($F$363),$B$226=1),$F$363,HLOOKUP(INDIRECT(ADDRESS(2,COLUMN())),OFFSET($BN$2,0,0,ROW()-1,60),ROW()-1,FALSE))</f>
        <v/>
      </c>
      <c r="G156">
        <f ca="1">IF(AND(ISNUMBER($G$363),$B$226=1),$G$363,HLOOKUP(INDIRECT(ADDRESS(2,COLUMN())),OFFSET($BN$2,0,0,ROW()-1,60),ROW()-1,FALSE))</f>
        <v>7.1745852680000004</v>
      </c>
      <c r="H156">
        <f ca="1">IF(AND(ISNUMBER($H$363),$B$226=1),$H$363,HLOOKUP(INDIRECT(ADDRESS(2,COLUMN())),OFFSET($BN$2,0,0,ROW()-1,60),ROW()-1,FALSE))</f>
        <v>7.2401316930000004</v>
      </c>
      <c r="I156">
        <f ca="1">IF(AND(ISNUMBER($I$363),$B$226=1),$I$363,HLOOKUP(INDIRECT(ADDRESS(2,COLUMN())),OFFSET($BN$2,0,0,ROW()-1,60),ROW()-1,FALSE))</f>
        <v>7.219321699</v>
      </c>
      <c r="J156">
        <f ca="1">IF(AND(ISNUMBER($J$363),$B$226=1),$J$363,HLOOKUP(INDIRECT(ADDRESS(2,COLUMN())),OFFSET($BN$2,0,0,ROW()-1,60),ROW()-1,FALSE))</f>
        <v>7.1696007550000003</v>
      </c>
      <c r="K156">
        <f ca="1">IF(AND(ISNUMBER($K$363),$B$226=1),$K$363,HLOOKUP(INDIRECT(ADDRESS(2,COLUMN())),OFFSET($BN$2,0,0,ROW()-1,60),ROW()-1,FALSE))</f>
        <v>7.0596481100000004</v>
      </c>
      <c r="L156">
        <f ca="1">IF(AND(ISNUMBER($L$363),$B$226=1),$L$363,HLOOKUP(INDIRECT(ADDRESS(2,COLUMN())),OFFSET($BN$2,0,0,ROW()-1,60),ROW()-1,FALSE))</f>
        <v>7.2037791699999998</v>
      </c>
      <c r="M156">
        <f ca="1">IF(AND(ISNUMBER($M$363),$B$226=1),$M$363,HLOOKUP(INDIRECT(ADDRESS(2,COLUMN())),OFFSET($BN$2,0,0,ROW()-1,60),ROW()-1,FALSE))</f>
        <v>6.8702664220000003</v>
      </c>
      <c r="N156">
        <f ca="1">IF(AND(ISNUMBER($N$363),$B$226=1),$N$363,HLOOKUP(INDIRECT(ADDRESS(2,COLUMN())),OFFSET($BN$2,0,0,ROW()-1,60),ROW()-1,FALSE))</f>
        <v>6.6023345830000002</v>
      </c>
      <c r="O156">
        <f ca="1">IF(AND(ISNUMBER($O$363),$B$226=1),$O$363,HLOOKUP(INDIRECT(ADDRESS(2,COLUMN())),OFFSET($BN$2,0,0,ROW()-1,60),ROW()-1,FALSE))</f>
        <v>6.451654306</v>
      </c>
      <c r="P156">
        <f ca="1">IF(AND(ISNUMBER($P$363),$B$226=1),$P$363,HLOOKUP(INDIRECT(ADDRESS(2,COLUMN())),OFFSET($BN$2,0,0,ROW()-1,60),ROW()-1,FALSE))</f>
        <v>6.6300128569999996</v>
      </c>
      <c r="Q156" t="str">
        <f ca="1">IF(AND(ISNUMBER($Q$363),$B$226=1),$Q$363,HLOOKUP(INDIRECT(ADDRESS(2,COLUMN())),OFFSET($BN$2,0,0,ROW()-1,60),ROW()-1,FALSE))</f>
        <v/>
      </c>
      <c r="R156" t="str">
        <f ca="1">IF(AND(ISNUMBER($R$363),$B$226=1),$R$363,HLOOKUP(INDIRECT(ADDRESS(2,COLUMN())),OFFSET($BN$2,0,0,ROW()-1,60),ROW()-1,FALSE))</f>
        <v/>
      </c>
      <c r="S156" t="str">
        <f ca="1">IF(AND(ISNUMBER($S$363),$B$226=1),$S$363,HLOOKUP(INDIRECT(ADDRESS(2,COLUMN())),OFFSET($BN$2,0,0,ROW()-1,60),ROW()-1,FALSE))</f>
        <v/>
      </c>
      <c r="T156" t="str">
        <f ca="1">IF(AND(ISNUMBER($T$363),$B$226=1),$T$363,HLOOKUP(INDIRECT(ADDRESS(2,COLUMN())),OFFSET($BN$2,0,0,ROW()-1,60),ROW()-1,FALSE))</f>
        <v/>
      </c>
      <c r="U156" t="str">
        <f ca="1">IF(AND(ISNUMBER($U$363),$B$226=1),$U$363,HLOOKUP(INDIRECT(ADDRESS(2,COLUMN())),OFFSET($BN$2,0,0,ROW()-1,60),ROW()-1,FALSE))</f>
        <v/>
      </c>
      <c r="V156">
        <f ca="1">IF(AND(ISNUMBER($V$363),$B$226=1),$V$363,HLOOKUP(INDIRECT(ADDRESS(2,COLUMN())),OFFSET($BN$2,0,0,ROW()-1,60),ROW()-1,FALSE))</f>
        <v>5.7481942720000001</v>
      </c>
      <c r="W156">
        <f ca="1">IF(AND(ISNUMBER($W$363),$B$226=1),$W$363,HLOOKUP(INDIRECT(ADDRESS(2,COLUMN())),OFFSET($BN$2,0,0,ROW()-1,60),ROW()-1,FALSE))</f>
        <v>5.7379465679999999</v>
      </c>
      <c r="X156">
        <f ca="1">IF(AND(ISNUMBER($X$363),$B$226=1),$X$363,HLOOKUP(INDIRECT(ADDRESS(2,COLUMN())),OFFSET($BN$2,0,0,ROW()-1,60),ROW()-1,FALSE))</f>
        <v>5.573640546</v>
      </c>
      <c r="Y156">
        <f ca="1">IF(AND(ISNUMBER($Y$363),$B$226=1),$Y$363,HLOOKUP(INDIRECT(ADDRESS(2,COLUMN())),OFFSET($BN$2,0,0,ROW()-1,60),ROW()-1,FALSE))</f>
        <v>5.4222860290000003</v>
      </c>
      <c r="Z156">
        <f ca="1">IF(AND(ISNUMBER($Z$363),$B$226=1),$Z$363,HLOOKUP(INDIRECT(ADDRESS(2,COLUMN())),OFFSET($BN$2,0,0,ROW()-1,60),ROW()-1,FALSE))</f>
        <v>5.0757561510000002</v>
      </c>
      <c r="AA156">
        <f ca="1">IF(AND(ISNUMBER($AA$363),$B$226=1),$AA$363,HLOOKUP(INDIRECT(ADDRESS(2,COLUMN())),OFFSET($BN$2,0,0,ROW()-1,60),ROW()-1,FALSE))</f>
        <v>5.0701953990000002</v>
      </c>
      <c r="AB156">
        <f ca="1">IF(AND(ISNUMBER($AB$363),$B$226=1),$AB$363,HLOOKUP(INDIRECT(ADDRESS(2,COLUMN())),OFFSET($BN$2,0,0,ROW()-1,60),ROW()-1,FALSE))</f>
        <v>4.9949639819999998</v>
      </c>
      <c r="AC156">
        <f ca="1">IF(AND(ISNUMBER($AC$363),$B$226=1),$AC$363,HLOOKUP(INDIRECT(ADDRESS(2,COLUMN())),OFFSET($BN$2,0,0,ROW()-1,60),ROW()-1,FALSE))</f>
        <v>5.1399089370000004</v>
      </c>
      <c r="AD156">
        <f ca="1">IF(AND(ISNUMBER($AD$363),$B$226=1),$AD$363,HLOOKUP(INDIRECT(ADDRESS(2,COLUMN())),OFFSET($BN$2,0,0,ROW()-1,60),ROW()-1,FALSE))</f>
        <v>4.9595906279999999</v>
      </c>
      <c r="AE156">
        <f ca="1">IF(AND(ISNUMBER($AE$363),$B$226=1),$AE$363,HLOOKUP(INDIRECT(ADDRESS(2,COLUMN())),OFFSET($BN$2,0,0,ROW()-1,60),ROW()-1,FALSE))</f>
        <v>4.5998612190000001</v>
      </c>
      <c r="AF156">
        <f ca="1">IF(AND(ISNUMBER($AF$363),$B$226=1),$AF$363,HLOOKUP(INDIRECT(ADDRESS(2,COLUMN())),OFFSET($BN$2,0,0,ROW()-1,60),ROW()-1,FALSE))</f>
        <v>4.12070618</v>
      </c>
      <c r="AG156">
        <f ca="1">IF(AND(ISNUMBER($AG$363),$B$226=1),$AG$363,HLOOKUP(INDIRECT(ADDRESS(2,COLUMN())),OFFSET($BN$2,0,0,ROW()-1,60),ROW()-1,FALSE))</f>
        <v>4.1088912349999998</v>
      </c>
      <c r="AH156">
        <f ca="1">IF(AND(ISNUMBER($AH$363),$B$226=1),$AH$363,HLOOKUP(INDIRECT(ADDRESS(2,COLUMN())),OFFSET($BN$2,0,0,ROW()-1,60),ROW()-1,FALSE))</f>
        <v>3.9138228499999999</v>
      </c>
      <c r="AI156">
        <f ca="1">IF(AND(ISNUMBER($AI$363),$B$226=1),$AI$363,HLOOKUP(INDIRECT(ADDRESS(2,COLUMN())),OFFSET($BN$2,0,0,ROW()-1,60),ROW()-1,FALSE))</f>
        <v>3.694716713</v>
      </c>
      <c r="AJ156">
        <f ca="1">IF(AND(ISNUMBER($AJ$363),$B$226=1),$AJ$363,HLOOKUP(INDIRECT(ADDRESS(2,COLUMN())),OFFSET($BN$2,0,0,ROW()-1,60),ROW()-1,FALSE))</f>
        <v>3.6005805469999999</v>
      </c>
      <c r="AK156">
        <f ca="1">IF(AND(ISNUMBER($AK$363),$B$226=1),$AK$363,HLOOKUP(INDIRECT(ADDRESS(2,COLUMN())),OFFSET($BN$2,0,0,ROW()-1,60),ROW()-1,FALSE))</f>
        <v>3.376102666</v>
      </c>
      <c r="AL156">
        <f ca="1">IF(AND(ISNUMBER($AL$363),$B$226=1),$AL$363,HLOOKUP(INDIRECT(ADDRESS(2,COLUMN())),OFFSET($BN$2,0,0,ROW()-1,60),ROW()-1,FALSE))</f>
        <v>3.4671239639999998</v>
      </c>
      <c r="AM156">
        <f ca="1">IF(AND(ISNUMBER($AM$363),$B$226=1),$AM$363,HLOOKUP(INDIRECT(ADDRESS(2,COLUMN())),OFFSET($BN$2,0,0,ROW()-1,60),ROW()-1,FALSE))</f>
        <v>3.6237489300000001</v>
      </c>
      <c r="AN156">
        <f ca="1">IF(AND(ISNUMBER($AN$363),$B$226=1),$AN$363,HLOOKUP(INDIRECT(ADDRESS(2,COLUMN())),OFFSET($BN$2,0,0,ROW()-1,60),ROW()-1,FALSE))</f>
        <v>3.869478526</v>
      </c>
      <c r="AO156">
        <f ca="1">IF(AND(ISNUMBER($AO$363),$B$226=1),$AO$363,HLOOKUP(INDIRECT(ADDRESS(2,COLUMN())),OFFSET($BN$2,0,0,ROW()-1,60),ROW()-1,FALSE))</f>
        <v>4.3756365070000003</v>
      </c>
      <c r="AP156">
        <f ca="1">IF(AND(ISNUMBER($AP$363),$B$226=1),$AP$363,HLOOKUP(INDIRECT(ADDRESS(2,COLUMN())),OFFSET($BN$2,0,0,ROW()-1,60),ROW()-1,FALSE))</f>
        <v>4.1834435059999997</v>
      </c>
      <c r="AQ156">
        <f ca="1">IF(AND(ISNUMBER($AQ$363),$B$226=1),$AQ$363,HLOOKUP(INDIRECT(ADDRESS(2,COLUMN())),OFFSET($BN$2,0,0,ROW()-1,60),ROW()-1,FALSE))</f>
        <v>4.1676736730000004</v>
      </c>
      <c r="AR156">
        <f ca="1">IF(AND(ISNUMBER($AR$363),$B$226=1),$AR$363,HLOOKUP(INDIRECT(ADDRESS(2,COLUMN())),OFFSET($BN$2,0,0,ROW()-1,60),ROW()-1,FALSE))</f>
        <v>4.3223787710000003</v>
      </c>
      <c r="AS156">
        <f ca="1">IF(AND(ISNUMBER($AS$363),$B$226=1),$AS$363,HLOOKUP(INDIRECT(ADDRESS(2,COLUMN())),OFFSET($BN$2,0,0,ROW()-1,60),ROW()-1,FALSE))</f>
        <v>4.8436498600000002</v>
      </c>
      <c r="AT156">
        <f ca="1">IF(AND(ISNUMBER($AT$363),$B$226=1),$AT$363,HLOOKUP(INDIRECT(ADDRESS(2,COLUMN())),OFFSET($BN$2,0,0,ROW()-1,60),ROW()-1,FALSE))</f>
        <v>5.3677072260000003</v>
      </c>
      <c r="AU156">
        <f ca="1">IF(AND(ISNUMBER($AU$363),$B$226=1),$AU$363,HLOOKUP(INDIRECT(ADDRESS(2,COLUMN())),OFFSET($BN$2,0,0,ROW()-1,60),ROW()-1,FALSE))</f>
        <v>5.3618910179999997</v>
      </c>
      <c r="AV156">
        <f ca="1">IF(AND(ISNUMBER($AV$363),$B$226=1),$AV$363,HLOOKUP(INDIRECT(ADDRESS(2,COLUMN())),OFFSET($BN$2,0,0,ROW()-1,60),ROW()-1,FALSE))</f>
        <v>5.5314393859999997</v>
      </c>
      <c r="AW156">
        <f ca="1">IF(AND(ISNUMBER($AW$363),$B$226=1),$AW$363,HLOOKUP(INDIRECT(ADDRESS(2,COLUMN())),OFFSET($BN$2,0,0,ROW()-1,60),ROW()-1,FALSE))</f>
        <v>5.2460204429999999</v>
      </c>
      <c r="AX156">
        <f ca="1">IF(AND(ISNUMBER($AX$363),$B$226=1),$AX$363,HLOOKUP(INDIRECT(ADDRESS(2,COLUMN())),OFFSET($BN$2,0,0,ROW()-1,60),ROW()-1,FALSE))</f>
        <v>5.2985896270000001</v>
      </c>
      <c r="AY156">
        <f ca="1">IF(AND(ISNUMBER($AY$363),$B$226=1),$AY$363,HLOOKUP(INDIRECT(ADDRESS(2,COLUMN())),OFFSET($BN$2,0,0,ROW()-1,60),ROW()-1,FALSE))</f>
        <v>5.4109578809999999</v>
      </c>
      <c r="AZ156">
        <f ca="1">IF(AND(ISNUMBER($AZ$363),$B$226=1),$AZ$363,HLOOKUP(INDIRECT(ADDRESS(2,COLUMN())),OFFSET($BN$2,0,0,ROW()-1,60),ROW()-1,FALSE))</f>
        <v>5.594152791</v>
      </c>
      <c r="BA156">
        <f ca="1">IF(AND(ISNUMBER($BA$363),$B$226=1),$BA$363,HLOOKUP(INDIRECT(ADDRESS(2,COLUMN())),OFFSET($BN$2,0,0,ROW()-1,60),ROW()-1,FALSE))</f>
        <v>5.615483974</v>
      </c>
      <c r="BB156">
        <f ca="1">IF(AND(ISNUMBER($BB$363),$B$226=1),$BB$363,HLOOKUP(INDIRECT(ADDRESS(2,COLUMN())),OFFSET($BN$2,0,0,ROW()-1,60),ROW()-1,FALSE))</f>
        <v>5.6471655070000004</v>
      </c>
      <c r="BC156">
        <f ca="1">IF(AND(ISNUMBER($BC$363),$B$226=1),$BC$363,HLOOKUP(INDIRECT(ADDRESS(2,COLUMN())),OFFSET($BN$2,0,0,ROW()-1,60),ROW()-1,FALSE))</f>
        <v>5.5664267040000004</v>
      </c>
      <c r="BD156">
        <f ca="1">IF(AND(ISNUMBER($BD$363),$B$226=1),$BD$363,HLOOKUP(INDIRECT(ADDRESS(2,COLUMN())),OFFSET($BN$2,0,0,ROW()-1,60),ROW()-1,FALSE))</f>
        <v>5.5951358329999996</v>
      </c>
      <c r="BE156">
        <f ca="1">IF(AND(ISNUMBER($BE$363),$B$226=1),$BE$363,HLOOKUP(INDIRECT(ADDRESS(2,COLUMN())),OFFSET($BN$2,0,0,ROW()-1,60),ROW()-1,FALSE))</f>
        <v>5.6571556110000003</v>
      </c>
      <c r="BF156">
        <f ca="1">IF(AND(ISNUMBER($BF$363),$B$226=1),$BF$363,HLOOKUP(INDIRECT(ADDRESS(2,COLUMN())),OFFSET($BN$2,0,0,ROW()-1,60),ROW()-1,FALSE))</f>
        <v>5.6596675019999996</v>
      </c>
      <c r="BG156">
        <f ca="1">IF(AND(ISNUMBER($BG$363),$B$226=1),$BG$363,HLOOKUP(INDIRECT(ADDRESS(2,COLUMN())),OFFSET($BN$2,0,0,ROW()-1,60),ROW()-1,FALSE))</f>
        <v>5.6732239330000001</v>
      </c>
      <c r="BH156">
        <f ca="1">IF(AND(ISNUMBER($BH$363),$B$226=1),$BH$363,HLOOKUP(INDIRECT(ADDRESS(2,COLUMN())),OFFSET($BN$2,0,0,ROW()-1,60),ROW()-1,FALSE))</f>
        <v>6.0453706</v>
      </c>
      <c r="BI156">
        <f ca="1">IF(AND(ISNUMBER($BI$363),$B$226=1),$BI$363,HLOOKUP(INDIRECT(ADDRESS(2,COLUMN())),OFFSET($BN$2,0,0,ROW()-1,60),ROW()-1,FALSE))</f>
        <v>6.2476342169999999</v>
      </c>
      <c r="BJ156">
        <f ca="1">IF(AND(ISNUMBER($BJ$363),$B$226=1),$BJ$363,HLOOKUP(INDIRECT(ADDRESS(2,COLUMN())),OFFSET($BN$2,0,0,ROW()-1,60),ROW()-1,FALSE))</f>
        <v>6.3546166309999998</v>
      </c>
      <c r="BK156">
        <f ca="1">IF(AND(ISNUMBER($BK$363),$B$226=1),$BK$363,HLOOKUP(INDIRECT(ADDRESS(2,COLUMN())),OFFSET($BN$2,0,0,ROW()-1,60),ROW()-1,FALSE))</f>
        <v>6.2202505620000004</v>
      </c>
      <c r="BL156">
        <f ca="1">IF(AND(ISNUMBER($BL$363),$B$226=1),$BL$363,HLOOKUP(INDIRECT(ADDRESS(2,COLUMN())),OFFSET($BN$2,0,0,ROW()-1,60),ROW()-1,FALSE))</f>
        <v>6.0669833249999998</v>
      </c>
      <c r="BM156">
        <f ca="1">IF(AND(ISNUMBER($BM$363),$B$226=1),$BM$363,HLOOKUP(INDIRECT(ADDRESS(2,COLUMN())),OFFSET($BN$2,0,0,ROW()-1,60),ROW()-1,FALSE))</f>
        <v>5.8528051410000002</v>
      </c>
      <c r="BN156" t="str">
        <f>""</f>
        <v/>
      </c>
      <c r="BO156">
        <f>7.174585268</f>
        <v>7.1745852680000004</v>
      </c>
      <c r="BP156">
        <f>7.240131693</f>
        <v>7.2401316930000004</v>
      </c>
      <c r="BQ156">
        <f>7.219321699</f>
        <v>7.219321699</v>
      </c>
      <c r="BR156">
        <f>7.169600755</f>
        <v>7.1696007550000003</v>
      </c>
      <c r="BS156">
        <f>7.05964811</f>
        <v>7.0596481100000004</v>
      </c>
      <c r="BT156">
        <f>7.20377917</f>
        <v>7.2037791699999998</v>
      </c>
      <c r="BU156">
        <f>6.870266422</f>
        <v>6.8702664220000003</v>
      </c>
      <c r="BV156">
        <f>6.602334583</f>
        <v>6.6023345830000002</v>
      </c>
      <c r="BW156">
        <f>6.451654306</f>
        <v>6.451654306</v>
      </c>
      <c r="BX156">
        <f>6.630012857</f>
        <v>6.6300128569999996</v>
      </c>
      <c r="BY156" t="str">
        <f>""</f>
        <v/>
      </c>
      <c r="BZ156" t="str">
        <f>""</f>
        <v/>
      </c>
      <c r="CA156" t="str">
        <f>""</f>
        <v/>
      </c>
      <c r="CB156" t="str">
        <f>""</f>
        <v/>
      </c>
      <c r="CC156" t="str">
        <f>""</f>
        <v/>
      </c>
      <c r="CD156">
        <f>5.748194272</f>
        <v>5.7481942720000001</v>
      </c>
      <c r="CE156">
        <f>5.737946568</f>
        <v>5.7379465679999999</v>
      </c>
      <c r="CF156">
        <f>5.573640546</f>
        <v>5.573640546</v>
      </c>
      <c r="CG156">
        <f>5.422286029</f>
        <v>5.4222860290000003</v>
      </c>
      <c r="CH156">
        <f>5.075756151</f>
        <v>5.0757561510000002</v>
      </c>
      <c r="CI156">
        <f>5.070195399</f>
        <v>5.0701953990000002</v>
      </c>
      <c r="CJ156">
        <f>4.994963982</f>
        <v>4.9949639819999998</v>
      </c>
      <c r="CK156">
        <f>5.139908937</f>
        <v>5.1399089370000004</v>
      </c>
      <c r="CL156">
        <f>4.959590628</f>
        <v>4.9595906279999999</v>
      </c>
      <c r="CM156">
        <f>4.599861219</f>
        <v>4.5998612190000001</v>
      </c>
      <c r="CN156">
        <f>4.12070618</f>
        <v>4.12070618</v>
      </c>
      <c r="CO156">
        <f>4.108891235</f>
        <v>4.1088912349999998</v>
      </c>
      <c r="CP156">
        <f>3.91382285</f>
        <v>3.9138228499999999</v>
      </c>
      <c r="CQ156">
        <f>3.694716713</f>
        <v>3.694716713</v>
      </c>
      <c r="CR156">
        <f>3.600580547</f>
        <v>3.6005805469999999</v>
      </c>
      <c r="CS156">
        <f>3.376102666</f>
        <v>3.376102666</v>
      </c>
      <c r="CT156">
        <f>3.467123964</f>
        <v>3.4671239639999998</v>
      </c>
      <c r="CU156">
        <f>3.62374893</f>
        <v>3.6237489300000001</v>
      </c>
      <c r="CV156">
        <f>3.869478526</f>
        <v>3.869478526</v>
      </c>
      <c r="CW156">
        <f>4.375636507</f>
        <v>4.3756365070000003</v>
      </c>
      <c r="CX156">
        <f>4.183443506</f>
        <v>4.1834435059999997</v>
      </c>
      <c r="CY156">
        <f>4.167673673</f>
        <v>4.1676736730000004</v>
      </c>
      <c r="CZ156">
        <f>4.322378771</f>
        <v>4.3223787710000003</v>
      </c>
      <c r="DA156">
        <f>4.84364986</f>
        <v>4.8436498600000002</v>
      </c>
      <c r="DB156">
        <f>5.367707226</f>
        <v>5.3677072260000003</v>
      </c>
      <c r="DC156">
        <f>5.361891018</f>
        <v>5.3618910179999997</v>
      </c>
      <c r="DD156">
        <f>5.531439386</f>
        <v>5.5314393859999997</v>
      </c>
      <c r="DE156">
        <f>5.246020443</f>
        <v>5.2460204429999999</v>
      </c>
      <c r="DF156">
        <f>5.298589627</f>
        <v>5.2985896270000001</v>
      </c>
      <c r="DG156">
        <f>5.410957881</f>
        <v>5.4109578809999999</v>
      </c>
      <c r="DH156">
        <f>5.594152791</f>
        <v>5.594152791</v>
      </c>
      <c r="DI156">
        <f>5.615483974</f>
        <v>5.615483974</v>
      </c>
      <c r="DJ156">
        <f>5.647165507</f>
        <v>5.6471655070000004</v>
      </c>
      <c r="DK156">
        <f>5.566426704</f>
        <v>5.5664267040000004</v>
      </c>
      <c r="DL156">
        <f>5.595135833</f>
        <v>5.5951358329999996</v>
      </c>
      <c r="DM156">
        <f>5.657155611</f>
        <v>5.6571556110000003</v>
      </c>
      <c r="DN156">
        <f>5.659667502</f>
        <v>5.6596675019999996</v>
      </c>
      <c r="DO156">
        <f>5.673223933</f>
        <v>5.6732239330000001</v>
      </c>
      <c r="DP156">
        <f>6.0453706</f>
        <v>6.0453706</v>
      </c>
      <c r="DQ156">
        <f>6.247634217</f>
        <v>6.2476342169999999</v>
      </c>
      <c r="DR156">
        <f>6.354616631</f>
        <v>6.3546166309999998</v>
      </c>
      <c r="DS156">
        <f>6.220250562</f>
        <v>6.2202505620000004</v>
      </c>
      <c r="DT156">
        <f>6.066983325</f>
        <v>6.0669833249999998</v>
      </c>
      <c r="DU156">
        <f>5.852805141</f>
        <v>5.8528051410000002</v>
      </c>
    </row>
    <row r="157" spans="1:125">
      <c r="A157" t="str">
        <f>"债务/EBITDA"</f>
        <v>债务/EBITDA</v>
      </c>
      <c r="B157" t="str">
        <f>""</f>
        <v/>
      </c>
      <c r="E157" t="str">
        <f>"Median"</f>
        <v>Median</v>
      </c>
      <c r="F157" t="str">
        <f ca="1">IF(ISERROR(IF(MEDIAN($F$158:$F$165) = 0, "", MEDIAN($F$158:$F$165))), "", (IF(MEDIAN($F$158:$F$165) = 0, "", MEDIAN($F$158:$F$165))))</f>
        <v/>
      </c>
      <c r="G157">
        <f ca="1">IF(ISERROR(IF(MEDIAN($G$158:$G$165) = 0, "", MEDIAN($G$158:$G$165))), "", (IF(MEDIAN($G$158:$G$165) = 0, "", MEDIAN($G$158:$G$165))))</f>
        <v>5.7531839214999998</v>
      </c>
      <c r="H157">
        <f ca="1">IF(ISERROR(IF(MEDIAN($H$158:$H$165) = 0, "", MEDIAN($H$158:$H$165))), "", (IF(MEDIAN($H$158:$H$165) = 0, "", MEDIAN($H$158:$H$165))))</f>
        <v>5.7501379299999993</v>
      </c>
      <c r="I157">
        <f ca="1">IF(ISERROR(IF(MEDIAN($I$158:$I$165) = 0, "", MEDIAN($I$158:$I$165))), "", (IF(MEDIAN($I$158:$I$165) = 0, "", MEDIAN($I$158:$I$165))))</f>
        <v>5.8169721775000003</v>
      </c>
      <c r="J157">
        <f ca="1">IF(ISERROR(IF(MEDIAN($J$158:$J$165) = 0, "", MEDIAN($J$158:$J$165))), "", (IF(MEDIAN($J$158:$J$165) = 0, "", MEDIAN($J$158:$J$165))))</f>
        <v>5.7748873475</v>
      </c>
      <c r="K157">
        <f ca="1">IF(ISERROR(IF(MEDIAN($K$158:$K$165) = 0, "", MEDIAN($K$158:$K$165))), "", (IF(MEDIAN($K$158:$K$165) = 0, "", MEDIAN($K$158:$K$165))))</f>
        <v>5.5968368174999998</v>
      </c>
      <c r="L157">
        <f ca="1">IF(ISERROR(IF(MEDIAN($L$158:$L$165) = 0, "", MEDIAN($L$158:$L$165))), "", (IF(MEDIAN($L$158:$L$165) = 0, "", MEDIAN($L$158:$L$165))))</f>
        <v>5.4944152175000003</v>
      </c>
      <c r="M157">
        <f ca="1">IF(ISERROR(IF(MEDIAN($M$158:$M$165) = 0, "", MEDIAN($M$158:$M$165))), "", (IF(MEDIAN($M$158:$M$165) = 0, "", MEDIAN($M$158:$M$165))))</f>
        <v>5.6516346100000003</v>
      </c>
      <c r="N157">
        <f ca="1">IF(ISERROR(IF(MEDIAN($N$158:$N$165) = 0, "", MEDIAN($N$158:$N$165))), "", (IF(MEDIAN($N$158:$N$165) = 0, "", MEDIAN($N$158:$N$165))))</f>
        <v>5.8354692779999997</v>
      </c>
      <c r="O157">
        <f ca="1">IF(ISERROR(IF(MEDIAN($O$158:$O$165) = 0, "", MEDIAN($O$158:$O$165))), "", (IF(MEDIAN($O$158:$O$165) = 0, "", MEDIAN($O$158:$O$165))))</f>
        <v>6.0142381475000004</v>
      </c>
      <c r="P157">
        <f ca="1">IF(ISERROR(IF(MEDIAN($P$158:$P$165) = 0, "", MEDIAN($P$158:$P$165))), "", (IF(MEDIAN($P$158:$P$165) = 0, "", MEDIAN($P$158:$P$165))))</f>
        <v>6.4123000764999993</v>
      </c>
      <c r="Q157">
        <f ca="1">IF(ISERROR(IF(MEDIAN($Q$158:$Q$165) = 0, "", MEDIAN($Q$158:$Q$165))), "", (IF(MEDIAN($Q$158:$Q$165) = 0, "", MEDIAN($Q$158:$Q$165))))</f>
        <v>6.5581675515000004</v>
      </c>
      <c r="R157">
        <f ca="1">IF(ISERROR(IF(MEDIAN($R$158:$R$165) = 0, "", MEDIAN($R$158:$R$165))), "", (IF(MEDIAN($R$158:$R$165) = 0, "", MEDIAN($R$158:$R$165))))</f>
        <v>6.6458595870000003</v>
      </c>
      <c r="S157">
        <f ca="1">IF(ISERROR(IF(MEDIAN($S$158:$S$165) = 0, "", MEDIAN($S$158:$S$165))), "", (IF(MEDIAN($S$158:$S$165) = 0, "", MEDIAN($S$158:$S$165))))</f>
        <v>6.9374678825</v>
      </c>
      <c r="T157">
        <f ca="1">IF(ISERROR(IF(MEDIAN($T$158:$T$165) = 0, "", MEDIAN($T$158:$T$165))), "", (IF(MEDIAN($T$158:$T$165) = 0, "", MEDIAN($T$158:$T$165))))</f>
        <v>7.2228836034999997</v>
      </c>
      <c r="U157">
        <f ca="1">IF(ISERROR(IF(MEDIAN($U$158:$U$165) = 0, "", MEDIAN($U$158:$U$165))), "", (IF(MEDIAN($U$158:$U$165) = 0, "", MEDIAN($U$158:$U$165))))</f>
        <v>7.9872455630000001</v>
      </c>
      <c r="V157">
        <f ca="1">IF(ISERROR(IF(MEDIAN($V$158:$V$165) = 0, "", MEDIAN($V$158:$V$165))), "", (IF(MEDIAN($V$158:$V$165) = 0, "", MEDIAN($V$158:$V$165))))</f>
        <v>7.7101471979999996</v>
      </c>
      <c r="W157">
        <f ca="1">IF(ISERROR(IF(MEDIAN($W$158:$W$165) = 0, "", MEDIAN($W$158:$W$165))), "", (IF(MEDIAN($W$158:$W$165) = 0, "", MEDIAN($W$158:$W$165))))</f>
        <v>7.6293855955000005</v>
      </c>
      <c r="X157">
        <f ca="1">IF(ISERROR(IF(MEDIAN($X$158:$X$165) = 0, "", MEDIAN($X$158:$X$165))), "", (IF(MEDIAN($X$158:$X$165) = 0, "", MEDIAN($X$158:$X$165))))</f>
        <v>7.7070284725000002</v>
      </c>
      <c r="Y157">
        <f ca="1">IF(ISERROR(IF(MEDIAN($Y$158:$Y$165) = 0, "", MEDIAN($Y$158:$Y$165))), "", (IF(MEDIAN($Y$158:$Y$165) = 0, "", MEDIAN($Y$158:$Y$165))))</f>
        <v>7.9682624900000008</v>
      </c>
      <c r="Z157">
        <f ca="1">IF(ISERROR(IF(MEDIAN($Z$158:$Z$165) = 0, "", MEDIAN($Z$158:$Z$165))), "", (IF(MEDIAN($Z$158:$Z$165) = 0, "", MEDIAN($Z$158:$Z$165))))</f>
        <v>8.5870974069999999</v>
      </c>
      <c r="AA157">
        <f ca="1">IF(ISERROR(IF(MEDIAN($AA$158:$AA$165) = 0, "", MEDIAN($AA$158:$AA$165))), "", (IF(MEDIAN($AA$158:$AA$165) = 0, "", MEDIAN($AA$158:$AA$165))))</f>
        <v>7.5233504495000005</v>
      </c>
      <c r="AB157">
        <f ca="1">IF(ISERROR(IF(MEDIAN($AB$158:$AB$165) = 0, "", MEDIAN($AB$158:$AB$165))), "", (IF(MEDIAN($AB$158:$AB$165) = 0, "", MEDIAN($AB$158:$AB$165))))</f>
        <v>7.2614420249999991</v>
      </c>
      <c r="AC157">
        <f ca="1">IF(ISERROR(IF(MEDIAN($AC$158:$AC$165) = 0, "", MEDIAN($AC$158:$AC$165))), "", (IF(MEDIAN($AC$158:$AC$165) = 0, "", MEDIAN($AC$158:$AC$165))))</f>
        <v>7.5214837980000002</v>
      </c>
      <c r="AD157">
        <f ca="1">IF(ISERROR(IF(MEDIAN($AD$158:$AD$165) = 0, "", MEDIAN($AD$158:$AD$165))), "", (IF(MEDIAN($AD$158:$AD$165) = 0, "", MEDIAN($AD$158:$AD$165))))</f>
        <v>7.4338190040000001</v>
      </c>
      <c r="AE157">
        <f ca="1">IF(ISERROR(IF(MEDIAN($AE$158:$AE$165) = 0, "", MEDIAN($AE$158:$AE$165))), "", (IF(MEDIAN($AE$158:$AE$165) = 0, "", MEDIAN($AE$158:$AE$165))))</f>
        <v>7.8769527159999999</v>
      </c>
      <c r="AF157">
        <f ca="1">IF(ISERROR(IF(MEDIAN($AF$158:$AF$165) = 0, "", MEDIAN($AF$158:$AF$165))), "", (IF(MEDIAN($AF$158:$AF$165) = 0, "", MEDIAN($AF$158:$AF$165))))</f>
        <v>7.6641923199999997</v>
      </c>
      <c r="AG157">
        <f ca="1">IF(ISERROR(IF(MEDIAN($AG$158:$AG$165) = 0, "", MEDIAN($AG$158:$AG$165))), "", (IF(MEDIAN($AG$158:$AG$165) = 0, "", MEDIAN($AG$158:$AG$165))))</f>
        <v>8.2542648459999999</v>
      </c>
      <c r="AH157">
        <f ca="1">IF(ISERROR(IF(MEDIAN($AH$158:$AH$165) = 0, "", MEDIAN($AH$158:$AH$165))), "", (IF(MEDIAN($AH$158:$AH$165) = 0, "", MEDIAN($AH$158:$AH$165))))</f>
        <v>8.6996951219999996</v>
      </c>
      <c r="AI157">
        <f ca="1">IF(ISERROR(IF(MEDIAN($AI$158:$AI$165) = 0, "", MEDIAN($AI$158:$AI$165))), "", (IF(MEDIAN($AI$158:$AI$165) = 0, "", MEDIAN($AI$158:$AI$165))))</f>
        <v>9.2140369979999992</v>
      </c>
      <c r="AJ157">
        <f ca="1">IF(ISERROR(IF(MEDIAN($AJ$158:$AJ$165) = 0, "", MEDIAN($AJ$158:$AJ$165))), "", (IF(MEDIAN($AJ$158:$AJ$165) = 0, "", MEDIAN($AJ$158:$AJ$165))))</f>
        <v>9.3094622999999999</v>
      </c>
      <c r="AK157">
        <f ca="1">IF(ISERROR(IF(MEDIAN($AK$158:$AK$165) = 0, "", MEDIAN($AK$158:$AK$165))), "", (IF(MEDIAN($AK$158:$AK$165) = 0, "", MEDIAN($AK$158:$AK$165))))</f>
        <v>8.8442932459999994</v>
      </c>
      <c r="AL157">
        <f ca="1">IF(ISERROR(IF(MEDIAN($AL$158:$AL$165) = 0, "", MEDIAN($AL$158:$AL$165))), "", (IF(MEDIAN($AL$158:$AL$165) = 0, "", MEDIAN($AL$158:$AL$165))))</f>
        <v>8.7030276999999998</v>
      </c>
      <c r="AM157">
        <f ca="1">IF(ISERROR(IF(MEDIAN($AM$158:$AM$165) = 0, "", MEDIAN($AM$158:$AM$165))), "", (IF(MEDIAN($AM$158:$AM$165) = 0, "", MEDIAN($AM$158:$AM$165))))</f>
        <v>8.5507859180000008</v>
      </c>
      <c r="AN157">
        <f ca="1">IF(ISERROR(IF(MEDIAN($AN$158:$AN$165) = 0, "", MEDIAN($AN$158:$AN$165))), "", (IF(MEDIAN($AN$158:$AN$165) = 0, "", MEDIAN($AN$158:$AN$165))))</f>
        <v>9.0545519300000006</v>
      </c>
      <c r="AO157">
        <f ca="1">IF(ISERROR(IF(MEDIAN($AO$158:$AO$165) = 0, "", MEDIAN($AO$158:$AO$165))), "", (IF(MEDIAN($AO$158:$AO$165) = 0, "", MEDIAN($AO$158:$AO$165))))</f>
        <v>9.1027761954999988</v>
      </c>
      <c r="AP157">
        <f ca="1">IF(ISERROR(IF(MEDIAN($AP$158:$AP$165) = 0, "", MEDIAN($AP$158:$AP$165))), "", (IF(MEDIAN($AP$158:$AP$165) = 0, "", MEDIAN($AP$158:$AP$165))))</f>
        <v>8.6641439170000005</v>
      </c>
      <c r="AQ157">
        <f ca="1">IF(ISERROR(IF(MEDIAN($AQ$158:$AQ$165) = 0, "", MEDIAN($AQ$158:$AQ$165))), "", (IF(MEDIAN($AQ$158:$AQ$165) = 0, "", MEDIAN($AQ$158:$AQ$165))))</f>
        <v>8.6359571800000001</v>
      </c>
      <c r="AR157">
        <f ca="1">IF(ISERROR(IF(MEDIAN($AR$158:$AR$165) = 0, "", MEDIAN($AR$158:$AR$165))), "", (IF(MEDIAN($AR$158:$AR$165) = 0, "", MEDIAN($AR$158:$AR$165))))</f>
        <v>8.4370912110000003</v>
      </c>
      <c r="AS157">
        <f ca="1">IF(ISERROR(IF(MEDIAN($AS$158:$AS$165) = 0, "", MEDIAN($AS$158:$AS$165))), "", (IF(MEDIAN($AS$158:$AS$165) = 0, "", MEDIAN($AS$158:$AS$165))))</f>
        <v>8.4091083470000001</v>
      </c>
      <c r="AT157">
        <f ca="1">IF(ISERROR(IF(MEDIAN($AT$158:$AT$165) = 0, "", MEDIAN($AT$158:$AT$165))), "", (IF(MEDIAN($AT$158:$AT$165) = 0, "", MEDIAN($AT$158:$AT$165))))</f>
        <v>8.3776833199999992</v>
      </c>
      <c r="AU157">
        <f ca="1">IF(ISERROR(IF(MEDIAN($AU$158:$AU$165) = 0, "", MEDIAN($AU$158:$AU$165))), "", (IF(MEDIAN($AU$158:$AU$165) = 0, "", MEDIAN($AU$158:$AU$165))))</f>
        <v>8.4284795450000001</v>
      </c>
      <c r="AV157">
        <f ca="1">IF(ISERROR(IF(MEDIAN($AV$158:$AV$165) = 0, "", MEDIAN($AV$158:$AV$165))), "", (IF(MEDIAN($AV$158:$AV$165) = 0, "", MEDIAN($AV$158:$AV$165))))</f>
        <v>8.4813769969999999</v>
      </c>
      <c r="AW157">
        <f ca="1">IF(ISERROR(IF(MEDIAN($AW$158:$AW$165) = 0, "", MEDIAN($AW$158:$AW$165))), "", (IF(MEDIAN($AW$158:$AW$165) = 0, "", MEDIAN($AW$158:$AW$165))))</f>
        <v>8.1286691260000001</v>
      </c>
      <c r="AX157">
        <f ca="1">IF(ISERROR(IF(MEDIAN($AX$158:$AX$165) = 0, "", MEDIAN($AX$158:$AX$165))), "", (IF(MEDIAN($AX$158:$AX$165) = 0, "", MEDIAN($AX$158:$AX$165))))</f>
        <v>7.6995252479999996</v>
      </c>
      <c r="AY157">
        <f ca="1">IF(ISERROR(IF(MEDIAN($AY$158:$AY$165) = 0, "", MEDIAN($AY$158:$AY$165))), "", (IF(MEDIAN($AY$158:$AY$165) = 0, "", MEDIAN($AY$158:$AY$165))))</f>
        <v>7.6474313609999998</v>
      </c>
      <c r="AZ157">
        <f ca="1">IF(ISERROR(IF(MEDIAN($AZ$158:$AZ$165) = 0, "", MEDIAN($AZ$158:$AZ$165))), "", (IF(MEDIAN($AZ$158:$AZ$165) = 0, "", MEDIAN($AZ$158:$AZ$165))))</f>
        <v>7.7069591099999997</v>
      </c>
      <c r="BA157">
        <f ca="1">IF(ISERROR(IF(MEDIAN($BA$158:$BA$165) = 0, "", MEDIAN($BA$158:$BA$165))), "", (IF(MEDIAN($BA$158:$BA$165) = 0, "", MEDIAN($BA$158:$BA$165))))</f>
        <v>8.1775548610000008</v>
      </c>
      <c r="BB157">
        <f ca="1">IF(ISERROR(IF(MEDIAN($BB$158:$BB$165) = 0, "", MEDIAN($BB$158:$BB$165))), "", (IF(MEDIAN($BB$158:$BB$165) = 0, "", MEDIAN($BB$158:$BB$165))))</f>
        <v>8.2124314599999995</v>
      </c>
      <c r="BC157">
        <f ca="1">IF(ISERROR(IF(MEDIAN($BC$158:$BC$165) = 0, "", MEDIAN($BC$158:$BC$165))), "", (IF(MEDIAN($BC$158:$BC$165) = 0, "", MEDIAN($BC$158:$BC$165))))</f>
        <v>7.9271017370000001</v>
      </c>
      <c r="BD157">
        <f ca="1">IF(ISERROR(IF(MEDIAN($BD$158:$BD$165) = 0, "", MEDIAN($BD$158:$BD$165))), "", (IF(MEDIAN($BD$158:$BD$165) = 0, "", MEDIAN($BD$158:$BD$165))))</f>
        <v>8.1352874775000004</v>
      </c>
      <c r="BE157">
        <f ca="1">IF(ISERROR(IF(MEDIAN($BE$158:$BE$165) = 0, "", MEDIAN($BE$158:$BE$165))), "", (IF(MEDIAN($BE$158:$BE$165) = 0, "", MEDIAN($BE$158:$BE$165))))</f>
        <v>8.0750060399999999</v>
      </c>
      <c r="BF157">
        <f ca="1">IF(ISERROR(IF(MEDIAN($BF$158:$BF$165) = 0, "", MEDIAN($BF$158:$BF$165))), "", (IF(MEDIAN($BF$158:$BF$165) = 0, "", MEDIAN($BF$158:$BF$165))))</f>
        <v>8.3536023035000007</v>
      </c>
      <c r="BG157">
        <f ca="1">IF(ISERROR(IF(MEDIAN($BG$158:$BG$165) = 0, "", MEDIAN($BG$158:$BG$165))), "", (IF(MEDIAN($BG$158:$BG$165) = 0, "", MEDIAN($BG$158:$BG$165))))</f>
        <v>7.2406930530000002</v>
      </c>
      <c r="BH157">
        <f ca="1">IF(ISERROR(IF(MEDIAN($BH$158:$BH$165) = 0, "", MEDIAN($BH$158:$BH$165))), "", (IF(MEDIAN($BH$158:$BH$165) = 0, "", MEDIAN($BH$158:$BH$165))))</f>
        <v>7.0259103695</v>
      </c>
      <c r="BI157">
        <f ca="1">IF(ISERROR(IF(MEDIAN($BI$158:$BI$165) = 0, "", MEDIAN($BI$158:$BI$165))), "", (IF(MEDIAN($BI$158:$BI$165) = 0, "", MEDIAN($BI$158:$BI$165))))</f>
        <v>6.9173580865000002</v>
      </c>
      <c r="BJ157">
        <f ca="1">IF(ISERROR(IF(MEDIAN($BJ$158:$BJ$165) = 0, "", MEDIAN($BJ$158:$BJ$165))), "", (IF(MEDIAN($BJ$158:$BJ$165) = 0, "", MEDIAN($BJ$158:$BJ$165))))</f>
        <v>6.6161176314999999</v>
      </c>
      <c r="BK157">
        <f ca="1">IF(ISERROR(IF(MEDIAN($BK$158:$BK$165) = 0, "", MEDIAN($BK$158:$BK$165))), "", (IF(MEDIAN($BK$158:$BK$165) = 0, "", MEDIAN($BK$158:$BK$165))))</f>
        <v>6.3938462225000006</v>
      </c>
      <c r="BL157">
        <f ca="1">IF(ISERROR(IF(MEDIAN($BL$158:$BL$165) = 0, "", MEDIAN($BL$158:$BL$165))), "", (IF(MEDIAN($BL$158:$BL$165) = 0, "", MEDIAN($BL$158:$BL$165))))</f>
        <v>6.596035563</v>
      </c>
      <c r="BM157">
        <f ca="1">IF(ISERROR(IF(MEDIAN($BM$158:$BM$165) = 0, "", MEDIAN($BM$158:$BM$165))), "", (IF(MEDIAN($BM$158:$BM$165) = 0, "", MEDIAN($BM$158:$BM$165))))</f>
        <v>6.5768298749999996</v>
      </c>
      <c r="BN157" t="str">
        <f>""</f>
        <v/>
      </c>
      <c r="BO157">
        <f>5.753183922</f>
        <v>5.7531839219999998</v>
      </c>
      <c r="BP157">
        <f>5.75013793</f>
        <v>5.7501379300000002</v>
      </c>
      <c r="BQ157">
        <f>5.816972178</f>
        <v>5.8169721780000003</v>
      </c>
      <c r="BR157">
        <f>5.774887347</f>
        <v>5.7748873469999999</v>
      </c>
      <c r="BS157">
        <f>5.596836817</f>
        <v>5.5968368169999998</v>
      </c>
      <c r="BT157">
        <f>5.494415217</f>
        <v>5.4944152170000002</v>
      </c>
      <c r="BU157">
        <f>5.65163461</f>
        <v>5.6516346100000003</v>
      </c>
      <c r="BV157">
        <f>5.835469278</f>
        <v>5.8354692779999997</v>
      </c>
      <c r="BW157">
        <f>6.014238148</f>
        <v>6.0142381479999996</v>
      </c>
      <c r="BX157">
        <f>6.412300076</f>
        <v>6.4123000760000002</v>
      </c>
      <c r="BY157">
        <f>6.558167551</f>
        <v>6.5581675510000004</v>
      </c>
      <c r="BZ157">
        <f>6.645859587</f>
        <v>6.6458595870000003</v>
      </c>
      <c r="CA157">
        <f>6.937467882</f>
        <v>6.937467882</v>
      </c>
      <c r="CB157">
        <f>7.222883603</f>
        <v>7.2228836029999997</v>
      </c>
      <c r="CC157">
        <f>7.987245563</f>
        <v>7.9872455630000001</v>
      </c>
      <c r="CD157">
        <f>7.710147198</f>
        <v>7.7101471979999996</v>
      </c>
      <c r="CE157">
        <f>7.629385596</f>
        <v>7.6293855959999997</v>
      </c>
      <c r="CF157">
        <f>7.707028473</f>
        <v>7.7070284730000003</v>
      </c>
      <c r="CG157">
        <f>7.96826249</f>
        <v>7.9682624899999999</v>
      </c>
      <c r="CH157">
        <f>8.587097407</f>
        <v>8.5870974069999999</v>
      </c>
      <c r="CI157">
        <f>7.52335045</f>
        <v>7.5233504499999997</v>
      </c>
      <c r="CJ157">
        <f>7.261442025</f>
        <v>7.261442025</v>
      </c>
      <c r="CK157">
        <f>7.521483798</f>
        <v>7.5214837980000002</v>
      </c>
      <c r="CL157">
        <f>7.433819004</f>
        <v>7.4338190040000001</v>
      </c>
      <c r="CM157">
        <f>7.876952716</f>
        <v>7.8769527159999999</v>
      </c>
      <c r="CN157">
        <f>7.66419232</f>
        <v>7.6641923199999997</v>
      </c>
      <c r="CO157">
        <f>8.254264846</f>
        <v>8.2542648459999999</v>
      </c>
      <c r="CP157">
        <f>8.699695122</f>
        <v>8.6996951219999996</v>
      </c>
      <c r="CQ157">
        <f>9.214036998</f>
        <v>9.2140369979999992</v>
      </c>
      <c r="CR157">
        <f>9.3094623</f>
        <v>9.3094622999999999</v>
      </c>
      <c r="CS157">
        <f>8.844293246</f>
        <v>8.8442932459999994</v>
      </c>
      <c r="CT157">
        <f>8.7030277</f>
        <v>8.7030276999999998</v>
      </c>
      <c r="CU157">
        <f>8.550785918</f>
        <v>8.5507859180000008</v>
      </c>
      <c r="CV157">
        <f>9.05455193</f>
        <v>9.0545519300000006</v>
      </c>
      <c r="CW157">
        <f>9.102776196</f>
        <v>9.1027761960000007</v>
      </c>
      <c r="CX157">
        <f>8.664143917</f>
        <v>8.6641439170000005</v>
      </c>
      <c r="CY157">
        <f>8.63595718</f>
        <v>8.6359571800000001</v>
      </c>
      <c r="CZ157">
        <f>8.437091211</f>
        <v>8.4370912110000003</v>
      </c>
      <c r="DA157">
        <f>8.409108347</f>
        <v>8.4091083470000001</v>
      </c>
      <c r="DB157">
        <f>8.37768332</f>
        <v>8.3776833199999992</v>
      </c>
      <c r="DC157">
        <f>8.428479545</f>
        <v>8.4284795450000001</v>
      </c>
      <c r="DD157">
        <f>8.481376997</f>
        <v>8.4813769969999999</v>
      </c>
      <c r="DE157">
        <f>8.128669126</f>
        <v>8.1286691260000001</v>
      </c>
      <c r="DF157">
        <f>7.699525248</f>
        <v>7.6995252479999996</v>
      </c>
      <c r="DG157">
        <f>7.647431361</f>
        <v>7.6474313609999998</v>
      </c>
      <c r="DH157">
        <f>7.70695911</f>
        <v>7.7069591099999997</v>
      </c>
      <c r="DI157">
        <f>8.177554861</f>
        <v>8.1775548610000008</v>
      </c>
      <c r="DJ157">
        <f>8.21243146</f>
        <v>8.2124314599999995</v>
      </c>
      <c r="DK157">
        <f>7.927101737</f>
        <v>7.9271017370000001</v>
      </c>
      <c r="DL157">
        <f>8.135287477</f>
        <v>8.1352874770000003</v>
      </c>
      <c r="DM157">
        <f>8.07500604</f>
        <v>8.0750060399999999</v>
      </c>
      <c r="DN157">
        <f>8.353602304</f>
        <v>8.3536023040000007</v>
      </c>
      <c r="DO157">
        <f>7.240693053</f>
        <v>7.2406930530000002</v>
      </c>
      <c r="DP157">
        <f>7.02591037</f>
        <v>7.0259103700000001</v>
      </c>
      <c r="DQ157">
        <f>6.917358086</f>
        <v>6.9173580860000001</v>
      </c>
      <c r="DR157">
        <f>6.616117631</f>
        <v>6.6161176309999998</v>
      </c>
      <c r="DS157">
        <f>6.393846223</f>
        <v>6.3938462229999997</v>
      </c>
      <c r="DT157">
        <f>6.596035563</f>
        <v>6.596035563</v>
      </c>
      <c r="DU157">
        <f>6.576829875</f>
        <v>6.5768298749999996</v>
      </c>
    </row>
    <row r="158" spans="1:125">
      <c r="A158" t="str">
        <f>"    American Campus Communities In"</f>
        <v xml:space="preserve">    American Campus Communities In</v>
      </c>
      <c r="B158" t="str">
        <f>"ACC US Equity"</f>
        <v>ACC US Equity</v>
      </c>
      <c r="C158" t="str">
        <f t="shared" ref="C158:C165" si="51">"RR052"</f>
        <v>RR052</v>
      </c>
      <c r="D158" t="str">
        <f t="shared" ref="D158:D165" si="52">"TOT_DEBT_TO_EBITDA"</f>
        <v>TOT_DEBT_TO_EBITDA</v>
      </c>
      <c r="E158" t="str">
        <f t="shared" ref="E158:E165" si="53">"动态"</f>
        <v>动态</v>
      </c>
      <c r="F158" t="str">
        <f ca="1">IF(AND(ISNUMBER($F$364),$B$226=1),$F$364,HLOOKUP(INDIRECT(ADDRESS(2,COLUMN())),OFFSET($BN$2,0,0,ROW()-1,60),ROW()-1,FALSE))</f>
        <v/>
      </c>
      <c r="G158">
        <f ca="1">IF(AND(ISNUMBER($G$364),$B$226=1),$G$364,HLOOKUP(INDIRECT(ADDRESS(2,COLUMN())),OFFSET($BN$2,0,0,ROW()-1,60),ROW()-1,FALSE))</f>
        <v>8.0121194300000003</v>
      </c>
      <c r="H158">
        <f ca="1">IF(AND(ISNUMBER($H$364),$B$226=1),$H$364,HLOOKUP(INDIRECT(ADDRESS(2,COLUMN())),OFFSET($BN$2,0,0,ROW()-1,60),ROW()-1,FALSE))</f>
        <v>7.8493984450000003</v>
      </c>
      <c r="I158">
        <f ca="1">IF(AND(ISNUMBER($I$364),$B$226=1),$I$364,HLOOKUP(INDIRECT(ADDRESS(2,COLUMN())),OFFSET($BN$2,0,0,ROW()-1,60),ROW()-1,FALSE))</f>
        <v>6.6467660850000003</v>
      </c>
      <c r="J158">
        <f ca="1">IF(AND(ISNUMBER($J$364),$B$226=1),$J$364,HLOOKUP(INDIRECT(ADDRESS(2,COLUMN())),OFFSET($BN$2,0,0,ROW()-1,60),ROW()-1,FALSE))</f>
        <v>5.8217736430000002</v>
      </c>
      <c r="K158">
        <f ca="1">IF(AND(ISNUMBER($K$364),$B$226=1),$K$364,HLOOKUP(INDIRECT(ADDRESS(2,COLUMN())),OFFSET($BN$2,0,0,ROW()-1,60),ROW()-1,FALSE))</f>
        <v>5.5269991940000001</v>
      </c>
      <c r="L158">
        <f ca="1">IF(AND(ISNUMBER($L$364),$B$226=1),$L$364,HLOOKUP(INDIRECT(ADDRESS(2,COLUMN())),OFFSET($BN$2,0,0,ROW()-1,60),ROW()-1,FALSE))</f>
        <v>6.3811874700000004</v>
      </c>
      <c r="M158">
        <f ca="1">IF(AND(ISNUMBER($M$364),$B$226=1),$M$364,HLOOKUP(INDIRECT(ADDRESS(2,COLUMN())),OFFSET($BN$2,0,0,ROW()-1,60),ROW()-1,FALSE))</f>
        <v>6.8396938499999997</v>
      </c>
      <c r="N158">
        <f ca="1">IF(AND(ISNUMBER($N$364),$B$226=1),$N$364,HLOOKUP(INDIRECT(ADDRESS(2,COLUMN())),OFFSET($BN$2,0,0,ROW()-1,60),ROW()-1,FALSE))</f>
        <v>7.0519067509999998</v>
      </c>
      <c r="O158">
        <f ca="1">IF(AND(ISNUMBER($O$364),$B$226=1),$O$364,HLOOKUP(INDIRECT(ADDRESS(2,COLUMN())),OFFSET($BN$2,0,0,ROW()-1,60),ROW()-1,FALSE))</f>
        <v>8.0621971499999994</v>
      </c>
      <c r="P158">
        <f ca="1">IF(AND(ISNUMBER($P$364),$B$226=1),$P$364,HLOOKUP(INDIRECT(ADDRESS(2,COLUMN())),OFFSET($BN$2,0,0,ROW()-1,60),ROW()-1,FALSE))</f>
        <v>8.0845754480000007</v>
      </c>
      <c r="Q158">
        <f ca="1">IF(AND(ISNUMBER($Q$364),$B$226=1),$Q$364,HLOOKUP(INDIRECT(ADDRESS(2,COLUMN())),OFFSET($BN$2,0,0,ROW()-1,60),ROW()-1,FALSE))</f>
        <v>7.5638321419999999</v>
      </c>
      <c r="R158">
        <f ca="1">IF(AND(ISNUMBER($R$364),$B$226=1),$R$364,HLOOKUP(INDIRECT(ADDRESS(2,COLUMN())),OFFSET($BN$2,0,0,ROW()-1,60),ROW()-1,FALSE))</f>
        <v>7.5856020129999999</v>
      </c>
      <c r="S158">
        <f ca="1">IF(AND(ISNUMBER($S$364),$B$226=1),$S$364,HLOOKUP(INDIRECT(ADDRESS(2,COLUMN())),OFFSET($BN$2,0,0,ROW()-1,60),ROW()-1,FALSE))</f>
        <v>8.374540455</v>
      </c>
      <c r="T158">
        <f ca="1">IF(AND(ISNUMBER($T$364),$B$226=1),$T$364,HLOOKUP(INDIRECT(ADDRESS(2,COLUMN())),OFFSET($BN$2,0,0,ROW()-1,60),ROW()-1,FALSE))</f>
        <v>8.4204699240000007</v>
      </c>
      <c r="U158">
        <f ca="1">IF(AND(ISNUMBER($U$364),$B$226=1),$U$364,HLOOKUP(INDIRECT(ADDRESS(2,COLUMN())),OFFSET($BN$2,0,0,ROW()-1,60),ROW()-1,FALSE))</f>
        <v>8.6376250900000002</v>
      </c>
      <c r="V158">
        <f ca="1">IF(AND(ISNUMBER($V$364),$B$226=1),$V$364,HLOOKUP(INDIRECT(ADDRESS(2,COLUMN())),OFFSET($BN$2,0,0,ROW()-1,60),ROW()-1,FALSE))</f>
        <v>8.5369597069999994</v>
      </c>
      <c r="W158">
        <f ca="1">IF(AND(ISNUMBER($W$364),$B$226=1),$W$364,HLOOKUP(INDIRECT(ADDRESS(2,COLUMN())),OFFSET($BN$2,0,0,ROW()-1,60),ROW()-1,FALSE))</f>
        <v>8.5944457150000009</v>
      </c>
      <c r="X158">
        <f ca="1">IF(AND(ISNUMBER($X$364),$B$226=1),$X$364,HLOOKUP(INDIRECT(ADDRESS(2,COLUMN())),OFFSET($BN$2,0,0,ROW()-1,60),ROW()-1,FALSE))</f>
        <v>8.1102989189999999</v>
      </c>
      <c r="Y158">
        <f ca="1">IF(AND(ISNUMBER($Y$364),$B$226=1),$Y$364,HLOOKUP(INDIRECT(ADDRESS(2,COLUMN())),OFFSET($BN$2,0,0,ROW()-1,60),ROW()-1,FALSE))</f>
        <v>8.7054685500000009</v>
      </c>
      <c r="Z158">
        <f ca="1">IF(AND(ISNUMBER($Z$364),$B$226=1),$Z$364,HLOOKUP(INDIRECT(ADDRESS(2,COLUMN())),OFFSET($BN$2,0,0,ROW()-1,60),ROW()-1,FALSE))</f>
        <v>8.9469641949999996</v>
      </c>
      <c r="AA158">
        <f ca="1">IF(AND(ISNUMBER($AA$364),$B$226=1),$AA$364,HLOOKUP(INDIRECT(ADDRESS(2,COLUMN())),OFFSET($BN$2,0,0,ROW()-1,60),ROW()-1,FALSE))</f>
        <v>9.9336520660000005</v>
      </c>
      <c r="AB158">
        <f ca="1">IF(AND(ISNUMBER($AB$364),$B$226=1),$AB$364,HLOOKUP(INDIRECT(ADDRESS(2,COLUMN())),OFFSET($BN$2,0,0,ROW()-1,60),ROW()-1,FALSE))</f>
        <v>9.1597636690000002</v>
      </c>
      <c r="AC158">
        <f ca="1">IF(AND(ISNUMBER($AC$364),$B$226=1),$AC$364,HLOOKUP(INDIRECT(ADDRESS(2,COLUMN())),OFFSET($BN$2,0,0,ROW()-1,60),ROW()-1,FALSE))</f>
        <v>8.3055790970000007</v>
      </c>
      <c r="AD158">
        <f ca="1">IF(AND(ISNUMBER($AD$364),$B$226=1),$AD$364,HLOOKUP(INDIRECT(ADDRESS(2,COLUMN())),OFFSET($BN$2,0,0,ROW()-1,60),ROW()-1,FALSE))</f>
        <v>7.8092027540000002</v>
      </c>
      <c r="AE158">
        <f ca="1">IF(AND(ISNUMBER($AE$364),$B$226=1),$AE$364,HLOOKUP(INDIRECT(ADDRESS(2,COLUMN())),OFFSET($BN$2,0,0,ROW()-1,60),ROW()-1,FALSE))</f>
        <v>7.6728136249999999</v>
      </c>
      <c r="AF158">
        <f ca="1">IF(AND(ISNUMBER($AF$364),$B$226=1),$AF$364,HLOOKUP(INDIRECT(ADDRESS(2,COLUMN())),OFFSET($BN$2,0,0,ROW()-1,60),ROW()-1,FALSE))</f>
        <v>6.6963897159999997</v>
      </c>
      <c r="AG158">
        <f ca="1">IF(AND(ISNUMBER($AG$364),$B$226=1),$AG$364,HLOOKUP(INDIRECT(ADDRESS(2,COLUMN())),OFFSET($BN$2,0,0,ROW()-1,60),ROW()-1,FALSE))</f>
        <v>6.5965299479999997</v>
      </c>
      <c r="AH158">
        <f ca="1">IF(AND(ISNUMBER($AH$364),$B$226=1),$AH$364,HLOOKUP(INDIRECT(ADDRESS(2,COLUMN())),OFFSET($BN$2,0,0,ROW()-1,60),ROW()-1,FALSE))</f>
        <v>7.3512107069999999</v>
      </c>
      <c r="AI158">
        <f ca="1">IF(AND(ISNUMBER($AI$364),$B$226=1),$AI$364,HLOOKUP(INDIRECT(ADDRESS(2,COLUMN())),OFFSET($BN$2,0,0,ROW()-1,60),ROW()-1,FALSE))</f>
        <v>8.3104920419999999</v>
      </c>
      <c r="AJ158">
        <f ca="1">IF(AND(ISNUMBER($AJ$364),$B$226=1),$AJ$364,HLOOKUP(INDIRECT(ADDRESS(2,COLUMN())),OFFSET($BN$2,0,0,ROW()-1,60),ROW()-1,FALSE))</f>
        <v>8.3545209180000004</v>
      </c>
      <c r="AK158">
        <f ca="1">IF(AND(ISNUMBER($AK$364),$B$226=1),$AK$364,HLOOKUP(INDIRECT(ADDRESS(2,COLUMN())),OFFSET($BN$2,0,0,ROW()-1,60),ROW()-1,FALSE))</f>
        <v>7.8058373440000004</v>
      </c>
      <c r="AL158">
        <f ca="1">IF(AND(ISNUMBER($AL$364),$B$226=1),$AL$364,HLOOKUP(INDIRECT(ADDRESS(2,COLUMN())),OFFSET($BN$2,0,0,ROW()-1,60),ROW()-1,FALSE))</f>
        <v>7.9757765630000002</v>
      </c>
      <c r="AM158">
        <f ca="1">IF(AND(ISNUMBER($AM$364),$B$226=1),$AM$364,HLOOKUP(INDIRECT(ADDRESS(2,COLUMN())),OFFSET($BN$2,0,0,ROW()-1,60),ROW()-1,FALSE))</f>
        <v>8.5507859180000008</v>
      </c>
      <c r="AN158">
        <f ca="1">IF(AND(ISNUMBER($AN$364),$B$226=1),$AN$364,HLOOKUP(INDIRECT(ADDRESS(2,COLUMN())),OFFSET($BN$2,0,0,ROW()-1,60),ROW()-1,FALSE))</f>
        <v>9.1728527379999996</v>
      </c>
      <c r="AO158">
        <f ca="1">IF(AND(ISNUMBER($AO$364),$B$226=1),$AO$364,HLOOKUP(INDIRECT(ADDRESS(2,COLUMN())),OFFSET($BN$2,0,0,ROW()-1,60),ROW()-1,FALSE))</f>
        <v>9.2613769050000005</v>
      </c>
      <c r="AP158">
        <f ca="1">IF(AND(ISNUMBER($AP$364),$B$226=1),$AP$364,HLOOKUP(INDIRECT(ADDRESS(2,COLUMN())),OFFSET($BN$2,0,0,ROW()-1,60),ROW()-1,FALSE))</f>
        <v>11.364176929999999</v>
      </c>
      <c r="AQ158">
        <f ca="1">IF(AND(ISNUMBER($AQ$364),$B$226=1),$AQ$364,HLOOKUP(INDIRECT(ADDRESS(2,COLUMN())),OFFSET($BN$2,0,0,ROW()-1,60),ROW()-1,FALSE))</f>
        <v>12.975125240000001</v>
      </c>
      <c r="AR158">
        <f ca="1">IF(AND(ISNUMBER($AR$364),$B$226=1),$AR$364,HLOOKUP(INDIRECT(ADDRESS(2,COLUMN())),OFFSET($BN$2,0,0,ROW()-1,60),ROW()-1,FALSE))</f>
        <v>14.90589759</v>
      </c>
      <c r="AS158">
        <f ca="1">IF(AND(ISNUMBER($AS$364),$B$226=1),$AS$364,HLOOKUP(INDIRECT(ADDRESS(2,COLUMN())),OFFSET($BN$2,0,0,ROW()-1,60),ROW()-1,FALSE))</f>
        <v>17.232174329999999</v>
      </c>
      <c r="AT158">
        <f ca="1">IF(AND(ISNUMBER($AT$364),$B$226=1),$AT$364,HLOOKUP(INDIRECT(ADDRESS(2,COLUMN())),OFFSET($BN$2,0,0,ROW()-1,60),ROW()-1,FALSE))</f>
        <v>8.5394326219999996</v>
      </c>
      <c r="AU158">
        <f ca="1">IF(AND(ISNUMBER($AU$364),$B$226=1),$AU$364,HLOOKUP(INDIRECT(ADDRESS(2,COLUMN())),OFFSET($BN$2,0,0,ROW()-1,60),ROW()-1,FALSE))</f>
        <v>9.2231261779999993</v>
      </c>
      <c r="AV158">
        <f ca="1">IF(AND(ISNUMBER($AV$364),$B$226=1),$AV$364,HLOOKUP(INDIRECT(ADDRESS(2,COLUMN())),OFFSET($BN$2,0,0,ROW()-1,60),ROW()-1,FALSE))</f>
        <v>10.76039507</v>
      </c>
      <c r="AW158">
        <f ca="1">IF(AND(ISNUMBER($AW$364),$B$226=1),$AW$364,HLOOKUP(INDIRECT(ADDRESS(2,COLUMN())),OFFSET($BN$2,0,0,ROW()-1,60),ROW()-1,FALSE))</f>
        <v>10.090226680000001</v>
      </c>
      <c r="AX158">
        <f ca="1">IF(AND(ISNUMBER($AX$364),$B$226=1),$AX$364,HLOOKUP(INDIRECT(ADDRESS(2,COLUMN())),OFFSET($BN$2,0,0,ROW()-1,60),ROW()-1,FALSE))</f>
        <v>10.292181469999999</v>
      </c>
      <c r="AY158">
        <f ca="1">IF(AND(ISNUMBER($AY$364),$B$226=1),$AY$364,HLOOKUP(INDIRECT(ADDRESS(2,COLUMN())),OFFSET($BN$2,0,0,ROW()-1,60),ROW()-1,FALSE))</f>
        <v>7.6474313609999998</v>
      </c>
      <c r="AZ158">
        <f ca="1">IF(AND(ISNUMBER($AZ$364),$B$226=1),$AZ$364,HLOOKUP(INDIRECT(ADDRESS(2,COLUMN())),OFFSET($BN$2,0,0,ROW()-1,60),ROW()-1,FALSE))</f>
        <v>8.5232504559999995</v>
      </c>
      <c r="BA158">
        <f ca="1">IF(AND(ISNUMBER($BA$364),$B$226=1),$BA$364,HLOOKUP(INDIRECT(ADDRESS(2,COLUMN())),OFFSET($BN$2,0,0,ROW()-1,60),ROW()-1,FALSE))</f>
        <v>11.21555717</v>
      </c>
      <c r="BB158">
        <f ca="1">IF(AND(ISNUMBER($BB$364),$B$226=1),$BB$364,HLOOKUP(INDIRECT(ADDRESS(2,COLUMN())),OFFSET($BN$2,0,0,ROW()-1,60),ROW()-1,FALSE))</f>
        <v>11.86067976</v>
      </c>
      <c r="BC158">
        <f ca="1">IF(AND(ISNUMBER($BC$364),$B$226=1),$BC$364,HLOOKUP(INDIRECT(ADDRESS(2,COLUMN())),OFFSET($BN$2,0,0,ROW()-1,60),ROW()-1,FALSE))</f>
        <v>7.9271017370000001</v>
      </c>
      <c r="BD158">
        <f ca="1">IF(AND(ISNUMBER($BD$364),$B$226=1),$BD$364,HLOOKUP(INDIRECT(ADDRESS(2,COLUMN())),OFFSET($BN$2,0,0,ROW()-1,60),ROW()-1,FALSE))</f>
        <v>8.5498021980000001</v>
      </c>
      <c r="BE158">
        <f ca="1">IF(AND(ISNUMBER($BE$364),$B$226=1),$BE$364,HLOOKUP(INDIRECT(ADDRESS(2,COLUMN())),OFFSET($BN$2,0,0,ROW()-1,60),ROW()-1,FALSE))</f>
        <v>11.62357886</v>
      </c>
      <c r="BF158">
        <f ca="1">IF(AND(ISNUMBER($BF$364),$B$226=1),$BF$364,HLOOKUP(INDIRECT(ADDRESS(2,COLUMN())),OFFSET($BN$2,0,0,ROW()-1,60),ROW()-1,FALSE))</f>
        <v>11.46762719</v>
      </c>
      <c r="BG158">
        <f ca="1">IF(AND(ISNUMBER($BG$364),$B$226=1),$BG$364,HLOOKUP(INDIRECT(ADDRESS(2,COLUMN())),OFFSET($BN$2,0,0,ROW()-1,60),ROW()-1,FALSE))</f>
        <v>7.5974752739999998</v>
      </c>
      <c r="BH158" t="str">
        <f ca="1">IF(AND(ISNUMBER($BH$364),$B$226=1),$BH$364,HLOOKUP(INDIRECT(ADDRESS(2,COLUMN())),OFFSET($BN$2,0,0,ROW()-1,60),ROW()-1,FALSE))</f>
        <v/>
      </c>
      <c r="BI158" t="str">
        <f ca="1">IF(AND(ISNUMBER($BI$364),$B$226=1),$BI$364,HLOOKUP(INDIRECT(ADDRESS(2,COLUMN())),OFFSET($BN$2,0,0,ROW()-1,60),ROW()-1,FALSE))</f>
        <v/>
      </c>
      <c r="BJ158" t="str">
        <f ca="1">IF(AND(ISNUMBER($BJ$364),$B$226=1),$BJ$364,HLOOKUP(INDIRECT(ADDRESS(2,COLUMN())),OFFSET($BN$2,0,0,ROW()-1,60),ROW()-1,FALSE))</f>
        <v/>
      </c>
      <c r="BK158" t="str">
        <f ca="1">IF(AND(ISNUMBER($BK$364),$B$226=1),$BK$364,HLOOKUP(INDIRECT(ADDRESS(2,COLUMN())),OFFSET($BN$2,0,0,ROW()-1,60),ROW()-1,FALSE))</f>
        <v/>
      </c>
      <c r="BL158" t="str">
        <f ca="1">IF(AND(ISNUMBER($BL$364),$B$226=1),$BL$364,HLOOKUP(INDIRECT(ADDRESS(2,COLUMN())),OFFSET($BN$2,0,0,ROW()-1,60),ROW()-1,FALSE))</f>
        <v/>
      </c>
      <c r="BM158" t="str">
        <f ca="1">IF(AND(ISNUMBER($BM$364),$B$226=1),$BM$364,HLOOKUP(INDIRECT(ADDRESS(2,COLUMN())),OFFSET($BN$2,0,0,ROW()-1,60),ROW()-1,FALSE))</f>
        <v/>
      </c>
      <c r="BN158" t="str">
        <f>""</f>
        <v/>
      </c>
      <c r="BO158">
        <f>8.01211943</f>
        <v>8.0121194300000003</v>
      </c>
      <c r="BP158">
        <f>7.849398445</f>
        <v>7.8493984450000003</v>
      </c>
      <c r="BQ158">
        <f>6.646766085</f>
        <v>6.6467660850000003</v>
      </c>
      <c r="BR158">
        <f>5.821773643</f>
        <v>5.8217736430000002</v>
      </c>
      <c r="BS158">
        <f>5.526999194</f>
        <v>5.5269991940000001</v>
      </c>
      <c r="BT158">
        <f>6.38118747</f>
        <v>6.3811874700000004</v>
      </c>
      <c r="BU158">
        <f>6.83969385</f>
        <v>6.8396938499999997</v>
      </c>
      <c r="BV158">
        <f>7.051906751</f>
        <v>7.0519067509999998</v>
      </c>
      <c r="BW158">
        <f>8.06219715</f>
        <v>8.0621971499999994</v>
      </c>
      <c r="BX158">
        <f>8.084575448</f>
        <v>8.0845754480000007</v>
      </c>
      <c r="BY158">
        <f>7.563832142</f>
        <v>7.5638321419999999</v>
      </c>
      <c r="BZ158">
        <f>7.585602013</f>
        <v>7.5856020129999999</v>
      </c>
      <c r="CA158">
        <f>8.374540455</f>
        <v>8.374540455</v>
      </c>
      <c r="CB158">
        <f>8.420469924</f>
        <v>8.4204699240000007</v>
      </c>
      <c r="CC158">
        <f>8.63762509</f>
        <v>8.6376250900000002</v>
      </c>
      <c r="CD158">
        <f>8.536959707</f>
        <v>8.5369597069999994</v>
      </c>
      <c r="CE158">
        <f>8.594445715</f>
        <v>8.5944457150000009</v>
      </c>
      <c r="CF158">
        <f>8.110298919</f>
        <v>8.1102989189999999</v>
      </c>
      <c r="CG158">
        <f>8.70546855</f>
        <v>8.7054685500000009</v>
      </c>
      <c r="CH158">
        <f>8.946964195</f>
        <v>8.9469641949999996</v>
      </c>
      <c r="CI158">
        <f>9.933652066</f>
        <v>9.9336520660000005</v>
      </c>
      <c r="CJ158">
        <f>9.159763669</f>
        <v>9.1597636690000002</v>
      </c>
      <c r="CK158">
        <f>8.305579097</f>
        <v>8.3055790970000007</v>
      </c>
      <c r="CL158">
        <f>7.809202754</f>
        <v>7.8092027540000002</v>
      </c>
      <c r="CM158">
        <f>7.672813625</f>
        <v>7.6728136249999999</v>
      </c>
      <c r="CN158">
        <f>6.696389716</f>
        <v>6.6963897159999997</v>
      </c>
      <c r="CO158">
        <f>6.596529948</f>
        <v>6.5965299479999997</v>
      </c>
      <c r="CP158">
        <f>7.351210707</f>
        <v>7.3512107069999999</v>
      </c>
      <c r="CQ158">
        <f>8.310492042</f>
        <v>8.3104920419999999</v>
      </c>
      <c r="CR158">
        <f>8.354520918</f>
        <v>8.3545209180000004</v>
      </c>
      <c r="CS158">
        <f>7.805837344</f>
        <v>7.8058373440000004</v>
      </c>
      <c r="CT158">
        <f>7.975776563</f>
        <v>7.9757765630000002</v>
      </c>
      <c r="CU158">
        <f>8.550785918</f>
        <v>8.5507859180000008</v>
      </c>
      <c r="CV158">
        <f>9.172852738</f>
        <v>9.1728527379999996</v>
      </c>
      <c r="CW158">
        <f>9.261376905</f>
        <v>9.2613769050000005</v>
      </c>
      <c r="CX158">
        <f>11.36417693</f>
        <v>11.364176929999999</v>
      </c>
      <c r="CY158">
        <f>12.97512524</f>
        <v>12.975125240000001</v>
      </c>
      <c r="CZ158">
        <f>14.90589759</f>
        <v>14.90589759</v>
      </c>
      <c r="DA158">
        <f>17.23217433</f>
        <v>17.232174329999999</v>
      </c>
      <c r="DB158">
        <f>8.539432622</f>
        <v>8.5394326219999996</v>
      </c>
      <c r="DC158">
        <f>9.223126178</f>
        <v>9.2231261779999993</v>
      </c>
      <c r="DD158">
        <f>10.76039507</f>
        <v>10.76039507</v>
      </c>
      <c r="DE158">
        <f>10.09022668</f>
        <v>10.090226680000001</v>
      </c>
      <c r="DF158">
        <f>10.29218147</f>
        <v>10.292181469999999</v>
      </c>
      <c r="DG158">
        <f>7.647431361</f>
        <v>7.6474313609999998</v>
      </c>
      <c r="DH158">
        <f>8.523250456</f>
        <v>8.5232504559999995</v>
      </c>
      <c r="DI158">
        <f>11.21555717</f>
        <v>11.21555717</v>
      </c>
      <c r="DJ158">
        <f>11.86067976</f>
        <v>11.86067976</v>
      </c>
      <c r="DK158">
        <f>7.927101737</f>
        <v>7.9271017370000001</v>
      </c>
      <c r="DL158">
        <f>8.549802198</f>
        <v>8.5498021980000001</v>
      </c>
      <c r="DM158">
        <f>11.62357886</f>
        <v>11.62357886</v>
      </c>
      <c r="DN158">
        <f>11.46762719</f>
        <v>11.46762719</v>
      </c>
      <c r="DO158">
        <f>7.597475274</f>
        <v>7.5974752739999998</v>
      </c>
      <c r="DP158" t="str">
        <f>""</f>
        <v/>
      </c>
      <c r="DQ158" t="str">
        <f>""</f>
        <v/>
      </c>
      <c r="DR158" t="str">
        <f>""</f>
        <v/>
      </c>
      <c r="DS158" t="str">
        <f>""</f>
        <v/>
      </c>
      <c r="DT158" t="str">
        <f>""</f>
        <v/>
      </c>
      <c r="DU158" t="str">
        <f>""</f>
        <v/>
      </c>
    </row>
    <row r="159" spans="1:125">
      <c r="A159" t="str">
        <f>"    AvalonBay Communities Inc"</f>
        <v xml:space="preserve">    AvalonBay Communities Inc</v>
      </c>
      <c r="B159" t="str">
        <f>"AVB US Equity"</f>
        <v>AVB US Equity</v>
      </c>
      <c r="C159" t="str">
        <f t="shared" si="51"/>
        <v>RR052</v>
      </c>
      <c r="D159" t="str">
        <f t="shared" si="52"/>
        <v>TOT_DEBT_TO_EBITDA</v>
      </c>
      <c r="E159" t="str">
        <f t="shared" si="53"/>
        <v>动态</v>
      </c>
      <c r="F159" t="str">
        <f ca="1">IF(AND(ISNUMBER($F$365),$B$226=1),$F$365,HLOOKUP(INDIRECT(ADDRESS(2,COLUMN())),OFFSET($BN$2,0,0,ROW()-1,60),ROW()-1,FALSE))</f>
        <v/>
      </c>
      <c r="G159">
        <f ca="1">IF(AND(ISNUMBER($G$365),$B$226=1),$G$365,HLOOKUP(INDIRECT(ADDRESS(2,COLUMN())),OFFSET($BN$2,0,0,ROW()-1,60),ROW()-1,FALSE))</f>
        <v>5.2672060729999997</v>
      </c>
      <c r="H159">
        <f ca="1">IF(AND(ISNUMBER($H$365),$B$226=1),$H$365,HLOOKUP(INDIRECT(ADDRESS(2,COLUMN())),OFFSET($BN$2,0,0,ROW()-1,60),ROW()-1,FALSE))</f>
        <v>5.2432457079999999</v>
      </c>
      <c r="I159">
        <f ca="1">IF(AND(ISNUMBER($I$365),$B$226=1),$I$365,HLOOKUP(INDIRECT(ADDRESS(2,COLUMN())),OFFSET($BN$2,0,0,ROW()-1,60),ROW()-1,FALSE))</f>
        <v>5.2488594669999999</v>
      </c>
      <c r="J159">
        <f ca="1">IF(AND(ISNUMBER($J$365),$B$226=1),$J$365,HLOOKUP(INDIRECT(ADDRESS(2,COLUMN())),OFFSET($BN$2,0,0,ROW()-1,60),ROW()-1,FALSE))</f>
        <v>5.3815254289999999</v>
      </c>
      <c r="K159">
        <f ca="1">IF(AND(ISNUMBER($K$365),$B$226=1),$K$365,HLOOKUP(INDIRECT(ADDRESS(2,COLUMN())),OFFSET($BN$2,0,0,ROW()-1,60),ROW()-1,FALSE))</f>
        <v>5.3661745869999997</v>
      </c>
      <c r="L159">
        <f ca="1">IF(AND(ISNUMBER($L$365),$B$226=1),$L$365,HLOOKUP(INDIRECT(ADDRESS(2,COLUMN())),OFFSET($BN$2,0,0,ROW()-1,60),ROW()-1,FALSE))</f>
        <v>5.3152761829999999</v>
      </c>
      <c r="M159">
        <f ca="1">IF(AND(ISNUMBER($M$365),$B$226=1),$M$365,HLOOKUP(INDIRECT(ADDRESS(2,COLUMN())),OFFSET($BN$2,0,0,ROW()-1,60),ROW()-1,FALSE))</f>
        <v>5.4870955930000003</v>
      </c>
      <c r="N159">
        <f ca="1">IF(AND(ISNUMBER($N$365),$B$226=1),$N$365,HLOOKUP(INDIRECT(ADDRESS(2,COLUMN())),OFFSET($BN$2,0,0,ROW()-1,60),ROW()-1,FALSE))</f>
        <v>5.2549115950000003</v>
      </c>
      <c r="O159">
        <f ca="1">IF(AND(ISNUMBER($O$365),$B$226=1),$O$365,HLOOKUP(INDIRECT(ADDRESS(2,COLUMN())),OFFSET($BN$2,0,0,ROW()-1,60),ROW()-1,FALSE))</f>
        <v>5.503434027</v>
      </c>
      <c r="P159">
        <f ca="1">IF(AND(ISNUMBER($P$365),$B$226=1),$P$365,HLOOKUP(INDIRECT(ADDRESS(2,COLUMN())),OFFSET($BN$2,0,0,ROW()-1,60),ROW()-1,FALSE))</f>
        <v>5.5203044309999996</v>
      </c>
      <c r="Q159">
        <f ca="1">IF(AND(ISNUMBER($Q$365),$B$226=1),$Q$365,HLOOKUP(INDIRECT(ADDRESS(2,COLUMN())),OFFSET($BN$2,0,0,ROW()-1,60),ROW()-1,FALSE))</f>
        <v>5.7287672489999997</v>
      </c>
      <c r="R159">
        <f ca="1">IF(AND(ISNUMBER($R$365),$B$226=1),$R$365,HLOOKUP(INDIRECT(ADDRESS(2,COLUMN())),OFFSET($BN$2,0,0,ROW()-1,60),ROW()-1,FALSE))</f>
        <v>6.0735386809999996</v>
      </c>
      <c r="S159">
        <f ca="1">IF(AND(ISNUMBER($S$365),$B$226=1),$S$365,HLOOKUP(INDIRECT(ADDRESS(2,COLUMN())),OFFSET($BN$2,0,0,ROW()-1,60),ROW()-1,FALSE))</f>
        <v>6.1073502309999999</v>
      </c>
      <c r="T159">
        <f ca="1">IF(AND(ISNUMBER($T$365),$B$226=1),$T$365,HLOOKUP(INDIRECT(ADDRESS(2,COLUMN())),OFFSET($BN$2,0,0,ROW()-1,60),ROW()-1,FALSE))</f>
        <v>6.01482852</v>
      </c>
      <c r="U159">
        <f ca="1">IF(AND(ISNUMBER($U$365),$B$226=1),$U$365,HLOOKUP(INDIRECT(ADDRESS(2,COLUMN())),OFFSET($BN$2,0,0,ROW()-1,60),ROW()-1,FALSE))</f>
        <v>6.2721412049999996</v>
      </c>
      <c r="V159">
        <f ca="1">IF(AND(ISNUMBER($V$365),$B$226=1),$V$365,HLOOKUP(INDIRECT(ADDRESS(2,COLUMN())),OFFSET($BN$2,0,0,ROW()-1,60),ROW()-1,FALSE))</f>
        <v>6.5131287279999999</v>
      </c>
      <c r="W159">
        <f ca="1">IF(AND(ISNUMBER($W$365),$B$226=1),$W$365,HLOOKUP(INDIRECT(ADDRESS(2,COLUMN())),OFFSET($BN$2,0,0,ROW()-1,60),ROW()-1,FALSE))</f>
        <v>6.9350904089999998</v>
      </c>
      <c r="X159">
        <f ca="1">IF(AND(ISNUMBER($X$365),$B$226=1),$X$365,HLOOKUP(INDIRECT(ADDRESS(2,COLUMN())),OFFSET($BN$2,0,0,ROW()-1,60),ROW()-1,FALSE))</f>
        <v>7.7724762780000001</v>
      </c>
      <c r="Y159">
        <f ca="1">IF(AND(ISNUMBER($Y$365),$B$226=1),$Y$365,HLOOKUP(INDIRECT(ADDRESS(2,COLUMN())),OFFSET($BN$2,0,0,ROW()-1,60),ROW()-1,FALSE))</f>
        <v>8.1804878120000009</v>
      </c>
      <c r="Z159">
        <f ca="1">IF(AND(ISNUMBER($Z$365),$B$226=1),$Z$365,HLOOKUP(INDIRECT(ADDRESS(2,COLUMN())),OFFSET($BN$2,0,0,ROW()-1,60),ROW()-1,FALSE))</f>
        <v>9.4438454709999995</v>
      </c>
      <c r="AA159">
        <f ca="1">IF(AND(ISNUMBER($AA$365),$B$226=1),$AA$365,HLOOKUP(INDIRECT(ADDRESS(2,COLUMN())),OFFSET($BN$2,0,0,ROW()-1,60),ROW()-1,FALSE))</f>
        <v>6.1593171870000001</v>
      </c>
      <c r="AB159">
        <f ca="1">IF(AND(ISNUMBER($AB$365),$B$226=1),$AB$365,HLOOKUP(INDIRECT(ADDRESS(2,COLUMN())),OFFSET($BN$2,0,0,ROW()-1,60),ROW()-1,FALSE))</f>
        <v>6.1916778309999998</v>
      </c>
      <c r="AC159">
        <f ca="1">IF(AND(ISNUMBER($AC$365),$B$226=1),$AC$365,HLOOKUP(INDIRECT(ADDRESS(2,COLUMN())),OFFSET($BN$2,0,0,ROW()-1,60),ROW()-1,FALSE))</f>
        <v>5.7789258759999997</v>
      </c>
      <c r="AD159">
        <f ca="1">IF(AND(ISNUMBER($AD$365),$B$226=1),$AD$365,HLOOKUP(INDIRECT(ADDRESS(2,COLUMN())),OFFSET($BN$2,0,0,ROW()-1,60),ROW()-1,FALSE))</f>
        <v>5.9117706730000004</v>
      </c>
      <c r="AE159">
        <f ca="1">IF(AND(ISNUMBER($AE$365),$B$226=1),$AE$365,HLOOKUP(INDIRECT(ADDRESS(2,COLUMN())),OFFSET($BN$2,0,0,ROW()-1,60),ROW()-1,FALSE))</f>
        <v>6.475353975</v>
      </c>
      <c r="AF159">
        <f ca="1">IF(AND(ISNUMBER($AF$365),$B$226=1),$AF$365,HLOOKUP(INDIRECT(ADDRESS(2,COLUMN())),OFFSET($BN$2,0,0,ROW()-1,60),ROW()-1,FALSE))</f>
        <v>6.9051761100000002</v>
      </c>
      <c r="AG159">
        <f ca="1">IF(AND(ISNUMBER($AG$365),$B$226=1),$AG$365,HLOOKUP(INDIRECT(ADDRESS(2,COLUMN())),OFFSET($BN$2,0,0,ROW()-1,60),ROW()-1,FALSE))</f>
        <v>7.3420030389999997</v>
      </c>
      <c r="AH159">
        <f ca="1">IF(AND(ISNUMBER($AH$365),$B$226=1),$AH$365,HLOOKUP(INDIRECT(ADDRESS(2,COLUMN())),OFFSET($BN$2,0,0,ROW()-1,60),ROW()-1,FALSE))</f>
        <v>7.6437188779999996</v>
      </c>
      <c r="AI159">
        <f ca="1">IF(AND(ISNUMBER($AI$365),$B$226=1),$AI$365,HLOOKUP(INDIRECT(ADDRESS(2,COLUMN())),OFFSET($BN$2,0,0,ROW()-1,60),ROW()-1,FALSE))</f>
        <v>7.7380474750000001</v>
      </c>
      <c r="AJ159">
        <f ca="1">IF(AND(ISNUMBER($AJ$365),$B$226=1),$AJ$365,HLOOKUP(INDIRECT(ADDRESS(2,COLUMN())),OFFSET($BN$2,0,0,ROW()-1,60),ROW()-1,FALSE))</f>
        <v>8.1636793000000001</v>
      </c>
      <c r="AK159">
        <f ca="1">IF(AND(ISNUMBER($AK$365),$B$226=1),$AK$365,HLOOKUP(INDIRECT(ADDRESS(2,COLUMN())),OFFSET($BN$2,0,0,ROW()-1,60),ROW()-1,FALSE))</f>
        <v>8.2693716500000001</v>
      </c>
      <c r="AL159">
        <f ca="1">IF(AND(ISNUMBER($AL$365),$B$226=1),$AL$365,HLOOKUP(INDIRECT(ADDRESS(2,COLUMN())),OFFSET($BN$2,0,0,ROW()-1,60),ROW()-1,FALSE))</f>
        <v>8.7151512610000008</v>
      </c>
      <c r="AM159">
        <f ca="1">IF(AND(ISNUMBER($AM$365),$B$226=1),$AM$365,HLOOKUP(INDIRECT(ADDRESS(2,COLUMN())),OFFSET($BN$2,0,0,ROW()-1,60),ROW()-1,FALSE))</f>
        <v>8.7661533980000002</v>
      </c>
      <c r="AN159">
        <f ca="1">IF(AND(ISNUMBER($AN$365),$B$226=1),$AN$365,HLOOKUP(INDIRECT(ADDRESS(2,COLUMN())),OFFSET($BN$2,0,0,ROW()-1,60),ROW()-1,FALSE))</f>
        <v>11.36264274</v>
      </c>
      <c r="AO159">
        <f ca="1">IF(AND(ISNUMBER($AO$365),$B$226=1),$AO$365,HLOOKUP(INDIRECT(ADDRESS(2,COLUMN())),OFFSET($BN$2,0,0,ROW()-1,60),ROW()-1,FALSE))</f>
        <v>9.06922739</v>
      </c>
      <c r="AP159">
        <f ca="1">IF(AND(ISNUMBER($AP$365),$B$226=1),$AP$365,HLOOKUP(INDIRECT(ADDRESS(2,COLUMN())),OFFSET($BN$2,0,0,ROW()-1,60),ROW()-1,FALSE))</f>
        <v>8.0048665440000004</v>
      </c>
      <c r="AQ159">
        <f ca="1">IF(AND(ISNUMBER($AQ$365),$B$226=1),$AQ$365,HLOOKUP(INDIRECT(ADDRESS(2,COLUMN())),OFFSET($BN$2,0,0,ROW()-1,60),ROW()-1,FALSE))</f>
        <v>7.6746015410000004</v>
      </c>
      <c r="AR159">
        <f ca="1">IF(AND(ISNUMBER($AR$365),$B$226=1),$AR$365,HLOOKUP(INDIRECT(ADDRESS(2,COLUMN())),OFFSET($BN$2,0,0,ROW()-1,60),ROW()-1,FALSE))</f>
        <v>6.2804055659999998</v>
      </c>
      <c r="AS159">
        <f ca="1">IF(AND(ISNUMBER($AS$365),$B$226=1),$AS$365,HLOOKUP(INDIRECT(ADDRESS(2,COLUMN())),OFFSET($BN$2,0,0,ROW()-1,60),ROW()-1,FALSE))</f>
        <v>7.1093016789999997</v>
      </c>
      <c r="AT159">
        <f ca="1">IF(AND(ISNUMBER($AT$365),$B$226=1),$AT$365,HLOOKUP(INDIRECT(ADDRESS(2,COLUMN())),OFFSET($BN$2,0,0,ROW()-1,60),ROW()-1,FALSE))</f>
        <v>7.8062903329999997</v>
      </c>
      <c r="AU159">
        <f ca="1">IF(AND(ISNUMBER($AU$365),$B$226=1),$AU$365,HLOOKUP(INDIRECT(ADDRESS(2,COLUMN())),OFFSET($BN$2,0,0,ROW()-1,60),ROW()-1,FALSE))</f>
        <v>6.8538144369999996</v>
      </c>
      <c r="AV159">
        <f ca="1">IF(AND(ISNUMBER($AV$365),$B$226=1),$AV$365,HLOOKUP(INDIRECT(ADDRESS(2,COLUMN())),OFFSET($BN$2,0,0,ROW()-1,60),ROW()-1,FALSE))</f>
        <v>6.6375969460000004</v>
      </c>
      <c r="AW159">
        <f ca="1">IF(AND(ISNUMBER($AW$365),$B$226=1),$AW$365,HLOOKUP(INDIRECT(ADDRESS(2,COLUMN())),OFFSET($BN$2,0,0,ROW()-1,60),ROW()-1,FALSE))</f>
        <v>6.4802258879999997</v>
      </c>
      <c r="AX159">
        <f ca="1">IF(AND(ISNUMBER($AX$365),$B$226=1),$AX$365,HLOOKUP(INDIRECT(ADDRESS(2,COLUMN())),OFFSET($BN$2,0,0,ROW()-1,60),ROW()-1,FALSE))</f>
        <v>6.3721788899999998</v>
      </c>
      <c r="AY159">
        <f ca="1">IF(AND(ISNUMBER($AY$365),$B$226=1),$AY$365,HLOOKUP(INDIRECT(ADDRESS(2,COLUMN())),OFFSET($BN$2,0,0,ROW()-1,60),ROW()-1,FALSE))</f>
        <v>6.5295111659999998</v>
      </c>
      <c r="AZ159">
        <f ca="1">IF(AND(ISNUMBER($AZ$365),$B$226=1),$AZ$365,HLOOKUP(INDIRECT(ADDRESS(2,COLUMN())),OFFSET($BN$2,0,0,ROW()-1,60),ROW()-1,FALSE))</f>
        <v>6.3293367380000003</v>
      </c>
      <c r="BA159">
        <f ca="1">IF(AND(ISNUMBER($BA$365),$B$226=1),$BA$365,HLOOKUP(INDIRECT(ADDRESS(2,COLUMN())),OFFSET($BN$2,0,0,ROW()-1,60),ROW()-1,FALSE))</f>
        <v>5.7353628890000001</v>
      </c>
      <c r="BB159">
        <f ca="1">IF(AND(ISNUMBER($BB$365),$B$226=1),$BB$365,HLOOKUP(INDIRECT(ADDRESS(2,COLUMN())),OFFSET($BN$2,0,0,ROW()-1,60),ROW()-1,FALSE))</f>
        <v>5.6895025300000004</v>
      </c>
      <c r="BC159">
        <f ca="1">IF(AND(ISNUMBER($BC$365),$B$226=1),$BC$365,HLOOKUP(INDIRECT(ADDRESS(2,COLUMN())),OFFSET($BN$2,0,0,ROW()-1,60),ROW()-1,FALSE))</f>
        <v>5.9781342359999998</v>
      </c>
      <c r="BD159">
        <f ca="1">IF(AND(ISNUMBER($BD$365),$B$226=1),$BD$365,HLOOKUP(INDIRECT(ADDRESS(2,COLUMN())),OFFSET($BN$2,0,0,ROW()-1,60),ROW()-1,FALSE))</f>
        <v>6.279685304</v>
      </c>
      <c r="BE159">
        <f ca="1">IF(AND(ISNUMBER($BE$365),$B$226=1),$BE$365,HLOOKUP(INDIRECT(ADDRESS(2,COLUMN())),OFFSET($BN$2,0,0,ROW()-1,60),ROW()-1,FALSE))</f>
        <v>6.4372870620000002</v>
      </c>
      <c r="BF159">
        <f ca="1">IF(AND(ISNUMBER($BF$365),$B$226=1),$BF$365,HLOOKUP(INDIRECT(ADDRESS(2,COLUMN())),OFFSET($BN$2,0,0,ROW()-1,60),ROW()-1,FALSE))</f>
        <v>6.4291520899999997</v>
      </c>
      <c r="BG159">
        <f ca="1">IF(AND(ISNUMBER($BG$365),$B$226=1),$BG$365,HLOOKUP(INDIRECT(ADDRESS(2,COLUMN())),OFFSET($BN$2,0,0,ROW()-1,60),ROW()-1,FALSE))</f>
        <v>6.648334631</v>
      </c>
      <c r="BH159">
        <f ca="1">IF(AND(ISNUMBER($BH$365),$B$226=1),$BH$365,HLOOKUP(INDIRECT(ADDRESS(2,COLUMN())),OFFSET($BN$2,0,0,ROW()-1,60),ROW()-1,FALSE))</f>
        <v>6.7672437910000003</v>
      </c>
      <c r="BI159">
        <f ca="1">IF(AND(ISNUMBER($BI$365),$B$226=1),$BI$365,HLOOKUP(INDIRECT(ADDRESS(2,COLUMN())),OFFSET($BN$2,0,0,ROW()-1,60),ROW()-1,FALSE))</f>
        <v>6.6112938400000001</v>
      </c>
      <c r="BJ159">
        <f ca="1">IF(AND(ISNUMBER($BJ$365),$B$226=1),$BJ$365,HLOOKUP(INDIRECT(ADDRESS(2,COLUMN())),OFFSET($BN$2,0,0,ROW()-1,60),ROW()-1,FALSE))</f>
        <v>6.5629657789999998</v>
      </c>
      <c r="BK159">
        <f ca="1">IF(AND(ISNUMBER($BK$365),$B$226=1),$BK$365,HLOOKUP(INDIRECT(ADDRESS(2,COLUMN())),OFFSET($BN$2,0,0,ROW()-1,60),ROW()-1,FALSE))</f>
        <v>6.3566156810000001</v>
      </c>
      <c r="BL159">
        <f ca="1">IF(AND(ISNUMBER($BL$365),$B$226=1),$BL$365,HLOOKUP(INDIRECT(ADDRESS(2,COLUMN())),OFFSET($BN$2,0,0,ROW()-1,60),ROW()-1,FALSE))</f>
        <v>6.596035563</v>
      </c>
      <c r="BM159">
        <f ca="1">IF(AND(ISNUMBER($BM$365),$B$226=1),$BM$365,HLOOKUP(INDIRECT(ADDRESS(2,COLUMN())),OFFSET($BN$2,0,0,ROW()-1,60),ROW()-1,FALSE))</f>
        <v>6.8935144020000001</v>
      </c>
      <c r="BN159" t="str">
        <f>""</f>
        <v/>
      </c>
      <c r="BO159">
        <f>5.267206073</f>
        <v>5.2672060729999997</v>
      </c>
      <c r="BP159">
        <f>5.243245708</f>
        <v>5.2432457079999999</v>
      </c>
      <c r="BQ159">
        <f>5.248859467</f>
        <v>5.2488594669999999</v>
      </c>
      <c r="BR159">
        <f>5.381525429</f>
        <v>5.3815254289999999</v>
      </c>
      <c r="BS159">
        <f>5.366174587</f>
        <v>5.3661745869999997</v>
      </c>
      <c r="BT159">
        <f>5.315276183</f>
        <v>5.3152761829999999</v>
      </c>
      <c r="BU159">
        <f>5.487095593</f>
        <v>5.4870955930000003</v>
      </c>
      <c r="BV159">
        <f>5.254911595</f>
        <v>5.2549115950000003</v>
      </c>
      <c r="BW159">
        <f>5.503434027</f>
        <v>5.503434027</v>
      </c>
      <c r="BX159">
        <f>5.520304431</f>
        <v>5.5203044309999996</v>
      </c>
      <c r="BY159">
        <f>5.728767249</f>
        <v>5.7287672489999997</v>
      </c>
      <c r="BZ159">
        <f>6.073538681</f>
        <v>6.0735386809999996</v>
      </c>
      <c r="CA159">
        <f>6.107350231</f>
        <v>6.1073502309999999</v>
      </c>
      <c r="CB159">
        <f>6.01482852</f>
        <v>6.01482852</v>
      </c>
      <c r="CC159">
        <f>6.272141205</f>
        <v>6.2721412049999996</v>
      </c>
      <c r="CD159">
        <f>6.513128728</f>
        <v>6.5131287279999999</v>
      </c>
      <c r="CE159">
        <f>6.935090409</f>
        <v>6.9350904089999998</v>
      </c>
      <c r="CF159">
        <f>7.772476278</f>
        <v>7.7724762780000001</v>
      </c>
      <c r="CG159">
        <f>8.180487812</f>
        <v>8.1804878120000009</v>
      </c>
      <c r="CH159">
        <f>9.443845471</f>
        <v>9.4438454709999995</v>
      </c>
      <c r="CI159">
        <f>6.159317187</f>
        <v>6.1593171870000001</v>
      </c>
      <c r="CJ159">
        <f>6.191677831</f>
        <v>6.1916778309999998</v>
      </c>
      <c r="CK159">
        <f>5.778925876</f>
        <v>5.7789258759999997</v>
      </c>
      <c r="CL159">
        <f>5.911770673</f>
        <v>5.9117706730000004</v>
      </c>
      <c r="CM159">
        <f>6.475353975</f>
        <v>6.475353975</v>
      </c>
      <c r="CN159">
        <f>6.90517611</f>
        <v>6.9051761100000002</v>
      </c>
      <c r="CO159">
        <f>7.342003039</f>
        <v>7.3420030389999997</v>
      </c>
      <c r="CP159">
        <f>7.643718878</f>
        <v>7.6437188779999996</v>
      </c>
      <c r="CQ159">
        <f>7.738047475</f>
        <v>7.7380474750000001</v>
      </c>
      <c r="CR159">
        <f>8.1636793</f>
        <v>8.1636793000000001</v>
      </c>
      <c r="CS159">
        <f>8.26937165</f>
        <v>8.2693716500000001</v>
      </c>
      <c r="CT159">
        <f>8.715151261</f>
        <v>8.7151512610000008</v>
      </c>
      <c r="CU159">
        <f>8.766153398</f>
        <v>8.7661533980000002</v>
      </c>
      <c r="CV159">
        <f>11.36264274</f>
        <v>11.36264274</v>
      </c>
      <c r="CW159">
        <f>9.06922739</f>
        <v>9.06922739</v>
      </c>
      <c r="CX159">
        <f>8.004866544</f>
        <v>8.0048665440000004</v>
      </c>
      <c r="CY159">
        <f>7.674601541</f>
        <v>7.6746015410000004</v>
      </c>
      <c r="CZ159">
        <f>6.280405566</f>
        <v>6.2804055659999998</v>
      </c>
      <c r="DA159">
        <f>7.109301679</f>
        <v>7.1093016789999997</v>
      </c>
      <c r="DB159">
        <f>7.806290333</f>
        <v>7.8062903329999997</v>
      </c>
      <c r="DC159">
        <f>6.853814437</f>
        <v>6.8538144369999996</v>
      </c>
      <c r="DD159">
        <f>6.637596946</f>
        <v>6.6375969460000004</v>
      </c>
      <c r="DE159">
        <f>6.480225888</f>
        <v>6.4802258879999997</v>
      </c>
      <c r="DF159">
        <f>6.37217889</f>
        <v>6.3721788899999998</v>
      </c>
      <c r="DG159">
        <f>6.529511166</f>
        <v>6.5295111659999998</v>
      </c>
      <c r="DH159">
        <f>6.329336738</f>
        <v>6.3293367380000003</v>
      </c>
      <c r="DI159">
        <f>5.735362889</f>
        <v>5.7353628890000001</v>
      </c>
      <c r="DJ159">
        <f>5.68950253</f>
        <v>5.6895025300000004</v>
      </c>
      <c r="DK159">
        <f>5.978134236</f>
        <v>5.9781342359999998</v>
      </c>
      <c r="DL159">
        <f>6.279685304</f>
        <v>6.279685304</v>
      </c>
      <c r="DM159">
        <f>6.437287062</f>
        <v>6.4372870620000002</v>
      </c>
      <c r="DN159">
        <f>6.42915209</f>
        <v>6.4291520899999997</v>
      </c>
      <c r="DO159">
        <f>6.648334631</f>
        <v>6.648334631</v>
      </c>
      <c r="DP159">
        <f>6.767243791</f>
        <v>6.7672437910000003</v>
      </c>
      <c r="DQ159">
        <f>6.61129384</f>
        <v>6.6112938400000001</v>
      </c>
      <c r="DR159">
        <f>6.562965779</f>
        <v>6.5629657789999998</v>
      </c>
      <c r="DS159">
        <f>6.356615681</f>
        <v>6.3566156810000001</v>
      </c>
      <c r="DT159">
        <f>6.596035563</f>
        <v>6.596035563</v>
      </c>
      <c r="DU159">
        <f>6.893514402</f>
        <v>6.8935144020000001</v>
      </c>
    </row>
    <row r="160" spans="1:125">
      <c r="A160" t="str">
        <f>"    Camden Property Trust"</f>
        <v xml:space="preserve">    Camden Property Trust</v>
      </c>
      <c r="B160" t="str">
        <f>"CPT US Equity"</f>
        <v>CPT US Equity</v>
      </c>
      <c r="C160" t="str">
        <f t="shared" si="51"/>
        <v>RR052</v>
      </c>
      <c r="D160" t="str">
        <f t="shared" si="52"/>
        <v>TOT_DEBT_TO_EBITDA</v>
      </c>
      <c r="E160" t="str">
        <f t="shared" si="53"/>
        <v>动态</v>
      </c>
      <c r="F160" t="str">
        <f ca="1">IF(AND(ISNUMBER($F$366),$B$226=1),$F$366,HLOOKUP(INDIRECT(ADDRESS(2,COLUMN())),OFFSET($BN$2,0,0,ROW()-1,60),ROW()-1,FALSE))</f>
        <v/>
      </c>
      <c r="G160">
        <f ca="1">IF(AND(ISNUMBER($G$366),$B$226=1),$G$366,HLOOKUP(INDIRECT(ADDRESS(2,COLUMN())),OFFSET($BN$2,0,0,ROW()-1,60),ROW()-1,FALSE))</f>
        <v>4.4086052469999997</v>
      </c>
      <c r="H160">
        <f ca="1">IF(AND(ISNUMBER($H$366),$B$226=1),$H$366,HLOOKUP(INDIRECT(ADDRESS(2,COLUMN())),OFFSET($BN$2,0,0,ROW()-1,60),ROW()-1,FALSE))</f>
        <v>4.4607282059999998</v>
      </c>
      <c r="I160">
        <f ca="1">IF(AND(ISNUMBER($I$366),$B$226=1),$I$366,HLOOKUP(INDIRECT(ADDRESS(2,COLUMN())),OFFSET($BN$2,0,0,ROW()-1,60),ROW()-1,FALSE))</f>
        <v>4.6469083810000003</v>
      </c>
      <c r="J160">
        <f ca="1">IF(AND(ISNUMBER($J$366),$B$226=1),$J$366,HLOOKUP(INDIRECT(ADDRESS(2,COLUMN())),OFFSET($BN$2,0,0,ROW()-1,60),ROW()-1,FALSE))</f>
        <v>4.9531528580000002</v>
      </c>
      <c r="K160">
        <f ca="1">IF(AND(ISNUMBER($K$366),$B$226=1),$K$366,HLOOKUP(INDIRECT(ADDRESS(2,COLUMN())),OFFSET($BN$2,0,0,ROW()-1,60),ROW()-1,FALSE))</f>
        <v>5.0055451519999998</v>
      </c>
      <c r="L160">
        <f ca="1">IF(AND(ISNUMBER($L$366),$B$226=1),$L$366,HLOOKUP(INDIRECT(ADDRESS(2,COLUMN())),OFFSET($BN$2,0,0,ROW()-1,60),ROW()-1,FALSE))</f>
        <v>5.1603270989999999</v>
      </c>
      <c r="M160">
        <f ca="1">IF(AND(ISNUMBER($M$366),$B$226=1),$M$366,HLOOKUP(INDIRECT(ADDRESS(2,COLUMN())),OFFSET($BN$2,0,0,ROW()-1,60),ROW()-1,FALSE))</f>
        <v>5.1183758519999998</v>
      </c>
      <c r="N160">
        <f ca="1">IF(AND(ISNUMBER($N$366),$B$226=1),$N$366,HLOOKUP(INDIRECT(ADDRESS(2,COLUMN())),OFFSET($BN$2,0,0,ROW()-1,60),ROW()-1,FALSE))</f>
        <v>5.8485060579999999</v>
      </c>
      <c r="O160">
        <f ca="1">IF(AND(ISNUMBER($O$366),$B$226=1),$O$366,HLOOKUP(INDIRECT(ADDRESS(2,COLUMN())),OFFSET($BN$2,0,0,ROW()-1,60),ROW()-1,FALSE))</f>
        <v>5.7627037269999999</v>
      </c>
      <c r="P160">
        <f ca="1">IF(AND(ISNUMBER($P$366),$B$226=1),$P$366,HLOOKUP(INDIRECT(ADDRESS(2,COLUMN())),OFFSET($BN$2,0,0,ROW()-1,60),ROW()-1,FALSE))</f>
        <v>5.693439519</v>
      </c>
      <c r="Q160">
        <f ca="1">IF(AND(ISNUMBER($Q$366),$B$226=1),$Q$366,HLOOKUP(INDIRECT(ADDRESS(2,COLUMN())),OFFSET($BN$2,0,0,ROW()-1,60),ROW()-1,FALSE))</f>
        <v>5.7117624820000001</v>
      </c>
      <c r="R160">
        <f ca="1">IF(AND(ISNUMBER($R$366),$B$226=1),$R$366,HLOOKUP(INDIRECT(ADDRESS(2,COLUMN())),OFFSET($BN$2,0,0,ROW()-1,60),ROW()-1,FALSE))</f>
        <v>5.8100883230000004</v>
      </c>
      <c r="S160">
        <f ca="1">IF(AND(ISNUMBER($S$366),$B$226=1),$S$366,HLOOKUP(INDIRECT(ADDRESS(2,COLUMN())),OFFSET($BN$2,0,0,ROW()-1,60),ROW()-1,FALSE))</f>
        <v>5.8307186399999997</v>
      </c>
      <c r="T160">
        <f ca="1">IF(AND(ISNUMBER($T$366),$B$226=1),$T$366,HLOOKUP(INDIRECT(ADDRESS(2,COLUMN())),OFFSET($BN$2,0,0,ROW()-1,60),ROW()-1,FALSE))</f>
        <v>5.7969692100000003</v>
      </c>
      <c r="U160">
        <f ca="1">IF(AND(ISNUMBER($U$366),$B$226=1),$U$366,HLOOKUP(INDIRECT(ADDRESS(2,COLUMN())),OFFSET($BN$2,0,0,ROW()-1,60),ROW()-1,FALSE))</f>
        <v>5.7636575920000004</v>
      </c>
      <c r="V160">
        <f ca="1">IF(AND(ISNUMBER($V$366),$B$226=1),$V$366,HLOOKUP(INDIRECT(ADDRESS(2,COLUMN())),OFFSET($BN$2,0,0,ROW()-1,60),ROW()-1,FALSE))</f>
        <v>5.6046543839999998</v>
      </c>
      <c r="W160">
        <f ca="1">IF(AND(ISNUMBER($W$366),$B$226=1),$W$366,HLOOKUP(INDIRECT(ADDRESS(2,COLUMN())),OFFSET($BN$2,0,0,ROW()-1,60),ROW()-1,FALSE))</f>
        <v>5.5991760859999999</v>
      </c>
      <c r="X160">
        <f ca="1">IF(AND(ISNUMBER($X$366),$B$226=1),$X$366,HLOOKUP(INDIRECT(ADDRESS(2,COLUMN())),OFFSET($BN$2,0,0,ROW()-1,60),ROW()-1,FALSE))</f>
        <v>6.0769562280000002</v>
      </c>
      <c r="Y160">
        <f ca="1">IF(AND(ISNUMBER($Y$366),$B$226=1),$Y$366,HLOOKUP(INDIRECT(ADDRESS(2,COLUMN())),OFFSET($BN$2,0,0,ROW()-1,60),ROW()-1,FALSE))</f>
        <v>5.8982434899999996</v>
      </c>
      <c r="Z160">
        <f ca="1">IF(AND(ISNUMBER($Z$366),$B$226=1),$Z$366,HLOOKUP(INDIRECT(ADDRESS(2,COLUMN())),OFFSET($BN$2,0,0,ROW()-1,60),ROW()-1,FALSE))</f>
        <v>5.9311528180000002</v>
      </c>
      <c r="AA160">
        <f ca="1">IF(AND(ISNUMBER($AA$366),$B$226=1),$AA$366,HLOOKUP(INDIRECT(ADDRESS(2,COLUMN())),OFFSET($BN$2,0,0,ROW()-1,60),ROW()-1,FALSE))</f>
        <v>6.1728670699999997</v>
      </c>
      <c r="AB160">
        <f ca="1">IF(AND(ISNUMBER($AB$366),$B$226=1),$AB$366,HLOOKUP(INDIRECT(ADDRESS(2,COLUMN())),OFFSET($BN$2,0,0,ROW()-1,60),ROW()-1,FALSE))</f>
        <v>6.1324730489999997</v>
      </c>
      <c r="AC160">
        <f ca="1">IF(AND(ISNUMBER($AC$366),$B$226=1),$AC$366,HLOOKUP(INDIRECT(ADDRESS(2,COLUMN())),OFFSET($BN$2,0,0,ROW()-1,60),ROW()-1,FALSE))</f>
        <v>6.4115988249999996</v>
      </c>
      <c r="AD160">
        <f ca="1">IF(AND(ISNUMBER($AD$366),$B$226=1),$AD$366,HLOOKUP(INDIRECT(ADDRESS(2,COLUMN())),OFFSET($BN$2,0,0,ROW()-1,60),ROW()-1,FALSE))</f>
        <v>6.7637627250000003</v>
      </c>
      <c r="AE160">
        <f ca="1">IF(AND(ISNUMBER($AE$366),$B$226=1),$AE$366,HLOOKUP(INDIRECT(ADDRESS(2,COLUMN())),OFFSET($BN$2,0,0,ROW()-1,60),ROW()-1,FALSE))</f>
        <v>7.0432916609999996</v>
      </c>
      <c r="AF160">
        <f ca="1">IF(AND(ISNUMBER($AF$366),$B$226=1),$AF$366,HLOOKUP(INDIRECT(ADDRESS(2,COLUMN())),OFFSET($BN$2,0,0,ROW()-1,60),ROW()-1,FALSE))</f>
        <v>7.2225721710000004</v>
      </c>
      <c r="AG160">
        <f ca="1">IF(AND(ISNUMBER($AG$366),$B$226=1),$AG$366,HLOOKUP(INDIRECT(ADDRESS(2,COLUMN())),OFFSET($BN$2,0,0,ROW()-1,60),ROW()-1,FALSE))</f>
        <v>7.3975255139999998</v>
      </c>
      <c r="AH160">
        <f ca="1">IF(AND(ISNUMBER($AH$366),$B$226=1),$AH$366,HLOOKUP(INDIRECT(ADDRESS(2,COLUMN())),OFFSET($BN$2,0,0,ROW()-1,60),ROW()-1,FALSE))</f>
        <v>7.7046087170000002</v>
      </c>
      <c r="AI160">
        <f ca="1">IF(AND(ISNUMBER($AI$366),$B$226=1),$AI$366,HLOOKUP(INDIRECT(ADDRESS(2,COLUMN())),OFFSET($BN$2,0,0,ROW()-1,60),ROW()-1,FALSE))</f>
        <v>8.1216270159999997</v>
      </c>
      <c r="AJ160">
        <f ca="1">IF(AND(ISNUMBER($AJ$366),$B$226=1),$AJ$366,HLOOKUP(INDIRECT(ADDRESS(2,COLUMN())),OFFSET($BN$2,0,0,ROW()-1,60),ROW()-1,FALSE))</f>
        <v>11.07071253</v>
      </c>
      <c r="AK160">
        <f ca="1">IF(AND(ISNUMBER($AK$366),$B$226=1),$AK$366,HLOOKUP(INDIRECT(ADDRESS(2,COLUMN())),OFFSET($BN$2,0,0,ROW()-1,60),ROW()-1,FALSE))</f>
        <v>11.18938095</v>
      </c>
      <c r="AL160">
        <f ca="1">IF(AND(ISNUMBER($AL$366),$B$226=1),$AL$366,HLOOKUP(INDIRECT(ADDRESS(2,COLUMN())),OFFSET($BN$2,0,0,ROW()-1,60),ROW()-1,FALSE))</f>
        <v>10.987890780000001</v>
      </c>
      <c r="AM160">
        <f ca="1">IF(AND(ISNUMBER($AM$366),$B$226=1),$AM$366,HLOOKUP(INDIRECT(ADDRESS(2,COLUMN())),OFFSET($BN$2,0,0,ROW()-1,60),ROW()-1,FALSE))</f>
        <v>10.90266836</v>
      </c>
      <c r="AN160">
        <f ca="1">IF(AND(ISNUMBER($AN$366),$B$226=1),$AN$366,HLOOKUP(INDIRECT(ADDRESS(2,COLUMN())),OFFSET($BN$2,0,0,ROW()-1,60),ROW()-1,FALSE))</f>
        <v>7.9943810979999999</v>
      </c>
      <c r="AO160">
        <f ca="1">IF(AND(ISNUMBER($AO$366),$B$226=1),$AO$366,HLOOKUP(INDIRECT(ADDRESS(2,COLUMN())),OFFSET($BN$2,0,0,ROW()-1,60),ROW()-1,FALSE))</f>
        <v>8.1898485169999997</v>
      </c>
      <c r="AP160">
        <f ca="1">IF(AND(ISNUMBER($AP$366),$B$226=1),$AP$366,HLOOKUP(INDIRECT(ADDRESS(2,COLUMN())),OFFSET($BN$2,0,0,ROW()-1,60),ROW()-1,FALSE))</f>
        <v>8.5608148140000004</v>
      </c>
      <c r="AQ160">
        <f ca="1">IF(AND(ISNUMBER($AQ$366),$B$226=1),$AQ$366,HLOOKUP(INDIRECT(ADDRESS(2,COLUMN())),OFFSET($BN$2,0,0,ROW()-1,60),ROW()-1,FALSE))</f>
        <v>8.5743399109999991</v>
      </c>
      <c r="AR160">
        <f ca="1">IF(AND(ISNUMBER($AR$366),$B$226=1),$AR$366,HLOOKUP(INDIRECT(ADDRESS(2,COLUMN())),OFFSET($BN$2,0,0,ROW()-1,60),ROW()-1,FALSE))</f>
        <v>9.1431384040000001</v>
      </c>
      <c r="AS160">
        <f ca="1">IF(AND(ISNUMBER($AS$366),$B$226=1),$AS$366,HLOOKUP(INDIRECT(ADDRESS(2,COLUMN())),OFFSET($BN$2,0,0,ROW()-1,60),ROW()-1,FALSE))</f>
        <v>9.3967046770000007</v>
      </c>
      <c r="AT160">
        <f ca="1">IF(AND(ISNUMBER($AT$366),$B$226=1),$AT$366,HLOOKUP(INDIRECT(ADDRESS(2,COLUMN())),OFFSET($BN$2,0,0,ROW()-1,60),ROW()-1,FALSE))</f>
        <v>9.2242108129999991</v>
      </c>
      <c r="AU160">
        <f ca="1">IF(AND(ISNUMBER($AU$366),$B$226=1),$AU$366,HLOOKUP(INDIRECT(ADDRESS(2,COLUMN())),OFFSET($BN$2,0,0,ROW()-1,60),ROW()-1,FALSE))</f>
        <v>9.2336093510000001</v>
      </c>
      <c r="AV160">
        <f ca="1">IF(AND(ISNUMBER($AV$366),$B$226=1),$AV$366,HLOOKUP(INDIRECT(ADDRESS(2,COLUMN())),OFFSET($BN$2,0,0,ROW()-1,60),ROW()-1,FALSE))</f>
        <v>8.4813769969999999</v>
      </c>
      <c r="AW160">
        <f ca="1">IF(AND(ISNUMBER($AW$366),$B$226=1),$AW$366,HLOOKUP(INDIRECT(ADDRESS(2,COLUMN())),OFFSET($BN$2,0,0,ROW()-1,60),ROW()-1,FALSE))</f>
        <v>8.0430666849999994</v>
      </c>
      <c r="AX160">
        <f ca="1">IF(AND(ISNUMBER($AX$366),$B$226=1),$AX$366,HLOOKUP(INDIRECT(ADDRESS(2,COLUMN())),OFFSET($BN$2,0,0,ROW()-1,60),ROW()-1,FALSE))</f>
        <v>7.5940580569999998</v>
      </c>
      <c r="AY160">
        <f ca="1">IF(AND(ISNUMBER($AY$366),$B$226=1),$AY$366,HLOOKUP(INDIRECT(ADDRESS(2,COLUMN())),OFFSET($BN$2,0,0,ROW()-1,60),ROW()-1,FALSE))</f>
        <v>7.189224308</v>
      </c>
      <c r="AZ160">
        <f ca="1">IF(AND(ISNUMBER($AZ$366),$B$226=1),$AZ$366,HLOOKUP(INDIRECT(ADDRESS(2,COLUMN())),OFFSET($BN$2,0,0,ROW()-1,60),ROW()-1,FALSE))</f>
        <v>7.0964583020000003</v>
      </c>
      <c r="BA160">
        <f ca="1">IF(AND(ISNUMBER($BA$366),$B$226=1),$BA$366,HLOOKUP(INDIRECT(ADDRESS(2,COLUMN())),OFFSET($BN$2,0,0,ROW()-1,60),ROW()-1,FALSE))</f>
        <v>8.1775548610000008</v>
      </c>
      <c r="BB160">
        <f ca="1">IF(AND(ISNUMBER($BB$366),$B$226=1),$BB$366,HLOOKUP(INDIRECT(ADDRESS(2,COLUMN())),OFFSET($BN$2,0,0,ROW()-1,60),ROW()-1,FALSE))</f>
        <v>8.9367411299999997</v>
      </c>
      <c r="BC160">
        <f ca="1">IF(AND(ISNUMBER($BC$366),$B$226=1),$BC$366,HLOOKUP(INDIRECT(ADDRESS(2,COLUMN())),OFFSET($BN$2,0,0,ROW()-1,60),ROW()-1,FALSE))</f>
        <v>8.5429778370000005</v>
      </c>
      <c r="BD160">
        <f ca="1">IF(AND(ISNUMBER($BD$366),$B$226=1),$BD$366,HLOOKUP(INDIRECT(ADDRESS(2,COLUMN())),OFFSET($BN$2,0,0,ROW()-1,60),ROW()-1,FALSE))</f>
        <v>8.9570867310000004</v>
      </c>
      <c r="BE160">
        <f ca="1">IF(AND(ISNUMBER($BE$366),$B$226=1),$BE$366,HLOOKUP(INDIRECT(ADDRESS(2,COLUMN())),OFFSET($BN$2,0,0,ROW()-1,60),ROW()-1,FALSE))</f>
        <v>9.4705226870000008</v>
      </c>
      <c r="BF160">
        <f ca="1">IF(AND(ISNUMBER($BF$366),$B$226=1),$BF$366,HLOOKUP(INDIRECT(ADDRESS(2,COLUMN())),OFFSET($BN$2,0,0,ROW()-1,60),ROW()-1,FALSE))</f>
        <v>10.43508711</v>
      </c>
      <c r="BG160">
        <f ca="1">IF(AND(ISNUMBER($BG$366),$B$226=1),$BG$366,HLOOKUP(INDIRECT(ADDRESS(2,COLUMN())),OFFSET($BN$2,0,0,ROW()-1,60),ROW()-1,FALSE))</f>
        <v>6.745941094</v>
      </c>
      <c r="BH160">
        <f ca="1">IF(AND(ISNUMBER($BH$366),$B$226=1),$BH$366,HLOOKUP(INDIRECT(ADDRESS(2,COLUMN())),OFFSET($BN$2,0,0,ROW()-1,60),ROW()-1,FALSE))</f>
        <v>6.7679589499999997</v>
      </c>
      <c r="BI160">
        <f ca="1">IF(AND(ISNUMBER($BI$366),$B$226=1),$BI$366,HLOOKUP(INDIRECT(ADDRESS(2,COLUMN())),OFFSET($BN$2,0,0,ROW()-1,60),ROW()-1,FALSE))</f>
        <v>6.6497146750000002</v>
      </c>
      <c r="BJ160">
        <f ca="1">IF(AND(ISNUMBER($BJ$366),$B$226=1),$BJ$366,HLOOKUP(INDIRECT(ADDRESS(2,COLUMN())),OFFSET($BN$2,0,0,ROW()-1,60),ROW()-1,FALSE))</f>
        <v>6.5771215840000004</v>
      </c>
      <c r="BK160">
        <f ca="1">IF(AND(ISNUMBER($BK$366),$B$226=1),$BK$366,HLOOKUP(INDIRECT(ADDRESS(2,COLUMN())),OFFSET($BN$2,0,0,ROW()-1,60),ROW()-1,FALSE))</f>
        <v>6.7745912969999997</v>
      </c>
      <c r="BL160">
        <f ca="1">IF(AND(ISNUMBER($BL$366),$B$226=1),$BL$366,HLOOKUP(INDIRECT(ADDRESS(2,COLUMN())),OFFSET($BN$2,0,0,ROW()-1,60),ROW()-1,FALSE))</f>
        <v>6.8012642830000001</v>
      </c>
      <c r="BM160">
        <f ca="1">IF(AND(ISNUMBER($BM$366),$B$226=1),$BM$366,HLOOKUP(INDIRECT(ADDRESS(2,COLUMN())),OFFSET($BN$2,0,0,ROW()-1,60),ROW()-1,FALSE))</f>
        <v>6.7007629480000004</v>
      </c>
      <c r="BN160" t="str">
        <f>""</f>
        <v/>
      </c>
      <c r="BO160">
        <f>4.408605247</f>
        <v>4.4086052469999997</v>
      </c>
      <c r="BP160">
        <f>4.460728206</f>
        <v>4.4607282059999998</v>
      </c>
      <c r="BQ160">
        <f>4.646908381</f>
        <v>4.6469083810000003</v>
      </c>
      <c r="BR160">
        <f>4.953152858</f>
        <v>4.9531528580000002</v>
      </c>
      <c r="BS160">
        <f>5.005545152</f>
        <v>5.0055451519999998</v>
      </c>
      <c r="BT160">
        <f>5.160327099</f>
        <v>5.1603270989999999</v>
      </c>
      <c r="BU160">
        <f>5.118375852</f>
        <v>5.1183758519999998</v>
      </c>
      <c r="BV160">
        <f>5.848506058</f>
        <v>5.8485060579999999</v>
      </c>
      <c r="BW160">
        <f>5.762703727</f>
        <v>5.7627037269999999</v>
      </c>
      <c r="BX160">
        <f>5.693439519</f>
        <v>5.693439519</v>
      </c>
      <c r="BY160">
        <f>5.711762482</f>
        <v>5.7117624820000001</v>
      </c>
      <c r="BZ160">
        <f>5.810088323</f>
        <v>5.8100883230000004</v>
      </c>
      <c r="CA160">
        <f>5.83071864</f>
        <v>5.8307186399999997</v>
      </c>
      <c r="CB160">
        <f>5.79696921</f>
        <v>5.7969692100000003</v>
      </c>
      <c r="CC160">
        <f>5.763657592</f>
        <v>5.7636575920000004</v>
      </c>
      <c r="CD160">
        <f>5.604654384</f>
        <v>5.6046543839999998</v>
      </c>
      <c r="CE160">
        <f>5.599176086</f>
        <v>5.5991760859999999</v>
      </c>
      <c r="CF160">
        <f>6.076956228</f>
        <v>6.0769562280000002</v>
      </c>
      <c r="CG160">
        <f>5.89824349</f>
        <v>5.8982434899999996</v>
      </c>
      <c r="CH160">
        <f>5.931152818</f>
        <v>5.9311528180000002</v>
      </c>
      <c r="CI160">
        <f>6.17286707</f>
        <v>6.1728670699999997</v>
      </c>
      <c r="CJ160">
        <f>6.132473049</f>
        <v>6.1324730489999997</v>
      </c>
      <c r="CK160">
        <f>6.411598825</f>
        <v>6.4115988249999996</v>
      </c>
      <c r="CL160">
        <f>6.763762725</f>
        <v>6.7637627250000003</v>
      </c>
      <c r="CM160">
        <f>7.043291661</f>
        <v>7.0432916609999996</v>
      </c>
      <c r="CN160">
        <f>7.222572171</f>
        <v>7.2225721710000004</v>
      </c>
      <c r="CO160">
        <f>7.397525514</f>
        <v>7.3975255139999998</v>
      </c>
      <c r="CP160">
        <f>7.704608717</f>
        <v>7.7046087170000002</v>
      </c>
      <c r="CQ160">
        <f>8.121627016</f>
        <v>8.1216270159999997</v>
      </c>
      <c r="CR160">
        <f>11.07071253</f>
        <v>11.07071253</v>
      </c>
      <c r="CS160">
        <f>11.18938095</f>
        <v>11.18938095</v>
      </c>
      <c r="CT160">
        <f>10.98789078</f>
        <v>10.987890780000001</v>
      </c>
      <c r="CU160">
        <f>10.90266836</f>
        <v>10.90266836</v>
      </c>
      <c r="CV160">
        <f>7.994381098</f>
        <v>7.9943810979999999</v>
      </c>
      <c r="CW160">
        <f>8.189848517</f>
        <v>8.1898485169999997</v>
      </c>
      <c r="CX160">
        <f>8.560814814</f>
        <v>8.5608148140000004</v>
      </c>
      <c r="CY160">
        <f>8.574339911</f>
        <v>8.5743399109999991</v>
      </c>
      <c r="CZ160">
        <f>9.143138404</f>
        <v>9.1431384040000001</v>
      </c>
      <c r="DA160">
        <f>9.396704677</f>
        <v>9.3967046770000007</v>
      </c>
      <c r="DB160">
        <f>9.224210813</f>
        <v>9.2242108129999991</v>
      </c>
      <c r="DC160">
        <f>9.233609351</f>
        <v>9.2336093510000001</v>
      </c>
      <c r="DD160">
        <f>8.481376997</f>
        <v>8.4813769969999999</v>
      </c>
      <c r="DE160">
        <f>8.043066685</f>
        <v>8.0430666849999994</v>
      </c>
      <c r="DF160">
        <f>7.594058057</f>
        <v>7.5940580569999998</v>
      </c>
      <c r="DG160">
        <f>7.189224308</f>
        <v>7.189224308</v>
      </c>
      <c r="DH160">
        <f>7.096458302</f>
        <v>7.0964583020000003</v>
      </c>
      <c r="DI160">
        <f>8.177554861</f>
        <v>8.1775548610000008</v>
      </c>
      <c r="DJ160">
        <f>8.93674113</f>
        <v>8.9367411299999997</v>
      </c>
      <c r="DK160">
        <f>8.542977837</f>
        <v>8.5429778370000005</v>
      </c>
      <c r="DL160">
        <f>8.957086731</f>
        <v>8.9570867310000004</v>
      </c>
      <c r="DM160">
        <f>9.470522687</f>
        <v>9.4705226870000008</v>
      </c>
      <c r="DN160">
        <f>10.43508711</f>
        <v>10.43508711</v>
      </c>
      <c r="DO160">
        <f>6.745941094</f>
        <v>6.745941094</v>
      </c>
      <c r="DP160">
        <f>6.76795895</f>
        <v>6.7679589499999997</v>
      </c>
      <c r="DQ160">
        <f>6.649714675</f>
        <v>6.6497146750000002</v>
      </c>
      <c r="DR160">
        <f>6.577121584</f>
        <v>6.5771215840000004</v>
      </c>
      <c r="DS160">
        <f>6.774591297</f>
        <v>6.7745912969999997</v>
      </c>
      <c r="DT160">
        <f>6.801264283</f>
        <v>6.8012642830000001</v>
      </c>
      <c r="DU160">
        <f>6.700762948</f>
        <v>6.7007629480000004</v>
      </c>
    </row>
    <row r="161" spans="1:125">
      <c r="A161" t="str">
        <f>"    Education Realty Trust Inc"</f>
        <v xml:space="preserve">    Education Realty Trust Inc</v>
      </c>
      <c r="B161" t="str">
        <f>"EDR US Equity"</f>
        <v>EDR US Equity</v>
      </c>
      <c r="C161" t="str">
        <f t="shared" si="51"/>
        <v>RR052</v>
      </c>
      <c r="D161" t="str">
        <f t="shared" si="52"/>
        <v>TOT_DEBT_TO_EBITDA</v>
      </c>
      <c r="E161" t="str">
        <f t="shared" si="53"/>
        <v>动态</v>
      </c>
      <c r="F161" t="str">
        <f ca="1">IF(AND(ISNUMBER($F$367),$B$226=1),$F$367,HLOOKUP(INDIRECT(ADDRESS(2,COLUMN())),OFFSET($BN$2,0,0,ROW()-1,60),ROW()-1,FALSE))</f>
        <v/>
      </c>
      <c r="G161">
        <f ca="1">IF(AND(ISNUMBER($G$367),$B$226=1),$G$367,HLOOKUP(INDIRECT(ADDRESS(2,COLUMN())),OFFSET($BN$2,0,0,ROW()-1,60),ROW()-1,FALSE))</f>
        <v>5.8906804150000003</v>
      </c>
      <c r="H161">
        <f ca="1">IF(AND(ISNUMBER($H$367),$B$226=1),$H$367,HLOOKUP(INDIRECT(ADDRESS(2,COLUMN())),OFFSET($BN$2,0,0,ROW()-1,60),ROW()-1,FALSE))</f>
        <v>5.5985326110000004</v>
      </c>
      <c r="I161">
        <f ca="1">IF(AND(ISNUMBER($I$367),$B$226=1),$I$367,HLOOKUP(INDIRECT(ADDRESS(2,COLUMN())),OFFSET($BN$2,0,0,ROW()-1,60),ROW()-1,FALSE))</f>
        <v>5.7152492810000002</v>
      </c>
      <c r="J161">
        <f ca="1">IF(AND(ISNUMBER($J$367),$B$226=1),$J$367,HLOOKUP(INDIRECT(ADDRESS(2,COLUMN())),OFFSET($BN$2,0,0,ROW()-1,60),ROW()-1,FALSE))</f>
        <v>5.2843162299999999</v>
      </c>
      <c r="K161">
        <f ca="1">IF(AND(ISNUMBER($K$367),$B$226=1),$K$367,HLOOKUP(INDIRECT(ADDRESS(2,COLUMN())),OFFSET($BN$2,0,0,ROW()-1,60),ROW()-1,FALSE))</f>
        <v>3.963825596</v>
      </c>
      <c r="L161">
        <f ca="1">IF(AND(ISNUMBER($L$367),$B$226=1),$L$367,HLOOKUP(INDIRECT(ADDRESS(2,COLUMN())),OFFSET($BN$2,0,0,ROW()-1,60),ROW()-1,FALSE))</f>
        <v>3.8735467159999999</v>
      </c>
      <c r="M161">
        <f ca="1">IF(AND(ISNUMBER($M$367),$B$226=1),$M$367,HLOOKUP(INDIRECT(ADDRESS(2,COLUMN())),OFFSET($BN$2,0,0,ROW()-1,60),ROW()-1,FALSE))</f>
        <v>4.2681598259999998</v>
      </c>
      <c r="N161">
        <f ca="1">IF(AND(ISNUMBER($N$367),$B$226=1),$N$367,HLOOKUP(INDIRECT(ADDRESS(2,COLUMN())),OFFSET($BN$2,0,0,ROW()-1,60),ROW()-1,FALSE))</f>
        <v>4.5628999629999996</v>
      </c>
      <c r="O161">
        <f ca="1">IF(AND(ISNUMBER($O$367),$B$226=1),$O$367,HLOOKUP(INDIRECT(ADDRESS(2,COLUMN())),OFFSET($BN$2,0,0,ROW()-1,60),ROW()-1,FALSE))</f>
        <v>5.6484254089999997</v>
      </c>
      <c r="P161">
        <f ca="1">IF(AND(ISNUMBER($P$367),$B$226=1),$P$367,HLOOKUP(INDIRECT(ADDRESS(2,COLUMN())),OFFSET($BN$2,0,0,ROW()-1,60),ROW()-1,FALSE))</f>
        <v>8.2277253310000003</v>
      </c>
      <c r="Q161">
        <f ca="1">IF(AND(ISNUMBER($Q$367),$B$226=1),$Q$367,HLOOKUP(INDIRECT(ADDRESS(2,COLUMN())),OFFSET($BN$2,0,0,ROW()-1,60),ROW()-1,FALSE))</f>
        <v>7.6521851390000002</v>
      </c>
      <c r="R161">
        <f ca="1">IF(AND(ISNUMBER($R$367),$B$226=1),$R$367,HLOOKUP(INDIRECT(ADDRESS(2,COLUMN())),OFFSET($BN$2,0,0,ROW()-1,60),ROW()-1,FALSE))</f>
        <v>8.1801089230000006</v>
      </c>
      <c r="S161">
        <f ca="1">IF(AND(ISNUMBER($S$367),$B$226=1),$S$367,HLOOKUP(INDIRECT(ADDRESS(2,COLUMN())),OFFSET($BN$2,0,0,ROW()-1,60),ROW()-1,FALSE))</f>
        <v>8.5127963910000002</v>
      </c>
      <c r="T161">
        <f ca="1">IF(AND(ISNUMBER($T$367),$B$226=1),$T$367,HLOOKUP(INDIRECT(ADDRESS(2,COLUMN())),OFFSET($BN$2,0,0,ROW()-1,60),ROW()-1,FALSE))</f>
        <v>9.7179001469999999</v>
      </c>
      <c r="U161">
        <f ca="1">IF(AND(ISNUMBER($U$367),$B$226=1),$U$367,HLOOKUP(INDIRECT(ADDRESS(2,COLUMN())),OFFSET($BN$2,0,0,ROW()-1,60),ROW()-1,FALSE))</f>
        <v>8.7181476490000005</v>
      </c>
      <c r="V161">
        <f ca="1">IF(AND(ISNUMBER($V$367),$B$226=1),$V$367,HLOOKUP(INDIRECT(ADDRESS(2,COLUMN())),OFFSET($BN$2,0,0,ROW()-1,60),ROW()-1,FALSE))</f>
        <v>10.622659609999999</v>
      </c>
      <c r="W161">
        <f ca="1">IF(AND(ISNUMBER($W$367),$B$226=1),$W$367,HLOOKUP(INDIRECT(ADDRESS(2,COLUMN())),OFFSET($BN$2,0,0,ROW()-1,60),ROW()-1,FALSE))</f>
        <v>10.95117086</v>
      </c>
      <c r="X161">
        <f ca="1">IF(AND(ISNUMBER($X$367),$B$226=1),$X$367,HLOOKUP(INDIRECT(ADDRESS(2,COLUMN())),OFFSET($BN$2,0,0,ROW()-1,60),ROW()-1,FALSE))</f>
        <v>11.431252130000001</v>
      </c>
      <c r="Y161">
        <f ca="1">IF(AND(ISNUMBER($Y$367),$B$226=1),$Y$367,HLOOKUP(INDIRECT(ADDRESS(2,COLUMN())),OFFSET($BN$2,0,0,ROW()-1,60),ROW()-1,FALSE))</f>
        <v>9.7129963579999998</v>
      </c>
      <c r="Z161">
        <f ca="1">IF(AND(ISNUMBER($Z$367),$B$226=1),$Z$367,HLOOKUP(INDIRECT(ADDRESS(2,COLUMN())),OFFSET($BN$2,0,0,ROW()-1,60),ROW()-1,FALSE))</f>
        <v>9.8972161100000005</v>
      </c>
      <c r="AA161">
        <f ca="1">IF(AND(ISNUMBER($AA$367),$B$226=1),$AA$367,HLOOKUP(INDIRECT(ADDRESS(2,COLUMN())),OFFSET($BN$2,0,0,ROW()-1,60),ROW()-1,FALSE))</f>
        <v>9.8255505519999993</v>
      </c>
      <c r="AB161">
        <f ca="1">IF(AND(ISNUMBER($AB$367),$B$226=1),$AB$367,HLOOKUP(INDIRECT(ADDRESS(2,COLUMN())),OFFSET($BN$2,0,0,ROW()-1,60),ROW()-1,FALSE))</f>
        <v>6.9013629459999999</v>
      </c>
      <c r="AC161">
        <f ca="1">IF(AND(ISNUMBER($AC$367),$B$226=1),$AC$367,HLOOKUP(INDIRECT(ADDRESS(2,COLUMN())),OFFSET($BN$2,0,0,ROW()-1,60),ROW()-1,FALSE))</f>
        <v>7.4058680240000001</v>
      </c>
      <c r="AD161">
        <f ca="1">IF(AND(ISNUMBER($AD$367),$B$226=1),$AD$367,HLOOKUP(INDIRECT(ADDRESS(2,COLUMN())),OFFSET($BN$2,0,0,ROW()-1,60),ROW()-1,FALSE))</f>
        <v>7.3861176159999999</v>
      </c>
      <c r="AE161">
        <f ca="1">IF(AND(ISNUMBER($AE$367),$B$226=1),$AE$367,HLOOKUP(INDIRECT(ADDRESS(2,COLUMN())),OFFSET($BN$2,0,0,ROW()-1,60),ROW()-1,FALSE))</f>
        <v>8.2701792429999994</v>
      </c>
      <c r="AF161">
        <f ca="1">IF(AND(ISNUMBER($AF$367),$B$226=1),$AF$367,HLOOKUP(INDIRECT(ADDRESS(2,COLUMN())),OFFSET($BN$2,0,0,ROW()-1,60),ROW()-1,FALSE))</f>
        <v>8.5363832760000005</v>
      </c>
      <c r="AG161">
        <f ca="1">IF(AND(ISNUMBER($AG$367),$B$226=1),$AG$367,HLOOKUP(INDIRECT(ADDRESS(2,COLUMN())),OFFSET($BN$2,0,0,ROW()-1,60),ROW()-1,FALSE))</f>
        <v>8.2542648459999999</v>
      </c>
      <c r="AH161">
        <f ca="1">IF(AND(ISNUMBER($AH$367),$B$226=1),$AH$367,HLOOKUP(INDIRECT(ADDRESS(2,COLUMN())),OFFSET($BN$2,0,0,ROW()-1,60),ROW()-1,FALSE))</f>
        <v>8.6996951219999996</v>
      </c>
      <c r="AI161">
        <f ca="1">IF(AND(ISNUMBER($AI$367),$B$226=1),$AI$367,HLOOKUP(INDIRECT(ADDRESS(2,COLUMN())),OFFSET($BN$2,0,0,ROW()-1,60),ROW()-1,FALSE))</f>
        <v>9.8168191189999998</v>
      </c>
      <c r="AJ161">
        <f ca="1">IF(AND(ISNUMBER($AJ$367),$B$226=1),$AJ$367,HLOOKUP(INDIRECT(ADDRESS(2,COLUMN())),OFFSET($BN$2,0,0,ROW()-1,60),ROW()-1,FALSE))</f>
        <v>9.6012493370000005</v>
      </c>
      <c r="AK161">
        <f ca="1">IF(AND(ISNUMBER($AK$367),$B$226=1),$AK$367,HLOOKUP(INDIRECT(ADDRESS(2,COLUMN())),OFFSET($BN$2,0,0,ROW()-1,60),ROW()-1,FALSE))</f>
        <v>9.4895179689999996</v>
      </c>
      <c r="AL161">
        <f ca="1">IF(AND(ISNUMBER($AL$367),$B$226=1),$AL$367,HLOOKUP(INDIRECT(ADDRESS(2,COLUMN())),OFFSET($BN$2,0,0,ROW()-1,60),ROW()-1,FALSE))</f>
        <v>8.7030276999999998</v>
      </c>
      <c r="AM161">
        <f ca="1">IF(AND(ISNUMBER($AM$367),$B$226=1),$AM$367,HLOOKUP(INDIRECT(ADDRESS(2,COLUMN())),OFFSET($BN$2,0,0,ROW()-1,60),ROW()-1,FALSE))</f>
        <v>8.3588398640000001</v>
      </c>
      <c r="AN161">
        <f ca="1">IF(AND(ISNUMBER($AN$367),$B$226=1),$AN$367,HLOOKUP(INDIRECT(ADDRESS(2,COLUMN())),OFFSET($BN$2,0,0,ROW()-1,60),ROW()-1,FALSE))</f>
        <v>9.0545519300000006</v>
      </c>
      <c r="AO161">
        <f ca="1">IF(AND(ISNUMBER($AO$367),$B$226=1),$AO$367,HLOOKUP(INDIRECT(ADDRESS(2,COLUMN())),OFFSET($BN$2,0,0,ROW()-1,60),ROW()-1,FALSE))</f>
        <v>9.4551165909999995</v>
      </c>
      <c r="AP161">
        <f ca="1">IF(AND(ISNUMBER($AP$367),$B$226=1),$AP$367,HLOOKUP(INDIRECT(ADDRESS(2,COLUMN())),OFFSET($BN$2,0,0,ROW()-1,60),ROW()-1,FALSE))</f>
        <v>8.7674730200000006</v>
      </c>
      <c r="AQ161">
        <f ca="1">IF(AND(ISNUMBER($AQ$367),$B$226=1),$AQ$367,HLOOKUP(INDIRECT(ADDRESS(2,COLUMN())),OFFSET($BN$2,0,0,ROW()-1,60),ROW()-1,FALSE))</f>
        <v>8.6359571800000001</v>
      </c>
      <c r="AR161">
        <f ca="1">IF(AND(ISNUMBER($AR$367),$B$226=1),$AR$367,HLOOKUP(INDIRECT(ADDRESS(2,COLUMN())),OFFSET($BN$2,0,0,ROW()-1,60),ROW()-1,FALSE))</f>
        <v>8.4370912110000003</v>
      </c>
      <c r="AS161">
        <f ca="1">IF(AND(ISNUMBER($AS$367),$B$226=1),$AS$367,HLOOKUP(INDIRECT(ADDRESS(2,COLUMN())),OFFSET($BN$2,0,0,ROW()-1,60),ROW()-1,FALSE))</f>
        <v>8.4091083470000001</v>
      </c>
      <c r="AT161">
        <f ca="1">IF(AND(ISNUMBER($AT$367),$B$226=1),$AT$367,HLOOKUP(INDIRECT(ADDRESS(2,COLUMN())),OFFSET($BN$2,0,0,ROW()-1,60),ROW()-1,FALSE))</f>
        <v>8.3776833199999992</v>
      </c>
      <c r="AU161">
        <f ca="1">IF(AND(ISNUMBER($AU$367),$B$226=1),$AU$367,HLOOKUP(INDIRECT(ADDRESS(2,COLUMN())),OFFSET($BN$2,0,0,ROW()-1,60),ROW()-1,FALSE))</f>
        <v>8.4284795450000001</v>
      </c>
      <c r="AV161">
        <f ca="1">IF(AND(ISNUMBER($AV$367),$B$226=1),$AV$367,HLOOKUP(INDIRECT(ADDRESS(2,COLUMN())),OFFSET($BN$2,0,0,ROW()-1,60),ROW()-1,FALSE))</f>
        <v>8.187398688</v>
      </c>
      <c r="AW161">
        <f ca="1">IF(AND(ISNUMBER($AW$367),$B$226=1),$AW$367,HLOOKUP(INDIRECT(ADDRESS(2,COLUMN())),OFFSET($BN$2,0,0,ROW()-1,60),ROW()-1,FALSE))</f>
        <v>8.1286691260000001</v>
      </c>
      <c r="AX161">
        <f ca="1">IF(AND(ISNUMBER($AX$367),$B$226=1),$AX$367,HLOOKUP(INDIRECT(ADDRESS(2,COLUMN())),OFFSET($BN$2,0,0,ROW()-1,60),ROW()-1,FALSE))</f>
        <v>9.3683571390000004</v>
      </c>
      <c r="AY161">
        <f ca="1">IF(AND(ISNUMBER($AY$367),$B$226=1),$AY$367,HLOOKUP(INDIRECT(ADDRESS(2,COLUMN())),OFFSET($BN$2,0,0,ROW()-1,60),ROW()-1,FALSE))</f>
        <v>9.4304092669999999</v>
      </c>
      <c r="AZ161">
        <f ca="1">IF(AND(ISNUMBER($AZ$367),$B$226=1),$AZ$367,HLOOKUP(INDIRECT(ADDRESS(2,COLUMN())),OFFSET($BN$2,0,0,ROW()-1,60),ROW()-1,FALSE))</f>
        <v>10.074751170000001</v>
      </c>
      <c r="BA161">
        <f ca="1">IF(AND(ISNUMBER($BA$367),$B$226=1),$BA$367,HLOOKUP(INDIRECT(ADDRESS(2,COLUMN())),OFFSET($BN$2,0,0,ROW()-1,60),ROW()-1,FALSE))</f>
        <v>10.579601240000001</v>
      </c>
      <c r="BB161">
        <f ca="1">IF(AND(ISNUMBER($BB$367),$B$226=1),$BB$367,HLOOKUP(INDIRECT(ADDRESS(2,COLUMN())),OFFSET($BN$2,0,0,ROW()-1,60),ROW()-1,FALSE))</f>
        <v>11.375990829999999</v>
      </c>
      <c r="BC161">
        <f ca="1">IF(AND(ISNUMBER($BC$367),$B$226=1),$BC$367,HLOOKUP(INDIRECT(ADDRESS(2,COLUMN())),OFFSET($BN$2,0,0,ROW()-1,60),ROW()-1,FALSE))</f>
        <v>10.94778434</v>
      </c>
      <c r="BD161" t="str">
        <f ca="1">IF(AND(ISNUMBER($BD$367),$B$226=1),$BD$367,HLOOKUP(INDIRECT(ADDRESS(2,COLUMN())),OFFSET($BN$2,0,0,ROW()-1,60),ROW()-1,FALSE))</f>
        <v/>
      </c>
      <c r="BE161" t="str">
        <f ca="1">IF(AND(ISNUMBER($BE$367),$B$226=1),$BE$367,HLOOKUP(INDIRECT(ADDRESS(2,COLUMN())),OFFSET($BN$2,0,0,ROW()-1,60),ROW()-1,FALSE))</f>
        <v/>
      </c>
      <c r="BF161" t="str">
        <f ca="1">IF(AND(ISNUMBER($BF$367),$B$226=1),$BF$367,HLOOKUP(INDIRECT(ADDRESS(2,COLUMN())),OFFSET($BN$2,0,0,ROW()-1,60),ROW()-1,FALSE))</f>
        <v/>
      </c>
      <c r="BG161" t="str">
        <f ca="1">IF(AND(ISNUMBER($BG$367),$B$226=1),$BG$367,HLOOKUP(INDIRECT(ADDRESS(2,COLUMN())),OFFSET($BN$2,0,0,ROW()-1,60),ROW()-1,FALSE))</f>
        <v/>
      </c>
      <c r="BH161" t="str">
        <f ca="1">IF(AND(ISNUMBER($BH$367),$B$226=1),$BH$367,HLOOKUP(INDIRECT(ADDRESS(2,COLUMN())),OFFSET($BN$2,0,0,ROW()-1,60),ROW()-1,FALSE))</f>
        <v/>
      </c>
      <c r="BI161" t="str">
        <f ca="1">IF(AND(ISNUMBER($BI$367),$B$226=1),$BI$367,HLOOKUP(INDIRECT(ADDRESS(2,COLUMN())),OFFSET($BN$2,0,0,ROW()-1,60),ROW()-1,FALSE))</f>
        <v/>
      </c>
      <c r="BJ161" t="str">
        <f ca="1">IF(AND(ISNUMBER($BJ$367),$B$226=1),$BJ$367,HLOOKUP(INDIRECT(ADDRESS(2,COLUMN())),OFFSET($BN$2,0,0,ROW()-1,60),ROW()-1,FALSE))</f>
        <v/>
      </c>
      <c r="BK161" t="str">
        <f ca="1">IF(AND(ISNUMBER($BK$367),$B$226=1),$BK$367,HLOOKUP(INDIRECT(ADDRESS(2,COLUMN())),OFFSET($BN$2,0,0,ROW()-1,60),ROW()-1,FALSE))</f>
        <v/>
      </c>
      <c r="BL161" t="str">
        <f ca="1">IF(AND(ISNUMBER($BL$367),$B$226=1),$BL$367,HLOOKUP(INDIRECT(ADDRESS(2,COLUMN())),OFFSET($BN$2,0,0,ROW()-1,60),ROW()-1,FALSE))</f>
        <v/>
      </c>
      <c r="BM161" t="str">
        <f ca="1">IF(AND(ISNUMBER($BM$367),$B$226=1),$BM$367,HLOOKUP(INDIRECT(ADDRESS(2,COLUMN())),OFFSET($BN$2,0,0,ROW()-1,60),ROW()-1,FALSE))</f>
        <v/>
      </c>
      <c r="BN161" t="str">
        <f>""</f>
        <v/>
      </c>
      <c r="BO161">
        <f>5.890680415</f>
        <v>5.8906804150000003</v>
      </c>
      <c r="BP161">
        <f>5.598532611</f>
        <v>5.5985326110000004</v>
      </c>
      <c r="BQ161">
        <f>5.715249281</f>
        <v>5.7152492810000002</v>
      </c>
      <c r="BR161">
        <f>5.28431623</f>
        <v>5.2843162299999999</v>
      </c>
      <c r="BS161">
        <f>3.963825596</f>
        <v>3.963825596</v>
      </c>
      <c r="BT161">
        <f>3.873546716</f>
        <v>3.8735467159999999</v>
      </c>
      <c r="BU161">
        <f>4.268159826</f>
        <v>4.2681598259999998</v>
      </c>
      <c r="BV161">
        <f>4.562899963</f>
        <v>4.5628999629999996</v>
      </c>
      <c r="BW161">
        <f>5.648425409</f>
        <v>5.6484254089999997</v>
      </c>
      <c r="BX161">
        <f>8.227725331</f>
        <v>8.2277253310000003</v>
      </c>
      <c r="BY161">
        <f>7.652185139</f>
        <v>7.6521851390000002</v>
      </c>
      <c r="BZ161">
        <f>8.180108923</f>
        <v>8.1801089230000006</v>
      </c>
      <c r="CA161">
        <f>8.512796391</f>
        <v>8.5127963910000002</v>
      </c>
      <c r="CB161">
        <f>9.717900147</f>
        <v>9.7179001469999999</v>
      </c>
      <c r="CC161">
        <f>8.718147649</f>
        <v>8.7181476490000005</v>
      </c>
      <c r="CD161">
        <f>10.62265961</f>
        <v>10.622659609999999</v>
      </c>
      <c r="CE161">
        <f>10.95117086</f>
        <v>10.95117086</v>
      </c>
      <c r="CF161">
        <f>11.43125213</f>
        <v>11.431252130000001</v>
      </c>
      <c r="CG161">
        <f>9.712996358</f>
        <v>9.7129963579999998</v>
      </c>
      <c r="CH161">
        <f>9.89721611</f>
        <v>9.8972161100000005</v>
      </c>
      <c r="CI161">
        <f>9.825550552</f>
        <v>9.8255505519999993</v>
      </c>
      <c r="CJ161">
        <f>6.901362946</f>
        <v>6.9013629459999999</v>
      </c>
      <c r="CK161">
        <f>7.405868024</f>
        <v>7.4058680240000001</v>
      </c>
      <c r="CL161">
        <f>7.386117616</f>
        <v>7.3861176159999999</v>
      </c>
      <c r="CM161">
        <f>8.270179243</f>
        <v>8.2701792429999994</v>
      </c>
      <c r="CN161">
        <f>8.536383276</f>
        <v>8.5363832760000005</v>
      </c>
      <c r="CO161">
        <f>8.254264846</f>
        <v>8.2542648459999999</v>
      </c>
      <c r="CP161">
        <f>8.699695122</f>
        <v>8.6996951219999996</v>
      </c>
      <c r="CQ161">
        <f>9.816819119</f>
        <v>9.8168191189999998</v>
      </c>
      <c r="CR161">
        <f>9.601249337</f>
        <v>9.6012493370000005</v>
      </c>
      <c r="CS161">
        <f>9.489517969</f>
        <v>9.4895179689999996</v>
      </c>
      <c r="CT161">
        <f>8.7030277</f>
        <v>8.7030276999999998</v>
      </c>
      <c r="CU161">
        <f>8.358839864</f>
        <v>8.3588398640000001</v>
      </c>
      <c r="CV161">
        <f>9.05455193</f>
        <v>9.0545519300000006</v>
      </c>
      <c r="CW161">
        <f>9.455116591</f>
        <v>9.4551165909999995</v>
      </c>
      <c r="CX161">
        <f>8.76747302</f>
        <v>8.7674730200000006</v>
      </c>
      <c r="CY161">
        <f>8.63595718</f>
        <v>8.6359571800000001</v>
      </c>
      <c r="CZ161">
        <f>8.437091211</f>
        <v>8.4370912110000003</v>
      </c>
      <c r="DA161">
        <f>8.409108347</f>
        <v>8.4091083470000001</v>
      </c>
      <c r="DB161">
        <f>8.37768332</f>
        <v>8.3776833199999992</v>
      </c>
      <c r="DC161">
        <f>8.428479545</f>
        <v>8.4284795450000001</v>
      </c>
      <c r="DD161">
        <f>8.187398688</f>
        <v>8.187398688</v>
      </c>
      <c r="DE161">
        <f>8.128669126</f>
        <v>8.1286691260000001</v>
      </c>
      <c r="DF161">
        <f>9.368357139</f>
        <v>9.3683571390000004</v>
      </c>
      <c r="DG161">
        <f>9.430409267</f>
        <v>9.4304092669999999</v>
      </c>
      <c r="DH161">
        <f>10.07475117</f>
        <v>10.074751170000001</v>
      </c>
      <c r="DI161">
        <f>10.57960124</f>
        <v>10.579601240000001</v>
      </c>
      <c r="DJ161">
        <f>11.37599083</f>
        <v>11.375990829999999</v>
      </c>
      <c r="DK161">
        <f>10.94778434</f>
        <v>10.94778434</v>
      </c>
      <c r="DL161" t="str">
        <f>""</f>
        <v/>
      </c>
      <c r="DM161" t="str">
        <f>""</f>
        <v/>
      </c>
      <c r="DN161" t="str">
        <f>""</f>
        <v/>
      </c>
      <c r="DO161" t="str">
        <f>""</f>
        <v/>
      </c>
      <c r="DP161" t="str">
        <f>""</f>
        <v/>
      </c>
      <c r="DQ161" t="str">
        <f>""</f>
        <v/>
      </c>
      <c r="DR161" t="str">
        <f>""</f>
        <v/>
      </c>
      <c r="DS161" t="str">
        <f>""</f>
        <v/>
      </c>
      <c r="DT161" t="str">
        <f>""</f>
        <v/>
      </c>
      <c r="DU161" t="str">
        <f>""</f>
        <v/>
      </c>
    </row>
    <row r="162" spans="1:125">
      <c r="A162" t="str">
        <f>"    Equity Residential"</f>
        <v xml:space="preserve">    Equity Residential</v>
      </c>
      <c r="B162" t="str">
        <f>"EQR US Equity"</f>
        <v>EQR US Equity</v>
      </c>
      <c r="C162" t="str">
        <f t="shared" si="51"/>
        <v>RR052</v>
      </c>
      <c r="D162" t="str">
        <f t="shared" si="52"/>
        <v>TOT_DEBT_TO_EBITDA</v>
      </c>
      <c r="E162" t="str">
        <f t="shared" si="53"/>
        <v>动态</v>
      </c>
      <c r="F162" t="str">
        <f ca="1">IF(AND(ISNUMBER($F$368),$B$226=1),$F$368,HLOOKUP(INDIRECT(ADDRESS(2,COLUMN())),OFFSET($BN$2,0,0,ROW()-1,60),ROW()-1,FALSE))</f>
        <v/>
      </c>
      <c r="G162">
        <f ca="1">IF(AND(ISNUMBER($G$368),$B$226=1),$G$368,HLOOKUP(INDIRECT(ADDRESS(2,COLUMN())),OFFSET($BN$2,0,0,ROW()-1,60),ROW()-1,FALSE))</f>
        <v>5.6156874280000002</v>
      </c>
      <c r="H162">
        <f ca="1">IF(AND(ISNUMBER($H$368),$B$226=1),$H$368,HLOOKUP(INDIRECT(ADDRESS(2,COLUMN())),OFFSET($BN$2,0,0,ROW()-1,60),ROW()-1,FALSE))</f>
        <v>5.6886578859999997</v>
      </c>
      <c r="I162">
        <f ca="1">IF(AND(ISNUMBER($I$368),$B$226=1),$I$368,HLOOKUP(INDIRECT(ADDRESS(2,COLUMN())),OFFSET($BN$2,0,0,ROW()-1,60),ROW()-1,FALSE))</f>
        <v>5.7194468189999998</v>
      </c>
      <c r="J162">
        <f ca="1">IF(AND(ISNUMBER($J$368),$B$226=1),$J$368,HLOOKUP(INDIRECT(ADDRESS(2,COLUMN())),OFFSET($BN$2,0,0,ROW()-1,60),ROW()-1,FALSE))</f>
        <v>5.7280010519999998</v>
      </c>
      <c r="K162">
        <f ca="1">IF(AND(ISNUMBER($K$368),$B$226=1),$K$368,HLOOKUP(INDIRECT(ADDRESS(2,COLUMN())),OFFSET($BN$2,0,0,ROW()-1,60),ROW()-1,FALSE))</f>
        <v>5.7420661519999996</v>
      </c>
      <c r="L162">
        <f ca="1">IF(AND(ISNUMBER($L$368),$B$226=1),$L$368,HLOOKUP(INDIRECT(ADDRESS(2,COLUMN())),OFFSET($BN$2,0,0,ROW()-1,60),ROW()-1,FALSE))</f>
        <v>5.208346433</v>
      </c>
      <c r="M162">
        <f ca="1">IF(AND(ISNUMBER($M$368),$B$226=1),$M$368,HLOOKUP(INDIRECT(ADDRESS(2,COLUMN())),OFFSET($BN$2,0,0,ROW()-1,60),ROW()-1,FALSE))</f>
        <v>5.015914682</v>
      </c>
      <c r="N162">
        <f ca="1">IF(AND(ISNUMBER($N$368),$B$226=1),$N$368,HLOOKUP(INDIRECT(ADDRESS(2,COLUMN())),OFFSET($BN$2,0,0,ROW()-1,60),ROW()-1,FALSE))</f>
        <v>4.8905683639999999</v>
      </c>
      <c r="O162">
        <f ca="1">IF(AND(ISNUMBER($O$368),$B$226=1),$O$368,HLOOKUP(INDIRECT(ADDRESS(2,COLUMN())),OFFSET($BN$2,0,0,ROW()-1,60),ROW()-1,FALSE))</f>
        <v>6.1407218940000003</v>
      </c>
      <c r="P162">
        <f ca="1">IF(AND(ISNUMBER($P$368),$B$226=1),$P$368,HLOOKUP(INDIRECT(ADDRESS(2,COLUMN())),OFFSET($BN$2,0,0,ROW()-1,60),ROW()-1,FALSE))</f>
        <v>6.159095872</v>
      </c>
      <c r="Q162">
        <f ca="1">IF(AND(ISNUMBER($Q$368),$B$226=1),$Q$368,HLOOKUP(INDIRECT(ADDRESS(2,COLUMN())),OFFSET($BN$2,0,0,ROW()-1,60),ROW()-1,FALSE))</f>
        <v>6.2439779809999996</v>
      </c>
      <c r="R162">
        <f ca="1">IF(AND(ISNUMBER($R$368),$B$226=1),$R$368,HLOOKUP(INDIRECT(ADDRESS(2,COLUMN())),OFFSET($BN$2,0,0,ROW()-1,60),ROW()-1,FALSE))</f>
        <v>6.3435373889999997</v>
      </c>
      <c r="S162">
        <f ca="1">IF(AND(ISNUMBER($S$368),$B$226=1),$S$368,HLOOKUP(INDIRECT(ADDRESS(2,COLUMN())),OFFSET($BN$2,0,0,ROW()-1,60),ROW()-1,FALSE))</f>
        <v>6.4420145910000004</v>
      </c>
      <c r="T162">
        <f ca="1">IF(AND(ISNUMBER($T$368),$B$226=1),$T$368,HLOOKUP(INDIRECT(ADDRESS(2,COLUMN())),OFFSET($BN$2,0,0,ROW()-1,60),ROW()-1,FALSE))</f>
        <v>6.6627463809999998</v>
      </c>
      <c r="U162">
        <f ca="1">IF(AND(ISNUMBER($U$368),$B$226=1),$U$368,HLOOKUP(INDIRECT(ADDRESS(2,COLUMN())),OFFSET($BN$2,0,0,ROW()-1,60),ROW()-1,FALSE))</f>
        <v>6.8788899219999999</v>
      </c>
      <c r="V162">
        <f ca="1">IF(AND(ISNUMBER($V$368),$B$226=1),$V$368,HLOOKUP(INDIRECT(ADDRESS(2,COLUMN())),OFFSET($BN$2,0,0,ROW()-1,60),ROW()-1,FALSE))</f>
        <v>6.8945959810000002</v>
      </c>
      <c r="W162">
        <f ca="1">IF(AND(ISNUMBER($W$368),$B$226=1),$W$368,HLOOKUP(INDIRECT(ADDRESS(2,COLUMN())),OFFSET($BN$2,0,0,ROW()-1,60),ROW()-1,FALSE))</f>
        <v>7.0526842609999996</v>
      </c>
      <c r="X162">
        <f ca="1">IF(AND(ISNUMBER($X$368),$B$226=1),$X$368,HLOOKUP(INDIRECT(ADDRESS(2,COLUMN())),OFFSET($BN$2,0,0,ROW()-1,60),ROW()-1,FALSE))</f>
        <v>8.1456840150000005</v>
      </c>
      <c r="Y162">
        <f ca="1">IF(AND(ISNUMBER($Y$368),$B$226=1),$Y$368,HLOOKUP(INDIRECT(ADDRESS(2,COLUMN())),OFFSET($BN$2,0,0,ROW()-1,60),ROW()-1,FALSE))</f>
        <v>8.6970719370000005</v>
      </c>
      <c r="Z162">
        <f ca="1">IF(AND(ISNUMBER($Z$368),$B$226=1),$Z$368,HLOOKUP(INDIRECT(ADDRESS(2,COLUMN())),OFFSET($BN$2,0,0,ROW()-1,60),ROW()-1,FALSE))</f>
        <v>9.6917103129999997</v>
      </c>
      <c r="AA162">
        <f ca="1">IF(AND(ISNUMBER($AA$368),$B$226=1),$AA$368,HLOOKUP(INDIRECT(ADDRESS(2,COLUMN())),OFFSET($BN$2,0,0,ROW()-1,60),ROW()-1,FALSE))</f>
        <v>6.9957423070000004</v>
      </c>
      <c r="AB162">
        <f ca="1">IF(AND(ISNUMBER($AB$368),$B$226=1),$AB$368,HLOOKUP(INDIRECT(ADDRESS(2,COLUMN())),OFFSET($BN$2,0,0,ROW()-1,60),ROW()-1,FALSE))</f>
        <v>7.6001585479999996</v>
      </c>
      <c r="AC162">
        <f ca="1">IF(AND(ISNUMBER($AC$368),$B$226=1),$AC$368,HLOOKUP(INDIRECT(ADDRESS(2,COLUMN())),OFFSET($BN$2,0,0,ROW()-1,60),ROW()-1,FALSE))</f>
        <v>7.6790423780000001</v>
      </c>
      <c r="AD162">
        <f ca="1">IF(AND(ISNUMBER($AD$368),$B$226=1),$AD$368,HLOOKUP(INDIRECT(ADDRESS(2,COLUMN())),OFFSET($BN$2,0,0,ROW()-1,60),ROW()-1,FALSE))</f>
        <v>7.6948456140000001</v>
      </c>
      <c r="AE162">
        <f ca="1">IF(AND(ISNUMBER($AE$368),$B$226=1),$AE$368,HLOOKUP(INDIRECT(ADDRESS(2,COLUMN())),OFFSET($BN$2,0,0,ROW()-1,60),ROW()-1,FALSE))</f>
        <v>7.9748679610000002</v>
      </c>
      <c r="AF162">
        <f ca="1">IF(AND(ISNUMBER($AF$368),$B$226=1),$AF$368,HLOOKUP(INDIRECT(ADDRESS(2,COLUMN())),OFFSET($BN$2,0,0,ROW()-1,60),ROW()-1,FALSE))</f>
        <v>7.6641923199999997</v>
      </c>
      <c r="AG162">
        <f ca="1">IF(AND(ISNUMBER($AG$368),$B$226=1),$AG$368,HLOOKUP(INDIRECT(ADDRESS(2,COLUMN())),OFFSET($BN$2,0,0,ROW()-1,60),ROW()-1,FALSE))</f>
        <v>8.47992612</v>
      </c>
      <c r="AH162">
        <f ca="1">IF(AND(ISNUMBER($AH$368),$B$226=1),$AH$368,HLOOKUP(INDIRECT(ADDRESS(2,COLUMN())),OFFSET($BN$2,0,0,ROW()-1,60),ROW()-1,FALSE))</f>
        <v>8.8931908560000004</v>
      </c>
      <c r="AI162">
        <f ca="1">IF(AND(ISNUMBER($AI$368),$B$226=1),$AI$368,HLOOKUP(INDIRECT(ADDRESS(2,COLUMN())),OFFSET($BN$2,0,0,ROW()-1,60),ROW()-1,FALSE))</f>
        <v>9.3364717450000008</v>
      </c>
      <c r="AJ162">
        <f ca="1">IF(AND(ISNUMBER($AJ$368),$B$226=1),$AJ$368,HLOOKUP(INDIRECT(ADDRESS(2,COLUMN())),OFFSET($BN$2,0,0,ROW()-1,60),ROW()-1,FALSE))</f>
        <v>9.3094622999999999</v>
      </c>
      <c r="AK162">
        <f ca="1">IF(AND(ISNUMBER($AK$368),$B$226=1),$AK$368,HLOOKUP(INDIRECT(ADDRESS(2,COLUMN())),OFFSET($BN$2,0,0,ROW()-1,60),ROW()-1,FALSE))</f>
        <v>8.8442932459999994</v>
      </c>
      <c r="AL162">
        <f ca="1">IF(AND(ISNUMBER($AL$368),$B$226=1),$AL$368,HLOOKUP(INDIRECT(ADDRESS(2,COLUMN())),OFFSET($BN$2,0,0,ROW()-1,60),ROW()-1,FALSE))</f>
        <v>8.6695480749999998</v>
      </c>
      <c r="AM162">
        <f ca="1">IF(AND(ISNUMBER($AM$368),$B$226=1),$AM$368,HLOOKUP(INDIRECT(ADDRESS(2,COLUMN())),OFFSET($BN$2,0,0,ROW()-1,60),ROW()-1,FALSE))</f>
        <v>8.4214504419999994</v>
      </c>
      <c r="AN162">
        <f ca="1">IF(AND(ISNUMBER($AN$368),$B$226=1),$AN$368,HLOOKUP(INDIRECT(ADDRESS(2,COLUMN())),OFFSET($BN$2,0,0,ROW()-1,60),ROW()-1,FALSE))</f>
        <v>8.6102363820000001</v>
      </c>
      <c r="AO162">
        <f ca="1">IF(AND(ISNUMBER($AO$368),$B$226=1),$AO$368,HLOOKUP(INDIRECT(ADDRESS(2,COLUMN())),OFFSET($BN$2,0,0,ROW()-1,60),ROW()-1,FALSE))</f>
        <v>8.5548281179999996</v>
      </c>
      <c r="AP162">
        <f ca="1">IF(AND(ISNUMBER($AP$368),$B$226=1),$AP$368,HLOOKUP(INDIRECT(ADDRESS(2,COLUMN())),OFFSET($BN$2,0,0,ROW()-1,60),ROW()-1,FALSE))</f>
        <v>8.4546995169999999</v>
      </c>
      <c r="AQ162">
        <f ca="1">IF(AND(ISNUMBER($AQ$368),$B$226=1),$AQ$368,HLOOKUP(INDIRECT(ADDRESS(2,COLUMN())),OFFSET($BN$2,0,0,ROW()-1,60),ROW()-1,FALSE))</f>
        <v>8.7602564249999997</v>
      </c>
      <c r="AR162">
        <f ca="1">IF(AND(ISNUMBER($AR$368),$B$226=1),$AR$368,HLOOKUP(INDIRECT(ADDRESS(2,COLUMN())),OFFSET($BN$2,0,0,ROW()-1,60),ROW()-1,FALSE))</f>
        <v>8.3369000950000007</v>
      </c>
      <c r="AS162">
        <f ca="1">IF(AND(ISNUMBER($AS$368),$B$226=1),$AS$368,HLOOKUP(INDIRECT(ADDRESS(2,COLUMN())),OFFSET($BN$2,0,0,ROW()-1,60),ROW()-1,FALSE))</f>
        <v>8.2040412919999994</v>
      </c>
      <c r="AT162">
        <f ca="1">IF(AND(ISNUMBER($AT$368),$B$226=1),$AT$368,HLOOKUP(INDIRECT(ADDRESS(2,COLUMN())),OFFSET($BN$2,0,0,ROW()-1,60),ROW()-1,FALSE))</f>
        <v>8.2810131899999995</v>
      </c>
      <c r="AU162">
        <f ca="1">IF(AND(ISNUMBER($AU$368),$B$226=1),$AU$368,HLOOKUP(INDIRECT(ADDRESS(2,COLUMN())),OFFSET($BN$2,0,0,ROW()-1,60),ROW()-1,FALSE))</f>
        <v>8.0634280329999992</v>
      </c>
      <c r="AV162">
        <f ca="1">IF(AND(ISNUMBER($AV$368),$B$226=1),$AV$368,HLOOKUP(INDIRECT(ADDRESS(2,COLUMN())),OFFSET($BN$2,0,0,ROW()-1,60),ROW()-1,FALSE))</f>
        <v>8.5691506250000007</v>
      </c>
      <c r="AW162">
        <f ca="1">IF(AND(ISNUMBER($AW$368),$B$226=1),$AW$368,HLOOKUP(INDIRECT(ADDRESS(2,COLUMN())),OFFSET($BN$2,0,0,ROW()-1,60),ROW()-1,FALSE))</f>
        <v>8.4635004649999992</v>
      </c>
      <c r="AX162">
        <f ca="1">IF(AND(ISNUMBER($AX$368),$B$226=1),$AX$368,HLOOKUP(INDIRECT(ADDRESS(2,COLUMN())),OFFSET($BN$2,0,0,ROW()-1,60),ROW()-1,FALSE))</f>
        <v>7.6995252479999996</v>
      </c>
      <c r="AY162">
        <f ca="1">IF(AND(ISNUMBER($AY$368),$B$226=1),$AY$368,HLOOKUP(INDIRECT(ADDRESS(2,COLUMN())),OFFSET($BN$2,0,0,ROW()-1,60),ROW()-1,FALSE))</f>
        <v>7.3324409299999997</v>
      </c>
      <c r="AZ162">
        <f ca="1">IF(AND(ISNUMBER($AZ$368),$B$226=1),$AZ$368,HLOOKUP(INDIRECT(ADDRESS(2,COLUMN())),OFFSET($BN$2,0,0,ROW()-1,60),ROW()-1,FALSE))</f>
        <v>7.7069591099999997</v>
      </c>
      <c r="BA162">
        <f ca="1">IF(AND(ISNUMBER($BA$368),$B$226=1),$BA$368,HLOOKUP(INDIRECT(ADDRESS(2,COLUMN())),OFFSET($BN$2,0,0,ROW()-1,60),ROW()-1,FALSE))</f>
        <v>7.4107889460000003</v>
      </c>
      <c r="BB162">
        <f ca="1">IF(AND(ISNUMBER($BB$368),$B$226=1),$BB$368,HLOOKUP(INDIRECT(ADDRESS(2,COLUMN())),OFFSET($BN$2,0,0,ROW()-1,60),ROW()-1,FALSE))</f>
        <v>7.4922140219999998</v>
      </c>
      <c r="BC162">
        <f ca="1">IF(AND(ISNUMBER($BC$368),$B$226=1),$BC$368,HLOOKUP(INDIRECT(ADDRESS(2,COLUMN())),OFFSET($BN$2,0,0,ROW()-1,60),ROW()-1,FALSE))</f>
        <v>7.8530832699999999</v>
      </c>
      <c r="BD162">
        <f ca="1">IF(AND(ISNUMBER($BD$368),$B$226=1),$BD$368,HLOOKUP(INDIRECT(ADDRESS(2,COLUMN())),OFFSET($BN$2,0,0,ROW()-1,60),ROW()-1,FALSE))</f>
        <v>6.9365285170000002</v>
      </c>
      <c r="BE162">
        <f ca="1">IF(AND(ISNUMBER($BE$368),$B$226=1),$BE$368,HLOOKUP(INDIRECT(ADDRESS(2,COLUMN())),OFFSET($BN$2,0,0,ROW()-1,60),ROW()-1,FALSE))</f>
        <v>6.815355158</v>
      </c>
      <c r="BF162">
        <f ca="1">IF(AND(ISNUMBER($BF$368),$B$226=1),$BF$368,HLOOKUP(INDIRECT(ADDRESS(2,COLUMN())),OFFSET($BN$2,0,0,ROW()-1,60),ROW()-1,FALSE))</f>
        <v>7.2753988820000002</v>
      </c>
      <c r="BG162">
        <f ca="1">IF(AND(ISNUMBER($BG$368),$B$226=1),$BG$368,HLOOKUP(INDIRECT(ADDRESS(2,COLUMN())),OFFSET($BN$2,0,0,ROW()-1,60),ROW()-1,FALSE))</f>
        <v>7.2406930530000002</v>
      </c>
      <c r="BH162">
        <f ca="1">IF(AND(ISNUMBER($BH$368),$B$226=1),$BH$368,HLOOKUP(INDIRECT(ADDRESS(2,COLUMN())),OFFSET($BN$2,0,0,ROW()-1,60),ROW()-1,FALSE))</f>
        <v>7.2813879689999998</v>
      </c>
      <c r="BI162">
        <f ca="1">IF(AND(ISNUMBER($BI$368),$B$226=1),$BI$368,HLOOKUP(INDIRECT(ADDRESS(2,COLUMN())),OFFSET($BN$2,0,0,ROW()-1,60),ROW()-1,FALSE))</f>
        <v>7.1785358959999996</v>
      </c>
      <c r="BJ162">
        <f ca="1">IF(AND(ISNUMBER($BJ$368),$B$226=1),$BJ$368,HLOOKUP(INDIRECT(ADDRESS(2,COLUMN())),OFFSET($BN$2,0,0,ROW()-1,60),ROW()-1,FALSE))</f>
        <v>6.2799714680000003</v>
      </c>
      <c r="BK162">
        <f ca="1">IF(AND(ISNUMBER($BK$368),$B$226=1),$BK$368,HLOOKUP(INDIRECT(ADDRESS(2,COLUMN())),OFFSET($BN$2,0,0,ROW()-1,60),ROW()-1,FALSE))</f>
        <v>5.3208117179999999</v>
      </c>
      <c r="BL162">
        <f ca="1">IF(AND(ISNUMBER($BL$368),$B$226=1),$BL$368,HLOOKUP(INDIRECT(ADDRESS(2,COLUMN())),OFFSET($BN$2,0,0,ROW()-1,60),ROW()-1,FALSE))</f>
        <v>5.274330999</v>
      </c>
      <c r="BM162">
        <f ca="1">IF(AND(ISNUMBER($BM$368),$B$226=1),$BM$368,HLOOKUP(INDIRECT(ADDRESS(2,COLUMN())),OFFSET($BN$2,0,0,ROW()-1,60),ROW()-1,FALSE))</f>
        <v>5.3196742810000002</v>
      </c>
      <c r="BN162" t="str">
        <f>""</f>
        <v/>
      </c>
      <c r="BO162">
        <f>5.615687428</f>
        <v>5.6156874280000002</v>
      </c>
      <c r="BP162">
        <f>5.688657886</f>
        <v>5.6886578859999997</v>
      </c>
      <c r="BQ162">
        <f>5.719446819</f>
        <v>5.7194468189999998</v>
      </c>
      <c r="BR162">
        <f>5.728001052</f>
        <v>5.7280010519999998</v>
      </c>
      <c r="BS162">
        <f>5.742066152</f>
        <v>5.7420661519999996</v>
      </c>
      <c r="BT162">
        <f>5.208346433</f>
        <v>5.208346433</v>
      </c>
      <c r="BU162">
        <f>5.015914682</f>
        <v>5.015914682</v>
      </c>
      <c r="BV162">
        <f>4.890568364</f>
        <v>4.8905683639999999</v>
      </c>
      <c r="BW162">
        <f>6.140721894</f>
        <v>6.1407218940000003</v>
      </c>
      <c r="BX162">
        <f>6.159095872</f>
        <v>6.159095872</v>
      </c>
      <c r="BY162">
        <f>6.243977981</f>
        <v>6.2439779809999996</v>
      </c>
      <c r="BZ162">
        <f>6.343537389</f>
        <v>6.3435373889999997</v>
      </c>
      <c r="CA162">
        <f>6.442014591</f>
        <v>6.4420145910000004</v>
      </c>
      <c r="CB162">
        <f>6.662746381</f>
        <v>6.6627463809999998</v>
      </c>
      <c r="CC162">
        <f>6.878889922</f>
        <v>6.8788899219999999</v>
      </c>
      <c r="CD162">
        <f>6.894595981</f>
        <v>6.8945959810000002</v>
      </c>
      <c r="CE162">
        <f>7.052684261</f>
        <v>7.0526842609999996</v>
      </c>
      <c r="CF162">
        <f>8.145684015</f>
        <v>8.1456840150000005</v>
      </c>
      <c r="CG162">
        <f>8.697071937</f>
        <v>8.6970719370000005</v>
      </c>
      <c r="CH162">
        <f>9.691710313</f>
        <v>9.6917103129999997</v>
      </c>
      <c r="CI162">
        <f>6.995742307</f>
        <v>6.9957423070000004</v>
      </c>
      <c r="CJ162">
        <f>7.600158548</f>
        <v>7.6001585479999996</v>
      </c>
      <c r="CK162">
        <f>7.679042378</f>
        <v>7.6790423780000001</v>
      </c>
      <c r="CL162">
        <f>7.694845614</f>
        <v>7.6948456140000001</v>
      </c>
      <c r="CM162">
        <f>7.974867961</f>
        <v>7.9748679610000002</v>
      </c>
      <c r="CN162">
        <f>7.66419232</f>
        <v>7.6641923199999997</v>
      </c>
      <c r="CO162">
        <f>8.47992612</f>
        <v>8.47992612</v>
      </c>
      <c r="CP162">
        <f>8.893190856</f>
        <v>8.8931908560000004</v>
      </c>
      <c r="CQ162">
        <f>9.336471745</f>
        <v>9.3364717450000008</v>
      </c>
      <c r="CR162">
        <f>9.3094623</f>
        <v>9.3094622999999999</v>
      </c>
      <c r="CS162">
        <f>8.844293246</f>
        <v>8.8442932459999994</v>
      </c>
      <c r="CT162">
        <f>8.669548075</f>
        <v>8.6695480749999998</v>
      </c>
      <c r="CU162">
        <f>8.421450442</f>
        <v>8.4214504419999994</v>
      </c>
      <c r="CV162">
        <f>8.610236382</f>
        <v>8.6102363820000001</v>
      </c>
      <c r="CW162">
        <f>8.554828118</f>
        <v>8.5548281179999996</v>
      </c>
      <c r="CX162">
        <f>8.454699517</f>
        <v>8.4546995169999999</v>
      </c>
      <c r="CY162">
        <f>8.760256425</f>
        <v>8.7602564249999997</v>
      </c>
      <c r="CZ162">
        <f>8.336900095</f>
        <v>8.3369000950000007</v>
      </c>
      <c r="DA162">
        <f>8.204041292</f>
        <v>8.2040412919999994</v>
      </c>
      <c r="DB162">
        <f>8.28101319</f>
        <v>8.2810131899999995</v>
      </c>
      <c r="DC162">
        <f>8.063428033</f>
        <v>8.0634280329999992</v>
      </c>
      <c r="DD162">
        <f>8.569150625</f>
        <v>8.5691506250000007</v>
      </c>
      <c r="DE162">
        <f>8.463500465</f>
        <v>8.4635004649999992</v>
      </c>
      <c r="DF162">
        <f>7.699525248</f>
        <v>7.6995252479999996</v>
      </c>
      <c r="DG162">
        <f>7.33244093</f>
        <v>7.3324409299999997</v>
      </c>
      <c r="DH162">
        <f>7.70695911</f>
        <v>7.7069591099999997</v>
      </c>
      <c r="DI162">
        <f>7.410788946</f>
        <v>7.4107889460000003</v>
      </c>
      <c r="DJ162">
        <f>7.492214022</f>
        <v>7.4922140219999998</v>
      </c>
      <c r="DK162">
        <f>7.85308327</f>
        <v>7.8530832699999999</v>
      </c>
      <c r="DL162">
        <f>6.936528517</f>
        <v>6.9365285170000002</v>
      </c>
      <c r="DM162">
        <f>6.815355158</f>
        <v>6.815355158</v>
      </c>
      <c r="DN162">
        <f>7.275398882</f>
        <v>7.2753988820000002</v>
      </c>
      <c r="DO162">
        <f>7.240693053</f>
        <v>7.2406930530000002</v>
      </c>
      <c r="DP162">
        <f>7.281387969</f>
        <v>7.2813879689999998</v>
      </c>
      <c r="DQ162">
        <f>7.178535896</f>
        <v>7.1785358959999996</v>
      </c>
      <c r="DR162">
        <f>6.279971468</f>
        <v>6.2799714680000003</v>
      </c>
      <c r="DS162">
        <f>5.320811718</f>
        <v>5.3208117179999999</v>
      </c>
      <c r="DT162">
        <f>5.274330999</f>
        <v>5.274330999</v>
      </c>
      <c r="DU162">
        <f>5.319674281</f>
        <v>5.3196742810000002</v>
      </c>
    </row>
    <row r="163" spans="1:125">
      <c r="A163" t="str">
        <f>"    Essex Property Trust Inc"</f>
        <v xml:space="preserve">    Essex Property Trust Inc</v>
      </c>
      <c r="B163" t="str">
        <f>"ESS US Equity"</f>
        <v>ESS US Equity</v>
      </c>
      <c r="C163" t="str">
        <f t="shared" si="51"/>
        <v>RR052</v>
      </c>
      <c r="D163" t="str">
        <f t="shared" si="52"/>
        <v>TOT_DEBT_TO_EBITDA</v>
      </c>
      <c r="E163" t="str">
        <f t="shared" si="53"/>
        <v>动态</v>
      </c>
      <c r="F163" t="str">
        <f ca="1">IF(AND(ISNUMBER($F$369),$B$226=1),$F$369,HLOOKUP(INDIRECT(ADDRESS(2,COLUMN())),OFFSET($BN$2,0,0,ROW()-1,60),ROW()-1,FALSE))</f>
        <v/>
      </c>
      <c r="G163">
        <f ca="1">IF(AND(ISNUMBER($G$369),$B$226=1),$G$369,HLOOKUP(INDIRECT(ADDRESS(2,COLUMN())),OFFSET($BN$2,0,0,ROW()-1,60),ROW()-1,FALSE))</f>
        <v>6.2714411029999999</v>
      </c>
      <c r="H163">
        <f ca="1">IF(AND(ISNUMBER($H$369),$B$226=1),$H$369,HLOOKUP(INDIRECT(ADDRESS(2,COLUMN())),OFFSET($BN$2,0,0,ROW()-1,60),ROW()-1,FALSE))</f>
        <v>6.3247776849999999</v>
      </c>
      <c r="I163">
        <f ca="1">IF(AND(ISNUMBER($I$369),$B$226=1),$I$369,HLOOKUP(INDIRECT(ADDRESS(2,COLUMN())),OFFSET($BN$2,0,0,ROW()-1,60),ROW()-1,FALSE))</f>
        <v>6.3247416059999999</v>
      </c>
      <c r="J163">
        <f ca="1">IF(AND(ISNUMBER($J$369),$B$226=1),$J$369,HLOOKUP(INDIRECT(ADDRESS(2,COLUMN())),OFFSET($BN$2,0,0,ROW()-1,60),ROW()-1,FALSE))</f>
        <v>6.4248712450000003</v>
      </c>
      <c r="K163">
        <f ca="1">IF(AND(ISNUMBER($K$369),$B$226=1),$K$369,HLOOKUP(INDIRECT(ADDRESS(2,COLUMN())),OFFSET($BN$2,0,0,ROW()-1,60),ROW()-1,FALSE))</f>
        <v>6.4919256289999998</v>
      </c>
      <c r="L163">
        <f ca="1">IF(AND(ISNUMBER($L$369),$B$226=1),$L$369,HLOOKUP(INDIRECT(ADDRESS(2,COLUMN())),OFFSET($BN$2,0,0,ROW()-1,60),ROW()-1,FALSE))</f>
        <v>6.5818134759999998</v>
      </c>
      <c r="M163">
        <f ca="1">IF(AND(ISNUMBER($M$369),$B$226=1),$M$369,HLOOKUP(INDIRECT(ADDRESS(2,COLUMN())),OFFSET($BN$2,0,0,ROW()-1,60),ROW()-1,FALSE))</f>
        <v>6.7167981939999999</v>
      </c>
      <c r="N163">
        <f ca="1">IF(AND(ISNUMBER($N$369),$B$226=1),$N$369,HLOOKUP(INDIRECT(ADDRESS(2,COLUMN())),OFFSET($BN$2,0,0,ROW()-1,60),ROW()-1,FALSE))</f>
        <v>6.5213734250000002</v>
      </c>
      <c r="O163">
        <f ca="1">IF(AND(ISNUMBER($O$369),$B$226=1),$O$369,HLOOKUP(INDIRECT(ADDRESS(2,COLUMN())),OFFSET($BN$2,0,0,ROW()-1,60),ROW()-1,FALSE))</f>
        <v>6.8311630049999996</v>
      </c>
      <c r="P163">
        <f ca="1">IF(AND(ISNUMBER($P$369),$B$226=1),$P$369,HLOOKUP(INDIRECT(ADDRESS(2,COLUMN())),OFFSET($BN$2,0,0,ROW()-1,60),ROW()-1,FALSE))</f>
        <v>7.1656176250000003</v>
      </c>
      <c r="Q163">
        <f ca="1">IF(AND(ISNUMBER($Q$369),$B$226=1),$Q$369,HLOOKUP(INDIRECT(ADDRESS(2,COLUMN())),OFFSET($BN$2,0,0,ROW()-1,60),ROW()-1,FALSE))</f>
        <v>7.5825906319999996</v>
      </c>
      <c r="R163">
        <f ca="1">IF(AND(ISNUMBER($R$369),$B$226=1),$R$369,HLOOKUP(INDIRECT(ADDRESS(2,COLUMN())),OFFSET($BN$2,0,0,ROW()-1,60),ROW()-1,FALSE))</f>
        <v>8.314232402</v>
      </c>
      <c r="S163">
        <f ca="1">IF(AND(ISNUMBER($S$369),$B$226=1),$S$369,HLOOKUP(INDIRECT(ADDRESS(2,COLUMN())),OFFSET($BN$2,0,0,ROW()-1,60),ROW()-1,FALSE))</f>
        <v>9.0311894870000007</v>
      </c>
      <c r="T163">
        <f ca="1">IF(AND(ISNUMBER($T$369),$B$226=1),$T$369,HLOOKUP(INDIRECT(ADDRESS(2,COLUMN())),OFFSET($BN$2,0,0,ROW()-1,60),ROW()-1,FALSE))</f>
        <v>10.38227348</v>
      </c>
      <c r="U163">
        <f ca="1">IF(AND(ISNUMBER($U$369),$B$226=1),$U$369,HLOOKUP(INDIRECT(ADDRESS(2,COLUMN())),OFFSET($BN$2,0,0,ROW()-1,60),ROW()-1,FALSE))</f>
        <v>11.99476973</v>
      </c>
      <c r="V163">
        <f ca="1">IF(AND(ISNUMBER($V$369),$B$226=1),$V$369,HLOOKUP(INDIRECT(ADDRESS(2,COLUMN())),OFFSET($BN$2,0,0,ROW()-1,60),ROW()-1,FALSE))</f>
        <v>7.6803169660000004</v>
      </c>
      <c r="W163">
        <f ca="1">IF(AND(ISNUMBER($W$369),$B$226=1),$W$369,HLOOKUP(INDIRECT(ADDRESS(2,COLUMN())),OFFSET($BN$2,0,0,ROW()-1,60),ROW()-1,FALSE))</f>
        <v>7.7111706050000004</v>
      </c>
      <c r="X163">
        <f ca="1">IF(AND(ISNUMBER($X$369),$B$226=1),$X$369,HLOOKUP(INDIRECT(ADDRESS(2,COLUMN())),OFFSET($BN$2,0,0,ROW()-1,60),ROW()-1,FALSE))</f>
        <v>7.5180528139999998</v>
      </c>
      <c r="Y163">
        <f ca="1">IF(AND(ISNUMBER($Y$369),$B$226=1),$Y$369,HLOOKUP(INDIRECT(ADDRESS(2,COLUMN())),OFFSET($BN$2,0,0,ROW()-1,60),ROW()-1,FALSE))</f>
        <v>7.7560371679999998</v>
      </c>
      <c r="Z163">
        <f ca="1">IF(AND(ISNUMBER($Z$369),$B$226=1),$Z$369,HLOOKUP(INDIRECT(ADDRESS(2,COLUMN())),OFFSET($BN$2,0,0,ROW()-1,60),ROW()-1,FALSE))</f>
        <v>7.6492666360000001</v>
      </c>
      <c r="AA163">
        <f ca="1">IF(AND(ISNUMBER($AA$369),$B$226=1),$AA$369,HLOOKUP(INDIRECT(ADDRESS(2,COLUMN())),OFFSET($BN$2,0,0,ROW()-1,60),ROW()-1,FALSE))</f>
        <v>8.0509585920000006</v>
      </c>
      <c r="AB163">
        <f ca="1">IF(AND(ISNUMBER($AB$369),$B$226=1),$AB$369,HLOOKUP(INDIRECT(ADDRESS(2,COLUMN())),OFFSET($BN$2,0,0,ROW()-1,60),ROW()-1,FALSE))</f>
        <v>7.6557381879999999</v>
      </c>
      <c r="AC163">
        <f ca="1">IF(AND(ISNUMBER($AC$369),$B$226=1),$AC$369,HLOOKUP(INDIRECT(ADDRESS(2,COLUMN())),OFFSET($BN$2,0,0,ROW()-1,60),ROW()-1,FALSE))</f>
        <v>7.6370995720000003</v>
      </c>
      <c r="AD163">
        <f ca="1">IF(AND(ISNUMBER($AD$369),$B$226=1),$AD$369,HLOOKUP(INDIRECT(ADDRESS(2,COLUMN())),OFFSET($BN$2,0,0,ROW()-1,60),ROW()-1,FALSE))</f>
        <v>7.4815203920000002</v>
      </c>
      <c r="AE163">
        <f ca="1">IF(AND(ISNUMBER($AE$369),$B$226=1),$AE$369,HLOOKUP(INDIRECT(ADDRESS(2,COLUMN())),OFFSET($BN$2,0,0,ROW()-1,60),ROW()-1,FALSE))</f>
        <v>7.8769527159999999</v>
      </c>
      <c r="AF163">
        <f ca="1">IF(AND(ISNUMBER($AF$369),$B$226=1),$AF$369,HLOOKUP(INDIRECT(ADDRESS(2,COLUMN())),OFFSET($BN$2,0,0,ROW()-1,60),ROW()-1,FALSE))</f>
        <v>8.1377013530000006</v>
      </c>
      <c r="AG163">
        <f ca="1">IF(AND(ISNUMBER($AG$369),$B$226=1),$AG$369,HLOOKUP(INDIRECT(ADDRESS(2,COLUMN())),OFFSET($BN$2,0,0,ROW()-1,60),ROW()-1,FALSE))</f>
        <v>8.3580898220000002</v>
      </c>
      <c r="AH163">
        <f ca="1">IF(AND(ISNUMBER($AH$369),$B$226=1),$AH$369,HLOOKUP(INDIRECT(ADDRESS(2,COLUMN())),OFFSET($BN$2,0,0,ROW()-1,60),ROW()-1,FALSE))</f>
        <v>9.2651864590000006</v>
      </c>
      <c r="AI163">
        <f ca="1">IF(AND(ISNUMBER($AI$369),$B$226=1),$AI$369,HLOOKUP(INDIRECT(ADDRESS(2,COLUMN())),OFFSET($BN$2,0,0,ROW()-1,60),ROW()-1,FALSE))</f>
        <v>9.2140369979999992</v>
      </c>
      <c r="AJ163">
        <f ca="1">IF(AND(ISNUMBER($AJ$369),$B$226=1),$AJ$369,HLOOKUP(INDIRECT(ADDRESS(2,COLUMN())),OFFSET($BN$2,0,0,ROW()-1,60),ROW()-1,FALSE))</f>
        <v>8.4923453840000001</v>
      </c>
      <c r="AK163">
        <f ca="1">IF(AND(ISNUMBER($AK$369),$B$226=1),$AK$369,HLOOKUP(INDIRECT(ADDRESS(2,COLUMN())),OFFSET($BN$2,0,0,ROW()-1,60),ROW()-1,FALSE))</f>
        <v>8.2057870620000006</v>
      </c>
      <c r="AL163">
        <f ca="1">IF(AND(ISNUMBER($AL$369),$B$226=1),$AL$369,HLOOKUP(INDIRECT(ADDRESS(2,COLUMN())),OFFSET($BN$2,0,0,ROW()-1,60),ROW()-1,FALSE))</f>
        <v>7.9576245820000002</v>
      </c>
      <c r="AM163">
        <f ca="1">IF(AND(ISNUMBER($AM$369),$B$226=1),$AM$369,HLOOKUP(INDIRECT(ADDRESS(2,COLUMN())),OFFSET($BN$2,0,0,ROW()-1,60),ROW()-1,FALSE))</f>
        <v>7.83315596</v>
      </c>
      <c r="AN163">
        <f ca="1">IF(AND(ISNUMBER($AN$369),$B$226=1),$AN$369,HLOOKUP(INDIRECT(ADDRESS(2,COLUMN())),OFFSET($BN$2,0,0,ROW()-1,60),ROW()-1,FALSE))</f>
        <v>7.8053827980000001</v>
      </c>
      <c r="AO163" t="str">
        <f ca="1">IF(AND(ISNUMBER($AO$369),$B$226=1),$AO$369,HLOOKUP(INDIRECT(ADDRESS(2,COLUMN())),OFFSET($BN$2,0,0,ROW()-1,60),ROW()-1,FALSE))</f>
        <v/>
      </c>
      <c r="AP163" t="str">
        <f ca="1">IF(AND(ISNUMBER($AP$369),$B$226=1),$AP$369,HLOOKUP(INDIRECT(ADDRESS(2,COLUMN())),OFFSET($BN$2,0,0,ROW()-1,60),ROW()-1,FALSE))</f>
        <v/>
      </c>
      <c r="AQ163" t="str">
        <f ca="1">IF(AND(ISNUMBER($AQ$369),$B$226=1),$AQ$369,HLOOKUP(INDIRECT(ADDRESS(2,COLUMN())),OFFSET($BN$2,0,0,ROW()-1,60),ROW()-1,FALSE))</f>
        <v/>
      </c>
      <c r="AR163" t="str">
        <f ca="1">IF(AND(ISNUMBER($AR$369),$B$226=1),$AR$369,HLOOKUP(INDIRECT(ADDRESS(2,COLUMN())),OFFSET($BN$2,0,0,ROW()-1,60),ROW()-1,FALSE))</f>
        <v/>
      </c>
      <c r="AS163" t="str">
        <f ca="1">IF(AND(ISNUMBER($AS$369),$B$226=1),$AS$369,HLOOKUP(INDIRECT(ADDRESS(2,COLUMN())),OFFSET($BN$2,0,0,ROW()-1,60),ROW()-1,FALSE))</f>
        <v/>
      </c>
      <c r="AT163" t="str">
        <f ca="1">IF(AND(ISNUMBER($AT$369),$B$226=1),$AT$369,HLOOKUP(INDIRECT(ADDRESS(2,COLUMN())),OFFSET($BN$2,0,0,ROW()-1,60),ROW()-1,FALSE))</f>
        <v/>
      </c>
      <c r="AU163" t="str">
        <f ca="1">IF(AND(ISNUMBER($AU$369),$B$226=1),$AU$369,HLOOKUP(INDIRECT(ADDRESS(2,COLUMN())),OFFSET($BN$2,0,0,ROW()-1,60),ROW()-1,FALSE))</f>
        <v/>
      </c>
      <c r="AV163" t="str">
        <f ca="1">IF(AND(ISNUMBER($AV$369),$B$226=1),$AV$369,HLOOKUP(INDIRECT(ADDRESS(2,COLUMN())),OFFSET($BN$2,0,0,ROW()-1,60),ROW()-1,FALSE))</f>
        <v/>
      </c>
      <c r="AW163" t="str">
        <f ca="1">IF(AND(ISNUMBER($AW$369),$B$226=1),$AW$369,HLOOKUP(INDIRECT(ADDRESS(2,COLUMN())),OFFSET($BN$2,0,0,ROW()-1,60),ROW()-1,FALSE))</f>
        <v/>
      </c>
      <c r="AX163" t="str">
        <f ca="1">IF(AND(ISNUMBER($AX$369),$B$226=1),$AX$369,HLOOKUP(INDIRECT(ADDRESS(2,COLUMN())),OFFSET($BN$2,0,0,ROW()-1,60),ROW()-1,FALSE))</f>
        <v/>
      </c>
      <c r="AY163" t="str">
        <f ca="1">IF(AND(ISNUMBER($AY$369),$B$226=1),$AY$369,HLOOKUP(INDIRECT(ADDRESS(2,COLUMN())),OFFSET($BN$2,0,0,ROW()-1,60),ROW()-1,FALSE))</f>
        <v/>
      </c>
      <c r="AZ163" t="str">
        <f ca="1">IF(AND(ISNUMBER($AZ$369),$B$226=1),$AZ$369,HLOOKUP(INDIRECT(ADDRESS(2,COLUMN())),OFFSET($BN$2,0,0,ROW()-1,60),ROW()-1,FALSE))</f>
        <v/>
      </c>
      <c r="BA163" t="str">
        <f ca="1">IF(AND(ISNUMBER($BA$369),$B$226=1),$BA$369,HLOOKUP(INDIRECT(ADDRESS(2,COLUMN())),OFFSET($BN$2,0,0,ROW()-1,60),ROW()-1,FALSE))</f>
        <v/>
      </c>
      <c r="BB163" t="str">
        <f ca="1">IF(AND(ISNUMBER($BB$369),$B$226=1),$BB$369,HLOOKUP(INDIRECT(ADDRESS(2,COLUMN())),OFFSET($BN$2,0,0,ROW()-1,60),ROW()-1,FALSE))</f>
        <v/>
      </c>
      <c r="BC163" t="str">
        <f ca="1">IF(AND(ISNUMBER($BC$369),$B$226=1),$BC$369,HLOOKUP(INDIRECT(ADDRESS(2,COLUMN())),OFFSET($BN$2,0,0,ROW()-1,60),ROW()-1,FALSE))</f>
        <v/>
      </c>
      <c r="BD163" t="str">
        <f ca="1">IF(AND(ISNUMBER($BD$369),$B$226=1),$BD$369,HLOOKUP(INDIRECT(ADDRESS(2,COLUMN())),OFFSET($BN$2,0,0,ROW()-1,60),ROW()-1,FALSE))</f>
        <v/>
      </c>
      <c r="BE163" t="str">
        <f ca="1">IF(AND(ISNUMBER($BE$369),$B$226=1),$BE$369,HLOOKUP(INDIRECT(ADDRESS(2,COLUMN())),OFFSET($BN$2,0,0,ROW()-1,60),ROW()-1,FALSE))</f>
        <v/>
      </c>
      <c r="BF163" t="str">
        <f ca="1">IF(AND(ISNUMBER($BF$369),$B$226=1),$BF$369,HLOOKUP(INDIRECT(ADDRESS(2,COLUMN())),OFFSET($BN$2,0,0,ROW()-1,60),ROW()-1,FALSE))</f>
        <v/>
      </c>
      <c r="BG163">
        <f ca="1">IF(AND(ISNUMBER($BG$369),$B$226=1),$BG$369,HLOOKUP(INDIRECT(ADDRESS(2,COLUMN())),OFFSET($BN$2,0,0,ROW()-1,60),ROW()-1,FALSE))</f>
        <v>6.8936160559999999</v>
      </c>
      <c r="BH163">
        <f ca="1">IF(AND(ISNUMBER($BH$369),$B$226=1),$BH$369,HLOOKUP(INDIRECT(ADDRESS(2,COLUMN())),OFFSET($BN$2,0,0,ROW()-1,60),ROW()-1,FALSE))</f>
        <v>6.7704327700000002</v>
      </c>
      <c r="BI163">
        <f ca="1">IF(AND(ISNUMBER($BI$369),$B$226=1),$BI$369,HLOOKUP(INDIRECT(ADDRESS(2,COLUMN())),OFFSET($BN$2,0,0,ROW()-1,60),ROW()-1,FALSE))</f>
        <v>7.2645925389999997</v>
      </c>
      <c r="BJ163">
        <f ca="1">IF(AND(ISNUMBER($BJ$369),$B$226=1),$BJ$369,HLOOKUP(INDIRECT(ADDRESS(2,COLUMN())),OFFSET($BN$2,0,0,ROW()-1,60),ROW()-1,FALSE))</f>
        <v>6.8507963360000002</v>
      </c>
      <c r="BK163">
        <f ca="1">IF(AND(ISNUMBER($BK$369),$B$226=1),$BK$369,HLOOKUP(INDIRECT(ADDRESS(2,COLUMN())),OFFSET($BN$2,0,0,ROW()-1,60),ROW()-1,FALSE))</f>
        <v>5.9158362489999998</v>
      </c>
      <c r="BL163" t="str">
        <f ca="1">IF(AND(ISNUMBER($BL$369),$B$226=1),$BL$369,HLOOKUP(INDIRECT(ADDRESS(2,COLUMN())),OFFSET($BN$2,0,0,ROW()-1,60),ROW()-1,FALSE))</f>
        <v/>
      </c>
      <c r="BM163" t="str">
        <f ca="1">IF(AND(ISNUMBER($BM$369),$B$226=1),$BM$369,HLOOKUP(INDIRECT(ADDRESS(2,COLUMN())),OFFSET($BN$2,0,0,ROW()-1,60),ROW()-1,FALSE))</f>
        <v/>
      </c>
      <c r="BN163" t="str">
        <f>""</f>
        <v/>
      </c>
      <c r="BO163">
        <f>6.271441103</f>
        <v>6.2714411029999999</v>
      </c>
      <c r="BP163">
        <f>6.324777685</f>
        <v>6.3247776849999999</v>
      </c>
      <c r="BQ163">
        <f>6.324741606</f>
        <v>6.3247416059999999</v>
      </c>
      <c r="BR163">
        <f>6.424871245</f>
        <v>6.4248712450000003</v>
      </c>
      <c r="BS163">
        <f>6.491925629</f>
        <v>6.4919256289999998</v>
      </c>
      <c r="BT163">
        <f>6.581813476</f>
        <v>6.5818134759999998</v>
      </c>
      <c r="BU163">
        <f>6.716798194</f>
        <v>6.7167981939999999</v>
      </c>
      <c r="BV163">
        <f>6.521373425</f>
        <v>6.5213734250000002</v>
      </c>
      <c r="BW163">
        <f>6.831163005</f>
        <v>6.8311630049999996</v>
      </c>
      <c r="BX163">
        <f>7.165617625</f>
        <v>7.1656176250000003</v>
      </c>
      <c r="BY163">
        <f>7.582590632</f>
        <v>7.5825906319999996</v>
      </c>
      <c r="BZ163">
        <f>8.314232402</f>
        <v>8.314232402</v>
      </c>
      <c r="CA163">
        <f>9.031189487</f>
        <v>9.0311894870000007</v>
      </c>
      <c r="CB163">
        <f>10.38227348</f>
        <v>10.38227348</v>
      </c>
      <c r="CC163">
        <f>11.99476973</f>
        <v>11.99476973</v>
      </c>
      <c r="CD163">
        <f>7.680316966</f>
        <v>7.6803169660000004</v>
      </c>
      <c r="CE163">
        <f>7.711170605</f>
        <v>7.7111706050000004</v>
      </c>
      <c r="CF163">
        <f>7.518052814</f>
        <v>7.5180528139999998</v>
      </c>
      <c r="CG163">
        <f>7.756037168</f>
        <v>7.7560371679999998</v>
      </c>
      <c r="CH163">
        <f>7.649266636</f>
        <v>7.6492666360000001</v>
      </c>
      <c r="CI163">
        <f>8.050958592</f>
        <v>8.0509585920000006</v>
      </c>
      <c r="CJ163">
        <f>7.655738188</f>
        <v>7.6557381879999999</v>
      </c>
      <c r="CK163">
        <f>7.637099572</f>
        <v>7.6370995720000003</v>
      </c>
      <c r="CL163">
        <f>7.481520392</f>
        <v>7.4815203920000002</v>
      </c>
      <c r="CM163">
        <f>7.876952716</f>
        <v>7.8769527159999999</v>
      </c>
      <c r="CN163">
        <f>8.137701353</f>
        <v>8.1377013530000006</v>
      </c>
      <c r="CO163">
        <f>8.358089822</f>
        <v>8.3580898220000002</v>
      </c>
      <c r="CP163">
        <f>9.265186459</f>
        <v>9.2651864590000006</v>
      </c>
      <c r="CQ163">
        <f>9.214036998</f>
        <v>9.2140369979999992</v>
      </c>
      <c r="CR163">
        <f>8.492345384</f>
        <v>8.4923453840000001</v>
      </c>
      <c r="CS163">
        <f>8.205787062</f>
        <v>8.2057870620000006</v>
      </c>
      <c r="CT163">
        <f>7.957624582</f>
        <v>7.9576245820000002</v>
      </c>
      <c r="CU163">
        <f>7.83315596</f>
        <v>7.83315596</v>
      </c>
      <c r="CV163">
        <f>7.805382798</f>
        <v>7.8053827980000001</v>
      </c>
      <c r="CW163" t="str">
        <f>""</f>
        <v/>
      </c>
      <c r="CX163" t="str">
        <f>""</f>
        <v/>
      </c>
      <c r="CY163" t="str">
        <f>""</f>
        <v/>
      </c>
      <c r="CZ163" t="str">
        <f>""</f>
        <v/>
      </c>
      <c r="DA163" t="str">
        <f>""</f>
        <v/>
      </c>
      <c r="DB163" t="str">
        <f>""</f>
        <v/>
      </c>
      <c r="DC163" t="str">
        <f>""</f>
        <v/>
      </c>
      <c r="DD163" t="str">
        <f>""</f>
        <v/>
      </c>
      <c r="DE163" t="str">
        <f>""</f>
        <v/>
      </c>
      <c r="DF163" t="str">
        <f>""</f>
        <v/>
      </c>
      <c r="DG163" t="str">
        <f>""</f>
        <v/>
      </c>
      <c r="DH163" t="str">
        <f>""</f>
        <v/>
      </c>
      <c r="DI163" t="str">
        <f>""</f>
        <v/>
      </c>
      <c r="DJ163" t="str">
        <f>""</f>
        <v/>
      </c>
      <c r="DK163" t="str">
        <f>""</f>
        <v/>
      </c>
      <c r="DL163" t="str">
        <f>""</f>
        <v/>
      </c>
      <c r="DM163" t="str">
        <f>""</f>
        <v/>
      </c>
      <c r="DN163" t="str">
        <f>""</f>
        <v/>
      </c>
      <c r="DO163">
        <f>6.893616056</f>
        <v>6.8936160559999999</v>
      </c>
      <c r="DP163">
        <f>6.77043277</f>
        <v>6.7704327700000002</v>
      </c>
      <c r="DQ163">
        <f>7.264592539</f>
        <v>7.2645925389999997</v>
      </c>
      <c r="DR163">
        <f>6.850796336</f>
        <v>6.8507963360000002</v>
      </c>
      <c r="DS163">
        <f>5.915836249</f>
        <v>5.9158362489999998</v>
      </c>
      <c r="DT163" t="str">
        <f>""</f>
        <v/>
      </c>
      <c r="DU163" t="str">
        <f>""</f>
        <v/>
      </c>
    </row>
    <row r="164" spans="1:125">
      <c r="A164" t="str">
        <f>"    Mid-America Apartment Communit"</f>
        <v xml:space="preserve">    Mid-America Apartment Communit</v>
      </c>
      <c r="B164" t="str">
        <f>"MAA US Equity"</f>
        <v>MAA US Equity</v>
      </c>
      <c r="C164" t="str">
        <f t="shared" si="51"/>
        <v>RR052</v>
      </c>
      <c r="D164" t="str">
        <f t="shared" si="52"/>
        <v>TOT_DEBT_TO_EBITDA</v>
      </c>
      <c r="E164" t="str">
        <f t="shared" si="53"/>
        <v>动态</v>
      </c>
      <c r="F164" t="str">
        <f ca="1">IF(AND(ISNUMBER($F$370),$B$226=1),$F$370,HLOOKUP(INDIRECT(ADDRESS(2,COLUMN())),OFFSET($BN$2,0,0,ROW()-1,60),ROW()-1,FALSE))</f>
        <v/>
      </c>
      <c r="G164">
        <f ca="1">IF(AND(ISNUMBER($G$370),$B$226=1),$G$370,HLOOKUP(INDIRECT(ADDRESS(2,COLUMN())),OFFSET($BN$2,0,0,ROW()-1,60),ROW()-1,FALSE))</f>
        <v>5.3008032350000001</v>
      </c>
      <c r="H164">
        <f ca="1">IF(AND(ISNUMBER($H$370),$B$226=1),$H$370,HLOOKUP(INDIRECT(ADDRESS(2,COLUMN())),OFFSET($BN$2,0,0,ROW()-1,60),ROW()-1,FALSE))</f>
        <v>5.8116179739999998</v>
      </c>
      <c r="I164">
        <f ca="1">IF(AND(ISNUMBER($I$370),$B$226=1),$I$370,HLOOKUP(INDIRECT(ADDRESS(2,COLUMN())),OFFSET($BN$2,0,0,ROW()-1,60),ROW()-1,FALSE))</f>
        <v>6.4311266930000004</v>
      </c>
      <c r="J164">
        <f ca="1">IF(AND(ISNUMBER($J$370),$B$226=1),$J$370,HLOOKUP(INDIRECT(ADDRESS(2,COLUMN())),OFFSET($BN$2,0,0,ROW()-1,60),ROW()-1,FALSE))</f>
        <v>6.9887420929999999</v>
      </c>
      <c r="K164">
        <f ca="1">IF(AND(ISNUMBER($K$370),$B$226=1),$K$370,HLOOKUP(INDIRECT(ADDRESS(2,COLUMN())),OFFSET($BN$2,0,0,ROW()-1,60),ROW()-1,FALSE))</f>
        <v>7.547395646</v>
      </c>
      <c r="L164">
        <f ca="1">IF(AND(ISNUMBER($L$370),$B$226=1),$L$370,HLOOKUP(INDIRECT(ADDRESS(2,COLUMN())),OFFSET($BN$2,0,0,ROW()-1,60),ROW()-1,FALSE))</f>
        <v>5.6735542519999997</v>
      </c>
      <c r="M164">
        <f ca="1">IF(AND(ISNUMBER($M$370),$B$226=1),$M$370,HLOOKUP(INDIRECT(ADDRESS(2,COLUMN())),OFFSET($BN$2,0,0,ROW()-1,60),ROW()-1,FALSE))</f>
        <v>5.8161736270000004</v>
      </c>
      <c r="N164">
        <f ca="1">IF(AND(ISNUMBER($N$370),$B$226=1),$N$370,HLOOKUP(INDIRECT(ADDRESS(2,COLUMN())),OFFSET($BN$2,0,0,ROW()-1,60),ROW()-1,FALSE))</f>
        <v>5.8224324980000004</v>
      </c>
      <c r="O164">
        <f ca="1">IF(AND(ISNUMBER($O$370),$B$226=1),$O$370,HLOOKUP(INDIRECT(ADDRESS(2,COLUMN())),OFFSET($BN$2,0,0,ROW()-1,60),ROW()-1,FALSE))</f>
        <v>5.8877544009999996</v>
      </c>
      <c r="P164">
        <f ca="1">IF(AND(ISNUMBER($P$370),$B$226=1),$P$370,HLOOKUP(INDIRECT(ADDRESS(2,COLUMN())),OFFSET($BN$2,0,0,ROW()-1,60),ROW()-1,FALSE))</f>
        <v>6.0042790850000003</v>
      </c>
      <c r="Q164">
        <f ca="1">IF(AND(ISNUMBER($Q$370),$B$226=1),$Q$370,HLOOKUP(INDIRECT(ADDRESS(2,COLUMN())),OFFSET($BN$2,0,0,ROW()-1,60),ROW()-1,FALSE))</f>
        <v>6.1436608049999997</v>
      </c>
      <c r="R164">
        <f ca="1">IF(AND(ISNUMBER($R$370),$B$226=1),$R$370,HLOOKUP(INDIRECT(ADDRESS(2,COLUMN())),OFFSET($BN$2,0,0,ROW()-1,60),ROW()-1,FALSE))</f>
        <v>6.3995736670000003</v>
      </c>
      <c r="S164">
        <f ca="1">IF(AND(ISNUMBER($S$370),$B$226=1),$S$370,HLOOKUP(INDIRECT(ADDRESS(2,COLUMN())),OFFSET($BN$2,0,0,ROW()-1,60),ROW()-1,FALSE))</f>
        <v>6.6090913369999997</v>
      </c>
      <c r="T164">
        <f ca="1">IF(AND(ISNUMBER($T$370),$B$226=1),$T$370,HLOOKUP(INDIRECT(ADDRESS(2,COLUMN())),OFFSET($BN$2,0,0,ROW()-1,60),ROW()-1,FALSE))</f>
        <v>6.8522301619999997</v>
      </c>
      <c r="U164">
        <f ca="1">IF(AND(ISNUMBER($U$370),$B$226=1),$U$370,HLOOKUP(INDIRECT(ADDRESS(2,COLUMN())),OFFSET($BN$2,0,0,ROW()-1,60),ROW()-1,FALSE))</f>
        <v>8.0515725919999994</v>
      </c>
      <c r="V164">
        <f ca="1">IF(AND(ISNUMBER($V$370),$B$226=1),$V$370,HLOOKUP(INDIRECT(ADDRESS(2,COLUMN())),OFFSET($BN$2,0,0,ROW()-1,60),ROW()-1,FALSE))</f>
        <v>9.3890294189999999</v>
      </c>
      <c r="W164">
        <f ca="1">IF(AND(ISNUMBER($W$370),$B$226=1),$W$370,HLOOKUP(INDIRECT(ADDRESS(2,COLUMN())),OFFSET($BN$2,0,0,ROW()-1,60),ROW()-1,FALSE))</f>
        <v>11.21581128</v>
      </c>
      <c r="X164">
        <f ca="1">IF(AND(ISNUMBER($X$370),$B$226=1),$X$370,HLOOKUP(INDIRECT(ADDRESS(2,COLUMN())),OFFSET($BN$2,0,0,ROW()-1,60),ROW()-1,FALSE))</f>
        <v>6.8138518619999999</v>
      </c>
      <c r="Y164">
        <f ca="1">IF(AND(ISNUMBER($Y$370),$B$226=1),$Y$370,HLOOKUP(INDIRECT(ADDRESS(2,COLUMN())),OFFSET($BN$2,0,0,ROW()-1,60),ROW()-1,FALSE))</f>
        <v>6.2506596009999997</v>
      </c>
      <c r="Z164">
        <f ca="1">IF(AND(ISNUMBER($Z$370),$B$226=1),$Z$370,HLOOKUP(INDIRECT(ADDRESS(2,COLUMN())),OFFSET($BN$2,0,0,ROW()-1,60),ROW()-1,FALSE))</f>
        <v>6.3193228010000002</v>
      </c>
      <c r="AA164">
        <f ca="1">IF(AND(ISNUMBER($AA$370),$B$226=1),$AA$370,HLOOKUP(INDIRECT(ADDRESS(2,COLUMN())),OFFSET($BN$2,0,0,ROW()-1,60),ROW()-1,FALSE))</f>
        <v>6.4862745100000003</v>
      </c>
      <c r="AB164">
        <f ca="1">IF(AND(ISNUMBER($AB$370),$B$226=1),$AB$370,HLOOKUP(INDIRECT(ADDRESS(2,COLUMN())),OFFSET($BN$2,0,0,ROW()-1,60),ROW()-1,FALSE))</f>
        <v>6.9227255019999996</v>
      </c>
      <c r="AC164">
        <f ca="1">IF(AND(ISNUMBER($AC$370),$B$226=1),$AC$370,HLOOKUP(INDIRECT(ADDRESS(2,COLUMN())),OFFSET($BN$2,0,0,ROW()-1,60),ROW()-1,FALSE))</f>
        <v>6.6928061919999999</v>
      </c>
      <c r="AD164">
        <f ca="1">IF(AND(ISNUMBER($AD$370),$B$226=1),$AD$370,HLOOKUP(INDIRECT(ADDRESS(2,COLUMN())),OFFSET($BN$2,0,0,ROW()-1,60),ROW()-1,FALSE))</f>
        <v>6.8308191809999999</v>
      </c>
      <c r="AE164" t="str">
        <f ca="1">IF(AND(ISNUMBER($AE$370),$B$226=1),$AE$370,HLOOKUP(INDIRECT(ADDRESS(2,COLUMN())),OFFSET($BN$2,0,0,ROW()-1,60),ROW()-1,FALSE))</f>
        <v/>
      </c>
      <c r="AF164" t="str">
        <f ca="1">IF(AND(ISNUMBER($AF$370),$B$226=1),$AF$370,HLOOKUP(INDIRECT(ADDRESS(2,COLUMN())),OFFSET($BN$2,0,0,ROW()-1,60),ROW()-1,FALSE))</f>
        <v/>
      </c>
      <c r="AG164" t="str">
        <f ca="1">IF(AND(ISNUMBER($AG$370),$B$226=1),$AG$370,HLOOKUP(INDIRECT(ADDRESS(2,COLUMN())),OFFSET($BN$2,0,0,ROW()-1,60),ROW()-1,FALSE))</f>
        <v/>
      </c>
      <c r="AH164" t="str">
        <f ca="1">IF(AND(ISNUMBER($AH$370),$B$226=1),$AH$370,HLOOKUP(INDIRECT(ADDRESS(2,COLUMN())),OFFSET($BN$2,0,0,ROW()-1,60),ROW()-1,FALSE))</f>
        <v/>
      </c>
      <c r="AI164" t="str">
        <f ca="1">IF(AND(ISNUMBER($AI$370),$B$226=1),$AI$370,HLOOKUP(INDIRECT(ADDRESS(2,COLUMN())),OFFSET($BN$2,0,0,ROW()-1,60),ROW()-1,FALSE))</f>
        <v/>
      </c>
      <c r="AJ164" t="str">
        <f ca="1">IF(AND(ISNUMBER($AJ$370),$B$226=1),$AJ$370,HLOOKUP(INDIRECT(ADDRESS(2,COLUMN())),OFFSET($BN$2,0,0,ROW()-1,60),ROW()-1,FALSE))</f>
        <v/>
      </c>
      <c r="AK164" t="str">
        <f ca="1">IF(AND(ISNUMBER($AK$370),$B$226=1),$AK$370,HLOOKUP(INDIRECT(ADDRESS(2,COLUMN())),OFFSET($BN$2,0,0,ROW()-1,60),ROW()-1,FALSE))</f>
        <v/>
      </c>
      <c r="AL164" t="str">
        <f ca="1">IF(AND(ISNUMBER($AL$370),$B$226=1),$AL$370,HLOOKUP(INDIRECT(ADDRESS(2,COLUMN())),OFFSET($BN$2,0,0,ROW()-1,60),ROW()-1,FALSE))</f>
        <v/>
      </c>
      <c r="AM164" t="str">
        <f ca="1">IF(AND(ISNUMBER($AM$370),$B$226=1),$AM$370,HLOOKUP(INDIRECT(ADDRESS(2,COLUMN())),OFFSET($BN$2,0,0,ROW()-1,60),ROW()-1,FALSE))</f>
        <v/>
      </c>
      <c r="AN164" t="str">
        <f ca="1">IF(AND(ISNUMBER($AN$370),$B$226=1),$AN$370,HLOOKUP(INDIRECT(ADDRESS(2,COLUMN())),OFFSET($BN$2,0,0,ROW()-1,60),ROW()-1,FALSE))</f>
        <v/>
      </c>
      <c r="AO164" t="str">
        <f ca="1">IF(AND(ISNUMBER($AO$370),$B$226=1),$AO$370,HLOOKUP(INDIRECT(ADDRESS(2,COLUMN())),OFFSET($BN$2,0,0,ROW()-1,60),ROW()-1,FALSE))</f>
        <v/>
      </c>
      <c r="AP164" t="str">
        <f ca="1">IF(AND(ISNUMBER($AP$370),$B$226=1),$AP$370,HLOOKUP(INDIRECT(ADDRESS(2,COLUMN())),OFFSET($BN$2,0,0,ROW()-1,60),ROW()-1,FALSE))</f>
        <v/>
      </c>
      <c r="AQ164">
        <f ca="1">IF(AND(ISNUMBER($AQ$370),$B$226=1),$AQ$370,HLOOKUP(INDIRECT(ADDRESS(2,COLUMN())),OFFSET($BN$2,0,0,ROW()-1,60),ROW()-1,FALSE))</f>
        <v>6.9974084769999996</v>
      </c>
      <c r="AR164">
        <f ca="1">IF(AND(ISNUMBER($AR$370),$B$226=1),$AR$370,HLOOKUP(INDIRECT(ADDRESS(2,COLUMN())),OFFSET($BN$2,0,0,ROW()-1,60),ROW()-1,FALSE))</f>
        <v>7.1940461600000001</v>
      </c>
      <c r="AS164">
        <f ca="1">IF(AND(ISNUMBER($AS$370),$B$226=1),$AS$370,HLOOKUP(INDIRECT(ADDRESS(2,COLUMN())),OFFSET($BN$2,0,0,ROW()-1,60),ROW()-1,FALSE))</f>
        <v>6.6327181399999997</v>
      </c>
      <c r="AT164">
        <f ca="1">IF(AND(ISNUMBER($AT$370),$B$226=1),$AT$370,HLOOKUP(INDIRECT(ADDRESS(2,COLUMN())),OFFSET($BN$2,0,0,ROW()-1,60),ROW()-1,FALSE))</f>
        <v>6.873891306</v>
      </c>
      <c r="AU164">
        <f ca="1">IF(AND(ISNUMBER($AU$370),$B$226=1),$AU$370,HLOOKUP(INDIRECT(ADDRESS(2,COLUMN())),OFFSET($BN$2,0,0,ROW()-1,60),ROW()-1,FALSE))</f>
        <v>6.9913314609999997</v>
      </c>
      <c r="AV164">
        <f ca="1">IF(AND(ISNUMBER($AV$370),$B$226=1),$AV$370,HLOOKUP(INDIRECT(ADDRESS(2,COLUMN())),OFFSET($BN$2,0,0,ROW()-1,60),ROW()-1,FALSE))</f>
        <v>7.096428307</v>
      </c>
      <c r="AW164">
        <f ca="1">IF(AND(ISNUMBER($AW$370),$B$226=1),$AW$370,HLOOKUP(INDIRECT(ADDRESS(2,COLUMN())),OFFSET($BN$2,0,0,ROW()-1,60),ROW()-1,FALSE))</f>
        <v>6.936188917</v>
      </c>
      <c r="AX164">
        <f ca="1">IF(AND(ISNUMBER($AX$370),$B$226=1),$AX$370,HLOOKUP(INDIRECT(ADDRESS(2,COLUMN())),OFFSET($BN$2,0,0,ROW()-1,60),ROW()-1,FALSE))</f>
        <v>6.9548933929999999</v>
      </c>
      <c r="AY164">
        <f ca="1">IF(AND(ISNUMBER($AY$370),$B$226=1),$AY$370,HLOOKUP(INDIRECT(ADDRESS(2,COLUMN())),OFFSET($BN$2,0,0,ROW()-1,60),ROW()-1,FALSE))</f>
        <v>21.39495934</v>
      </c>
      <c r="AZ164">
        <f ca="1">IF(AND(ISNUMBER($AZ$370),$B$226=1),$AZ$370,HLOOKUP(INDIRECT(ADDRESS(2,COLUMN())),OFFSET($BN$2,0,0,ROW()-1,60),ROW()-1,FALSE))</f>
        <v>7.2977525459999999</v>
      </c>
      <c r="BA164">
        <f ca="1">IF(AND(ISNUMBER($BA$370),$B$226=1),$BA$370,HLOOKUP(INDIRECT(ADDRESS(2,COLUMN())),OFFSET($BN$2,0,0,ROW()-1,60),ROW()-1,FALSE))</f>
        <v>6.985566178</v>
      </c>
      <c r="BB164">
        <f ca="1">IF(AND(ISNUMBER($BB$370),$B$226=1),$BB$370,HLOOKUP(INDIRECT(ADDRESS(2,COLUMN())),OFFSET($BN$2,0,0,ROW()-1,60),ROW()-1,FALSE))</f>
        <v>7.5289190149999996</v>
      </c>
      <c r="BC164">
        <f ca="1">IF(AND(ISNUMBER($BC$370),$B$226=1),$BC$370,HLOOKUP(INDIRECT(ADDRESS(2,COLUMN())),OFFSET($BN$2,0,0,ROW()-1,60),ROW()-1,FALSE))</f>
        <v>7.4808131449999999</v>
      </c>
      <c r="BD164">
        <f ca="1">IF(AND(ISNUMBER($BD$370),$B$226=1),$BD$370,HLOOKUP(INDIRECT(ADDRESS(2,COLUMN())),OFFSET($BN$2,0,0,ROW()-1,60),ROW()-1,FALSE))</f>
        <v>7.7207727569999998</v>
      </c>
      <c r="BE164">
        <f ca="1">IF(AND(ISNUMBER($BE$370),$B$226=1),$BE$370,HLOOKUP(INDIRECT(ADDRESS(2,COLUMN())),OFFSET($BN$2,0,0,ROW()-1,60),ROW()-1,FALSE))</f>
        <v>7.5440642010000003</v>
      </c>
      <c r="BF164">
        <f ca="1">IF(AND(ISNUMBER($BF$370),$B$226=1),$BF$370,HLOOKUP(INDIRECT(ADDRESS(2,COLUMN())),OFFSET($BN$2,0,0,ROW()-1,60),ROW()-1,FALSE))</f>
        <v>7.9409484670000001</v>
      </c>
      <c r="BG164">
        <f ca="1">IF(AND(ISNUMBER($BG$370),$B$226=1),$BG$370,HLOOKUP(INDIRECT(ADDRESS(2,COLUMN())),OFFSET($BN$2,0,0,ROW()-1,60),ROW()-1,FALSE))</f>
        <v>7.8315047250000003</v>
      </c>
      <c r="BH164">
        <f ca="1">IF(AND(ISNUMBER($BH$370),$B$226=1),$BH$370,HLOOKUP(INDIRECT(ADDRESS(2,COLUMN())),OFFSET($BN$2,0,0,ROW()-1,60),ROW()-1,FALSE))</f>
        <v>7.4964870709999998</v>
      </c>
      <c r="BI164">
        <f ca="1">IF(AND(ISNUMBER($BI$370),$B$226=1),$BI$370,HLOOKUP(INDIRECT(ADDRESS(2,COLUMN())),OFFSET($BN$2,0,0,ROW()-1,60),ROW()-1,FALSE))</f>
        <v>7.7225557880000002</v>
      </c>
      <c r="BJ164">
        <f ca="1">IF(AND(ISNUMBER($BJ$370),$B$226=1),$BJ$370,HLOOKUP(INDIRECT(ADDRESS(2,COLUMN())),OFFSET($BN$2,0,0,ROW()-1,60),ROW()-1,FALSE))</f>
        <v>7.6103289710000004</v>
      </c>
      <c r="BK164">
        <f ca="1">IF(AND(ISNUMBER($BK$370),$B$226=1),$BK$370,HLOOKUP(INDIRECT(ADDRESS(2,COLUMN())),OFFSET($BN$2,0,0,ROW()-1,60),ROW()-1,FALSE))</f>
        <v>7.5778809029999996</v>
      </c>
      <c r="BL164">
        <f ca="1">IF(AND(ISNUMBER($BL$370),$B$226=1),$BL$370,HLOOKUP(INDIRECT(ADDRESS(2,COLUMN())),OFFSET($BN$2,0,0,ROW()-1,60),ROW()-1,FALSE))</f>
        <v>7.3101765929999996</v>
      </c>
      <c r="BM164">
        <f ca="1">IF(AND(ISNUMBER($BM$370),$B$226=1),$BM$370,HLOOKUP(INDIRECT(ADDRESS(2,COLUMN())),OFFSET($BN$2,0,0,ROW()-1,60),ROW()-1,FALSE))</f>
        <v>6.5768298749999996</v>
      </c>
      <c r="BN164" t="str">
        <f>""</f>
        <v/>
      </c>
      <c r="BO164">
        <f>5.300803235</f>
        <v>5.3008032350000001</v>
      </c>
      <c r="BP164">
        <f>5.811617974</f>
        <v>5.8116179739999998</v>
      </c>
      <c r="BQ164">
        <f>6.431126693</f>
        <v>6.4311266930000004</v>
      </c>
      <c r="BR164">
        <f>6.988742093</f>
        <v>6.9887420929999999</v>
      </c>
      <c r="BS164">
        <f>7.547395646</f>
        <v>7.547395646</v>
      </c>
      <c r="BT164">
        <f>5.673554252</f>
        <v>5.6735542519999997</v>
      </c>
      <c r="BU164">
        <f>5.816173627</f>
        <v>5.8161736270000004</v>
      </c>
      <c r="BV164">
        <f>5.822432498</f>
        <v>5.8224324980000004</v>
      </c>
      <c r="BW164">
        <f>5.887754401</f>
        <v>5.8877544009999996</v>
      </c>
      <c r="BX164">
        <f>6.004279085</f>
        <v>6.0042790850000003</v>
      </c>
      <c r="BY164">
        <f>6.143660805</f>
        <v>6.1436608049999997</v>
      </c>
      <c r="BZ164">
        <f>6.399573667</f>
        <v>6.3995736670000003</v>
      </c>
      <c r="CA164">
        <f>6.609091337</f>
        <v>6.6090913369999997</v>
      </c>
      <c r="CB164">
        <f>6.852230162</f>
        <v>6.8522301619999997</v>
      </c>
      <c r="CC164">
        <f>8.051572592</f>
        <v>8.0515725919999994</v>
      </c>
      <c r="CD164">
        <f>9.389029419</f>
        <v>9.3890294189999999</v>
      </c>
      <c r="CE164">
        <f>11.21581128</f>
        <v>11.21581128</v>
      </c>
      <c r="CF164">
        <f>6.813851862</f>
        <v>6.8138518619999999</v>
      </c>
      <c r="CG164">
        <f>6.250659601</f>
        <v>6.2506596009999997</v>
      </c>
      <c r="CH164">
        <f>6.319322801</f>
        <v>6.3193228010000002</v>
      </c>
      <c r="CI164">
        <f>6.48627451</f>
        <v>6.4862745100000003</v>
      </c>
      <c r="CJ164">
        <f>6.922725502</f>
        <v>6.9227255019999996</v>
      </c>
      <c r="CK164">
        <f>6.692806192</f>
        <v>6.6928061919999999</v>
      </c>
      <c r="CL164">
        <f>6.830819181</f>
        <v>6.8308191809999999</v>
      </c>
      <c r="CM164" t="str">
        <f>""</f>
        <v/>
      </c>
      <c r="CN164" t="str">
        <f>""</f>
        <v/>
      </c>
      <c r="CO164" t="str">
        <f>""</f>
        <v/>
      </c>
      <c r="CP164" t="str">
        <f>""</f>
        <v/>
      </c>
      <c r="CQ164" t="str">
        <f>""</f>
        <v/>
      </c>
      <c r="CR164" t="str">
        <f>""</f>
        <v/>
      </c>
      <c r="CS164" t="str">
        <f>""</f>
        <v/>
      </c>
      <c r="CT164" t="str">
        <f>""</f>
        <v/>
      </c>
      <c r="CU164" t="str">
        <f>""</f>
        <v/>
      </c>
      <c r="CV164" t="str">
        <f>""</f>
        <v/>
      </c>
      <c r="CW164" t="str">
        <f>""</f>
        <v/>
      </c>
      <c r="CX164" t="str">
        <f>""</f>
        <v/>
      </c>
      <c r="CY164">
        <f>6.997408477</f>
        <v>6.9974084769999996</v>
      </c>
      <c r="CZ164">
        <f>7.19404616</f>
        <v>7.1940461600000001</v>
      </c>
      <c r="DA164">
        <f>6.63271814</f>
        <v>6.6327181399999997</v>
      </c>
      <c r="DB164">
        <f>6.873891306</f>
        <v>6.873891306</v>
      </c>
      <c r="DC164">
        <f>6.991331461</f>
        <v>6.9913314609999997</v>
      </c>
      <c r="DD164">
        <f>7.096428307</f>
        <v>7.096428307</v>
      </c>
      <c r="DE164">
        <f>6.936188917</f>
        <v>6.936188917</v>
      </c>
      <c r="DF164">
        <f>6.954893393</f>
        <v>6.9548933929999999</v>
      </c>
      <c r="DG164">
        <f>21.39495934</f>
        <v>21.39495934</v>
      </c>
      <c r="DH164">
        <f>7.297752546</f>
        <v>7.2977525459999999</v>
      </c>
      <c r="DI164">
        <f>6.985566178</f>
        <v>6.985566178</v>
      </c>
      <c r="DJ164">
        <f>7.528919015</f>
        <v>7.5289190149999996</v>
      </c>
      <c r="DK164">
        <f>7.480813145</f>
        <v>7.4808131449999999</v>
      </c>
      <c r="DL164">
        <f>7.720772757</f>
        <v>7.7207727569999998</v>
      </c>
      <c r="DM164">
        <f>7.544064201</f>
        <v>7.5440642010000003</v>
      </c>
      <c r="DN164">
        <f>7.940948467</f>
        <v>7.9409484670000001</v>
      </c>
      <c r="DO164">
        <f>7.831504725</f>
        <v>7.8315047250000003</v>
      </c>
      <c r="DP164">
        <f>7.496487071</f>
        <v>7.4964870709999998</v>
      </c>
      <c r="DQ164">
        <f>7.722555788</f>
        <v>7.7225557880000002</v>
      </c>
      <c r="DR164">
        <f>7.610328971</f>
        <v>7.6103289710000004</v>
      </c>
      <c r="DS164">
        <f>7.577880903</f>
        <v>7.5778809029999996</v>
      </c>
      <c r="DT164">
        <f>7.310176593</f>
        <v>7.3101765929999996</v>
      </c>
      <c r="DU164">
        <f>6.576829875</f>
        <v>6.5768298749999996</v>
      </c>
    </row>
    <row r="165" spans="1:125">
      <c r="A165" t="str">
        <f>"    UDR Inc"</f>
        <v xml:space="preserve">    UDR Inc</v>
      </c>
      <c r="B165" t="str">
        <f>"UDR US Equity"</f>
        <v>UDR US Equity</v>
      </c>
      <c r="C165" t="str">
        <f t="shared" si="51"/>
        <v>RR052</v>
      </c>
      <c r="D165" t="str">
        <f t="shared" si="52"/>
        <v>TOT_DEBT_TO_EBITDA</v>
      </c>
      <c r="E165" t="str">
        <f t="shared" si="53"/>
        <v>动态</v>
      </c>
      <c r="F165" t="str">
        <f ca="1">IF(AND(ISNUMBER($F$371),$B$226=1),$F$371,HLOOKUP(INDIRECT(ADDRESS(2,COLUMN())),OFFSET($BN$2,0,0,ROW()-1,60),ROW()-1,FALSE))</f>
        <v/>
      </c>
      <c r="G165">
        <f ca="1">IF(AND(ISNUMBER($G$371),$B$226=1),$G$371,HLOOKUP(INDIRECT(ADDRESS(2,COLUMN())),OFFSET($BN$2,0,0,ROW()-1,60),ROW()-1,FALSE))</f>
        <v>5.912919756</v>
      </c>
      <c r="H165">
        <f ca="1">IF(AND(ISNUMBER($H$371),$B$226=1),$H$371,HLOOKUP(INDIRECT(ADDRESS(2,COLUMN())),OFFSET($BN$2,0,0,ROW()-1,60),ROW()-1,FALSE))</f>
        <v>5.9753208129999997</v>
      </c>
      <c r="I165">
        <f ca="1">IF(AND(ISNUMBER($I$371),$B$226=1),$I$371,HLOOKUP(INDIRECT(ADDRESS(2,COLUMN())),OFFSET($BN$2,0,0,ROW()-1,60),ROW()-1,FALSE))</f>
        <v>5.9144975359999998</v>
      </c>
      <c r="J165">
        <f ca="1">IF(AND(ISNUMBER($J$371),$B$226=1),$J$371,HLOOKUP(INDIRECT(ADDRESS(2,COLUMN())),OFFSET($BN$2,0,0,ROW()-1,60),ROW()-1,FALSE))</f>
        <v>5.8237286240000001</v>
      </c>
      <c r="K165">
        <f ca="1">IF(AND(ISNUMBER($K$371),$B$226=1),$K$371,HLOOKUP(INDIRECT(ADDRESS(2,COLUMN())),OFFSET($BN$2,0,0,ROW()-1,60),ROW()-1,FALSE))</f>
        <v>5.6666744409999996</v>
      </c>
      <c r="L165">
        <f ca="1">IF(AND(ISNUMBER($L$371),$B$226=1),$L$371,HLOOKUP(INDIRECT(ADDRESS(2,COLUMN())),OFFSET($BN$2,0,0,ROW()-1,60),ROW()-1,FALSE))</f>
        <v>6.0196636559999996</v>
      </c>
      <c r="M165">
        <f ca="1">IF(AND(ISNUMBER($M$371),$B$226=1),$M$371,HLOOKUP(INDIRECT(ADDRESS(2,COLUMN())),OFFSET($BN$2,0,0,ROW()-1,60),ROW()-1,FALSE))</f>
        <v>6.1012115519999996</v>
      </c>
      <c r="N165">
        <f ca="1">IF(AND(ISNUMBER($N$371),$B$226=1),$N$371,HLOOKUP(INDIRECT(ADDRESS(2,COLUMN())),OFFSET($BN$2,0,0,ROW()-1,60),ROW()-1,FALSE))</f>
        <v>6.2009280059999998</v>
      </c>
      <c r="O165">
        <f ca="1">IF(AND(ISNUMBER($O$371),$B$226=1),$O$371,HLOOKUP(INDIRECT(ADDRESS(2,COLUMN())),OFFSET($BN$2,0,0,ROW()-1,60),ROW()-1,FALSE))</f>
        <v>6.6019712760000004</v>
      </c>
      <c r="P165">
        <f ca="1">IF(AND(ISNUMBER($P$371),$B$226=1),$P$371,HLOOKUP(INDIRECT(ADDRESS(2,COLUMN())),OFFSET($BN$2,0,0,ROW()-1,60),ROW()-1,FALSE))</f>
        <v>6.6655042809999996</v>
      </c>
      <c r="Q165">
        <f ca="1">IF(AND(ISNUMBER($Q$371),$B$226=1),$Q$371,HLOOKUP(INDIRECT(ADDRESS(2,COLUMN())),OFFSET($BN$2,0,0,ROW()-1,60),ROW()-1,FALSE))</f>
        <v>6.8723571220000004</v>
      </c>
      <c r="R165">
        <f ca="1">IF(AND(ISNUMBER($R$371),$B$226=1),$R$371,HLOOKUP(INDIRECT(ADDRESS(2,COLUMN())),OFFSET($BN$2,0,0,ROW()-1,60),ROW()-1,FALSE))</f>
        <v>6.8921455070000004</v>
      </c>
      <c r="S165">
        <f ca="1">IF(AND(ISNUMBER($S$371),$B$226=1),$S$371,HLOOKUP(INDIRECT(ADDRESS(2,COLUMN())),OFFSET($BN$2,0,0,ROW()-1,60),ROW()-1,FALSE))</f>
        <v>7.2658444280000003</v>
      </c>
      <c r="T165">
        <f ca="1">IF(AND(ISNUMBER($T$371),$B$226=1),$T$371,HLOOKUP(INDIRECT(ADDRESS(2,COLUMN())),OFFSET($BN$2,0,0,ROW()-1,60),ROW()-1,FALSE))</f>
        <v>7.5935370449999997</v>
      </c>
      <c r="U165">
        <f ca="1">IF(AND(ISNUMBER($U$371),$B$226=1),$U$371,HLOOKUP(INDIRECT(ADDRESS(2,COLUMN())),OFFSET($BN$2,0,0,ROW()-1,60),ROW()-1,FALSE))</f>
        <v>7.9229185339999999</v>
      </c>
      <c r="V165">
        <f ca="1">IF(AND(ISNUMBER($V$371),$B$226=1),$V$371,HLOOKUP(INDIRECT(ADDRESS(2,COLUMN())),OFFSET($BN$2,0,0,ROW()-1,60),ROW()-1,FALSE))</f>
        <v>7.7399774299999997</v>
      </c>
      <c r="W165">
        <f ca="1">IF(AND(ISNUMBER($W$371),$B$226=1),$W$371,HLOOKUP(INDIRECT(ADDRESS(2,COLUMN())),OFFSET($BN$2,0,0,ROW()-1,60),ROW()-1,FALSE))</f>
        <v>7.5476005859999997</v>
      </c>
      <c r="X165">
        <f ca="1">IF(AND(ISNUMBER($X$371),$B$226=1),$X$371,HLOOKUP(INDIRECT(ADDRESS(2,COLUMN())),OFFSET($BN$2,0,0,ROW()-1,60),ROW()-1,FALSE))</f>
        <v>7.6415806670000004</v>
      </c>
      <c r="Y165">
        <f ca="1">IF(AND(ISNUMBER($Y$371),$B$226=1),$Y$371,HLOOKUP(INDIRECT(ADDRESS(2,COLUMN())),OFFSET($BN$2,0,0,ROW()-1,60),ROW()-1,FALSE))</f>
        <v>7.6733377789999997</v>
      </c>
      <c r="Z165">
        <f ca="1">IF(AND(ISNUMBER($Z$371),$B$226=1),$Z$371,HLOOKUP(INDIRECT(ADDRESS(2,COLUMN())),OFFSET($BN$2,0,0,ROW()-1,60),ROW()-1,FALSE))</f>
        <v>8.2272306190000002</v>
      </c>
      <c r="AA165">
        <f ca="1">IF(AND(ISNUMBER($AA$371),$B$226=1),$AA$371,HLOOKUP(INDIRECT(ADDRESS(2,COLUMN())),OFFSET($BN$2,0,0,ROW()-1,60),ROW()-1,FALSE))</f>
        <v>8.0816692739999993</v>
      </c>
      <c r="AB165">
        <f ca="1">IF(AND(ISNUMBER($AB$371),$B$226=1),$AB$371,HLOOKUP(INDIRECT(ADDRESS(2,COLUMN())),OFFSET($BN$2,0,0,ROW()-1,60),ROW()-1,FALSE))</f>
        <v>7.848609647</v>
      </c>
      <c r="AC165">
        <f ca="1">IF(AND(ISNUMBER($AC$371),$B$226=1),$AC$371,HLOOKUP(INDIRECT(ADDRESS(2,COLUMN())),OFFSET($BN$2,0,0,ROW()-1,60),ROW()-1,FALSE))</f>
        <v>7.7864530109999999</v>
      </c>
      <c r="AD165">
        <f ca="1">IF(AND(ISNUMBER($AD$371),$B$226=1),$AD$371,HLOOKUP(INDIRECT(ADDRESS(2,COLUMN())),OFFSET($BN$2,0,0,ROW()-1,60),ROW()-1,FALSE))</f>
        <v>9.1351432110000008</v>
      </c>
      <c r="AE165">
        <f ca="1">IF(AND(ISNUMBER($AE$371),$B$226=1),$AE$371,HLOOKUP(INDIRECT(ADDRESS(2,COLUMN())),OFFSET($BN$2,0,0,ROW()-1,60),ROW()-1,FALSE))</f>
        <v>9.547266445</v>
      </c>
      <c r="AF165">
        <f ca="1">IF(AND(ISNUMBER($AF$371),$B$226=1),$AF$371,HLOOKUP(INDIRECT(ADDRESS(2,COLUMN())),OFFSET($BN$2,0,0,ROW()-1,60),ROW()-1,FALSE))</f>
        <v>10.26221829</v>
      </c>
      <c r="AG165">
        <f ca="1">IF(AND(ISNUMBER($AG$371),$B$226=1),$AG$371,HLOOKUP(INDIRECT(ADDRESS(2,COLUMN())),OFFSET($BN$2,0,0,ROW()-1,60),ROW()-1,FALSE))</f>
        <v>10.101341440000001</v>
      </c>
      <c r="AH165">
        <f ca="1">IF(AND(ISNUMBER($AH$371),$B$226=1),$AH$371,HLOOKUP(INDIRECT(ADDRESS(2,COLUMN())),OFFSET($BN$2,0,0,ROW()-1,60),ROW()-1,FALSE))</f>
        <v>9.9733461069999993</v>
      </c>
      <c r="AI165">
        <f ca="1">IF(AND(ISNUMBER($AI$371),$B$226=1),$AI$371,HLOOKUP(INDIRECT(ADDRESS(2,COLUMN())),OFFSET($BN$2,0,0,ROW()-1,60),ROW()-1,FALSE))</f>
        <v>10.430596769999999</v>
      </c>
      <c r="AJ165">
        <f ca="1">IF(AND(ISNUMBER($AJ$371),$B$226=1),$AJ$371,HLOOKUP(INDIRECT(ADDRESS(2,COLUMN())),OFFSET($BN$2,0,0,ROW()-1,60),ROW()-1,FALSE))</f>
        <v>10.19546083</v>
      </c>
      <c r="AK165">
        <f ca="1">IF(AND(ISNUMBER($AK$371),$B$226=1),$AK$371,HLOOKUP(INDIRECT(ADDRESS(2,COLUMN())),OFFSET($BN$2,0,0,ROW()-1,60),ROW()-1,FALSE))</f>
        <v>10.236734719999999</v>
      </c>
      <c r="AL165">
        <f ca="1">IF(AND(ISNUMBER($AL$371),$B$226=1),$AL$371,HLOOKUP(INDIRECT(ADDRESS(2,COLUMN())),OFFSET($BN$2,0,0,ROW()-1,60),ROW()-1,FALSE))</f>
        <v>10.0112837</v>
      </c>
      <c r="AM165">
        <f ca="1">IF(AND(ISNUMBER($AM$371),$B$226=1),$AM$371,HLOOKUP(INDIRECT(ADDRESS(2,COLUMN())),OFFSET($BN$2,0,0,ROW()-1,60),ROW()-1,FALSE))</f>
        <v>9.8946570529999995</v>
      </c>
      <c r="AN165">
        <f ca="1">IF(AND(ISNUMBER($AN$371),$B$226=1),$AN$371,HLOOKUP(INDIRECT(ADDRESS(2,COLUMN())),OFFSET($BN$2,0,0,ROW()-1,60),ROW()-1,FALSE))</f>
        <v>9.5126291090000006</v>
      </c>
      <c r="AO165">
        <f ca="1">IF(AND(ISNUMBER($AO$371),$B$226=1),$AO$371,HLOOKUP(INDIRECT(ADDRESS(2,COLUMN())),OFFSET($BN$2,0,0,ROW()-1,60),ROW()-1,FALSE))</f>
        <v>9.1363250009999994</v>
      </c>
      <c r="AP165">
        <f ca="1">IF(AND(ISNUMBER($AP$371),$B$226=1),$AP$371,HLOOKUP(INDIRECT(ADDRESS(2,COLUMN())),OFFSET($BN$2,0,0,ROW()-1,60),ROW()-1,FALSE))</f>
        <v>9.7802655479999991</v>
      </c>
      <c r="AQ165">
        <f ca="1">IF(AND(ISNUMBER($AQ$371),$B$226=1),$AQ$371,HLOOKUP(INDIRECT(ADDRESS(2,COLUMN())),OFFSET($BN$2,0,0,ROW()-1,60),ROW()-1,FALSE))</f>
        <v>9.797576093</v>
      </c>
      <c r="AR165">
        <f ca="1">IF(AND(ISNUMBER($AR$371),$B$226=1),$AR$371,HLOOKUP(INDIRECT(ADDRESS(2,COLUMN())),OFFSET($BN$2,0,0,ROW()-1,60),ROW()-1,FALSE))</f>
        <v>9.8836829930000007</v>
      </c>
      <c r="AS165">
        <f ca="1">IF(AND(ISNUMBER($AS$371),$B$226=1),$AS$371,HLOOKUP(INDIRECT(ADDRESS(2,COLUMN())),OFFSET($BN$2,0,0,ROW()-1,60),ROW()-1,FALSE))</f>
        <v>9.2360636169999992</v>
      </c>
      <c r="AT165">
        <f ca="1">IF(AND(ISNUMBER($AT$371),$B$226=1),$AT$371,HLOOKUP(INDIRECT(ADDRESS(2,COLUMN())),OFFSET($BN$2,0,0,ROW()-1,60),ROW()-1,FALSE))</f>
        <v>9.0111390450000002</v>
      </c>
      <c r="AU165">
        <f ca="1">IF(AND(ISNUMBER($AU$371),$B$226=1),$AU$371,HLOOKUP(INDIRECT(ADDRESS(2,COLUMN())),OFFSET($BN$2,0,0,ROW()-1,60),ROW()-1,FALSE))</f>
        <v>9.5502956969999993</v>
      </c>
      <c r="AV165">
        <f ca="1">IF(AND(ISNUMBER($AV$371),$B$226=1),$AV$371,HLOOKUP(INDIRECT(ADDRESS(2,COLUMN())),OFFSET($BN$2,0,0,ROW()-1,60),ROW()-1,FALSE))</f>
        <v>9.5325441820000005</v>
      </c>
      <c r="AW165">
        <f ca="1">IF(AND(ISNUMBER($AW$371),$B$226=1),$AW$371,HLOOKUP(INDIRECT(ADDRESS(2,COLUMN())),OFFSET($BN$2,0,0,ROW()-1,60),ROW()-1,FALSE))</f>
        <v>9.8047807789999997</v>
      </c>
      <c r="AX165">
        <f ca="1">IF(AND(ISNUMBER($AX$371),$B$226=1),$AX$371,HLOOKUP(INDIRECT(ADDRESS(2,COLUMN())),OFFSET($BN$2,0,0,ROW()-1,60),ROW()-1,FALSE))</f>
        <v>9.2620169729999997</v>
      </c>
      <c r="AY165">
        <f ca="1">IF(AND(ISNUMBER($AY$371),$B$226=1),$AY$371,HLOOKUP(INDIRECT(ADDRESS(2,COLUMN())),OFFSET($BN$2,0,0,ROW()-1,60),ROW()-1,FALSE))</f>
        <v>8.7369127590000009</v>
      </c>
      <c r="AZ165">
        <f ca="1">IF(AND(ISNUMBER($AZ$371),$B$226=1),$AZ$371,HLOOKUP(INDIRECT(ADDRESS(2,COLUMN())),OFFSET($BN$2,0,0,ROW()-1,60),ROW()-1,FALSE))</f>
        <v>8.1746434309999998</v>
      </c>
      <c r="BA165">
        <f ca="1">IF(AND(ISNUMBER($BA$371),$B$226=1),$BA$371,HLOOKUP(INDIRECT(ADDRESS(2,COLUMN())),OFFSET($BN$2,0,0,ROW()-1,60),ROW()-1,FALSE))</f>
        <v>8.5819887179999998</v>
      </c>
      <c r="BB165">
        <f ca="1">IF(AND(ISNUMBER($BB$371),$B$226=1),$BB$371,HLOOKUP(INDIRECT(ADDRESS(2,COLUMN())),OFFSET($BN$2,0,0,ROW()-1,60),ROW()-1,FALSE))</f>
        <v>8.2124314599999995</v>
      </c>
      <c r="BC165">
        <f ca="1">IF(AND(ISNUMBER($BC$371),$B$226=1),$BC$371,HLOOKUP(INDIRECT(ADDRESS(2,COLUMN())),OFFSET($BN$2,0,0,ROW()-1,60),ROW()-1,FALSE))</f>
        <v>8.2358351879999994</v>
      </c>
      <c r="BD165">
        <f ca="1">IF(AND(ISNUMBER($BD$371),$B$226=1),$BD$371,HLOOKUP(INDIRECT(ADDRESS(2,COLUMN())),OFFSET($BN$2,0,0,ROW()-1,60),ROW()-1,FALSE))</f>
        <v>8.7322107599999992</v>
      </c>
      <c r="BE165">
        <f ca="1">IF(AND(ISNUMBER($BE$371),$B$226=1),$BE$371,HLOOKUP(INDIRECT(ADDRESS(2,COLUMN())),OFFSET($BN$2,0,0,ROW()-1,60),ROW()-1,FALSE))</f>
        <v>8.6059478790000004</v>
      </c>
      <c r="BF165">
        <f ca="1">IF(AND(ISNUMBER($BF$371),$B$226=1),$BF$371,HLOOKUP(INDIRECT(ADDRESS(2,COLUMN())),OFFSET($BN$2,0,0,ROW()-1,60),ROW()-1,FALSE))</f>
        <v>8.7662561399999994</v>
      </c>
      <c r="BG165">
        <f ca="1">IF(AND(ISNUMBER($BG$371),$B$226=1),$BG$371,HLOOKUP(INDIRECT(ADDRESS(2,COLUMN())),OFFSET($BN$2,0,0,ROW()-1,60),ROW()-1,FALSE))</f>
        <v>8.6797164609999999</v>
      </c>
      <c r="BH165">
        <f ca="1">IF(AND(ISNUMBER($BH$371),$B$226=1),$BH$371,HLOOKUP(INDIRECT(ADDRESS(2,COLUMN())),OFFSET($BN$2,0,0,ROW()-1,60),ROW()-1,FALSE))</f>
        <v>7.3307459560000003</v>
      </c>
      <c r="BI165">
        <f ca="1">IF(AND(ISNUMBER($BI$371),$B$226=1),$BI$371,HLOOKUP(INDIRECT(ADDRESS(2,COLUMN())),OFFSET($BN$2,0,0,ROW()-1,60),ROW()-1,FALSE))</f>
        <v>6.6561802769999998</v>
      </c>
      <c r="BJ165">
        <f ca="1">IF(AND(ISNUMBER($BJ$371),$B$226=1),$BJ$371,HLOOKUP(INDIRECT(ADDRESS(2,COLUMN())),OFFSET($BN$2,0,0,ROW()-1,60),ROW()-1,FALSE))</f>
        <v>6.6551136790000003</v>
      </c>
      <c r="BK165">
        <f ca="1">IF(AND(ISNUMBER($BK$371),$B$226=1),$BK$371,HLOOKUP(INDIRECT(ADDRESS(2,COLUMN())),OFFSET($BN$2,0,0,ROW()-1,60),ROW()-1,FALSE))</f>
        <v>6.4310767640000002</v>
      </c>
      <c r="BL165">
        <f ca="1">IF(AND(ISNUMBER($BL$371),$B$226=1),$BL$371,HLOOKUP(INDIRECT(ADDRESS(2,COLUMN())),OFFSET($BN$2,0,0,ROW()-1,60),ROW()-1,FALSE))</f>
        <v>6.0144227849999998</v>
      </c>
      <c r="BM165">
        <f ca="1">IF(AND(ISNUMBER($BM$371),$B$226=1),$BM$371,HLOOKUP(INDIRECT(ADDRESS(2,COLUMN())),OFFSET($BN$2,0,0,ROW()-1,60),ROW()-1,FALSE))</f>
        <v>6.2265340719999998</v>
      </c>
      <c r="BN165" t="str">
        <f>""</f>
        <v/>
      </c>
      <c r="BO165">
        <f>5.912919756</f>
        <v>5.912919756</v>
      </c>
      <c r="BP165">
        <f>5.975320813</f>
        <v>5.9753208129999997</v>
      </c>
      <c r="BQ165">
        <f>5.914497536</f>
        <v>5.9144975359999998</v>
      </c>
      <c r="BR165">
        <f>5.823728624</f>
        <v>5.8237286240000001</v>
      </c>
      <c r="BS165">
        <f>5.666674441</f>
        <v>5.6666744409999996</v>
      </c>
      <c r="BT165">
        <f>6.019663656</f>
        <v>6.0196636559999996</v>
      </c>
      <c r="BU165">
        <f>6.101211552</f>
        <v>6.1012115519999996</v>
      </c>
      <c r="BV165">
        <f>6.200928006</f>
        <v>6.2009280059999998</v>
      </c>
      <c r="BW165">
        <f>6.601971276</f>
        <v>6.6019712760000004</v>
      </c>
      <c r="BX165">
        <f>6.665504281</f>
        <v>6.6655042809999996</v>
      </c>
      <c r="BY165">
        <f>6.872357122</f>
        <v>6.8723571220000004</v>
      </c>
      <c r="BZ165">
        <f>6.892145507</f>
        <v>6.8921455070000004</v>
      </c>
      <c r="CA165">
        <f>7.265844428</f>
        <v>7.2658444280000003</v>
      </c>
      <c r="CB165">
        <f>7.593537045</f>
        <v>7.5935370449999997</v>
      </c>
      <c r="CC165">
        <f>7.922918534</f>
        <v>7.9229185339999999</v>
      </c>
      <c r="CD165">
        <f>7.73997743</f>
        <v>7.7399774299999997</v>
      </c>
      <c r="CE165">
        <f>7.547600586</f>
        <v>7.5476005859999997</v>
      </c>
      <c r="CF165">
        <f>7.641580667</f>
        <v>7.6415806670000004</v>
      </c>
      <c r="CG165">
        <f>7.673337779</f>
        <v>7.6733377789999997</v>
      </c>
      <c r="CH165">
        <f>8.227230619</f>
        <v>8.2272306190000002</v>
      </c>
      <c r="CI165">
        <f>8.081669274</f>
        <v>8.0816692739999993</v>
      </c>
      <c r="CJ165">
        <f>7.848609647</f>
        <v>7.848609647</v>
      </c>
      <c r="CK165">
        <f>7.786453011</f>
        <v>7.7864530109999999</v>
      </c>
      <c r="CL165">
        <f>9.135143211</f>
        <v>9.1351432110000008</v>
      </c>
      <c r="CM165">
        <f>9.547266445</f>
        <v>9.547266445</v>
      </c>
      <c r="CN165">
        <f>10.26221829</f>
        <v>10.26221829</v>
      </c>
      <c r="CO165">
        <f>10.10134144</f>
        <v>10.101341440000001</v>
      </c>
      <c r="CP165">
        <f>9.973346107</f>
        <v>9.9733461069999993</v>
      </c>
      <c r="CQ165">
        <f>10.43059677</f>
        <v>10.430596769999999</v>
      </c>
      <c r="CR165">
        <f>10.19546083</f>
        <v>10.19546083</v>
      </c>
      <c r="CS165">
        <f>10.23673472</f>
        <v>10.236734719999999</v>
      </c>
      <c r="CT165">
        <f>10.0112837</f>
        <v>10.0112837</v>
      </c>
      <c r="CU165">
        <f>9.894657053</f>
        <v>9.8946570529999995</v>
      </c>
      <c r="CV165">
        <f>9.512629109</f>
        <v>9.5126291090000006</v>
      </c>
      <c r="CW165">
        <f>9.136325001</f>
        <v>9.1363250009999994</v>
      </c>
      <c r="CX165">
        <f>9.780265548</f>
        <v>9.7802655479999991</v>
      </c>
      <c r="CY165">
        <f>9.797576093</f>
        <v>9.797576093</v>
      </c>
      <c r="CZ165">
        <f>9.883682993</f>
        <v>9.8836829930000007</v>
      </c>
      <c r="DA165">
        <f>9.236063617</f>
        <v>9.2360636169999992</v>
      </c>
      <c r="DB165">
        <f>9.011139045</f>
        <v>9.0111390450000002</v>
      </c>
      <c r="DC165">
        <f>9.550295697</f>
        <v>9.5502956969999993</v>
      </c>
      <c r="DD165">
        <f>9.532544182</f>
        <v>9.5325441820000005</v>
      </c>
      <c r="DE165">
        <f>9.804780779</f>
        <v>9.8047807789999997</v>
      </c>
      <c r="DF165">
        <f>9.262016973</f>
        <v>9.2620169729999997</v>
      </c>
      <c r="DG165">
        <f>8.736912759</f>
        <v>8.7369127590000009</v>
      </c>
      <c r="DH165">
        <f>8.174643431</f>
        <v>8.1746434309999998</v>
      </c>
      <c r="DI165">
        <f>8.581988718</f>
        <v>8.5819887179999998</v>
      </c>
      <c r="DJ165">
        <f>8.21243146</f>
        <v>8.2124314599999995</v>
      </c>
      <c r="DK165">
        <f>8.235835188</f>
        <v>8.2358351879999994</v>
      </c>
      <c r="DL165">
        <f>8.73221076</f>
        <v>8.7322107599999992</v>
      </c>
      <c r="DM165">
        <f>8.605947879</f>
        <v>8.6059478790000004</v>
      </c>
      <c r="DN165">
        <f>8.76625614</f>
        <v>8.7662561399999994</v>
      </c>
      <c r="DO165">
        <f>8.679716461</f>
        <v>8.6797164609999999</v>
      </c>
      <c r="DP165">
        <f>7.330745956</f>
        <v>7.3307459560000003</v>
      </c>
      <c r="DQ165">
        <f>6.656180277</f>
        <v>6.6561802769999998</v>
      </c>
      <c r="DR165">
        <f>6.655113679</f>
        <v>6.6551136790000003</v>
      </c>
      <c r="DS165">
        <f>6.431076764</f>
        <v>6.4310767640000002</v>
      </c>
      <c r="DT165">
        <f>6.014422785</f>
        <v>6.0144227849999998</v>
      </c>
      <c r="DU165">
        <f>6.226534072</f>
        <v>6.2265340719999998</v>
      </c>
    </row>
    <row r="166" spans="1:125">
      <c r="A166" t="str">
        <f>"长期债务/总资产(%)"</f>
        <v>长期债务/总资产(%)</v>
      </c>
      <c r="B166" t="str">
        <f>""</f>
        <v/>
      </c>
      <c r="E166" t="str">
        <f>"Median"</f>
        <v>Median</v>
      </c>
      <c r="F166" t="str">
        <f ca="1">IF(ISERROR(IF(MEDIAN($F$167:$F$174) = 0, "", MEDIAN($F$167:$F$174))), "", (IF(MEDIAN($F$167:$F$174) = 0, "", MEDIAN($F$167:$F$174))))</f>
        <v/>
      </c>
      <c r="G166">
        <f ca="1">IF(ISERROR(IF(MEDIAN($G$167:$G$174) = 0, "", MEDIAN($G$167:$G$174))), "", (IF(MEDIAN($G$167:$G$174) = 0, "", MEDIAN($G$167:$G$174))))</f>
        <v>10.0071639595</v>
      </c>
      <c r="H166">
        <f ca="1">IF(ISERROR(IF(MEDIAN($H$167:$H$174) = 0, "", MEDIAN($H$167:$H$174))), "", (IF(MEDIAN($H$167:$H$174) = 0, "", MEDIAN($H$167:$H$174))))</f>
        <v>10.142754957000001</v>
      </c>
      <c r="I166">
        <f ca="1">IF(ISERROR(IF(MEDIAN($I$167:$I$174) = 0, "", MEDIAN($I$167:$I$174))), "", (IF(MEDIAN($I$167:$I$174) = 0, "", MEDIAN($I$167:$I$174))))</f>
        <v>10.658496159999999</v>
      </c>
      <c r="J166">
        <f ca="1">IF(ISERROR(IF(MEDIAN($J$167:$J$174) = 0, "", MEDIAN($J$167:$J$174))), "", (IF(MEDIAN($J$167:$J$174) = 0, "", MEDIAN($J$167:$J$174))))</f>
        <v>13.734318255</v>
      </c>
      <c r="K166">
        <f ca="1">IF(ISERROR(IF(MEDIAN($K$167:$K$174) = 0, "", MEDIAN($K$167:$K$174))), "", (IF(MEDIAN($K$167:$K$174) = 0, "", MEDIAN($K$167:$K$174))))</f>
        <v>14.547898745000001</v>
      </c>
      <c r="L166">
        <f ca="1">IF(ISERROR(IF(MEDIAN($L$167:$L$174) = 0, "", MEDIAN($L$167:$L$174))), "", (IF(MEDIAN($L$167:$L$174) = 0, "", MEDIAN($L$167:$L$174))))</f>
        <v>14.7579981</v>
      </c>
      <c r="M166">
        <f ca="1">IF(ISERROR(IF(MEDIAN($M$167:$M$174) = 0, "", MEDIAN($M$167:$M$174))), "", (IF(MEDIAN($M$167:$M$174) = 0, "", MEDIAN($M$167:$M$174))))</f>
        <v>16.60110405</v>
      </c>
      <c r="N166">
        <f ca="1">IF(ISERROR(IF(MEDIAN($N$167:$N$174) = 0, "", MEDIAN($N$167:$N$174))), "", (IF(MEDIAN($N$167:$N$174) = 0, "", MEDIAN($N$167:$N$174))))</f>
        <v>17.583120739999998</v>
      </c>
      <c r="O166">
        <f ca="1">IF(ISERROR(IF(MEDIAN($O$167:$O$174) = 0, "", MEDIAN($O$167:$O$174))), "", (IF(MEDIAN($O$167:$O$174) = 0, "", MEDIAN($O$167:$O$174))))</f>
        <v>18.098574915</v>
      </c>
      <c r="P166">
        <f ca="1">IF(ISERROR(IF(MEDIAN($P$167:$P$174) = 0, "", MEDIAN($P$167:$P$174))), "", (IF(MEDIAN($P$167:$P$174) = 0, "", MEDIAN($P$167:$P$174))))</f>
        <v>18.692120594999999</v>
      </c>
      <c r="Q166">
        <f ca="1">IF(ISERROR(IF(MEDIAN($Q$167:$Q$174) = 0, "", MEDIAN($Q$167:$Q$174))), "", (IF(MEDIAN($Q$167:$Q$174) = 0, "", MEDIAN($Q$167:$Q$174))))</f>
        <v>18.952749095000001</v>
      </c>
      <c r="R166">
        <f ca="1">IF(ISERROR(IF(MEDIAN($R$167:$R$174) = 0, "", MEDIAN($R$167:$R$174))), "", (IF(MEDIAN($R$167:$R$174) = 0, "", MEDIAN($R$167:$R$174))))</f>
        <v>20.25549767</v>
      </c>
      <c r="S166">
        <f ca="1">IF(ISERROR(IF(MEDIAN($S$167:$S$174) = 0, "", MEDIAN($S$167:$S$174))), "", (IF(MEDIAN($S$167:$S$174) = 0, "", MEDIAN($S$167:$S$174))))</f>
        <v>20.802495694999998</v>
      </c>
      <c r="T166">
        <f ca="1">IF(ISERROR(IF(MEDIAN($T$167:$T$174) = 0, "", MEDIAN($T$167:$T$174))), "", (IF(MEDIAN($T$167:$T$174) = 0, "", MEDIAN($T$167:$T$174))))</f>
        <v>21.206598495000001</v>
      </c>
      <c r="U166">
        <f ca="1">IF(ISERROR(IF(MEDIAN($U$167:$U$174) = 0, "", MEDIAN($U$167:$U$174))), "", (IF(MEDIAN($U$167:$U$174) = 0, "", MEDIAN($U$167:$U$174))))</f>
        <v>22.056654694999999</v>
      </c>
      <c r="V166">
        <f ca="1">IF(ISERROR(IF(MEDIAN($V$167:$V$174) = 0, "", MEDIAN($V$167:$V$174))), "", (IF(MEDIAN($V$167:$V$174) = 0, "", MEDIAN($V$167:$V$174))))</f>
        <v>22.645962425</v>
      </c>
      <c r="W166">
        <f ca="1">IF(ISERROR(IF(MEDIAN($W$167:$W$174) = 0, "", MEDIAN($W$167:$W$174))), "", (IF(MEDIAN($W$167:$W$174) = 0, "", MEDIAN($W$167:$W$174))))</f>
        <v>24.634166004999997</v>
      </c>
      <c r="X166">
        <f ca="1">IF(ISERROR(IF(MEDIAN($X$167:$X$174) = 0, "", MEDIAN($X$167:$X$174))), "", (IF(MEDIAN($X$167:$X$174) = 0, "", MEDIAN($X$167:$X$174))))</f>
        <v>27.156119629999999</v>
      </c>
      <c r="Y166">
        <f ca="1">IF(ISERROR(IF(MEDIAN($Y$167:$Y$174) = 0, "", MEDIAN($Y$167:$Y$174))), "", (IF(MEDIAN($Y$167:$Y$174) = 0, "", MEDIAN($Y$167:$Y$174))))</f>
        <v>28.317921184999999</v>
      </c>
      <c r="Z166">
        <f ca="1">IF(ISERROR(IF(MEDIAN($Z$167:$Z$174) = 0, "", MEDIAN($Z$167:$Z$174))), "", (IF(MEDIAN($Z$167:$Z$174) = 0, "", MEDIAN($Z$167:$Z$174))))</f>
        <v>28.939784565</v>
      </c>
      <c r="AA166">
        <f ca="1">IF(ISERROR(IF(MEDIAN($AA$167:$AA$174) = 0, "", MEDIAN($AA$167:$AA$174))), "", (IF(MEDIAN($AA$167:$AA$174) = 0, "", MEDIAN($AA$167:$AA$174))))</f>
        <v>26.386157884999999</v>
      </c>
      <c r="AB166">
        <f ca="1">IF(ISERROR(IF(MEDIAN($AB$167:$AB$174) = 0, "", MEDIAN($AB$167:$AB$174))), "", (IF(MEDIAN($AB$167:$AB$174) = 0, "", MEDIAN($AB$167:$AB$174))))</f>
        <v>25.627732904999998</v>
      </c>
      <c r="AC166">
        <f ca="1">IF(ISERROR(IF(MEDIAN($AC$167:$AC$174) = 0, "", MEDIAN($AC$167:$AC$174))), "", (IF(MEDIAN($AC$167:$AC$174) = 0, "", MEDIAN($AC$167:$AC$174))))</f>
        <v>27.504396829999997</v>
      </c>
      <c r="AD166">
        <f ca="1">IF(ISERROR(IF(MEDIAN($AD$167:$AD$174) = 0, "", MEDIAN($AD$167:$AD$174))), "", (IF(MEDIAN($AD$167:$AD$174) = 0, "", MEDIAN($AD$167:$AD$174))))</f>
        <v>28.905058635</v>
      </c>
      <c r="AE166">
        <f ca="1">IF(ISERROR(IF(MEDIAN($AE$167:$AE$174) = 0, "", MEDIAN($AE$167:$AE$174))), "", (IF(MEDIAN($AE$167:$AE$174) = 0, "", MEDIAN($AE$167:$AE$174))))</f>
        <v>30.267055655</v>
      </c>
      <c r="AF166">
        <f ca="1">IF(ISERROR(IF(MEDIAN($AF$167:$AF$174) = 0, "", MEDIAN($AF$167:$AF$174))), "", (IF(MEDIAN($AF$167:$AF$174) = 0, "", MEDIAN($AF$167:$AF$174))))</f>
        <v>33.394019119999996</v>
      </c>
      <c r="AG166">
        <f ca="1">IF(ISERROR(IF(MEDIAN($AG$167:$AG$174) = 0, "", MEDIAN($AG$167:$AG$174))), "", (IF(MEDIAN($AG$167:$AG$174) = 0, "", MEDIAN($AG$167:$AG$174))))</f>
        <v>35.929047505</v>
      </c>
      <c r="AH166">
        <f ca="1">IF(ISERROR(IF(MEDIAN($AH$167:$AH$174) = 0, "", MEDIAN($AH$167:$AH$174))), "", (IF(MEDIAN($AH$167:$AH$174) = 0, "", MEDIAN($AH$167:$AH$174))))</f>
        <v>37.236974645000004</v>
      </c>
      <c r="AI166">
        <f ca="1">IF(ISERROR(IF(MEDIAN($AI$167:$AI$174) = 0, "", MEDIAN($AI$167:$AI$174))), "", (IF(MEDIAN($AI$167:$AI$174) = 0, "", MEDIAN($AI$167:$AI$174))))</f>
        <v>42.425663675000003</v>
      </c>
      <c r="AJ166">
        <f ca="1">IF(ISERROR(IF(MEDIAN($AJ$167:$AJ$174) = 0, "", MEDIAN($AJ$167:$AJ$174))), "", (IF(MEDIAN($AJ$167:$AJ$174) = 0, "", MEDIAN($AJ$167:$AJ$174))))</f>
        <v>43.095282170000004</v>
      </c>
      <c r="AK166">
        <f ca="1">IF(ISERROR(IF(MEDIAN($AK$167:$AK$174) = 0, "", MEDIAN($AK$167:$AK$174))), "", (IF(MEDIAN($AK$167:$AK$174) = 0, "", MEDIAN($AK$167:$AK$174))))</f>
        <v>43.93524635</v>
      </c>
      <c r="AL166">
        <f ca="1">IF(ISERROR(IF(MEDIAN($AL$167:$AL$174) = 0, "", MEDIAN($AL$167:$AL$174))), "", (IF(MEDIAN($AL$167:$AL$174) = 0, "", MEDIAN($AL$167:$AL$174))))</f>
        <v>43.595356715000001</v>
      </c>
      <c r="AM166">
        <f ca="1">IF(ISERROR(IF(MEDIAN($AM$167:$AM$174) = 0, "", MEDIAN($AM$167:$AM$174))), "", (IF(MEDIAN($AM$167:$AM$174) = 0, "", MEDIAN($AM$167:$AM$174))))</f>
        <v>44.015144719999995</v>
      </c>
      <c r="AN166">
        <f ca="1">IF(ISERROR(IF(MEDIAN($AN$167:$AN$174) = 0, "", MEDIAN($AN$167:$AN$174))), "", (IF(MEDIAN($AN$167:$AN$174) = 0, "", MEDIAN($AN$167:$AN$174))))</f>
        <v>43.371031540000004</v>
      </c>
      <c r="AO166">
        <f ca="1">IF(ISERROR(IF(MEDIAN($AO$167:$AO$174) = 0, "", MEDIAN($AO$167:$AO$174))), "", (IF(MEDIAN($AO$167:$AO$174) = 0, "", MEDIAN($AO$167:$AO$174))))</f>
        <v>41.712823180000001</v>
      </c>
      <c r="AP166">
        <f ca="1">IF(ISERROR(IF(MEDIAN($AP$167:$AP$174) = 0, "", MEDIAN($AP$167:$AP$174))), "", (IF(MEDIAN($AP$167:$AP$174) = 0, "", MEDIAN($AP$167:$AP$174))))</f>
        <v>40.983788945000001</v>
      </c>
      <c r="AQ166">
        <f ca="1">IF(ISERROR(IF(MEDIAN($AQ$167:$AQ$174) = 0, "", MEDIAN($AQ$167:$AQ$174))), "", (IF(MEDIAN($AQ$167:$AQ$174) = 0, "", MEDIAN($AQ$167:$AQ$174))))</f>
        <v>42.933164024999996</v>
      </c>
      <c r="AR166">
        <f ca="1">IF(ISERROR(IF(MEDIAN($AR$167:$AR$174) = 0, "", MEDIAN($AR$167:$AR$174))), "", (IF(MEDIAN($AR$167:$AR$174) = 0, "", MEDIAN($AR$167:$AR$174))))</f>
        <v>35.127187544999998</v>
      </c>
      <c r="AS166">
        <f ca="1">IF(ISERROR(IF(MEDIAN($AS$167:$AS$174) = 0, "", MEDIAN($AS$167:$AS$174))), "", (IF(MEDIAN($AS$167:$AS$174) = 0, "", MEDIAN($AS$167:$AS$174))))</f>
        <v>39.376878775000002</v>
      </c>
      <c r="AT166">
        <f ca="1">IF(ISERROR(IF(MEDIAN($AT$167:$AT$174) = 0, "", MEDIAN($AT$167:$AT$174))), "", (IF(MEDIAN($AT$167:$AT$174) = 0, "", MEDIAN($AT$167:$AT$174))))</f>
        <v>34.654732725000002</v>
      </c>
      <c r="AU166">
        <f ca="1">IF(ISERROR(IF(MEDIAN($AU$167:$AU$174) = 0, "", MEDIAN($AU$167:$AU$174))), "", (IF(MEDIAN($AU$167:$AU$174) = 0, "", MEDIAN($AU$167:$AU$174))))</f>
        <v>36.631554735000002</v>
      </c>
      <c r="AV166">
        <f ca="1">IF(ISERROR(IF(MEDIAN($AV$167:$AV$174) = 0, "", MEDIAN($AV$167:$AV$174))), "", (IF(MEDIAN($AV$167:$AV$174) = 0, "", MEDIAN($AV$167:$AV$174))))</f>
        <v>37.116084645000001</v>
      </c>
      <c r="AW166">
        <f ca="1">IF(ISERROR(IF(MEDIAN($AW$167:$AW$174) = 0, "", MEDIAN($AW$167:$AW$174))), "", (IF(MEDIAN($AW$167:$AW$174) = 0, "", MEDIAN($AW$167:$AW$174))))</f>
        <v>37.849827099999999</v>
      </c>
      <c r="AX166">
        <f ca="1">IF(ISERROR(IF(MEDIAN($AX$167:$AX$174) = 0, "", MEDIAN($AX$167:$AX$174))), "", (IF(MEDIAN($AX$167:$AX$174) = 0, "", MEDIAN($AX$167:$AX$174))))</f>
        <v>38.198220059999997</v>
      </c>
      <c r="AY166">
        <f ca="1">IF(ISERROR(IF(MEDIAN($AY$167:$AY$174) = 0, "", MEDIAN($AY$167:$AY$174))), "", (IF(MEDIAN($AY$167:$AY$174) = 0, "", MEDIAN($AY$167:$AY$174))))</f>
        <v>37.089656974999997</v>
      </c>
      <c r="AZ166">
        <f ca="1">IF(ISERROR(IF(MEDIAN($AZ$167:$AZ$174) = 0, "", MEDIAN($AZ$167:$AZ$174))), "", (IF(MEDIAN($AZ$167:$AZ$174) = 0, "", MEDIAN($AZ$167:$AZ$174))))</f>
        <v>37.01470964</v>
      </c>
      <c r="BA166">
        <f ca="1">IF(ISERROR(IF(MEDIAN($BA$167:$BA$174) = 0, "", MEDIAN($BA$167:$BA$174))), "", (IF(MEDIAN($BA$167:$BA$174) = 0, "", MEDIAN($BA$167:$BA$174))))</f>
        <v>37.499398819999996</v>
      </c>
      <c r="BB166">
        <f ca="1">IF(ISERROR(IF(MEDIAN($BB$167:$BB$174) = 0, "", MEDIAN($BB$167:$BB$174))), "", (IF(MEDIAN($BB$167:$BB$174) = 0, "", MEDIAN($BB$167:$BB$174))))</f>
        <v>37.723791185000003</v>
      </c>
      <c r="BC166">
        <f ca="1">IF(ISERROR(IF(MEDIAN($BC$167:$BC$174) = 0, "", MEDIAN($BC$167:$BC$174))), "", (IF(MEDIAN($BC$167:$BC$174) = 0, "", MEDIAN($BC$167:$BC$174))))</f>
        <v>35.606913445000004</v>
      </c>
      <c r="BD166">
        <f ca="1">IF(ISERROR(IF(MEDIAN($BD$167:$BD$174) = 0, "", MEDIAN($BD$167:$BD$174))), "", (IF(MEDIAN($BD$167:$BD$174) = 0, "", MEDIAN($BD$167:$BD$174))))</f>
        <v>35.282905380000003</v>
      </c>
      <c r="BE166">
        <f ca="1">IF(ISERROR(IF(MEDIAN($BE$167:$BE$174) = 0, "", MEDIAN($BE$167:$BE$174))), "", (IF(MEDIAN($BE$167:$BE$174) = 0, "", MEDIAN($BE$167:$BE$174))))</f>
        <v>37.361380870000005</v>
      </c>
      <c r="BF166">
        <f ca="1">IF(ISERROR(IF(MEDIAN($BF$167:$BF$174) = 0, "", MEDIAN($BF$167:$BF$174))), "", (IF(MEDIAN($BF$167:$BF$174) = 0, "", MEDIAN($BF$167:$BF$174))))</f>
        <v>35.770273365000001</v>
      </c>
      <c r="BG166">
        <f ca="1">IF(ISERROR(IF(MEDIAN($BG$167:$BG$174) = 0, "", MEDIAN($BG$167:$BG$174))), "", (IF(MEDIAN($BG$167:$BG$174) = 0, "", MEDIAN($BG$167:$BG$174))))</f>
        <v>27.6529022</v>
      </c>
      <c r="BH166">
        <f ca="1">IF(ISERROR(IF(MEDIAN($BH$167:$BH$174) = 0, "", MEDIAN($BH$167:$BH$174))), "", (IF(MEDIAN($BH$167:$BH$174) = 0, "", MEDIAN($BH$167:$BH$174))))</f>
        <v>27.51807436</v>
      </c>
      <c r="BI166">
        <f ca="1">IF(ISERROR(IF(MEDIAN($BI$167:$BI$174) = 0, "", MEDIAN($BI$167:$BI$174))), "", (IF(MEDIAN($BI$167:$BI$174) = 0, "", MEDIAN($BI$167:$BI$174))))</f>
        <v>27.45580026</v>
      </c>
      <c r="BJ166">
        <f ca="1">IF(ISERROR(IF(MEDIAN($BJ$167:$BJ$174) = 0, "", MEDIAN($BJ$167:$BJ$174))), "", (IF(MEDIAN($BJ$167:$BJ$174) = 0, "", MEDIAN($BJ$167:$BJ$174))))</f>
        <v>27.973975429999999</v>
      </c>
      <c r="BK166">
        <f ca="1">IF(ISERROR(IF(MEDIAN($BK$167:$BK$174) = 0, "", MEDIAN($BK$167:$BK$174))), "", (IF(MEDIAN($BK$167:$BK$174) = 0, "", MEDIAN($BK$167:$BK$174))))</f>
        <v>26.110198390000001</v>
      </c>
      <c r="BL166">
        <f ca="1">IF(ISERROR(IF(MEDIAN($BL$167:$BL$174) = 0, "", MEDIAN($BL$167:$BL$174))), "", (IF(MEDIAN($BL$167:$BL$174) = 0, "", MEDIAN($BL$167:$BL$174))))</f>
        <v>27.00707603</v>
      </c>
      <c r="BM166">
        <f ca="1">IF(ISERROR(IF(MEDIAN($BM$167:$BM$174) = 0, "", MEDIAN($BM$167:$BM$174))), "", (IF(MEDIAN($BM$167:$BM$174) = 0, "", MEDIAN($BM$167:$BM$174))))</f>
        <v>26.997569335000001</v>
      </c>
      <c r="BN166" t="str">
        <f>""</f>
        <v/>
      </c>
      <c r="BO166">
        <f>10.00716396</f>
        <v>10.00716396</v>
      </c>
      <c r="BP166">
        <f>10.14275496</f>
        <v>10.14275496</v>
      </c>
      <c r="BQ166">
        <f>10.65849616</f>
        <v>10.65849616</v>
      </c>
      <c r="BR166">
        <f>13.73431825</f>
        <v>13.734318249999999</v>
      </c>
      <c r="BS166">
        <f>14.54789875</f>
        <v>14.54789875</v>
      </c>
      <c r="BT166">
        <f>14.7579981</f>
        <v>14.7579981</v>
      </c>
      <c r="BU166">
        <f>16.60110405</f>
        <v>16.60110405</v>
      </c>
      <c r="BV166">
        <f>17.58312074</f>
        <v>17.583120739999998</v>
      </c>
      <c r="BW166">
        <f>18.09857492</f>
        <v>18.098574920000001</v>
      </c>
      <c r="BX166">
        <f>18.69212059</f>
        <v>18.692120589999998</v>
      </c>
      <c r="BY166">
        <f>18.95274909</f>
        <v>18.952749090000001</v>
      </c>
      <c r="BZ166">
        <f>20.25549767</f>
        <v>20.25549767</v>
      </c>
      <c r="CA166">
        <f>20.80249569</f>
        <v>20.802495690000001</v>
      </c>
      <c r="CB166">
        <f>21.20659849</f>
        <v>21.206598490000001</v>
      </c>
      <c r="CC166">
        <f>22.0566547</f>
        <v>22.056654699999999</v>
      </c>
      <c r="CD166">
        <f>22.64596243</f>
        <v>22.645962430000001</v>
      </c>
      <c r="CE166">
        <f>24.634166</f>
        <v>24.634166</v>
      </c>
      <c r="CF166">
        <f>27.15611963</f>
        <v>27.156119629999999</v>
      </c>
      <c r="CG166">
        <f>28.31792119</f>
        <v>28.31792119</v>
      </c>
      <c r="CH166">
        <f>28.93978456</f>
        <v>28.93978456</v>
      </c>
      <c r="CI166">
        <f>26.38615788</f>
        <v>26.386157879999999</v>
      </c>
      <c r="CJ166">
        <f>25.6277329</f>
        <v>25.627732900000002</v>
      </c>
      <c r="CK166">
        <f>27.50439683</f>
        <v>27.504396830000001</v>
      </c>
      <c r="CL166">
        <f>28.90505863</f>
        <v>28.905058629999999</v>
      </c>
      <c r="CM166">
        <f>30.26705566</f>
        <v>30.26705566</v>
      </c>
      <c r="CN166">
        <f>33.39401912</f>
        <v>33.394019120000003</v>
      </c>
      <c r="CO166">
        <f>35.9290475</f>
        <v>35.929047500000003</v>
      </c>
      <c r="CP166">
        <f>37.23697464</f>
        <v>37.23697464</v>
      </c>
      <c r="CQ166">
        <f>42.42566367</f>
        <v>42.425663669999999</v>
      </c>
      <c r="CR166">
        <f>43.09528217</f>
        <v>43.095282169999997</v>
      </c>
      <c r="CS166">
        <f>43.93524635</f>
        <v>43.93524635</v>
      </c>
      <c r="CT166">
        <f>43.59535671</f>
        <v>43.595356709999997</v>
      </c>
      <c r="CU166">
        <f>44.01514472</f>
        <v>44.015144720000002</v>
      </c>
      <c r="CV166">
        <f>43.37103154</f>
        <v>43.371031539999997</v>
      </c>
      <c r="CW166">
        <f>41.71282318</f>
        <v>41.712823180000001</v>
      </c>
      <c r="CX166">
        <f>40.98378894</f>
        <v>40.983788939999997</v>
      </c>
      <c r="CY166">
        <f>42.93316403</f>
        <v>42.93316403</v>
      </c>
      <c r="CZ166">
        <f>35.12718755</f>
        <v>35.127187550000002</v>
      </c>
      <c r="DA166">
        <f>39.37687878</f>
        <v>39.376878779999998</v>
      </c>
      <c r="DB166">
        <f>34.65473272</f>
        <v>34.654732719999998</v>
      </c>
      <c r="DC166">
        <f>36.63155474</f>
        <v>36.631554739999999</v>
      </c>
      <c r="DD166">
        <f>37.11608464</f>
        <v>37.116084639999997</v>
      </c>
      <c r="DE166">
        <f>37.8498271</f>
        <v>37.849827099999999</v>
      </c>
      <c r="DF166">
        <f>38.19822006</f>
        <v>38.198220059999997</v>
      </c>
      <c r="DG166">
        <f>37.08965698</f>
        <v>37.089656980000001</v>
      </c>
      <c r="DH166">
        <f>37.01470964</f>
        <v>37.01470964</v>
      </c>
      <c r="DI166">
        <f>37.49939882</f>
        <v>37.499398820000003</v>
      </c>
      <c r="DJ166">
        <f>37.72379119</f>
        <v>37.72379119</v>
      </c>
      <c r="DK166">
        <f>35.60691344</f>
        <v>35.60691344</v>
      </c>
      <c r="DL166">
        <f>35.28290538</f>
        <v>35.282905380000003</v>
      </c>
      <c r="DM166">
        <f>37.36138087</f>
        <v>37.361380869999998</v>
      </c>
      <c r="DN166">
        <f>35.77027336</f>
        <v>35.770273359999997</v>
      </c>
      <c r="DO166">
        <f>27.6529022</f>
        <v>27.6529022</v>
      </c>
      <c r="DP166">
        <f>27.51807436</f>
        <v>27.51807436</v>
      </c>
      <c r="DQ166">
        <f>27.45580026</f>
        <v>27.45580026</v>
      </c>
      <c r="DR166">
        <f>27.97397543</f>
        <v>27.973975429999999</v>
      </c>
      <c r="DS166">
        <f>26.11019839</f>
        <v>26.110198390000001</v>
      </c>
      <c r="DT166">
        <f>27.00707603</f>
        <v>27.00707603</v>
      </c>
      <c r="DU166">
        <f>26.99756934</f>
        <v>26.997569339999998</v>
      </c>
    </row>
    <row r="167" spans="1:125">
      <c r="A167" t="str">
        <f>"    American Campus Communities In"</f>
        <v xml:space="preserve">    American Campus Communities In</v>
      </c>
      <c r="B167" t="str">
        <f>"ACC US Equity"</f>
        <v>ACC US Equity</v>
      </c>
      <c r="C167" t="str">
        <f t="shared" ref="C167:C174" si="54">"RR147"</f>
        <v>RR147</v>
      </c>
      <c r="D167" t="str">
        <f t="shared" ref="D167:D174" si="55">"LT_DEBT_TO_TOT_ASSET"</f>
        <v>LT_DEBT_TO_TOT_ASSET</v>
      </c>
      <c r="E167" t="str">
        <f t="shared" ref="E167:E174" si="56">"动态"</f>
        <v>动态</v>
      </c>
      <c r="F167" t="str">
        <f ca="1">IF(AND(ISNUMBER($F$372),$B$226=1),$F$372,HLOOKUP(INDIRECT(ADDRESS(2,COLUMN())),OFFSET($BN$2,0,0,ROW()-1,60),ROW()-1,FALSE))</f>
        <v/>
      </c>
      <c r="G167">
        <f ca="1">IF(AND(ISNUMBER($G$372),$B$226=1),$G$372,HLOOKUP(INDIRECT(ADDRESS(2,COLUMN())),OFFSET($BN$2,0,0,ROW()-1,60),ROW()-1,FALSE))</f>
        <v>9.6271477389999998</v>
      </c>
      <c r="H167">
        <f ca="1">IF(AND(ISNUMBER($H$372),$B$226=1),$H$372,HLOOKUP(INDIRECT(ADDRESS(2,COLUMN())),OFFSET($BN$2,0,0,ROW()-1,60),ROW()-1,FALSE))</f>
        <v>9.9130373140000003</v>
      </c>
      <c r="I167">
        <f ca="1">IF(AND(ISNUMBER($I$372),$B$226=1),$I$372,HLOOKUP(INDIRECT(ADDRESS(2,COLUMN())),OFFSET($BN$2,0,0,ROW()-1,60),ROW()-1,FALSE))</f>
        <v>10.932673919999999</v>
      </c>
      <c r="J167">
        <f ca="1">IF(AND(ISNUMBER($J$372),$B$226=1),$J$372,HLOOKUP(INDIRECT(ADDRESS(2,COLUMN())),OFFSET($BN$2,0,0,ROW()-1,60),ROW()-1,FALSE))</f>
        <v>11.421992039999999</v>
      </c>
      <c r="K167">
        <f ca="1">IF(AND(ISNUMBER($K$372),$B$226=1),$K$372,HLOOKUP(INDIRECT(ADDRESS(2,COLUMN())),OFFSET($BN$2,0,0,ROW()-1,60),ROW()-1,FALSE))</f>
        <v>11.73210377</v>
      </c>
      <c r="L167">
        <f ca="1">IF(AND(ISNUMBER($L$372),$B$226=1),$L$372,HLOOKUP(INDIRECT(ADDRESS(2,COLUMN())),OFFSET($BN$2,0,0,ROW()-1,60),ROW()-1,FALSE))</f>
        <v>14.76681995</v>
      </c>
      <c r="M167">
        <f ca="1">IF(AND(ISNUMBER($M$372),$B$226=1),$M$372,HLOOKUP(INDIRECT(ADDRESS(2,COLUMN())),OFFSET($BN$2,0,0,ROW()-1,60),ROW()-1,FALSE))</f>
        <v>16.696223010000001</v>
      </c>
      <c r="N167">
        <f ca="1">IF(AND(ISNUMBER($N$372),$B$226=1),$N$372,HLOOKUP(INDIRECT(ADDRESS(2,COLUMN())),OFFSET($BN$2,0,0,ROW()-1,60),ROW()-1,FALSE))</f>
        <v>17.082209339999999</v>
      </c>
      <c r="O167">
        <f ca="1">IF(AND(ISNUMBER($O$372),$B$226=1),$O$372,HLOOKUP(INDIRECT(ADDRESS(2,COLUMN())),OFFSET($BN$2,0,0,ROW()-1,60),ROW()-1,FALSE))</f>
        <v>18.230382760000001</v>
      </c>
      <c r="P167">
        <f ca="1">IF(AND(ISNUMBER($P$372),$B$226=1),$P$372,HLOOKUP(INDIRECT(ADDRESS(2,COLUMN())),OFFSET($BN$2,0,0,ROW()-1,60),ROW()-1,FALSE))</f>
        <v>18.646398619999999</v>
      </c>
      <c r="Q167">
        <f ca="1">IF(AND(ISNUMBER($Q$372),$B$226=1),$Q$372,HLOOKUP(INDIRECT(ADDRESS(2,COLUMN())),OFFSET($BN$2,0,0,ROW()-1,60),ROW()-1,FALSE))</f>
        <v>19.025811640000001</v>
      </c>
      <c r="R167">
        <f ca="1">IF(AND(ISNUMBER($R$372),$B$226=1),$R$372,HLOOKUP(INDIRECT(ADDRESS(2,COLUMN())),OFFSET($BN$2,0,0,ROW()-1,60),ROW()-1,FALSE))</f>
        <v>20.52600151</v>
      </c>
      <c r="S167">
        <f ca="1">IF(AND(ISNUMBER($S$372),$B$226=1),$S$372,HLOOKUP(INDIRECT(ADDRESS(2,COLUMN())),OFFSET($BN$2,0,0,ROW()-1,60),ROW()-1,FALSE))</f>
        <v>22.827275490000002</v>
      </c>
      <c r="T167">
        <f ca="1">IF(AND(ISNUMBER($T$372),$B$226=1),$T$372,HLOOKUP(INDIRECT(ADDRESS(2,COLUMN())),OFFSET($BN$2,0,0,ROW()-1,60),ROW()-1,FALSE))</f>
        <v>24.115650339999998</v>
      </c>
      <c r="U167">
        <f ca="1">IF(AND(ISNUMBER($U$372),$B$226=1),$U$372,HLOOKUP(INDIRECT(ADDRESS(2,COLUMN())),OFFSET($BN$2,0,0,ROW()-1,60),ROW()-1,FALSE))</f>
        <v>26.44904477</v>
      </c>
      <c r="V167">
        <f ca="1">IF(AND(ISNUMBER($V$372),$B$226=1),$V$372,HLOOKUP(INDIRECT(ADDRESS(2,COLUMN())),OFFSET($BN$2,0,0,ROW()-1,60),ROW()-1,FALSE))</f>
        <v>27.045260259999999</v>
      </c>
      <c r="W167">
        <f ca="1">IF(AND(ISNUMBER($W$372),$B$226=1),$W$372,HLOOKUP(INDIRECT(ADDRESS(2,COLUMN())),OFFSET($BN$2,0,0,ROW()-1,60),ROW()-1,FALSE))</f>
        <v>28.491507739999999</v>
      </c>
      <c r="X167">
        <f ca="1">IF(AND(ISNUMBER($X$372),$B$226=1),$X$372,HLOOKUP(INDIRECT(ADDRESS(2,COLUMN())),OFFSET($BN$2,0,0,ROW()-1,60),ROW()-1,FALSE))</f>
        <v>28.38860124</v>
      </c>
      <c r="Y167">
        <f ca="1">IF(AND(ISNUMBER($Y$372),$B$226=1),$Y$372,HLOOKUP(INDIRECT(ADDRESS(2,COLUMN())),OFFSET($BN$2,0,0,ROW()-1,60),ROW()-1,FALSE))</f>
        <v>30.31972099</v>
      </c>
      <c r="Z167">
        <f ca="1">IF(AND(ISNUMBER($Z$372),$B$226=1),$Z$372,HLOOKUP(INDIRECT(ADDRESS(2,COLUMN())),OFFSET($BN$2,0,0,ROW()-1,60),ROW()-1,FALSE))</f>
        <v>31.402378349999999</v>
      </c>
      <c r="AA167">
        <f ca="1">IF(AND(ISNUMBER($AA$372),$B$226=1),$AA$372,HLOOKUP(INDIRECT(ADDRESS(2,COLUMN())),OFFSET($BN$2,0,0,ROW()-1,60),ROW()-1,FALSE))</f>
        <v>31.512345669999998</v>
      </c>
      <c r="AB167">
        <f ca="1">IF(AND(ISNUMBER($AB$372),$B$226=1),$AB$372,HLOOKUP(INDIRECT(ADDRESS(2,COLUMN())),OFFSET($BN$2,0,0,ROW()-1,60),ROW()-1,FALSE))</f>
        <v>30.21393394</v>
      </c>
      <c r="AC167">
        <f ca="1">IF(AND(ISNUMBER($AC$372),$B$226=1),$AC$372,HLOOKUP(INDIRECT(ADDRESS(2,COLUMN())),OFFSET($BN$2,0,0,ROW()-1,60),ROW()-1,FALSE))</f>
        <v>31.965564669999999</v>
      </c>
      <c r="AD167">
        <f ca="1">IF(AND(ISNUMBER($AD$372),$B$226=1),$AD$372,HLOOKUP(INDIRECT(ADDRESS(2,COLUMN())),OFFSET($BN$2,0,0,ROW()-1,60),ROW()-1,FALSE))</f>
        <v>31.68209306</v>
      </c>
      <c r="AE167">
        <f ca="1">IF(AND(ISNUMBER($AE$372),$B$226=1),$AE$372,HLOOKUP(INDIRECT(ADDRESS(2,COLUMN())),OFFSET($BN$2,0,0,ROW()-1,60),ROW()-1,FALSE))</f>
        <v>32.391671559999999</v>
      </c>
      <c r="AF167">
        <f ca="1">IF(AND(ISNUMBER($AF$372),$B$226=1),$AF$372,HLOOKUP(INDIRECT(ADDRESS(2,COLUMN())),OFFSET($BN$2,0,0,ROW()-1,60),ROW()-1,FALSE))</f>
        <v>37.078812409999998</v>
      </c>
      <c r="AG167">
        <f ca="1">IF(AND(ISNUMBER($AG$372),$B$226=1),$AG$372,HLOOKUP(INDIRECT(ADDRESS(2,COLUMN())),OFFSET($BN$2,0,0,ROW()-1,60),ROW()-1,FALSE))</f>
        <v>38.43851222</v>
      </c>
      <c r="AH167">
        <f ca="1">IF(AND(ISNUMBER($AH$372),$B$226=1),$AH$372,HLOOKUP(INDIRECT(ADDRESS(2,COLUMN())),OFFSET($BN$2,0,0,ROW()-1,60),ROW()-1,FALSE))</f>
        <v>48.944568850000003</v>
      </c>
      <c r="AI167">
        <f ca="1">IF(AND(ISNUMBER($AI$372),$B$226=1),$AI$372,HLOOKUP(INDIRECT(ADDRESS(2,COLUMN())),OFFSET($BN$2,0,0,ROW()-1,60),ROW()-1,FALSE))</f>
        <v>49.939149440000001</v>
      </c>
      <c r="AJ167">
        <f ca="1">IF(AND(ISNUMBER($AJ$372),$B$226=1),$AJ$372,HLOOKUP(INDIRECT(ADDRESS(2,COLUMN())),OFFSET($BN$2,0,0,ROW()-1,60),ROW()-1,FALSE))</f>
        <v>48.863807209999997</v>
      </c>
      <c r="AK167">
        <f ca="1">IF(AND(ISNUMBER($AK$372),$B$226=1),$AK$372,HLOOKUP(INDIRECT(ADDRESS(2,COLUMN())),OFFSET($BN$2,0,0,ROW()-1,60),ROW()-1,FALSE))</f>
        <v>54.44888186</v>
      </c>
      <c r="AL167">
        <f ca="1">IF(AND(ISNUMBER($AL$372),$B$226=1),$AL$372,HLOOKUP(INDIRECT(ADDRESS(2,COLUMN())),OFFSET($BN$2,0,0,ROW()-1,60),ROW()-1,FALSE))</f>
        <v>54.210586139999997</v>
      </c>
      <c r="AM167">
        <f ca="1">IF(AND(ISNUMBER($AM$372),$B$226=1),$AM$372,HLOOKUP(INDIRECT(ADDRESS(2,COLUMN())),OFFSET($BN$2,0,0,ROW()-1,60),ROW()-1,FALSE))</f>
        <v>54.741181240000003</v>
      </c>
      <c r="AN167">
        <f ca="1">IF(AND(ISNUMBER($AN$372),$B$226=1),$AN$372,HLOOKUP(INDIRECT(ADDRESS(2,COLUMN())),OFFSET($BN$2,0,0,ROW()-1,60),ROW()-1,FALSE))</f>
        <v>50.246749250000001</v>
      </c>
      <c r="AO167">
        <f ca="1">IF(AND(ISNUMBER($AO$372),$B$226=1),$AO$372,HLOOKUP(INDIRECT(ADDRESS(2,COLUMN())),OFFSET($BN$2,0,0,ROW()-1,60),ROW()-1,FALSE))</f>
        <v>52.896976860000002</v>
      </c>
      <c r="AP167">
        <f ca="1">IF(AND(ISNUMBER($AP$372),$B$226=1),$AP$372,HLOOKUP(INDIRECT(ADDRESS(2,COLUMN())),OFFSET($BN$2,0,0,ROW()-1,60),ROW()-1,FALSE))</f>
        <v>56.291619349999998</v>
      </c>
      <c r="AQ167">
        <f ca="1">IF(AND(ISNUMBER($AQ$372),$B$226=1),$AQ$372,HLOOKUP(INDIRECT(ADDRESS(2,COLUMN())),OFFSET($BN$2,0,0,ROW()-1,60),ROW()-1,FALSE))</f>
        <v>57.796410020000003</v>
      </c>
      <c r="AR167">
        <f ca="1">IF(AND(ISNUMBER($AR$372),$B$226=1),$AR$372,HLOOKUP(INDIRECT(ADDRESS(2,COLUMN())),OFFSET($BN$2,0,0,ROW()-1,60),ROW()-1,FALSE))</f>
        <v>57.230352009999997</v>
      </c>
      <c r="AS167">
        <f ca="1">IF(AND(ISNUMBER($AS$372),$B$226=1),$AS$372,HLOOKUP(INDIRECT(ADDRESS(2,COLUMN())),OFFSET($BN$2,0,0,ROW()-1,60),ROW()-1,FALSE))</f>
        <v>57.638502129999999</v>
      </c>
      <c r="AT167">
        <f ca="1">IF(AND(ISNUMBER($AT$372),$B$226=1),$AT$372,HLOOKUP(INDIRECT(ADDRESS(2,COLUMN())),OFFSET($BN$2,0,0,ROW()-1,60),ROW()-1,FALSE))</f>
        <v>50.335652529999997</v>
      </c>
      <c r="AU167">
        <f ca="1">IF(AND(ISNUMBER($AU$372),$B$226=1),$AU$372,HLOOKUP(INDIRECT(ADDRESS(2,COLUMN())),OFFSET($BN$2,0,0,ROW()-1,60),ROW()-1,FALSE))</f>
        <v>49.561644749999999</v>
      </c>
      <c r="AV167">
        <f ca="1">IF(AND(ISNUMBER($AV$372),$B$226=1),$AV$372,HLOOKUP(INDIRECT(ADDRESS(2,COLUMN())),OFFSET($BN$2,0,0,ROW()-1,60),ROW()-1,FALSE))</f>
        <v>52.661376169999997</v>
      </c>
      <c r="AW167">
        <f ca="1">IF(AND(ISNUMBER($AW$372),$B$226=1),$AW$372,HLOOKUP(INDIRECT(ADDRESS(2,COLUMN())),OFFSET($BN$2,0,0,ROW()-1,60),ROW()-1,FALSE))</f>
        <v>53.979441639999997</v>
      </c>
      <c r="AX167">
        <f ca="1">IF(AND(ISNUMBER($AX$372),$B$226=1),$AX$372,HLOOKUP(INDIRECT(ADDRESS(2,COLUMN())),OFFSET($BN$2,0,0,ROW()-1,60),ROW()-1,FALSE))</f>
        <v>54.102841220000002</v>
      </c>
      <c r="AY167">
        <f ca="1">IF(AND(ISNUMBER($AY$372),$B$226=1),$AY$372,HLOOKUP(INDIRECT(ADDRESS(2,COLUMN())),OFFSET($BN$2,0,0,ROW()-1,60),ROW()-1,FALSE))</f>
        <v>48.880968719999998</v>
      </c>
      <c r="AZ167">
        <f ca="1">IF(AND(ISNUMBER($AZ$372),$B$226=1),$AZ$372,HLOOKUP(INDIRECT(ADDRESS(2,COLUMN())),OFFSET($BN$2,0,0,ROW()-1,60),ROW()-1,FALSE))</f>
        <v>49.214105500000002</v>
      </c>
      <c r="BA167">
        <f ca="1">IF(AND(ISNUMBER($BA$372),$B$226=1),$BA$372,HLOOKUP(INDIRECT(ADDRESS(2,COLUMN())),OFFSET($BN$2,0,0,ROW()-1,60),ROW()-1,FALSE))</f>
        <v>52.251995960000002</v>
      </c>
      <c r="BB167">
        <f ca="1">IF(AND(ISNUMBER($BB$372),$B$226=1),$BB$372,HLOOKUP(INDIRECT(ADDRESS(2,COLUMN())),OFFSET($BN$2,0,0,ROW()-1,60),ROW()-1,FALSE))</f>
        <v>52.698412300000001</v>
      </c>
      <c r="BC167">
        <f ca="1">IF(AND(ISNUMBER($BC$372),$B$226=1),$BC$372,HLOOKUP(INDIRECT(ADDRESS(2,COLUMN())),OFFSET($BN$2,0,0,ROW()-1,60),ROW()-1,FALSE))</f>
        <v>52.94356844</v>
      </c>
      <c r="BD167">
        <f ca="1">IF(AND(ISNUMBER($BD$372),$B$226=1),$BD$372,HLOOKUP(INDIRECT(ADDRESS(2,COLUMN())),OFFSET($BN$2,0,0,ROW()-1,60),ROW()-1,FALSE))</f>
        <v>52.620074340000002</v>
      </c>
      <c r="BE167">
        <f ca="1">IF(AND(ISNUMBER($BE$372),$B$226=1),$BE$372,HLOOKUP(INDIRECT(ADDRESS(2,COLUMN())),OFFSET($BN$2,0,0,ROW()-1,60),ROW()-1,FALSE))</f>
        <v>56.610666010000003</v>
      </c>
      <c r="BF167">
        <f ca="1">IF(AND(ISNUMBER($BF$372),$B$226=1),$BF$372,HLOOKUP(INDIRECT(ADDRESS(2,COLUMN())),OFFSET($BN$2,0,0,ROW()-1,60),ROW()-1,FALSE))</f>
        <v>64.623515119999993</v>
      </c>
      <c r="BG167">
        <f ca="1">IF(AND(ISNUMBER($BG$372),$B$226=1),$BG$372,HLOOKUP(INDIRECT(ADDRESS(2,COLUMN())),OFFSET($BN$2,0,0,ROW()-1,60),ROW()-1,FALSE))</f>
        <v>54.678642539999998</v>
      </c>
      <c r="BH167">
        <f ca="1">IF(AND(ISNUMBER($BH$372),$B$226=1),$BH$372,HLOOKUP(INDIRECT(ADDRESS(2,COLUMN())),OFFSET($BN$2,0,0,ROW()-1,60),ROW()-1,FALSE))</f>
        <v>53.30056518</v>
      </c>
      <c r="BI167">
        <f ca="1">IF(AND(ISNUMBER($BI$372),$B$226=1),$BI$372,HLOOKUP(INDIRECT(ADDRESS(2,COLUMN())),OFFSET($BN$2,0,0,ROW()-1,60),ROW()-1,FALSE))</f>
        <v>82.357705589999995</v>
      </c>
      <c r="BJ167">
        <f ca="1">IF(AND(ISNUMBER($BJ$372),$B$226=1),$BJ$372,HLOOKUP(INDIRECT(ADDRESS(2,COLUMN())),OFFSET($BN$2,0,0,ROW()-1,60),ROW()-1,FALSE))</f>
        <v>79.441068240000007</v>
      </c>
      <c r="BK167" t="str">
        <f ca="1">IF(AND(ISNUMBER($BK$372),$B$226=1),$BK$372,HLOOKUP(INDIRECT(ADDRESS(2,COLUMN())),OFFSET($BN$2,0,0,ROW()-1,60),ROW()-1,FALSE))</f>
        <v/>
      </c>
      <c r="BL167" t="str">
        <f ca="1">IF(AND(ISNUMBER($BL$372),$B$226=1),$BL$372,HLOOKUP(INDIRECT(ADDRESS(2,COLUMN())),OFFSET($BN$2,0,0,ROW()-1,60),ROW()-1,FALSE))</f>
        <v/>
      </c>
      <c r="BM167" t="str">
        <f ca="1">IF(AND(ISNUMBER($BM$372),$B$226=1),$BM$372,HLOOKUP(INDIRECT(ADDRESS(2,COLUMN())),OFFSET($BN$2,0,0,ROW()-1,60),ROW()-1,FALSE))</f>
        <v/>
      </c>
      <c r="BN167" t="str">
        <f>""</f>
        <v/>
      </c>
      <c r="BO167">
        <f>9.627147739</f>
        <v>9.6271477389999998</v>
      </c>
      <c r="BP167">
        <f>9.913037314</f>
        <v>9.9130373140000003</v>
      </c>
      <c r="BQ167">
        <f>10.93267392</f>
        <v>10.932673919999999</v>
      </c>
      <c r="BR167">
        <f>11.42199204</f>
        <v>11.421992039999999</v>
      </c>
      <c r="BS167">
        <f>11.73210377</f>
        <v>11.73210377</v>
      </c>
      <c r="BT167">
        <f>14.76681995</f>
        <v>14.76681995</v>
      </c>
      <c r="BU167">
        <f>16.69622301</f>
        <v>16.696223010000001</v>
      </c>
      <c r="BV167">
        <f>17.08220934</f>
        <v>17.082209339999999</v>
      </c>
      <c r="BW167">
        <f>18.23038276</f>
        <v>18.230382760000001</v>
      </c>
      <c r="BX167">
        <f>18.64639862</f>
        <v>18.646398619999999</v>
      </c>
      <c r="BY167">
        <f>19.02581164</f>
        <v>19.025811640000001</v>
      </c>
      <c r="BZ167">
        <f>20.52600151</f>
        <v>20.52600151</v>
      </c>
      <c r="CA167">
        <f>22.82727549</f>
        <v>22.827275490000002</v>
      </c>
      <c r="CB167">
        <f>24.11565034</f>
        <v>24.115650339999998</v>
      </c>
      <c r="CC167">
        <f>26.44904477</f>
        <v>26.44904477</v>
      </c>
      <c r="CD167">
        <f>27.04526026</f>
        <v>27.045260259999999</v>
      </c>
      <c r="CE167">
        <f>28.49150774</f>
        <v>28.491507739999999</v>
      </c>
      <c r="CF167">
        <f>28.38860124</f>
        <v>28.38860124</v>
      </c>
      <c r="CG167">
        <f>30.31972099</f>
        <v>30.31972099</v>
      </c>
      <c r="CH167">
        <f>31.40237835</f>
        <v>31.402378349999999</v>
      </c>
      <c r="CI167">
        <f>31.51234567</f>
        <v>31.512345669999998</v>
      </c>
      <c r="CJ167">
        <f>30.21393394</f>
        <v>30.21393394</v>
      </c>
      <c r="CK167">
        <f>31.96556467</f>
        <v>31.965564669999999</v>
      </c>
      <c r="CL167">
        <f>31.68209306</f>
        <v>31.68209306</v>
      </c>
      <c r="CM167">
        <f>32.39167156</f>
        <v>32.391671559999999</v>
      </c>
      <c r="CN167">
        <f>37.07881241</f>
        <v>37.078812409999998</v>
      </c>
      <c r="CO167">
        <f>38.43851222</f>
        <v>38.43851222</v>
      </c>
      <c r="CP167">
        <f>48.94456885</f>
        <v>48.944568850000003</v>
      </c>
      <c r="CQ167">
        <f>49.93914944</f>
        <v>49.939149440000001</v>
      </c>
      <c r="CR167">
        <f>48.86380721</f>
        <v>48.863807209999997</v>
      </c>
      <c r="CS167">
        <f>54.44888186</f>
        <v>54.44888186</v>
      </c>
      <c r="CT167">
        <f>54.21058614</f>
        <v>54.210586139999997</v>
      </c>
      <c r="CU167">
        <f>54.74118124</f>
        <v>54.741181240000003</v>
      </c>
      <c r="CV167">
        <f>50.24674925</f>
        <v>50.246749250000001</v>
      </c>
      <c r="CW167">
        <f>52.89697686</f>
        <v>52.896976860000002</v>
      </c>
      <c r="CX167">
        <f>56.29161935</f>
        <v>56.291619349999998</v>
      </c>
      <c r="CY167">
        <f>57.79641002</f>
        <v>57.796410020000003</v>
      </c>
      <c r="CZ167">
        <f>57.23035201</f>
        <v>57.230352009999997</v>
      </c>
      <c r="DA167">
        <f>57.63850213</f>
        <v>57.638502129999999</v>
      </c>
      <c r="DB167">
        <f>50.33565253</f>
        <v>50.335652529999997</v>
      </c>
      <c r="DC167">
        <f>49.56164475</f>
        <v>49.561644749999999</v>
      </c>
      <c r="DD167">
        <f>52.66137617</f>
        <v>52.661376169999997</v>
      </c>
      <c r="DE167">
        <f>53.97944164</f>
        <v>53.979441639999997</v>
      </c>
      <c r="DF167">
        <f>54.10284122</f>
        <v>54.102841220000002</v>
      </c>
      <c r="DG167">
        <f>48.88096872</f>
        <v>48.880968719999998</v>
      </c>
      <c r="DH167">
        <f>49.2141055</f>
        <v>49.214105500000002</v>
      </c>
      <c r="DI167">
        <f>52.25199596</f>
        <v>52.251995960000002</v>
      </c>
      <c r="DJ167">
        <f>52.6984123</f>
        <v>52.698412300000001</v>
      </c>
      <c r="DK167">
        <f>52.94356844</f>
        <v>52.94356844</v>
      </c>
      <c r="DL167">
        <f>52.62007434</f>
        <v>52.620074340000002</v>
      </c>
      <c r="DM167">
        <f>56.61066601</f>
        <v>56.610666010000003</v>
      </c>
      <c r="DN167">
        <f>64.62351512</f>
        <v>64.623515119999993</v>
      </c>
      <c r="DO167">
        <f>54.67864254</f>
        <v>54.678642539999998</v>
      </c>
      <c r="DP167">
        <f>53.30056518</f>
        <v>53.30056518</v>
      </c>
      <c r="DQ167">
        <f>82.35770559</f>
        <v>82.357705589999995</v>
      </c>
      <c r="DR167">
        <f>79.44106824</f>
        <v>79.441068240000007</v>
      </c>
      <c r="DS167" t="str">
        <f>""</f>
        <v/>
      </c>
      <c r="DT167" t="str">
        <f>""</f>
        <v/>
      </c>
      <c r="DU167" t="str">
        <f>""</f>
        <v/>
      </c>
    </row>
    <row r="168" spans="1:125">
      <c r="A168" t="str">
        <f>"    AvalonBay Communities Inc"</f>
        <v xml:space="preserve">    AvalonBay Communities Inc</v>
      </c>
      <c r="B168" t="str">
        <f>"AVB US Equity"</f>
        <v>AVB US Equity</v>
      </c>
      <c r="C168" t="str">
        <f t="shared" si="54"/>
        <v>RR147</v>
      </c>
      <c r="D168" t="str">
        <f t="shared" si="55"/>
        <v>LT_DEBT_TO_TOT_ASSET</v>
      </c>
      <c r="E168" t="str">
        <f t="shared" si="56"/>
        <v>动态</v>
      </c>
      <c r="F168" t="str">
        <f ca="1">IF(AND(ISNUMBER($F$373),$B$226=1),$F$373,HLOOKUP(INDIRECT(ADDRESS(2,COLUMN())),OFFSET($BN$2,0,0,ROW()-1,60),ROW()-1,FALSE))</f>
        <v/>
      </c>
      <c r="G168">
        <f ca="1">IF(AND(ISNUMBER($G$373),$B$226=1),$G$373,HLOOKUP(INDIRECT(ADDRESS(2,COLUMN())),OFFSET($BN$2,0,0,ROW()-1,60),ROW()-1,FALSE))</f>
        <v>8.0191167760000006</v>
      </c>
      <c r="H168">
        <f ca="1">IF(AND(ISNUMBER($H$373),$B$226=1),$H$373,HLOOKUP(INDIRECT(ADDRESS(2,COLUMN())),OFFSET($BN$2,0,0,ROW()-1,60),ROW()-1,FALSE))</f>
        <v>8.1359459869999995</v>
      </c>
      <c r="I168">
        <f ca="1">IF(AND(ISNUMBER($I$373),$B$226=1),$I$373,HLOOKUP(INDIRECT(ADDRESS(2,COLUMN())),OFFSET($BN$2,0,0,ROW()-1,60),ROW()-1,FALSE))</f>
        <v>8.2528034140000006</v>
      </c>
      <c r="J168">
        <f ca="1">IF(AND(ISNUMBER($J$373),$B$226=1),$J$373,HLOOKUP(INDIRECT(ADDRESS(2,COLUMN())),OFFSET($BN$2,0,0,ROW()-1,60),ROW()-1,FALSE))</f>
        <v>14.1346284</v>
      </c>
      <c r="K168">
        <f ca="1">IF(AND(ISNUMBER($K$373),$B$226=1),$K$373,HLOOKUP(INDIRECT(ADDRESS(2,COLUMN())),OFFSET($BN$2,0,0,ROW()-1,60),ROW()-1,FALSE))</f>
        <v>14.37028632</v>
      </c>
      <c r="L168">
        <f ca="1">IF(AND(ISNUMBER($L$373),$B$226=1),$L$373,HLOOKUP(INDIRECT(ADDRESS(2,COLUMN())),OFFSET($BN$2,0,0,ROW()-1,60),ROW()-1,FALSE))</f>
        <v>14.64422781</v>
      </c>
      <c r="M168">
        <f ca="1">IF(AND(ISNUMBER($M$373),$B$226=1),$M$373,HLOOKUP(INDIRECT(ADDRESS(2,COLUMN())),OFFSET($BN$2,0,0,ROW()-1,60),ROW()-1,FALSE))</f>
        <v>14.457121669999999</v>
      </c>
      <c r="N168">
        <f ca="1">IF(AND(ISNUMBER($N$373),$B$226=1),$N$373,HLOOKUP(INDIRECT(ADDRESS(2,COLUMN())),OFFSET($BN$2,0,0,ROW()-1,60),ROW()-1,FALSE))</f>
        <v>15.582146509999999</v>
      </c>
      <c r="O168">
        <f ca="1">IF(AND(ISNUMBER($O$373),$B$226=1),$O$373,HLOOKUP(INDIRECT(ADDRESS(2,COLUMN())),OFFSET($BN$2,0,0,ROW()-1,60),ROW()-1,FALSE))</f>
        <v>15.42275684</v>
      </c>
      <c r="P168">
        <f ca="1">IF(AND(ISNUMBER($P$373),$B$226=1),$P$373,HLOOKUP(INDIRECT(ADDRESS(2,COLUMN())),OFFSET($BN$2,0,0,ROW()-1,60),ROW()-1,FALSE))</f>
        <v>16.318867999999998</v>
      </c>
      <c r="Q168">
        <f ca="1">IF(AND(ISNUMBER($Q$373),$B$226=1),$Q$373,HLOOKUP(INDIRECT(ADDRESS(2,COLUMN())),OFFSET($BN$2,0,0,ROW()-1,60),ROW()-1,FALSE))</f>
        <v>17.88733981</v>
      </c>
      <c r="R168">
        <f ca="1">IF(AND(ISNUMBER($R$373),$B$226=1),$R$373,HLOOKUP(INDIRECT(ADDRESS(2,COLUMN())),OFFSET($BN$2,0,0,ROW()-1,60),ROW()-1,FALSE))</f>
        <v>21.635984520000001</v>
      </c>
      <c r="S168">
        <f ca="1">IF(AND(ISNUMBER($S$373),$B$226=1),$S$373,HLOOKUP(INDIRECT(ADDRESS(2,COLUMN())),OFFSET($BN$2,0,0,ROW()-1,60),ROW()-1,FALSE))</f>
        <v>21.77229341</v>
      </c>
      <c r="T168">
        <f ca="1">IF(AND(ISNUMBER($T$373),$B$226=1),$T$373,HLOOKUP(INDIRECT(ADDRESS(2,COLUMN())),OFFSET($BN$2,0,0,ROW()-1,60),ROW()-1,FALSE))</f>
        <v>22.331271650000001</v>
      </c>
      <c r="U168">
        <f ca="1">IF(AND(ISNUMBER($U$373),$B$226=1),$U$373,HLOOKUP(INDIRECT(ADDRESS(2,COLUMN())),OFFSET($BN$2,0,0,ROW()-1,60),ROW()-1,FALSE))</f>
        <v>22.73453276</v>
      </c>
      <c r="V168">
        <f ca="1">IF(AND(ISNUMBER($V$373),$B$226=1),$V$373,HLOOKUP(INDIRECT(ADDRESS(2,COLUMN())),OFFSET($BN$2,0,0,ROW()-1,60),ROW()-1,FALSE))</f>
        <v>22.715650029999999</v>
      </c>
      <c r="W168">
        <f ca="1">IF(AND(ISNUMBER($W$373),$B$226=1),$W$373,HLOOKUP(INDIRECT(ADDRESS(2,COLUMN())),OFFSET($BN$2,0,0,ROW()-1,60),ROW()-1,FALSE))</f>
        <v>23.092438529999999</v>
      </c>
      <c r="X168">
        <f ca="1">IF(AND(ISNUMBER($X$373),$B$226=1),$X$373,HLOOKUP(INDIRECT(ADDRESS(2,COLUMN())),OFFSET($BN$2,0,0,ROW()-1,60),ROW()-1,FALSE))</f>
        <v>25.436868820000001</v>
      </c>
      <c r="Y168">
        <f ca="1">IF(AND(ISNUMBER($Y$373),$B$226=1),$Y$373,HLOOKUP(INDIRECT(ADDRESS(2,COLUMN())),OFFSET($BN$2,0,0,ROW()-1,60),ROW()-1,FALSE))</f>
        <v>25.8159113</v>
      </c>
      <c r="Z168">
        <f ca="1">IF(AND(ISNUMBER($Z$373),$B$226=1),$Z$373,HLOOKUP(INDIRECT(ADDRESS(2,COLUMN())),OFFSET($BN$2,0,0,ROW()-1,60),ROW()-1,FALSE))</f>
        <v>26.879766629999999</v>
      </c>
      <c r="AA168">
        <f ca="1">IF(AND(ISNUMBER($AA$373),$B$226=1),$AA$373,HLOOKUP(INDIRECT(ADDRESS(2,COLUMN())),OFFSET($BN$2,0,0,ROW()-1,60),ROW()-1,FALSE))</f>
        <v>17.071878890000001</v>
      </c>
      <c r="AB168">
        <f ca="1">IF(AND(ISNUMBER($AB$373),$B$226=1),$AB$373,HLOOKUP(INDIRECT(ADDRESS(2,COLUMN())),OFFSET($BN$2,0,0,ROW()-1,60),ROW()-1,FALSE))</f>
        <v>21.284026900000001</v>
      </c>
      <c r="AC168">
        <f ca="1">IF(AND(ISNUMBER($AC$373),$B$226=1),$AC$373,HLOOKUP(INDIRECT(ADDRESS(2,COLUMN())),OFFSET($BN$2,0,0,ROW()-1,60),ROW()-1,FALSE))</f>
        <v>22.733069069999999</v>
      </c>
      <c r="AD168">
        <f ca="1">IF(AND(ISNUMBER($AD$373),$B$226=1),$AD$373,HLOOKUP(INDIRECT(ADDRESS(2,COLUMN())),OFFSET($BN$2,0,0,ROW()-1,60),ROW()-1,FALSE))</f>
        <v>23.424004119999999</v>
      </c>
      <c r="AE168">
        <f ca="1">IF(AND(ISNUMBER($AE$373),$B$226=1),$AE$373,HLOOKUP(INDIRECT(ADDRESS(2,COLUMN())),OFFSET($BN$2,0,0,ROW()-1,60),ROW()-1,FALSE))</f>
        <v>23.224421419999999</v>
      </c>
      <c r="AF168">
        <f ca="1">IF(AND(ISNUMBER($AF$373),$B$226=1),$AF$373,HLOOKUP(INDIRECT(ADDRESS(2,COLUMN())),OFFSET($BN$2,0,0,ROW()-1,60),ROW()-1,FALSE))</f>
        <v>25.39693853</v>
      </c>
      <c r="AG168">
        <f ca="1">IF(AND(ISNUMBER($AG$373),$B$226=1),$AG$373,HLOOKUP(INDIRECT(ADDRESS(2,COLUMN())),OFFSET($BN$2,0,0,ROW()-1,60),ROW()-1,FALSE))</f>
        <v>27.278728180000002</v>
      </c>
      <c r="AH168">
        <f ca="1">IF(AND(ISNUMBER($AH$373),$B$226=1),$AH$373,HLOOKUP(INDIRECT(ADDRESS(2,COLUMN())),OFFSET($BN$2,0,0,ROW()-1,60),ROW()-1,FALSE))</f>
        <v>28.133265130000002</v>
      </c>
      <c r="AI168">
        <f ca="1">IF(AND(ISNUMBER($AI$373),$B$226=1),$AI$373,HLOOKUP(INDIRECT(ADDRESS(2,COLUMN())),OFFSET($BN$2,0,0,ROW()-1,60),ROW()-1,FALSE))</f>
        <v>27.526015510000001</v>
      </c>
      <c r="AJ168">
        <f ca="1">IF(AND(ISNUMBER($AJ$373),$B$226=1),$AJ$373,HLOOKUP(INDIRECT(ADDRESS(2,COLUMN())),OFFSET($BN$2,0,0,ROW()-1,60),ROW()-1,FALSE))</f>
        <v>29.80570994</v>
      </c>
      <c r="AK168">
        <f ca="1">IF(AND(ISNUMBER($AK$373),$B$226=1),$AK$373,HLOOKUP(INDIRECT(ADDRESS(2,COLUMN())),OFFSET($BN$2,0,0,ROW()-1,60),ROW()-1,FALSE))</f>
        <v>29.707454169999998</v>
      </c>
      <c r="AL168">
        <f ca="1">IF(AND(ISNUMBER($AL$373),$B$226=1),$AL$373,HLOOKUP(INDIRECT(ADDRESS(2,COLUMN())),OFFSET($BN$2,0,0,ROW()-1,60),ROW()-1,FALSE))</f>
        <v>30.50528933</v>
      </c>
      <c r="AM168">
        <f ca="1">IF(AND(ISNUMBER($AM$373),$B$226=1),$AM$373,HLOOKUP(INDIRECT(ADDRESS(2,COLUMN())),OFFSET($BN$2,0,0,ROW()-1,60),ROW()-1,FALSE))</f>
        <v>31.066850550000002</v>
      </c>
      <c r="AN168">
        <f ca="1">IF(AND(ISNUMBER($AN$373),$B$226=1),$AN$373,HLOOKUP(INDIRECT(ADDRESS(2,COLUMN())),OFFSET($BN$2,0,0,ROW()-1,60),ROW()-1,FALSE))</f>
        <v>29.605231029999999</v>
      </c>
      <c r="AO168">
        <f ca="1">IF(AND(ISNUMBER($AO$373),$B$226=1),$AO$373,HLOOKUP(INDIRECT(ADDRESS(2,COLUMN())),OFFSET($BN$2,0,0,ROW()-1,60),ROW()-1,FALSE))</f>
        <v>31.082640049999998</v>
      </c>
      <c r="AP168">
        <f ca="1">IF(AND(ISNUMBER($AP$373),$B$226=1),$AP$373,HLOOKUP(INDIRECT(ADDRESS(2,COLUMN())),OFFSET($BN$2,0,0,ROW()-1,60),ROW()-1,FALSE))</f>
        <v>21.1895551</v>
      </c>
      <c r="AQ168">
        <f ca="1">IF(AND(ISNUMBER($AQ$373),$B$226=1),$AQ$373,HLOOKUP(INDIRECT(ADDRESS(2,COLUMN())),OFFSET($BN$2,0,0,ROW()-1,60),ROW()-1,FALSE))</f>
        <v>21.294700720000002</v>
      </c>
      <c r="AR168">
        <f ca="1">IF(AND(ISNUMBER($AR$373),$B$226=1),$AR$373,HLOOKUP(INDIRECT(ADDRESS(2,COLUMN())),OFFSET($BN$2,0,0,ROW()-1,60),ROW()-1,FALSE))</f>
        <v>19.523361149999999</v>
      </c>
      <c r="AS168">
        <f ca="1">IF(AND(ISNUMBER($AS$373),$B$226=1),$AS$373,HLOOKUP(INDIRECT(ADDRESS(2,COLUMN())),OFFSET($BN$2,0,0,ROW()-1,60),ROW()-1,FALSE))</f>
        <v>18.206526759999999</v>
      </c>
      <c r="AT168">
        <f ca="1">IF(AND(ISNUMBER($AT$373),$B$226=1),$AT$373,HLOOKUP(INDIRECT(ADDRESS(2,COLUMN())),OFFSET($BN$2,0,0,ROW()-1,60),ROW()-1,FALSE))</f>
        <v>14.55682593</v>
      </c>
      <c r="AU168">
        <f ca="1">IF(AND(ISNUMBER($AU$373),$B$226=1),$AU$373,HLOOKUP(INDIRECT(ADDRESS(2,COLUMN())),OFFSET($BN$2,0,0,ROW()-1,60),ROW()-1,FALSE))</f>
        <v>11.87864471</v>
      </c>
      <c r="AV168">
        <f ca="1">IF(AND(ISNUMBER($AV$373),$B$226=1),$AV$373,HLOOKUP(INDIRECT(ADDRESS(2,COLUMN())),OFFSET($BN$2,0,0,ROW()-1,60),ROW()-1,FALSE))</f>
        <v>12.153453669999999</v>
      </c>
      <c r="AW168">
        <f ca="1">IF(AND(ISNUMBER($AW$373),$B$226=1),$AW$373,HLOOKUP(INDIRECT(ADDRESS(2,COLUMN())),OFFSET($BN$2,0,0,ROW()-1,60),ROW()-1,FALSE))</f>
        <v>11.63700306</v>
      </c>
      <c r="AX168">
        <f ca="1">IF(AND(ISNUMBER($AX$373),$B$226=1),$AX$373,HLOOKUP(INDIRECT(ADDRESS(2,COLUMN())),OFFSET($BN$2,0,0,ROW()-1,60),ROW()-1,FALSE))</f>
        <v>10.19174978</v>
      </c>
      <c r="AY168">
        <f ca="1">IF(AND(ISNUMBER($AY$373),$B$226=1),$AY$373,HLOOKUP(INDIRECT(ADDRESS(2,COLUMN())),OFFSET($BN$2,0,0,ROW()-1,60),ROW()-1,FALSE))</f>
        <v>11.085735209999999</v>
      </c>
      <c r="AZ168">
        <f ca="1">IF(AND(ISNUMBER($AZ$373),$B$226=1),$AZ$373,HLOOKUP(INDIRECT(ADDRESS(2,COLUMN())),OFFSET($BN$2,0,0,ROW()-1,60),ROW()-1,FALSE))</f>
        <v>8.7105677010000004</v>
      </c>
      <c r="BA168">
        <f ca="1">IF(AND(ISNUMBER($BA$373),$B$226=1),$BA$373,HLOOKUP(INDIRECT(ADDRESS(2,COLUMN())),OFFSET($BN$2,0,0,ROW()-1,60),ROW()-1,FALSE))</f>
        <v>10.030213720000001</v>
      </c>
      <c r="BB168">
        <f ca="1">IF(AND(ISNUMBER($BB$373),$B$226=1),$BB$373,HLOOKUP(INDIRECT(ADDRESS(2,COLUMN())),OFFSET($BN$2,0,0,ROW()-1,60),ROW()-1,FALSE))</f>
        <v>9.5597366990000001</v>
      </c>
      <c r="BC168">
        <f ca="1">IF(AND(ISNUMBER($BC$373),$B$226=1),$BC$373,HLOOKUP(INDIRECT(ADDRESS(2,COLUMN())),OFFSET($BN$2,0,0,ROW()-1,60),ROW()-1,FALSE))</f>
        <v>9.498089083</v>
      </c>
      <c r="BD168">
        <f ca="1">IF(AND(ISNUMBER($BD$373),$B$226=1),$BD$373,HLOOKUP(INDIRECT(ADDRESS(2,COLUMN())),OFFSET($BN$2,0,0,ROW()-1,60),ROW()-1,FALSE))</f>
        <v>9.3003235279999998</v>
      </c>
      <c r="BE168">
        <f ca="1">IF(AND(ISNUMBER($BE$373),$B$226=1),$BE$373,HLOOKUP(INDIRECT(ADDRESS(2,COLUMN())),OFFSET($BN$2,0,0,ROW()-1,60),ROW()-1,FALSE))</f>
        <v>9.2693304370000007</v>
      </c>
      <c r="BF168">
        <f ca="1">IF(AND(ISNUMBER($BF$373),$B$226=1),$BF$373,HLOOKUP(INDIRECT(ADDRESS(2,COLUMN())),OFFSET($BN$2,0,0,ROW()-1,60),ROW()-1,FALSE))</f>
        <v>9.1261293329999997</v>
      </c>
      <c r="BG168">
        <f ca="1">IF(AND(ISNUMBER($BG$373),$B$226=1),$BG$373,HLOOKUP(INDIRECT(ADDRESS(2,COLUMN())),OFFSET($BN$2,0,0,ROW()-1,60),ROW()-1,FALSE))</f>
        <v>9.6414483919999991</v>
      </c>
      <c r="BH168">
        <f ca="1">IF(AND(ISNUMBER($BH$373),$B$226=1),$BH$373,HLOOKUP(INDIRECT(ADDRESS(2,COLUMN())),OFFSET($BN$2,0,0,ROW()-1,60),ROW()-1,FALSE))</f>
        <v>9.3189946589999995</v>
      </c>
      <c r="BI168">
        <f ca="1">IF(AND(ISNUMBER($BI$373),$B$226=1),$BI$373,HLOOKUP(INDIRECT(ADDRESS(2,COLUMN())),OFFSET($BN$2,0,0,ROW()-1,60),ROW()-1,FALSE))</f>
        <v>9.0271479790000004</v>
      </c>
      <c r="BJ168">
        <f ca="1">IF(AND(ISNUMBER($BJ$373),$B$226=1),$BJ$373,HLOOKUP(INDIRECT(ADDRESS(2,COLUMN())),OFFSET($BN$2,0,0,ROW()-1,60),ROW()-1,FALSE))</f>
        <v>8.8790268099999992</v>
      </c>
      <c r="BK168">
        <f ca="1">IF(AND(ISNUMBER($BK$373),$B$226=1),$BK$373,HLOOKUP(INDIRECT(ADDRESS(2,COLUMN())),OFFSET($BN$2,0,0,ROW()-1,60),ROW()-1,FALSE))</f>
        <v>9.1949377979999998</v>
      </c>
      <c r="BL168">
        <f ca="1">IF(AND(ISNUMBER($BL$373),$B$226=1),$BL$373,HLOOKUP(INDIRECT(ADDRESS(2,COLUMN())),OFFSET($BN$2,0,0,ROW()-1,60),ROW()-1,FALSE))</f>
        <v>9.1179500690000008</v>
      </c>
      <c r="BM168">
        <f ca="1">IF(AND(ISNUMBER($BM$373),$B$226=1),$BM$373,HLOOKUP(INDIRECT(ADDRESS(2,COLUMN())),OFFSET($BN$2,0,0,ROW()-1,60),ROW()-1,FALSE))</f>
        <v>9.4479484879999998</v>
      </c>
      <c r="BN168" t="str">
        <f>""</f>
        <v/>
      </c>
      <c r="BO168">
        <f>8.019116776</f>
        <v>8.0191167760000006</v>
      </c>
      <c r="BP168">
        <f>8.135945987</f>
        <v>8.1359459869999995</v>
      </c>
      <c r="BQ168">
        <f>8.252803414</f>
        <v>8.2528034140000006</v>
      </c>
      <c r="BR168">
        <f>14.1346284</f>
        <v>14.1346284</v>
      </c>
      <c r="BS168">
        <f>14.37028632</f>
        <v>14.37028632</v>
      </c>
      <c r="BT168">
        <f>14.64422781</f>
        <v>14.64422781</v>
      </c>
      <c r="BU168">
        <f>14.45712167</f>
        <v>14.457121669999999</v>
      </c>
      <c r="BV168">
        <f>15.58214651</f>
        <v>15.582146509999999</v>
      </c>
      <c r="BW168">
        <f>15.42275684</f>
        <v>15.42275684</v>
      </c>
      <c r="BX168">
        <f>16.318868</f>
        <v>16.318867999999998</v>
      </c>
      <c r="BY168">
        <f>17.88733981</f>
        <v>17.88733981</v>
      </c>
      <c r="BZ168">
        <f>21.63598452</f>
        <v>21.635984520000001</v>
      </c>
      <c r="CA168">
        <f>21.77229341</f>
        <v>21.77229341</v>
      </c>
      <c r="CB168">
        <f>22.33127165</f>
        <v>22.331271650000001</v>
      </c>
      <c r="CC168">
        <f>22.73453276</f>
        <v>22.73453276</v>
      </c>
      <c r="CD168">
        <f>22.71565003</f>
        <v>22.715650029999999</v>
      </c>
      <c r="CE168">
        <f>23.09243853</f>
        <v>23.092438529999999</v>
      </c>
      <c r="CF168">
        <f>25.43686882</f>
        <v>25.436868820000001</v>
      </c>
      <c r="CG168">
        <f>25.8159113</f>
        <v>25.8159113</v>
      </c>
      <c r="CH168">
        <f>26.87976663</f>
        <v>26.879766629999999</v>
      </c>
      <c r="CI168">
        <f>17.07187889</f>
        <v>17.071878890000001</v>
      </c>
      <c r="CJ168">
        <f>21.2840269</f>
        <v>21.284026900000001</v>
      </c>
      <c r="CK168">
        <f>22.73306907</f>
        <v>22.733069069999999</v>
      </c>
      <c r="CL168">
        <f>23.42400412</f>
        <v>23.424004119999999</v>
      </c>
      <c r="CM168">
        <f>23.22442142</f>
        <v>23.224421419999999</v>
      </c>
      <c r="CN168">
        <f>25.39693853</f>
        <v>25.39693853</v>
      </c>
      <c r="CO168">
        <f>27.27872818</f>
        <v>27.278728180000002</v>
      </c>
      <c r="CP168">
        <f>28.13326513</f>
        <v>28.133265130000002</v>
      </c>
      <c r="CQ168">
        <f>27.52601551</f>
        <v>27.526015510000001</v>
      </c>
      <c r="CR168">
        <f>29.80570994</f>
        <v>29.80570994</v>
      </c>
      <c r="CS168">
        <f>29.70745417</f>
        <v>29.707454169999998</v>
      </c>
      <c r="CT168">
        <f>30.50528933</f>
        <v>30.50528933</v>
      </c>
      <c r="CU168">
        <f>31.06685055</f>
        <v>31.066850550000002</v>
      </c>
      <c r="CV168">
        <f>29.60523103</f>
        <v>29.605231029999999</v>
      </c>
      <c r="CW168">
        <f>31.08264005</f>
        <v>31.082640049999998</v>
      </c>
      <c r="CX168">
        <f>21.1895551</f>
        <v>21.1895551</v>
      </c>
      <c r="CY168">
        <f>21.29470072</f>
        <v>21.294700720000002</v>
      </c>
      <c r="CZ168">
        <f>19.52336115</f>
        <v>19.523361149999999</v>
      </c>
      <c r="DA168">
        <f>18.20652676</f>
        <v>18.206526759999999</v>
      </c>
      <c r="DB168">
        <f>14.55682593</f>
        <v>14.55682593</v>
      </c>
      <c r="DC168">
        <f>11.87864471</f>
        <v>11.87864471</v>
      </c>
      <c r="DD168">
        <f>12.15345367</f>
        <v>12.153453669999999</v>
      </c>
      <c r="DE168">
        <f>11.63700306</f>
        <v>11.63700306</v>
      </c>
      <c r="DF168">
        <f>10.19174978</f>
        <v>10.19174978</v>
      </c>
      <c r="DG168">
        <f>11.08573521</f>
        <v>11.085735209999999</v>
      </c>
      <c r="DH168">
        <f>8.710567701</f>
        <v>8.7105677010000004</v>
      </c>
      <c r="DI168">
        <f>10.03021372</f>
        <v>10.030213720000001</v>
      </c>
      <c r="DJ168">
        <f>9.559736699</f>
        <v>9.5597366990000001</v>
      </c>
      <c r="DK168">
        <f>9.498089083</f>
        <v>9.498089083</v>
      </c>
      <c r="DL168">
        <f>9.300323528</f>
        <v>9.3003235279999998</v>
      </c>
      <c r="DM168">
        <f>9.269330437</f>
        <v>9.2693304370000007</v>
      </c>
      <c r="DN168">
        <f>9.126129333</f>
        <v>9.1261293329999997</v>
      </c>
      <c r="DO168">
        <f>9.641448392</f>
        <v>9.6414483919999991</v>
      </c>
      <c r="DP168">
        <f>9.318994659</f>
        <v>9.3189946589999995</v>
      </c>
      <c r="DQ168">
        <f>9.027147979</f>
        <v>9.0271479790000004</v>
      </c>
      <c r="DR168">
        <f>8.87902681</f>
        <v>8.8790268099999992</v>
      </c>
      <c r="DS168">
        <f>9.194937798</f>
        <v>9.1949377979999998</v>
      </c>
      <c r="DT168">
        <f>9.117950069</f>
        <v>9.1179500690000008</v>
      </c>
      <c r="DU168">
        <f>9.447948488</f>
        <v>9.4479484879999998</v>
      </c>
    </row>
    <row r="169" spans="1:125">
      <c r="A169" t="str">
        <f>"    Camden Property Trust"</f>
        <v xml:space="preserve">    Camden Property Trust</v>
      </c>
      <c r="B169" t="str">
        <f>"CPT US Equity"</f>
        <v>CPT US Equity</v>
      </c>
      <c r="C169" t="str">
        <f t="shared" si="54"/>
        <v>RR147</v>
      </c>
      <c r="D169" t="str">
        <f t="shared" si="55"/>
        <v>LT_DEBT_TO_TOT_ASSET</v>
      </c>
      <c r="E169" t="str">
        <f t="shared" si="56"/>
        <v>动态</v>
      </c>
      <c r="F169" t="str">
        <f ca="1">IF(AND(ISNUMBER($F$374),$B$226=1),$F$374,HLOOKUP(INDIRECT(ADDRESS(2,COLUMN())),OFFSET($BN$2,0,0,ROW()-1,60),ROW()-1,FALSE))</f>
        <v/>
      </c>
      <c r="G169">
        <f ca="1">IF(AND(ISNUMBER($G$374),$B$226=1),$G$374,HLOOKUP(INDIRECT(ADDRESS(2,COLUMN())),OFFSET($BN$2,0,0,ROW()-1,60),ROW()-1,FALSE))</f>
        <v>14.02664961</v>
      </c>
      <c r="H169">
        <f ca="1">IF(AND(ISNUMBER($H$374),$B$226=1),$H$374,HLOOKUP(INDIRECT(ADDRESS(2,COLUMN())),OFFSET($BN$2,0,0,ROW()-1,60),ROW()-1,FALSE))</f>
        <v>14.04034272</v>
      </c>
      <c r="I169">
        <f ca="1">IF(AND(ISNUMBER($I$374),$B$226=1),$I$374,HLOOKUP(INDIRECT(ADDRESS(2,COLUMN())),OFFSET($BN$2,0,0,ROW()-1,60),ROW()-1,FALSE))</f>
        <v>14.93967509</v>
      </c>
      <c r="J169">
        <f ca="1">IF(AND(ISNUMBER($J$374),$B$226=1),$J$374,HLOOKUP(INDIRECT(ADDRESS(2,COLUMN())),OFFSET($BN$2,0,0,ROW()-1,60),ROW()-1,FALSE))</f>
        <v>14.598576059999999</v>
      </c>
      <c r="K169">
        <f ca="1">IF(AND(ISNUMBER($K$374),$B$226=1),$K$374,HLOOKUP(INDIRECT(ADDRESS(2,COLUMN())),OFFSET($BN$2,0,0,ROW()-1,60),ROW()-1,FALSE))</f>
        <v>14.886021449999999</v>
      </c>
      <c r="L169">
        <f ca="1">IF(AND(ISNUMBER($L$374),$B$226=1),$L$374,HLOOKUP(INDIRECT(ADDRESS(2,COLUMN())),OFFSET($BN$2,0,0,ROW()-1,60),ROW()-1,FALSE))</f>
        <v>14.74917625</v>
      </c>
      <c r="M169">
        <f ca="1">IF(AND(ISNUMBER($M$374),$B$226=1),$M$374,HLOOKUP(INDIRECT(ADDRESS(2,COLUMN())),OFFSET($BN$2,0,0,ROW()-1,60),ROW()-1,FALSE))</f>
        <v>14.496391149999999</v>
      </c>
      <c r="N169">
        <f ca="1">IF(AND(ISNUMBER($N$374),$B$226=1),$N$374,HLOOKUP(INDIRECT(ADDRESS(2,COLUMN())),OFFSET($BN$2,0,0,ROW()-1,60),ROW()-1,FALSE))</f>
        <v>14.888199650000001</v>
      </c>
      <c r="O169">
        <f ca="1">IF(AND(ISNUMBER($O$374),$B$226=1),$O$374,HLOOKUP(INDIRECT(ADDRESS(2,COLUMN())),OFFSET($BN$2,0,0,ROW()-1,60),ROW()-1,FALSE))</f>
        <v>14.902531</v>
      </c>
      <c r="P169">
        <f ca="1">IF(AND(ISNUMBER($P$374),$B$226=1),$P$374,HLOOKUP(INDIRECT(ADDRESS(2,COLUMN())),OFFSET($BN$2,0,0,ROW()-1,60),ROW()-1,FALSE))</f>
        <v>14.97323119</v>
      </c>
      <c r="Q169">
        <f ca="1">IF(AND(ISNUMBER($Q$374),$B$226=1),$Q$374,HLOOKUP(INDIRECT(ADDRESS(2,COLUMN())),OFFSET($BN$2,0,0,ROW()-1,60),ROW()-1,FALSE))</f>
        <v>15.068004630000001</v>
      </c>
      <c r="R169">
        <f ca="1">IF(AND(ISNUMBER($R$374),$B$226=1),$R$374,HLOOKUP(INDIRECT(ADDRESS(2,COLUMN())),OFFSET($BN$2,0,0,ROW()-1,60),ROW()-1,FALSE))</f>
        <v>14.890656809999999</v>
      </c>
      <c r="S169">
        <f ca="1">IF(AND(ISNUMBER($S$374),$B$226=1),$S$374,HLOOKUP(INDIRECT(ADDRESS(2,COLUMN())),OFFSET($BN$2,0,0,ROW()-1,60),ROW()-1,FALSE))</f>
        <v>14.926056190000001</v>
      </c>
      <c r="T169">
        <f ca="1">IF(AND(ISNUMBER($T$374),$B$226=1),$T$374,HLOOKUP(INDIRECT(ADDRESS(2,COLUMN())),OFFSET($BN$2,0,0,ROW()-1,60),ROW()-1,FALSE))</f>
        <v>15.33037347</v>
      </c>
      <c r="U169">
        <f ca="1">IF(AND(ISNUMBER($U$374),$B$226=1),$U$374,HLOOKUP(INDIRECT(ADDRESS(2,COLUMN())),OFFSET($BN$2,0,0,ROW()-1,60),ROW()-1,FALSE))</f>
        <v>16.078373939999999</v>
      </c>
      <c r="V169">
        <f ca="1">IF(AND(ISNUMBER($V$374),$B$226=1),$V$374,HLOOKUP(INDIRECT(ADDRESS(2,COLUMN())),OFFSET($BN$2,0,0,ROW()-1,60),ROW()-1,FALSE))</f>
        <v>16.565246720000001</v>
      </c>
      <c r="W169">
        <f ca="1">IF(AND(ISNUMBER($W$374),$B$226=1),$W$374,HLOOKUP(INDIRECT(ADDRESS(2,COLUMN())),OFFSET($BN$2,0,0,ROW()-1,60),ROW()-1,FALSE))</f>
        <v>16.724865380000001</v>
      </c>
      <c r="X169">
        <f ca="1">IF(AND(ISNUMBER($X$374),$B$226=1),$X$374,HLOOKUP(INDIRECT(ADDRESS(2,COLUMN())),OFFSET($BN$2,0,0,ROW()-1,60),ROW()-1,FALSE))</f>
        <v>16.570093780000001</v>
      </c>
      <c r="Y169">
        <f ca="1">IF(AND(ISNUMBER($Y$374),$B$226=1),$Y$374,HLOOKUP(INDIRECT(ADDRESS(2,COLUMN())),OFFSET($BN$2,0,0,ROW()-1,60),ROW()-1,FALSE))</f>
        <v>17.208193090000002</v>
      </c>
      <c r="Z169">
        <f ca="1">IF(AND(ISNUMBER($Z$374),$B$226=1),$Z$374,HLOOKUP(INDIRECT(ADDRESS(2,COLUMN())),OFFSET($BN$2,0,0,ROW()-1,60),ROW()-1,FALSE))</f>
        <v>17.5582256</v>
      </c>
      <c r="AA169">
        <f ca="1">IF(AND(ISNUMBER($AA$374),$B$226=1),$AA$374,HLOOKUP(INDIRECT(ADDRESS(2,COLUMN())),OFFSET($BN$2,0,0,ROW()-1,60),ROW()-1,FALSE))</f>
        <v>18.05431656</v>
      </c>
      <c r="AB169">
        <f ca="1">IF(AND(ISNUMBER($AB$374),$B$226=1),$AB$374,HLOOKUP(INDIRECT(ADDRESS(2,COLUMN())),OFFSET($BN$2,0,0,ROW()-1,60),ROW()-1,FALSE))</f>
        <v>18.750067080000001</v>
      </c>
      <c r="AC169">
        <f ca="1">IF(AND(ISNUMBER($AC$374),$B$226=1),$AC$374,HLOOKUP(INDIRECT(ADDRESS(2,COLUMN())),OFFSET($BN$2,0,0,ROW()-1,60),ROW()-1,FALSE))</f>
        <v>19.85809888</v>
      </c>
      <c r="AD169">
        <f ca="1">IF(AND(ISNUMBER($AD$374),$B$226=1),$AD$374,HLOOKUP(INDIRECT(ADDRESS(2,COLUMN())),OFFSET($BN$2,0,0,ROW()-1,60),ROW()-1,FALSE))</f>
        <v>20.986228059999998</v>
      </c>
      <c r="AE169">
        <f ca="1">IF(AND(ISNUMBER($AE$374),$B$226=1),$AE$374,HLOOKUP(INDIRECT(ADDRESS(2,COLUMN())),OFFSET($BN$2,0,0,ROW()-1,60),ROW()-1,FALSE))</f>
        <v>22.746428819999998</v>
      </c>
      <c r="AF169">
        <f ca="1">IF(AND(ISNUMBER($AF$374),$B$226=1),$AF$374,HLOOKUP(INDIRECT(ADDRESS(2,COLUMN())),OFFSET($BN$2,0,0,ROW()-1,60),ROW()-1,FALSE))</f>
        <v>22.90841327</v>
      </c>
      <c r="AG169">
        <f ca="1">IF(AND(ISNUMBER($AG$374),$B$226=1),$AG$374,HLOOKUP(INDIRECT(ADDRESS(2,COLUMN())),OFFSET($BN$2,0,0,ROW()-1,60),ROW()-1,FALSE))</f>
        <v>23.112203640000001</v>
      </c>
      <c r="AH169">
        <f ca="1">IF(AND(ISNUMBER($AH$374),$B$226=1),$AH$374,HLOOKUP(INDIRECT(ADDRESS(2,COLUMN())),OFFSET($BN$2,0,0,ROW()-1,60),ROW()-1,FALSE))</f>
        <v>23.014871620000001</v>
      </c>
      <c r="AI169">
        <f ca="1">IF(AND(ISNUMBER($AI$374),$B$226=1),$AI$374,HLOOKUP(INDIRECT(ADDRESS(2,COLUMN())),OFFSET($BN$2,0,0,ROW()-1,60),ROW()-1,FALSE))</f>
        <v>22.469278599999999</v>
      </c>
      <c r="AJ169">
        <f ca="1">IF(AND(ISNUMBER($AJ$374),$B$226=1),$AJ$374,HLOOKUP(INDIRECT(ADDRESS(2,COLUMN())),OFFSET($BN$2,0,0,ROW()-1,60),ROW()-1,FALSE))</f>
        <v>22.45308228</v>
      </c>
      <c r="AK169">
        <f ca="1">IF(AND(ISNUMBER($AK$374),$B$226=1),$AK$374,HLOOKUP(INDIRECT(ADDRESS(2,COLUMN())),OFFSET($BN$2,0,0,ROW()-1,60),ROW()-1,FALSE))</f>
        <v>21.367144140000001</v>
      </c>
      <c r="AL169">
        <f ca="1">IF(AND(ISNUMBER($AL$374),$B$226=1),$AL$374,HLOOKUP(INDIRECT(ADDRESS(2,COLUMN())),OFFSET($BN$2,0,0,ROW()-1,60),ROW()-1,FALSE))</f>
        <v>21.64783997</v>
      </c>
      <c r="AM169">
        <f ca="1">IF(AND(ISNUMBER($AM$374),$B$226=1),$AM$374,HLOOKUP(INDIRECT(ADDRESS(2,COLUMN())),OFFSET($BN$2,0,0,ROW()-1,60),ROW()-1,FALSE))</f>
        <v>21.251588810000001</v>
      </c>
      <c r="AN169">
        <f ca="1">IF(AND(ISNUMBER($AN$374),$B$226=1),$AN$374,HLOOKUP(INDIRECT(ADDRESS(2,COLUMN())),OFFSET($BN$2,0,0,ROW()-1,60),ROW()-1,FALSE))</f>
        <v>20.61746939</v>
      </c>
      <c r="AO169">
        <f ca="1">IF(AND(ISNUMBER($AO$374),$B$226=1),$AO$374,HLOOKUP(INDIRECT(ADDRESS(2,COLUMN())),OFFSET($BN$2,0,0,ROW()-1,60),ROW()-1,FALSE))</f>
        <v>20.21017441</v>
      </c>
      <c r="AP169">
        <f ca="1">IF(AND(ISNUMBER($AP$374),$B$226=1),$AP$374,HLOOKUP(INDIRECT(ADDRESS(2,COLUMN())),OFFSET($BN$2,0,0,ROW()-1,60),ROW()-1,FALSE))</f>
        <v>14.55882108</v>
      </c>
      <c r="AQ169">
        <f ca="1">IF(AND(ISNUMBER($AQ$374),$B$226=1),$AQ$374,HLOOKUP(INDIRECT(ADDRESS(2,COLUMN())),OFFSET($BN$2,0,0,ROW()-1,60),ROW()-1,FALSE))</f>
        <v>15.41556615</v>
      </c>
      <c r="AR169">
        <f ca="1">IF(AND(ISNUMBER($AR$374),$B$226=1),$AR$374,HLOOKUP(INDIRECT(ADDRESS(2,COLUMN())),OFFSET($BN$2,0,0,ROW()-1,60),ROW()-1,FALSE))</f>
        <v>15.047652749999999</v>
      </c>
      <c r="AS169">
        <f ca="1">IF(AND(ISNUMBER($AS$374),$B$226=1),$AS$374,HLOOKUP(INDIRECT(ADDRESS(2,COLUMN())),OFFSET($BN$2,0,0,ROW()-1,60),ROW()-1,FALSE))</f>
        <v>11.00378349</v>
      </c>
      <c r="AT169">
        <f ca="1">IF(AND(ISNUMBER($AT$374),$B$226=1),$AT$374,HLOOKUP(INDIRECT(ADDRESS(2,COLUMN())),OFFSET($BN$2,0,0,ROW()-1,60),ROW()-1,FALSE))</f>
        <v>11.44600823</v>
      </c>
      <c r="AU169">
        <f ca="1">IF(AND(ISNUMBER($AU$374),$B$226=1),$AU$374,HLOOKUP(INDIRECT(ADDRESS(2,COLUMN())),OFFSET($BN$2,0,0,ROW()-1,60),ROW()-1,FALSE))</f>
        <v>13.50916831</v>
      </c>
      <c r="AV169">
        <f ca="1">IF(AND(ISNUMBER($AV$374),$B$226=1),$AV$374,HLOOKUP(INDIRECT(ADDRESS(2,COLUMN())),OFFSET($BN$2,0,0,ROW()-1,60),ROW()-1,FALSE))</f>
        <v>13.516375460000001</v>
      </c>
      <c r="AW169">
        <f ca="1">IF(AND(ISNUMBER($AW$374),$B$226=1),$AW$374,HLOOKUP(INDIRECT(ADDRESS(2,COLUMN())),OFFSET($BN$2,0,0,ROW()-1,60),ROW()-1,FALSE))</f>
        <v>13.658617469999999</v>
      </c>
      <c r="AX169">
        <f ca="1">IF(AND(ISNUMBER($AX$374),$B$226=1),$AX$374,HLOOKUP(INDIRECT(ADDRESS(2,COLUMN())),OFFSET($BN$2,0,0,ROW()-1,60),ROW()-1,FALSE))</f>
        <v>14.245151590000001</v>
      </c>
      <c r="AY169">
        <f ca="1">IF(AND(ISNUMBER($AY$374),$B$226=1),$AY$374,HLOOKUP(INDIRECT(ADDRESS(2,COLUMN())),OFFSET($BN$2,0,0,ROW()-1,60),ROW()-1,FALSE))</f>
        <v>14.596504619999999</v>
      </c>
      <c r="AZ169">
        <f ca="1">IF(AND(ISNUMBER($AZ$374),$B$226=1),$AZ$374,HLOOKUP(INDIRECT(ADDRESS(2,COLUMN())),OFFSET($BN$2,0,0,ROW()-1,60),ROW()-1,FALSE))</f>
        <v>15.076194770000001</v>
      </c>
      <c r="BA169">
        <f ca="1">IF(AND(ISNUMBER($BA$374),$B$226=1),$BA$374,HLOOKUP(INDIRECT(ADDRESS(2,COLUMN())),OFFSET($BN$2,0,0,ROW()-1,60),ROW()-1,FALSE))</f>
        <v>15.25505055</v>
      </c>
      <c r="BB169">
        <f ca="1">IF(AND(ISNUMBER($BB$374),$B$226=1),$BB$374,HLOOKUP(INDIRECT(ADDRESS(2,COLUMN())),OFFSET($BN$2,0,0,ROW()-1,60),ROW()-1,FALSE))</f>
        <v>15.615242840000001</v>
      </c>
      <c r="BC169">
        <f ca="1">IF(AND(ISNUMBER($BC$374),$B$226=1),$BC$374,HLOOKUP(INDIRECT(ADDRESS(2,COLUMN())),OFFSET($BN$2,0,0,ROW()-1,60),ROW()-1,FALSE))</f>
        <v>13.94730468</v>
      </c>
      <c r="BD169">
        <f ca="1">IF(AND(ISNUMBER($BD$374),$B$226=1),$BD$374,HLOOKUP(INDIRECT(ADDRESS(2,COLUMN())),OFFSET($BN$2,0,0,ROW()-1,60),ROW()-1,FALSE))</f>
        <v>14.8101935</v>
      </c>
      <c r="BE169">
        <f ca="1">IF(AND(ISNUMBER($BE$374),$B$226=1),$BE$374,HLOOKUP(INDIRECT(ADDRESS(2,COLUMN())),OFFSET($BN$2,0,0,ROW()-1,60),ROW()-1,FALSE))</f>
        <v>15.144855870000001</v>
      </c>
      <c r="BF169">
        <f ca="1">IF(AND(ISNUMBER($BF$374),$B$226=1),$BF$374,HLOOKUP(INDIRECT(ADDRESS(2,COLUMN())),OFFSET($BN$2,0,0,ROW()-1,60),ROW()-1,FALSE))</f>
        <v>15.0338704</v>
      </c>
      <c r="BG169">
        <f ca="1">IF(AND(ISNUMBER($BG$374),$B$226=1),$BG$374,HLOOKUP(INDIRECT(ADDRESS(2,COLUMN())),OFFSET($BN$2,0,0,ROW()-1,60),ROW()-1,FALSE))</f>
        <v>6.4349021280000001</v>
      </c>
      <c r="BH169">
        <f ca="1">IF(AND(ISNUMBER($BH$374),$B$226=1),$BH$374,HLOOKUP(INDIRECT(ADDRESS(2,COLUMN())),OFFSET($BN$2,0,0,ROW()-1,60),ROW()-1,FALSE))</f>
        <v>6.4274108180000002</v>
      </c>
      <c r="BI169">
        <f ca="1">IF(AND(ISNUMBER($BI$374),$B$226=1),$BI$374,HLOOKUP(INDIRECT(ADDRESS(2,COLUMN())),OFFSET($BN$2,0,0,ROW()-1,60),ROW()-1,FALSE))</f>
        <v>8.6756545640000002</v>
      </c>
      <c r="BJ169">
        <f ca="1">IF(AND(ISNUMBER($BJ$374),$B$226=1),$BJ$374,HLOOKUP(INDIRECT(ADDRESS(2,COLUMN())),OFFSET($BN$2,0,0,ROW()-1,60),ROW()-1,FALSE))</f>
        <v>8.8122079160000002</v>
      </c>
      <c r="BK169">
        <f ca="1">IF(AND(ISNUMBER($BK$374),$B$226=1),$BK$374,HLOOKUP(INDIRECT(ADDRESS(2,COLUMN())),OFFSET($BN$2,0,0,ROW()-1,60),ROW()-1,FALSE))</f>
        <v>8.8285132599999994</v>
      </c>
      <c r="BL169">
        <f ca="1">IF(AND(ISNUMBER($BL$374),$B$226=1),$BL$374,HLOOKUP(INDIRECT(ADDRESS(2,COLUMN())),OFFSET($BN$2,0,0,ROW()-1,60),ROW()-1,FALSE))</f>
        <v>8.9334529640000007</v>
      </c>
      <c r="BM169">
        <f ca="1">IF(AND(ISNUMBER($BM$374),$B$226=1),$BM$374,HLOOKUP(INDIRECT(ADDRESS(2,COLUMN())),OFFSET($BN$2,0,0,ROW()-1,60),ROW()-1,FALSE))</f>
        <v>9.2112196480000001</v>
      </c>
      <c r="BN169" t="str">
        <f>""</f>
        <v/>
      </c>
      <c r="BO169">
        <f>14.02664961</f>
        <v>14.02664961</v>
      </c>
      <c r="BP169">
        <f>14.04034272</f>
        <v>14.04034272</v>
      </c>
      <c r="BQ169">
        <f>14.93967509</f>
        <v>14.93967509</v>
      </c>
      <c r="BR169">
        <f>14.59857606</f>
        <v>14.598576059999999</v>
      </c>
      <c r="BS169">
        <f>14.88602145</f>
        <v>14.886021449999999</v>
      </c>
      <c r="BT169">
        <f>14.74917625</f>
        <v>14.74917625</v>
      </c>
      <c r="BU169">
        <f>14.49639115</f>
        <v>14.496391149999999</v>
      </c>
      <c r="BV169">
        <f>14.88819965</f>
        <v>14.888199650000001</v>
      </c>
      <c r="BW169">
        <f>14.902531</f>
        <v>14.902531</v>
      </c>
      <c r="BX169">
        <f>14.97323119</f>
        <v>14.97323119</v>
      </c>
      <c r="BY169">
        <f>15.06800463</f>
        <v>15.068004630000001</v>
      </c>
      <c r="BZ169">
        <f>14.89065681</f>
        <v>14.890656809999999</v>
      </c>
      <c r="CA169">
        <f>14.92605619</f>
        <v>14.926056190000001</v>
      </c>
      <c r="CB169">
        <f>15.33037347</f>
        <v>15.33037347</v>
      </c>
      <c r="CC169">
        <f>16.07837394</f>
        <v>16.078373939999999</v>
      </c>
      <c r="CD169">
        <f>16.56524672</f>
        <v>16.565246720000001</v>
      </c>
      <c r="CE169">
        <f>16.72486538</f>
        <v>16.724865380000001</v>
      </c>
      <c r="CF169">
        <f>16.57009378</f>
        <v>16.570093780000001</v>
      </c>
      <c r="CG169">
        <f>17.20819309</f>
        <v>17.208193090000002</v>
      </c>
      <c r="CH169">
        <f>17.5582256</f>
        <v>17.5582256</v>
      </c>
      <c r="CI169">
        <f>18.05431656</f>
        <v>18.05431656</v>
      </c>
      <c r="CJ169">
        <f>18.75006708</f>
        <v>18.750067080000001</v>
      </c>
      <c r="CK169">
        <f>19.85809888</f>
        <v>19.85809888</v>
      </c>
      <c r="CL169">
        <f>20.98622806</f>
        <v>20.986228059999998</v>
      </c>
      <c r="CM169">
        <f>22.74642882</f>
        <v>22.746428819999998</v>
      </c>
      <c r="CN169">
        <f>22.90841327</f>
        <v>22.90841327</v>
      </c>
      <c r="CO169">
        <f>23.11220364</f>
        <v>23.112203640000001</v>
      </c>
      <c r="CP169">
        <f>23.01487162</f>
        <v>23.014871620000001</v>
      </c>
      <c r="CQ169">
        <f>22.4692786</f>
        <v>22.469278599999999</v>
      </c>
      <c r="CR169">
        <f>22.45308228</f>
        <v>22.45308228</v>
      </c>
      <c r="CS169">
        <f>21.36714414</f>
        <v>21.367144140000001</v>
      </c>
      <c r="CT169">
        <f>21.64783997</f>
        <v>21.64783997</v>
      </c>
      <c r="CU169">
        <f>21.25158881</f>
        <v>21.251588810000001</v>
      </c>
      <c r="CV169">
        <f>20.61746939</f>
        <v>20.61746939</v>
      </c>
      <c r="CW169">
        <f>20.21017441</f>
        <v>20.21017441</v>
      </c>
      <c r="CX169">
        <f>14.55882108</f>
        <v>14.55882108</v>
      </c>
      <c r="CY169">
        <f>15.41556615</f>
        <v>15.41556615</v>
      </c>
      <c r="CZ169">
        <f>15.04765275</f>
        <v>15.047652749999999</v>
      </c>
      <c r="DA169">
        <f>11.00378349</f>
        <v>11.00378349</v>
      </c>
      <c r="DB169">
        <f>11.44600823</f>
        <v>11.44600823</v>
      </c>
      <c r="DC169">
        <f>13.50916831</f>
        <v>13.50916831</v>
      </c>
      <c r="DD169">
        <f>13.51637546</f>
        <v>13.516375460000001</v>
      </c>
      <c r="DE169">
        <f>13.65861747</f>
        <v>13.658617469999999</v>
      </c>
      <c r="DF169">
        <f>14.24515159</f>
        <v>14.245151590000001</v>
      </c>
      <c r="DG169">
        <f>14.59650462</f>
        <v>14.596504619999999</v>
      </c>
      <c r="DH169">
        <f>15.07619477</f>
        <v>15.076194770000001</v>
      </c>
      <c r="DI169">
        <f>15.25505055</f>
        <v>15.25505055</v>
      </c>
      <c r="DJ169">
        <f>15.61524284</f>
        <v>15.615242840000001</v>
      </c>
      <c r="DK169">
        <f>13.94730468</f>
        <v>13.94730468</v>
      </c>
      <c r="DL169">
        <f>14.8101935</f>
        <v>14.8101935</v>
      </c>
      <c r="DM169">
        <f>15.14485587</f>
        <v>15.144855870000001</v>
      </c>
      <c r="DN169">
        <f>15.0338704</f>
        <v>15.0338704</v>
      </c>
      <c r="DO169">
        <f>6.434902128</f>
        <v>6.4349021280000001</v>
      </c>
      <c r="DP169">
        <f>6.427410818</f>
        <v>6.4274108180000002</v>
      </c>
      <c r="DQ169">
        <f>8.675654564</f>
        <v>8.6756545640000002</v>
      </c>
      <c r="DR169">
        <f>8.812207916</f>
        <v>8.8122079160000002</v>
      </c>
      <c r="DS169">
        <f>8.82851326</f>
        <v>8.8285132599999994</v>
      </c>
      <c r="DT169">
        <f>8.933452964</f>
        <v>8.9334529640000007</v>
      </c>
      <c r="DU169">
        <f>9.211219648</f>
        <v>9.2112196480000001</v>
      </c>
    </row>
    <row r="170" spans="1:125">
      <c r="A170" t="str">
        <f>"    Education Realty Trust Inc"</f>
        <v xml:space="preserve">    Education Realty Trust Inc</v>
      </c>
      <c r="B170" t="str">
        <f>"EDR US Equity"</f>
        <v>EDR US Equity</v>
      </c>
      <c r="C170" t="str">
        <f t="shared" si="54"/>
        <v>RR147</v>
      </c>
      <c r="D170" t="str">
        <f t="shared" si="55"/>
        <v>LT_DEBT_TO_TOT_ASSET</v>
      </c>
      <c r="E170" t="str">
        <f t="shared" si="56"/>
        <v>动态</v>
      </c>
      <c r="F170" t="str">
        <f ca="1">IF(AND(ISNUMBER($F$375),$B$226=1),$F$375,HLOOKUP(INDIRECT(ADDRESS(2,COLUMN())),OFFSET($BN$2,0,0,ROW()-1,60),ROW()-1,FALSE))</f>
        <v/>
      </c>
      <c r="G170">
        <f ca="1">IF(AND(ISNUMBER($G$375),$B$226=1),$G$375,HLOOKUP(INDIRECT(ADDRESS(2,COLUMN())),OFFSET($BN$2,0,0,ROW()-1,60),ROW()-1,FALSE))</f>
        <v>0</v>
      </c>
      <c r="H170">
        <f ca="1">IF(AND(ISNUMBER($H$375),$B$226=1),$H$375,HLOOKUP(INDIRECT(ADDRESS(2,COLUMN())),OFFSET($BN$2,0,0,ROW()-1,60),ROW()-1,FALSE))</f>
        <v>1.01747082</v>
      </c>
      <c r="I170">
        <f ca="1">IF(AND(ISNUMBER($I$375),$B$226=1),$I$375,HLOOKUP(INDIRECT(ADDRESS(2,COLUMN())),OFFSET($BN$2,0,0,ROW()-1,60),ROW()-1,FALSE))</f>
        <v>1.061420086</v>
      </c>
      <c r="J170">
        <f ca="1">IF(AND(ISNUMBER($J$375),$B$226=1),$J$375,HLOOKUP(INDIRECT(ADDRESS(2,COLUMN())),OFFSET($BN$2,0,0,ROW()-1,60),ROW()-1,FALSE))</f>
        <v>1.094767061</v>
      </c>
      <c r="K170">
        <f ca="1">IF(AND(ISNUMBER($K$375),$B$226=1),$K$375,HLOOKUP(INDIRECT(ADDRESS(2,COLUMN())),OFFSET($BN$2,0,0,ROW()-1,60),ROW()-1,FALSE))</f>
        <v>2.4946282900000001</v>
      </c>
      <c r="L170">
        <f ca="1">IF(AND(ISNUMBER($L$375),$B$226=1),$L$375,HLOOKUP(INDIRECT(ADDRESS(2,COLUMN())),OFFSET($BN$2,0,0,ROW()-1,60),ROW()-1,FALSE))</f>
        <v>2.4904925819999999</v>
      </c>
      <c r="M170">
        <f ca="1">IF(AND(ISNUMBER($M$375),$B$226=1),$M$375,HLOOKUP(INDIRECT(ADDRESS(2,COLUMN())),OFFSET($BN$2,0,0,ROW()-1,60),ROW()-1,FALSE))</f>
        <v>3.9882471810000002</v>
      </c>
      <c r="N170">
        <f ca="1">IF(AND(ISNUMBER($N$375),$B$226=1),$N$375,HLOOKUP(INDIRECT(ADDRESS(2,COLUMN())),OFFSET($BN$2,0,0,ROW()-1,60),ROW()-1,FALSE))</f>
        <v>5.3823328630000002</v>
      </c>
      <c r="O170">
        <f ca="1">IF(AND(ISNUMBER($O$375),$B$226=1),$O$375,HLOOKUP(INDIRECT(ADDRESS(2,COLUMN())),OFFSET($BN$2,0,0,ROW()-1,60),ROW()-1,FALSE))</f>
        <v>10.21619707</v>
      </c>
      <c r="P170">
        <f ca="1">IF(AND(ISNUMBER($P$375),$B$226=1),$P$375,HLOOKUP(INDIRECT(ADDRESS(2,COLUMN())),OFFSET($BN$2,0,0,ROW()-1,60),ROW()-1,FALSE))</f>
        <v>11.7934784</v>
      </c>
      <c r="Q170">
        <f ca="1">IF(AND(ISNUMBER($Q$375),$B$226=1),$Q$375,HLOOKUP(INDIRECT(ADDRESS(2,COLUMN())),OFFSET($BN$2,0,0,ROW()-1,60),ROW()-1,FALSE))</f>
        <v>11.8930641</v>
      </c>
      <c r="R170">
        <f ca="1">IF(AND(ISNUMBER($R$375),$B$226=1),$R$375,HLOOKUP(INDIRECT(ADDRESS(2,COLUMN())),OFFSET($BN$2,0,0,ROW()-1,60),ROW()-1,FALSE))</f>
        <v>12.470637139999999</v>
      </c>
      <c r="S170">
        <f ca="1">IF(AND(ISNUMBER($S$375),$B$226=1),$S$375,HLOOKUP(INDIRECT(ADDRESS(2,COLUMN())),OFFSET($BN$2,0,0,ROW()-1,60),ROW()-1,FALSE))</f>
        <v>13.779636869999999</v>
      </c>
      <c r="T170">
        <f ca="1">IF(AND(ISNUMBER($T$375),$B$226=1),$T$375,HLOOKUP(INDIRECT(ADDRESS(2,COLUMN())),OFFSET($BN$2,0,0,ROW()-1,60),ROW()-1,FALSE))</f>
        <v>18.540088170000001</v>
      </c>
      <c r="U170">
        <f ca="1">IF(AND(ISNUMBER($U$375),$B$226=1),$U$375,HLOOKUP(INDIRECT(ADDRESS(2,COLUMN())),OFFSET($BN$2,0,0,ROW()-1,60),ROW()-1,FALSE))</f>
        <v>21.678440040000002</v>
      </c>
      <c r="V170">
        <f ca="1">IF(AND(ISNUMBER($V$375),$B$226=1),$V$375,HLOOKUP(INDIRECT(ADDRESS(2,COLUMN())),OFFSET($BN$2,0,0,ROW()-1,60),ROW()-1,FALSE))</f>
        <v>23.910680129999999</v>
      </c>
      <c r="W170">
        <f ca="1">IF(AND(ISNUMBER($W$375),$B$226=1),$W$375,HLOOKUP(INDIRECT(ADDRESS(2,COLUMN())),OFFSET($BN$2,0,0,ROW()-1,60),ROW()-1,FALSE))</f>
        <v>26.24426832</v>
      </c>
      <c r="X170">
        <f ca="1">IF(AND(ISNUMBER($X$375),$B$226=1),$X$375,HLOOKUP(INDIRECT(ADDRESS(2,COLUMN())),OFFSET($BN$2,0,0,ROW()-1,60),ROW()-1,FALSE))</f>
        <v>28.145500269999999</v>
      </c>
      <c r="Y170">
        <f ca="1">IF(AND(ISNUMBER($Y$375),$B$226=1),$Y$375,HLOOKUP(INDIRECT(ADDRESS(2,COLUMN())),OFFSET($BN$2,0,0,ROW()-1,60),ROW()-1,FALSE))</f>
        <v>31.229555090000002</v>
      </c>
      <c r="Z170">
        <f ca="1">IF(AND(ISNUMBER($Z$375),$B$226=1),$Z$375,HLOOKUP(INDIRECT(ADDRESS(2,COLUMN())),OFFSET($BN$2,0,0,ROW()-1,60),ROW()-1,FALSE))</f>
        <v>30.999802500000001</v>
      </c>
      <c r="AA170">
        <f ca="1">IF(AND(ISNUMBER($AA$375),$B$226=1),$AA$375,HLOOKUP(INDIRECT(ADDRESS(2,COLUMN())),OFFSET($BN$2,0,0,ROW()-1,60),ROW()-1,FALSE))</f>
        <v>30.108697379999999</v>
      </c>
      <c r="AB170">
        <f ca="1">IF(AND(ISNUMBER($AB$375),$B$226=1),$AB$375,HLOOKUP(INDIRECT(ADDRESS(2,COLUMN())),OFFSET($BN$2,0,0,ROW()-1,60),ROW()-1,FALSE))</f>
        <v>27.569445219999999</v>
      </c>
      <c r="AC170">
        <f ca="1">IF(AND(ISNUMBER($AC$375),$B$226=1),$AC$375,HLOOKUP(INDIRECT(ADDRESS(2,COLUMN())),OFFSET($BN$2,0,0,ROW()-1,60),ROW()-1,FALSE))</f>
        <v>31.050451599999999</v>
      </c>
      <c r="AD170">
        <f ca="1">IF(AND(ISNUMBER($AD$375),$B$226=1),$AD$375,HLOOKUP(INDIRECT(ADDRESS(2,COLUMN())),OFFSET($BN$2,0,0,ROW()-1,60),ROW()-1,FALSE))</f>
        <v>34.360920180000001</v>
      </c>
      <c r="AE170">
        <f ca="1">IF(AND(ISNUMBER($AE$375),$B$226=1),$AE$375,HLOOKUP(INDIRECT(ADDRESS(2,COLUMN())),OFFSET($BN$2,0,0,ROW()-1,60),ROW()-1,FALSE))</f>
        <v>36.664011070000001</v>
      </c>
      <c r="AF170">
        <f ca="1">IF(AND(ISNUMBER($AF$375),$B$226=1),$AF$375,HLOOKUP(INDIRECT(ADDRESS(2,COLUMN())),OFFSET($BN$2,0,0,ROW()-1,60),ROW()-1,FALSE))</f>
        <v>40.674649070000001</v>
      </c>
      <c r="AG170">
        <f ca="1">IF(AND(ISNUMBER($AG$375),$B$226=1),$AG$375,HLOOKUP(INDIRECT(ADDRESS(2,COLUMN())),OFFSET($BN$2,0,0,ROW()-1,60),ROW()-1,FALSE))</f>
        <v>42.12896233</v>
      </c>
      <c r="AH170">
        <f ca="1">IF(AND(ISNUMBER($AH$375),$B$226=1),$AH$375,HLOOKUP(INDIRECT(ADDRESS(2,COLUMN())),OFFSET($BN$2,0,0,ROW()-1,60),ROW()-1,FALSE))</f>
        <v>42.27493793</v>
      </c>
      <c r="AI170">
        <f ca="1">IF(AND(ISNUMBER($AI$375),$B$226=1),$AI$375,HLOOKUP(INDIRECT(ADDRESS(2,COLUMN())),OFFSET($BN$2,0,0,ROW()-1,60),ROW()-1,FALSE))</f>
        <v>49.903757400000003</v>
      </c>
      <c r="AJ170">
        <f ca="1">IF(AND(ISNUMBER($AJ$375),$B$226=1),$AJ$375,HLOOKUP(INDIRECT(ADDRESS(2,COLUMN())),OFFSET($BN$2,0,0,ROW()-1,60),ROW()-1,FALSE))</f>
        <v>51.715326480000002</v>
      </c>
      <c r="AK170">
        <f ca="1">IF(AND(ISNUMBER($AK$375),$B$226=1),$AK$375,HLOOKUP(INDIRECT(ADDRESS(2,COLUMN())),OFFSET($BN$2,0,0,ROW()-1,60),ROW()-1,FALSE))</f>
        <v>50.469689209999999</v>
      </c>
      <c r="AL170">
        <f ca="1">IF(AND(ISNUMBER($AL$375),$B$226=1),$AL$375,HLOOKUP(INDIRECT(ADDRESS(2,COLUMN())),OFFSET($BN$2,0,0,ROW()-1,60),ROW()-1,FALSE))</f>
        <v>50.680174710000003</v>
      </c>
      <c r="AM170">
        <f ca="1">IF(AND(ISNUMBER($AM$375),$B$226=1),$AM$375,HLOOKUP(INDIRECT(ADDRESS(2,COLUMN())),OFFSET($BN$2,0,0,ROW()-1,60),ROW()-1,FALSE))</f>
        <v>50.504403979999999</v>
      </c>
      <c r="AN170">
        <f ca="1">IF(AND(ISNUMBER($AN$375),$B$226=1),$AN$375,HLOOKUP(INDIRECT(ADDRESS(2,COLUMN())),OFFSET($BN$2,0,0,ROW()-1,60),ROW()-1,FALSE))</f>
        <v>52.860248540000001</v>
      </c>
      <c r="AO170">
        <f ca="1">IF(AND(ISNUMBER($AO$375),$B$226=1),$AO$375,HLOOKUP(INDIRECT(ADDRESS(2,COLUMN())),OFFSET($BN$2,0,0,ROW()-1,60),ROW()-1,FALSE))</f>
        <v>57.575331560000002</v>
      </c>
      <c r="AP170">
        <f ca="1">IF(AND(ISNUMBER($AP$375),$B$226=1),$AP$375,HLOOKUP(INDIRECT(ADDRESS(2,COLUMN())),OFFSET($BN$2,0,0,ROW()-1,60),ROW()-1,FALSE))</f>
        <v>57.204903199999997</v>
      </c>
      <c r="AQ170">
        <f ca="1">IF(AND(ISNUMBER($AQ$375),$B$226=1),$AQ$375,HLOOKUP(INDIRECT(ADDRESS(2,COLUMN())),OFFSET($BN$2,0,0,ROW()-1,60),ROW()-1,FALSE))</f>
        <v>56.871433949999997</v>
      </c>
      <c r="AR170">
        <f ca="1">IF(AND(ISNUMBER($AR$375),$B$226=1),$AR$375,HLOOKUP(INDIRECT(ADDRESS(2,COLUMN())),OFFSET($BN$2,0,0,ROW()-1,60),ROW()-1,FALSE))</f>
        <v>55.771745770000003</v>
      </c>
      <c r="AS170">
        <f ca="1">IF(AND(ISNUMBER($AS$375),$B$226=1),$AS$375,HLOOKUP(INDIRECT(ADDRESS(2,COLUMN())),OFFSET($BN$2,0,0,ROW()-1,60),ROW()-1,FALSE))</f>
        <v>53.970333140000001</v>
      </c>
      <c r="AT170">
        <f ca="1">IF(AND(ISNUMBER($AT$375),$B$226=1),$AT$375,HLOOKUP(INDIRECT(ADDRESS(2,COLUMN())),OFFSET($BN$2,0,0,ROW()-1,60),ROW()-1,FALSE))</f>
        <v>52.15981472</v>
      </c>
      <c r="AU170">
        <f ca="1">IF(AND(ISNUMBER($AU$375),$B$226=1),$AU$375,HLOOKUP(INDIRECT(ADDRESS(2,COLUMN())),OFFSET($BN$2,0,0,ROW()-1,60),ROW()-1,FALSE))</f>
        <v>54.848461159999999</v>
      </c>
      <c r="AV170">
        <f ca="1">IF(AND(ISNUMBER($AV$375),$B$226=1),$AV$375,HLOOKUP(INDIRECT(ADDRESS(2,COLUMN())),OFFSET($BN$2,0,0,ROW()-1,60),ROW()-1,FALSE))</f>
        <v>48.280654310000003</v>
      </c>
      <c r="AW170">
        <f ca="1">IF(AND(ISNUMBER($AW$375),$B$226=1),$AW$375,HLOOKUP(INDIRECT(ADDRESS(2,COLUMN())),OFFSET($BN$2,0,0,ROW()-1,60),ROW()-1,FALSE))</f>
        <v>54.639317699999999</v>
      </c>
      <c r="AX170">
        <f ca="1">IF(AND(ISNUMBER($AX$375),$B$226=1),$AX$375,HLOOKUP(INDIRECT(ADDRESS(2,COLUMN())),OFFSET($BN$2,0,0,ROW()-1,60),ROW()-1,FALSE))</f>
        <v>50.95274629</v>
      </c>
      <c r="AY170">
        <f ca="1">IF(AND(ISNUMBER($AY$375),$B$226=1),$AY$375,HLOOKUP(INDIRECT(ADDRESS(2,COLUMN())),OFFSET($BN$2,0,0,ROW()-1,60),ROW()-1,FALSE))</f>
        <v>56.368243530000001</v>
      </c>
      <c r="AZ170">
        <f ca="1">IF(AND(ISNUMBER($AZ$375),$B$226=1),$AZ$375,HLOOKUP(INDIRECT(ADDRESS(2,COLUMN())),OFFSET($BN$2,0,0,ROW()-1,60),ROW()-1,FALSE))</f>
        <v>50.49823628</v>
      </c>
      <c r="BA170">
        <f ca="1">IF(AND(ISNUMBER($BA$375),$B$226=1),$BA$375,HLOOKUP(INDIRECT(ADDRESS(2,COLUMN())),OFFSET($BN$2,0,0,ROW()-1,60),ROW()-1,FALSE))</f>
        <v>56.14260033</v>
      </c>
      <c r="BB170">
        <f ca="1">IF(AND(ISNUMBER($BB$375),$B$226=1),$BB$375,HLOOKUP(INDIRECT(ADDRESS(2,COLUMN())),OFFSET($BN$2,0,0,ROW()-1,60),ROW()-1,FALSE))</f>
        <v>50.680397820000003</v>
      </c>
      <c r="BC170">
        <f ca="1">IF(AND(ISNUMBER($BC$375),$B$226=1),$BC$375,HLOOKUP(INDIRECT(ADDRESS(2,COLUMN())),OFFSET($BN$2,0,0,ROW()-1,60),ROW()-1,FALSE))</f>
        <v>46.635248400000002</v>
      </c>
      <c r="BD170">
        <f ca="1">IF(AND(ISNUMBER($BD$375),$B$226=1),$BD$375,HLOOKUP(INDIRECT(ADDRESS(2,COLUMN())),OFFSET($BN$2,0,0,ROW()-1,60),ROW()-1,FALSE))</f>
        <v>45.5960489</v>
      </c>
      <c r="BE170">
        <f ca="1">IF(AND(ISNUMBER($BE$375),$B$226=1),$BE$375,HLOOKUP(INDIRECT(ADDRESS(2,COLUMN())),OFFSET($BN$2,0,0,ROW()-1,60),ROW()-1,FALSE))</f>
        <v>49.903773010000002</v>
      </c>
      <c r="BF170">
        <f ca="1">IF(AND(ISNUMBER($BF$375),$B$226=1),$BF$375,HLOOKUP(INDIRECT(ADDRESS(2,COLUMN())),OFFSET($BN$2,0,0,ROW()-1,60),ROW()-1,FALSE))</f>
        <v>46.541764000000001</v>
      </c>
      <c r="BG170" t="str">
        <f ca="1">IF(AND(ISNUMBER($BG$375),$B$226=1),$BG$375,HLOOKUP(INDIRECT(ADDRESS(2,COLUMN())),OFFSET($BN$2,0,0,ROW()-1,60),ROW()-1,FALSE))</f>
        <v/>
      </c>
      <c r="BH170" t="str">
        <f ca="1">IF(AND(ISNUMBER($BH$375),$B$226=1),$BH$375,HLOOKUP(INDIRECT(ADDRESS(2,COLUMN())),OFFSET($BN$2,0,0,ROW()-1,60),ROW()-1,FALSE))</f>
        <v/>
      </c>
      <c r="BI170" t="str">
        <f ca="1">IF(AND(ISNUMBER($BI$375),$B$226=1),$BI$375,HLOOKUP(INDIRECT(ADDRESS(2,COLUMN())),OFFSET($BN$2,0,0,ROW()-1,60),ROW()-1,FALSE))</f>
        <v/>
      </c>
      <c r="BJ170" t="str">
        <f ca="1">IF(AND(ISNUMBER($BJ$375),$B$226=1),$BJ$375,HLOOKUP(INDIRECT(ADDRESS(2,COLUMN())),OFFSET($BN$2,0,0,ROW()-1,60),ROW()-1,FALSE))</f>
        <v/>
      </c>
      <c r="BK170" t="str">
        <f ca="1">IF(AND(ISNUMBER($BK$375),$B$226=1),$BK$375,HLOOKUP(INDIRECT(ADDRESS(2,COLUMN())),OFFSET($BN$2,0,0,ROW()-1,60),ROW()-1,FALSE))</f>
        <v/>
      </c>
      <c r="BL170" t="str">
        <f ca="1">IF(AND(ISNUMBER($BL$375),$B$226=1),$BL$375,HLOOKUP(INDIRECT(ADDRESS(2,COLUMN())),OFFSET($BN$2,0,0,ROW()-1,60),ROW()-1,FALSE))</f>
        <v/>
      </c>
      <c r="BM170" t="str">
        <f ca="1">IF(AND(ISNUMBER($BM$375),$B$226=1),$BM$375,HLOOKUP(INDIRECT(ADDRESS(2,COLUMN())),OFFSET($BN$2,0,0,ROW()-1,60),ROW()-1,FALSE))</f>
        <v/>
      </c>
      <c r="BN170" t="str">
        <f>""</f>
        <v/>
      </c>
      <c r="BO170">
        <f>0</f>
        <v>0</v>
      </c>
      <c r="BP170">
        <f>1.01747082</f>
        <v>1.01747082</v>
      </c>
      <c r="BQ170">
        <f>1.061420086</f>
        <v>1.061420086</v>
      </c>
      <c r="BR170">
        <f>1.094767061</f>
        <v>1.094767061</v>
      </c>
      <c r="BS170">
        <f>2.49462829</f>
        <v>2.4946282900000001</v>
      </c>
      <c r="BT170">
        <f>2.490492582</f>
        <v>2.4904925819999999</v>
      </c>
      <c r="BU170">
        <f>3.988247181</f>
        <v>3.9882471810000002</v>
      </c>
      <c r="BV170">
        <f>5.382332863</f>
        <v>5.3823328630000002</v>
      </c>
      <c r="BW170">
        <f>10.21619707</f>
        <v>10.21619707</v>
      </c>
      <c r="BX170">
        <f>11.7934784</f>
        <v>11.7934784</v>
      </c>
      <c r="BY170">
        <f>11.8930641</f>
        <v>11.8930641</v>
      </c>
      <c r="BZ170">
        <f>12.47063714</f>
        <v>12.470637139999999</v>
      </c>
      <c r="CA170">
        <f>13.77963687</f>
        <v>13.779636869999999</v>
      </c>
      <c r="CB170">
        <f>18.54008817</f>
        <v>18.540088170000001</v>
      </c>
      <c r="CC170">
        <f>21.67844004</f>
        <v>21.678440040000002</v>
      </c>
      <c r="CD170">
        <f>23.91068013</f>
        <v>23.910680129999999</v>
      </c>
      <c r="CE170">
        <f>26.24426832</f>
        <v>26.24426832</v>
      </c>
      <c r="CF170">
        <f>28.14550027</f>
        <v>28.145500269999999</v>
      </c>
      <c r="CG170">
        <f>31.22955509</f>
        <v>31.229555090000002</v>
      </c>
      <c r="CH170">
        <f>30.9998025</f>
        <v>30.999802500000001</v>
      </c>
      <c r="CI170">
        <f>30.10869738</f>
        <v>30.108697379999999</v>
      </c>
      <c r="CJ170">
        <f>27.56944522</f>
        <v>27.569445219999999</v>
      </c>
      <c r="CK170">
        <f>31.0504516</f>
        <v>31.050451599999999</v>
      </c>
      <c r="CL170">
        <f>34.36092018</f>
        <v>34.360920180000001</v>
      </c>
      <c r="CM170">
        <f>36.66401107</f>
        <v>36.664011070000001</v>
      </c>
      <c r="CN170">
        <f>40.67464907</f>
        <v>40.674649070000001</v>
      </c>
      <c r="CO170">
        <f>42.12896233</f>
        <v>42.12896233</v>
      </c>
      <c r="CP170">
        <f>42.27493793</f>
        <v>42.27493793</v>
      </c>
      <c r="CQ170">
        <f>49.9037574</f>
        <v>49.903757400000003</v>
      </c>
      <c r="CR170">
        <f>51.71532648</f>
        <v>51.715326480000002</v>
      </c>
      <c r="CS170">
        <f>50.46968921</f>
        <v>50.469689209999999</v>
      </c>
      <c r="CT170">
        <f>50.68017471</f>
        <v>50.680174710000003</v>
      </c>
      <c r="CU170">
        <f>50.50440398</f>
        <v>50.504403979999999</v>
      </c>
      <c r="CV170">
        <f>52.86024854</f>
        <v>52.860248540000001</v>
      </c>
      <c r="CW170">
        <f>57.57533156</f>
        <v>57.575331560000002</v>
      </c>
      <c r="CX170">
        <f>57.2049032</f>
        <v>57.204903199999997</v>
      </c>
      <c r="CY170">
        <f>56.87143395</f>
        <v>56.871433949999997</v>
      </c>
      <c r="CZ170">
        <f>55.77174577</f>
        <v>55.771745770000003</v>
      </c>
      <c r="DA170">
        <f>53.97033314</f>
        <v>53.970333140000001</v>
      </c>
      <c r="DB170">
        <f>52.15981472</f>
        <v>52.15981472</v>
      </c>
      <c r="DC170">
        <f>54.84846116</f>
        <v>54.848461159999999</v>
      </c>
      <c r="DD170">
        <f>48.28065431</f>
        <v>48.280654310000003</v>
      </c>
      <c r="DE170">
        <f>54.6393177</f>
        <v>54.639317699999999</v>
      </c>
      <c r="DF170">
        <f>50.95274629</f>
        <v>50.95274629</v>
      </c>
      <c r="DG170">
        <f>56.36824353</f>
        <v>56.368243530000001</v>
      </c>
      <c r="DH170">
        <f>50.49823628</f>
        <v>50.49823628</v>
      </c>
      <c r="DI170">
        <f>56.14260033</f>
        <v>56.14260033</v>
      </c>
      <c r="DJ170">
        <f>50.68039782</f>
        <v>50.680397820000003</v>
      </c>
      <c r="DK170">
        <f>46.6352484</f>
        <v>46.635248400000002</v>
      </c>
      <c r="DL170">
        <f>45.5960489</f>
        <v>45.5960489</v>
      </c>
      <c r="DM170">
        <f>49.90377301</f>
        <v>49.903773010000002</v>
      </c>
      <c r="DN170">
        <f>46.541764</f>
        <v>46.541764000000001</v>
      </c>
      <c r="DO170" t="str">
        <f>""</f>
        <v/>
      </c>
      <c r="DP170" t="str">
        <f>""</f>
        <v/>
      </c>
      <c r="DQ170" t="str">
        <f>""</f>
        <v/>
      </c>
      <c r="DR170" t="str">
        <f>""</f>
        <v/>
      </c>
      <c r="DS170" t="str">
        <f>""</f>
        <v/>
      </c>
      <c r="DT170" t="str">
        <f>""</f>
        <v/>
      </c>
      <c r="DU170" t="str">
        <f>""</f>
        <v/>
      </c>
    </row>
    <row r="171" spans="1:125">
      <c r="A171" t="str">
        <f>"    Equity Residential"</f>
        <v xml:space="preserve">    Equity Residential</v>
      </c>
      <c r="B171" t="str">
        <f>"EQR US Equity"</f>
        <v>EQR US Equity</v>
      </c>
      <c r="C171" t="str">
        <f t="shared" si="54"/>
        <v>RR147</v>
      </c>
      <c r="D171" t="str">
        <f t="shared" si="55"/>
        <v>LT_DEBT_TO_TOT_ASSET</v>
      </c>
      <c r="E171" t="str">
        <f t="shared" si="56"/>
        <v>动态</v>
      </c>
      <c r="F171" t="str">
        <f ca="1">IF(AND(ISNUMBER($F$376),$B$226=1),$F$376,HLOOKUP(INDIRECT(ADDRESS(2,COLUMN())),OFFSET($BN$2,0,0,ROW()-1,60),ROW()-1,FALSE))</f>
        <v/>
      </c>
      <c r="G171">
        <f ca="1">IF(AND(ISNUMBER($G$376),$B$226=1),$G$376,HLOOKUP(INDIRECT(ADDRESS(2,COLUMN())),OFFSET($BN$2,0,0,ROW()-1,60),ROW()-1,FALSE))</f>
        <v>17.591719130000001</v>
      </c>
      <c r="H171">
        <f ca="1">IF(AND(ISNUMBER($H$376),$B$226=1),$H$376,HLOOKUP(INDIRECT(ADDRESS(2,COLUMN())),OFFSET($BN$2,0,0,ROW()-1,60),ROW()-1,FALSE))</f>
        <v>17.48579187</v>
      </c>
      <c r="I171">
        <f ca="1">IF(AND(ISNUMBER($I$376),$B$226=1),$I$376,HLOOKUP(INDIRECT(ADDRESS(2,COLUMN())),OFFSET($BN$2,0,0,ROW()-1,60),ROW()-1,FALSE))</f>
        <v>18.139458699999999</v>
      </c>
      <c r="J171">
        <f ca="1">IF(AND(ISNUMBER($J$376),$B$226=1),$J$376,HLOOKUP(INDIRECT(ADDRESS(2,COLUMN())),OFFSET($BN$2,0,0,ROW()-1,60),ROW()-1,FALSE))</f>
        <v>18.27785433</v>
      </c>
      <c r="K171">
        <f ca="1">IF(AND(ISNUMBER($K$376),$B$226=1),$K$376,HLOOKUP(INDIRECT(ADDRESS(2,COLUMN())),OFFSET($BN$2,0,0,ROW()-1,60),ROW()-1,FALSE))</f>
        <v>19.895438339999998</v>
      </c>
      <c r="L171">
        <f ca="1">IF(AND(ISNUMBER($L$376),$B$226=1),$L$376,HLOOKUP(INDIRECT(ADDRESS(2,COLUMN())),OFFSET($BN$2,0,0,ROW()-1,60),ROW()-1,FALSE))</f>
        <v>19.430701200000001</v>
      </c>
      <c r="M171">
        <f ca="1">IF(AND(ISNUMBER($M$376),$B$226=1),$M$376,HLOOKUP(INDIRECT(ADDRESS(2,COLUMN())),OFFSET($BN$2,0,0,ROW()-1,60),ROW()-1,FALSE))</f>
        <v>19.538456149999998</v>
      </c>
      <c r="N171">
        <f ca="1">IF(AND(ISNUMBER($N$376),$B$226=1),$N$376,HLOOKUP(INDIRECT(ADDRESS(2,COLUMN())),OFFSET($BN$2,0,0,ROW()-1,60),ROW()-1,FALSE))</f>
        <v>19.828285529999999</v>
      </c>
      <c r="O171">
        <f ca="1">IF(AND(ISNUMBER($O$376),$B$226=1),$O$376,HLOOKUP(INDIRECT(ADDRESS(2,COLUMN())),OFFSET($BN$2,0,0,ROW()-1,60),ROW()-1,FALSE))</f>
        <v>20.273017159999998</v>
      </c>
      <c r="P171">
        <f ca="1">IF(AND(ISNUMBER($P$376),$B$226=1),$P$376,HLOOKUP(INDIRECT(ADDRESS(2,COLUMN())),OFFSET($BN$2,0,0,ROW()-1,60),ROW()-1,FALSE))</f>
        <v>21.259379670000001</v>
      </c>
      <c r="Q171">
        <f ca="1">IF(AND(ISNUMBER($Q$376),$B$226=1),$Q$376,HLOOKUP(INDIRECT(ADDRESS(2,COLUMN())),OFFSET($BN$2,0,0,ROW()-1,60),ROW()-1,FALSE))</f>
        <v>21.456613279999999</v>
      </c>
      <c r="R171">
        <f ca="1">IF(AND(ISNUMBER($R$376),$B$226=1),$R$376,HLOOKUP(INDIRECT(ADDRESS(2,COLUMN())),OFFSET($BN$2,0,0,ROW()-1,60),ROW()-1,FALSE))</f>
        <v>21.528792679999999</v>
      </c>
      <c r="S171">
        <f ca="1">IF(AND(ISNUMBER($S$376),$B$226=1),$S$376,HLOOKUP(INDIRECT(ADDRESS(2,COLUMN())),OFFSET($BN$2,0,0,ROW()-1,60),ROW()-1,FALSE))</f>
        <v>22.162871110000001</v>
      </c>
      <c r="T171">
        <f ca="1">IF(AND(ISNUMBER($T$376),$B$226=1),$T$376,HLOOKUP(INDIRECT(ADDRESS(2,COLUMN())),OFFSET($BN$2,0,0,ROW()-1,60),ROW()-1,FALSE))</f>
        <v>22.126821979999999</v>
      </c>
      <c r="U171">
        <f ca="1">IF(AND(ISNUMBER($U$376),$B$226=1),$U$376,HLOOKUP(INDIRECT(ADDRESS(2,COLUMN())),OFFSET($BN$2,0,0,ROW()-1,60),ROW()-1,FALSE))</f>
        <v>22.43486935</v>
      </c>
      <c r="V171">
        <f ca="1">IF(AND(ISNUMBER($V$376),$B$226=1),$V$376,HLOOKUP(INDIRECT(ADDRESS(2,COLUMN())),OFFSET($BN$2,0,0,ROW()-1,60),ROW()-1,FALSE))</f>
        <v>22.576274819999998</v>
      </c>
      <c r="W171">
        <f ca="1">IF(AND(ISNUMBER($W$376),$B$226=1),$W$376,HLOOKUP(INDIRECT(ADDRESS(2,COLUMN())),OFFSET($BN$2,0,0,ROW()-1,60),ROW()-1,FALSE))</f>
        <v>22.659378589999999</v>
      </c>
      <c r="X171">
        <f ca="1">IF(AND(ISNUMBER($X$376),$B$226=1),$X$376,HLOOKUP(INDIRECT(ADDRESS(2,COLUMN())),OFFSET($BN$2,0,0,ROW()-1,60),ROW()-1,FALSE))</f>
        <v>26.166738989999999</v>
      </c>
      <c r="Y171">
        <f ca="1">IF(AND(ISNUMBER($Y$376),$B$226=1),$Y$376,HLOOKUP(INDIRECT(ADDRESS(2,COLUMN())),OFFSET($BN$2,0,0,ROW()-1,60),ROW()-1,FALSE))</f>
        <v>26.605528069999998</v>
      </c>
      <c r="Z171">
        <f ca="1">IF(AND(ISNUMBER($Z$376),$B$226=1),$Z$376,HLOOKUP(INDIRECT(ADDRESS(2,COLUMN())),OFFSET($BN$2,0,0,ROW()-1,60),ROW()-1,FALSE))</f>
        <v>26.81395938</v>
      </c>
      <c r="AA171">
        <f ca="1">IF(AND(ISNUMBER($AA$376),$B$226=1),$AA$376,HLOOKUP(INDIRECT(ADDRESS(2,COLUMN())),OFFSET($BN$2,0,0,ROW()-1,60),ROW()-1,FALSE))</f>
        <v>22.66361839</v>
      </c>
      <c r="AB171">
        <f ca="1">IF(AND(ISNUMBER($AB$376),$B$226=1),$AB$376,HLOOKUP(INDIRECT(ADDRESS(2,COLUMN())),OFFSET($BN$2,0,0,ROW()-1,60),ROW()-1,FALSE))</f>
        <v>23.686020589999998</v>
      </c>
      <c r="AC171">
        <f ca="1">IF(AND(ISNUMBER($AC$376),$B$226=1),$AC$376,HLOOKUP(INDIRECT(ADDRESS(2,COLUMN())),OFFSET($BN$2,0,0,ROW()-1,60),ROW()-1,FALSE))</f>
        <v>23.95834206</v>
      </c>
      <c r="AD171">
        <f ca="1">IF(AND(ISNUMBER($AD$376),$B$226=1),$AD$376,HLOOKUP(INDIRECT(ADDRESS(2,COLUMN())),OFFSET($BN$2,0,0,ROW()-1,60),ROW()-1,FALSE))</f>
        <v>24.61571021</v>
      </c>
      <c r="AE171">
        <f ca="1">IF(AND(ISNUMBER($AE$376),$B$226=1),$AE$376,HLOOKUP(INDIRECT(ADDRESS(2,COLUMN())),OFFSET($BN$2,0,0,ROW()-1,60),ROW()-1,FALSE))</f>
        <v>24.679826039999998</v>
      </c>
      <c r="AF171">
        <f ca="1">IF(AND(ISNUMBER($AF$376),$B$226=1),$AF$376,HLOOKUP(INDIRECT(ADDRESS(2,COLUMN())),OFFSET($BN$2,0,0,ROW()-1,60),ROW()-1,FALSE))</f>
        <v>26.25433804</v>
      </c>
      <c r="AG171">
        <f ca="1">IF(AND(ISNUMBER($AG$376),$B$226=1),$AG$376,HLOOKUP(INDIRECT(ADDRESS(2,COLUMN())),OFFSET($BN$2,0,0,ROW()-1,60),ROW()-1,FALSE))</f>
        <v>26.541893030000001</v>
      </c>
      <c r="AH171">
        <f ca="1">IF(AND(ISNUMBER($AH$376),$B$226=1),$AH$376,HLOOKUP(INDIRECT(ADDRESS(2,COLUMN())),OFFSET($BN$2,0,0,ROW()-1,60),ROW()-1,FALSE))</f>
        <v>28.512915660000001</v>
      </c>
      <c r="AI171">
        <f ca="1">IF(AND(ISNUMBER($AI$376),$B$226=1),$AI$376,HLOOKUP(INDIRECT(ADDRESS(2,COLUMN())),OFFSET($BN$2,0,0,ROW()-1,60),ROW()-1,FALSE))</f>
        <v>29.429306149999999</v>
      </c>
      <c r="AJ171">
        <f ca="1">IF(AND(ISNUMBER($AJ$376),$B$226=1),$AJ$376,HLOOKUP(INDIRECT(ADDRESS(2,COLUMN())),OFFSET($BN$2,0,0,ROW()-1,60),ROW()-1,FALSE))</f>
        <v>30.119323080000001</v>
      </c>
      <c r="AK171">
        <f ca="1">IF(AND(ISNUMBER($AK$376),$B$226=1),$AK$376,HLOOKUP(INDIRECT(ADDRESS(2,COLUMN())),OFFSET($BN$2,0,0,ROW()-1,60),ROW()-1,FALSE))</f>
        <v>30.428916690000001</v>
      </c>
      <c r="AL171">
        <f ca="1">IF(AND(ISNUMBER($AL$376),$B$226=1),$AL$376,HLOOKUP(INDIRECT(ADDRESS(2,COLUMN())),OFFSET($BN$2,0,0,ROW()-1,60),ROW()-1,FALSE))</f>
        <v>31.0943909</v>
      </c>
      <c r="AM171">
        <f ca="1">IF(AND(ISNUMBER($AM$376),$B$226=1),$AM$376,HLOOKUP(INDIRECT(ADDRESS(2,COLUMN())),OFFSET($BN$2,0,0,ROW()-1,60),ROW()-1,FALSE))</f>
        <v>31.026050569999999</v>
      </c>
      <c r="AN171">
        <f ca="1">IF(AND(ISNUMBER($AN$376),$B$226=1),$AN$376,HLOOKUP(INDIRECT(ADDRESS(2,COLUMN())),OFFSET($BN$2,0,0,ROW()-1,60),ROW()-1,FALSE))</f>
        <v>30.938113390000002</v>
      </c>
      <c r="AO171">
        <f ca="1">IF(AND(ISNUMBER($AO$376),$B$226=1),$AO$376,HLOOKUP(INDIRECT(ADDRESS(2,COLUMN())),OFFSET($BN$2,0,0,ROW()-1,60),ROW()-1,FALSE))</f>
        <v>31.581463410000001</v>
      </c>
      <c r="AP171">
        <f ca="1">IF(AND(ISNUMBER($AP$376),$B$226=1),$AP$376,HLOOKUP(INDIRECT(ADDRESS(2,COLUMN())),OFFSET($BN$2,0,0,ROW()-1,60),ROW()-1,FALSE))</f>
        <v>30.81431156</v>
      </c>
      <c r="AQ171">
        <f ca="1">IF(AND(ISNUMBER($AQ$376),$B$226=1),$AQ$376,HLOOKUP(INDIRECT(ADDRESS(2,COLUMN())),OFFSET($BN$2,0,0,ROW()-1,60),ROW()-1,FALSE))</f>
        <v>30.462028979999999</v>
      </c>
      <c r="AR171">
        <f ca="1">IF(AND(ISNUMBER($AR$376),$B$226=1),$AR$376,HLOOKUP(INDIRECT(ADDRESS(2,COLUMN())),OFFSET($BN$2,0,0,ROW()-1,60),ROW()-1,FALSE))</f>
        <v>27.456449200000002</v>
      </c>
      <c r="AS171">
        <f ca="1">IF(AND(ISNUMBER($AS$376),$B$226=1),$AS$376,HLOOKUP(INDIRECT(ADDRESS(2,COLUMN())),OFFSET($BN$2,0,0,ROW()-1,60),ROW()-1,FALSE))</f>
        <v>25.516732560000001</v>
      </c>
      <c r="AT171">
        <f ca="1">IF(AND(ISNUMBER($AT$376),$B$226=1),$AT$376,HLOOKUP(INDIRECT(ADDRESS(2,COLUMN())),OFFSET($BN$2,0,0,ROW()-1,60),ROW()-1,FALSE))</f>
        <v>25.5847297</v>
      </c>
      <c r="AU171">
        <f ca="1">IF(AND(ISNUMBER($AU$376),$B$226=1),$AU$376,HLOOKUP(INDIRECT(ADDRESS(2,COLUMN())),OFFSET($BN$2,0,0,ROW()-1,60),ROW()-1,FALSE))</f>
        <v>22.982933410000001</v>
      </c>
      <c r="AV171">
        <f ca="1">IF(AND(ISNUMBER($AV$376),$B$226=1),$AV$376,HLOOKUP(INDIRECT(ADDRESS(2,COLUMN())),OFFSET($BN$2,0,0,ROW()-1,60),ROW()-1,FALSE))</f>
        <v>22.649746650000001</v>
      </c>
      <c r="AW171">
        <f ca="1">IF(AND(ISNUMBER($AW$376),$B$226=1),$AW$376,HLOOKUP(INDIRECT(ADDRESS(2,COLUMN())),OFFSET($BN$2,0,0,ROW()-1,60),ROW()-1,FALSE))</f>
        <v>20.348863179999999</v>
      </c>
      <c r="AX171">
        <f ca="1">IF(AND(ISNUMBER($AX$376),$B$226=1),$AX$376,HLOOKUP(INDIRECT(ADDRESS(2,COLUMN())),OFFSET($BN$2,0,0,ROW()-1,60),ROW()-1,FALSE))</f>
        <v>20.27124062</v>
      </c>
      <c r="AY171">
        <f ca="1">IF(AND(ISNUMBER($AY$376),$B$226=1),$AY$376,HLOOKUP(INDIRECT(ADDRESS(2,COLUMN())),OFFSET($BN$2,0,0,ROW()-1,60),ROW()-1,FALSE))</f>
        <v>21.10062933</v>
      </c>
      <c r="AZ171">
        <f ca="1">IF(AND(ISNUMBER($AZ$376),$B$226=1),$AZ$376,HLOOKUP(INDIRECT(ADDRESS(2,COLUMN())),OFFSET($BN$2,0,0,ROW()-1,60),ROW()-1,FALSE))</f>
        <v>22.400789679999999</v>
      </c>
      <c r="BA171">
        <f ca="1">IF(AND(ISNUMBER($BA$376),$B$226=1),$BA$376,HLOOKUP(INDIRECT(ADDRESS(2,COLUMN())),OFFSET($BN$2,0,0,ROW()-1,60),ROW()-1,FALSE))</f>
        <v>22.848838140000002</v>
      </c>
      <c r="BB171">
        <f ca="1">IF(AND(ISNUMBER($BB$376),$B$226=1),$BB$376,HLOOKUP(INDIRECT(ADDRESS(2,COLUMN())),OFFSET($BN$2,0,0,ROW()-1,60),ROW()-1,FALSE))</f>
        <v>24.36597321</v>
      </c>
      <c r="BC171">
        <f ca="1">IF(AND(ISNUMBER($BC$376),$B$226=1),$BC$376,HLOOKUP(INDIRECT(ADDRESS(2,COLUMN())),OFFSET($BN$2,0,0,ROW()-1,60),ROW()-1,FALSE))</f>
        <v>23.951723300000001</v>
      </c>
      <c r="BD171">
        <f ca="1">IF(AND(ISNUMBER($BD$376),$B$226=1),$BD$376,HLOOKUP(INDIRECT(ADDRESS(2,COLUMN())),OFFSET($BN$2,0,0,ROW()-1,60),ROW()-1,FALSE))</f>
        <v>24.969761859999998</v>
      </c>
      <c r="BE171">
        <f ca="1">IF(AND(ISNUMBER($BE$376),$B$226=1),$BE$376,HLOOKUP(INDIRECT(ADDRESS(2,COLUMN())),OFFSET($BN$2,0,0,ROW()-1,60),ROW()-1,FALSE))</f>
        <v>24.818988730000001</v>
      </c>
      <c r="BF171">
        <f ca="1">IF(AND(ISNUMBER($BF$376),$B$226=1),$BF$376,HLOOKUP(INDIRECT(ADDRESS(2,COLUMN())),OFFSET($BN$2,0,0,ROW()-1,60),ROW()-1,FALSE))</f>
        <v>24.461904799999999</v>
      </c>
      <c r="BG171">
        <f ca="1">IF(AND(ISNUMBER($BG$376),$B$226=1),$BG$376,HLOOKUP(INDIRECT(ADDRESS(2,COLUMN())),OFFSET($BN$2,0,0,ROW()-1,60),ROW()-1,FALSE))</f>
        <v>25.042863839999999</v>
      </c>
      <c r="BH171">
        <f ca="1">IF(AND(ISNUMBER($BH$376),$B$226=1),$BH$376,HLOOKUP(INDIRECT(ADDRESS(2,COLUMN())),OFFSET($BN$2,0,0,ROW()-1,60),ROW()-1,FALSE))</f>
        <v>26.122777760000002</v>
      </c>
      <c r="BI171">
        <f ca="1">IF(AND(ISNUMBER($BI$376),$B$226=1),$BI$376,HLOOKUP(INDIRECT(ADDRESS(2,COLUMN())),OFFSET($BN$2,0,0,ROW()-1,60),ROW()-1,FALSE))</f>
        <v>26.96974445</v>
      </c>
      <c r="BJ171">
        <f ca="1">IF(AND(ISNUMBER($BJ$376),$B$226=1),$BJ$376,HLOOKUP(INDIRECT(ADDRESS(2,COLUMN())),OFFSET($BN$2,0,0,ROW()-1,60),ROW()-1,FALSE))</f>
        <v>25.687892730000002</v>
      </c>
      <c r="BK171">
        <f ca="1">IF(AND(ISNUMBER($BK$376),$B$226=1),$BK$376,HLOOKUP(INDIRECT(ADDRESS(2,COLUMN())),OFFSET($BN$2,0,0,ROW()-1,60),ROW()-1,FALSE))</f>
        <v>23.492107839999999</v>
      </c>
      <c r="BL171">
        <f ca="1">IF(AND(ISNUMBER($BL$376),$B$226=1),$BL$376,HLOOKUP(INDIRECT(ADDRESS(2,COLUMN())),OFFSET($BN$2,0,0,ROW()-1,60),ROW()-1,FALSE))</f>
        <v>23.505401429999999</v>
      </c>
      <c r="BM171">
        <f ca="1">IF(AND(ISNUMBER($BM$376),$B$226=1),$BM$376,HLOOKUP(INDIRECT(ADDRESS(2,COLUMN())),OFFSET($BN$2,0,0,ROW()-1,60),ROW()-1,FALSE))</f>
        <v>23.667933390000002</v>
      </c>
      <c r="BN171" t="str">
        <f>""</f>
        <v/>
      </c>
      <c r="BO171">
        <f>17.59171913</f>
        <v>17.591719130000001</v>
      </c>
      <c r="BP171">
        <f>17.48579187</f>
        <v>17.48579187</v>
      </c>
      <c r="BQ171">
        <f>18.1394587</f>
        <v>18.139458699999999</v>
      </c>
      <c r="BR171">
        <f>18.27785433</f>
        <v>18.27785433</v>
      </c>
      <c r="BS171">
        <f>19.89543834</f>
        <v>19.895438339999998</v>
      </c>
      <c r="BT171">
        <f>19.4307012</f>
        <v>19.430701200000001</v>
      </c>
      <c r="BU171">
        <f>19.53845615</f>
        <v>19.538456149999998</v>
      </c>
      <c r="BV171">
        <f>19.82828553</f>
        <v>19.828285529999999</v>
      </c>
      <c r="BW171">
        <f>20.27301716</f>
        <v>20.273017159999998</v>
      </c>
      <c r="BX171">
        <f>21.25937967</f>
        <v>21.259379670000001</v>
      </c>
      <c r="BY171">
        <f>21.45661328</f>
        <v>21.456613279999999</v>
      </c>
      <c r="BZ171">
        <f>21.52879268</f>
        <v>21.528792679999999</v>
      </c>
      <c r="CA171">
        <f>22.16287111</f>
        <v>22.162871110000001</v>
      </c>
      <c r="CB171">
        <f>22.12682198</f>
        <v>22.126821979999999</v>
      </c>
      <c r="CC171">
        <f>22.43486935</f>
        <v>22.43486935</v>
      </c>
      <c r="CD171">
        <f>22.57627482</f>
        <v>22.576274819999998</v>
      </c>
      <c r="CE171">
        <f>22.65937859</f>
        <v>22.659378589999999</v>
      </c>
      <c r="CF171">
        <f>26.16673899</f>
        <v>26.166738989999999</v>
      </c>
      <c r="CG171">
        <f>26.60552807</f>
        <v>26.605528069999998</v>
      </c>
      <c r="CH171">
        <f>26.81395938</f>
        <v>26.81395938</v>
      </c>
      <c r="CI171">
        <f>22.66361839</f>
        <v>22.66361839</v>
      </c>
      <c r="CJ171">
        <f>23.68602059</f>
        <v>23.686020589999998</v>
      </c>
      <c r="CK171">
        <f>23.95834206</f>
        <v>23.95834206</v>
      </c>
      <c r="CL171">
        <f>24.61571021</f>
        <v>24.61571021</v>
      </c>
      <c r="CM171">
        <f>24.67982604</f>
        <v>24.679826039999998</v>
      </c>
      <c r="CN171">
        <f>26.25433804</f>
        <v>26.25433804</v>
      </c>
      <c r="CO171">
        <f>26.54189303</f>
        <v>26.541893030000001</v>
      </c>
      <c r="CP171">
        <f>28.51291566</f>
        <v>28.512915660000001</v>
      </c>
      <c r="CQ171">
        <f>29.42930615</f>
        <v>29.429306149999999</v>
      </c>
      <c r="CR171">
        <f>30.11932308</f>
        <v>30.119323080000001</v>
      </c>
      <c r="CS171">
        <f>30.42891669</f>
        <v>30.428916690000001</v>
      </c>
      <c r="CT171">
        <f>31.0943909</f>
        <v>31.0943909</v>
      </c>
      <c r="CU171">
        <f>31.02605057</f>
        <v>31.026050569999999</v>
      </c>
      <c r="CV171">
        <f>30.93811339</f>
        <v>30.938113390000002</v>
      </c>
      <c r="CW171">
        <f>31.58146341</f>
        <v>31.581463410000001</v>
      </c>
      <c r="CX171">
        <f>30.81431156</f>
        <v>30.81431156</v>
      </c>
      <c r="CY171">
        <f>30.46202898</f>
        <v>30.462028979999999</v>
      </c>
      <c r="CZ171">
        <f>27.4564492</f>
        <v>27.456449200000002</v>
      </c>
      <c r="DA171">
        <f>25.51673256</f>
        <v>25.516732560000001</v>
      </c>
      <c r="DB171">
        <f>25.5847297</f>
        <v>25.5847297</v>
      </c>
      <c r="DC171">
        <f>22.98293341</f>
        <v>22.982933410000001</v>
      </c>
      <c r="DD171">
        <f>22.64974665</f>
        <v>22.649746650000001</v>
      </c>
      <c r="DE171">
        <f>20.34886318</f>
        <v>20.348863179999999</v>
      </c>
      <c r="DF171">
        <f>20.27124062</f>
        <v>20.27124062</v>
      </c>
      <c r="DG171">
        <f>21.10062933</f>
        <v>21.10062933</v>
      </c>
      <c r="DH171">
        <f>22.40078968</f>
        <v>22.400789679999999</v>
      </c>
      <c r="DI171">
        <f>22.84883814</f>
        <v>22.848838140000002</v>
      </c>
      <c r="DJ171">
        <f>24.36597321</f>
        <v>24.36597321</v>
      </c>
      <c r="DK171">
        <f>23.9517233</f>
        <v>23.951723300000001</v>
      </c>
      <c r="DL171">
        <f>24.96976186</f>
        <v>24.969761859999998</v>
      </c>
      <c r="DM171">
        <f>24.81898873</f>
        <v>24.818988730000001</v>
      </c>
      <c r="DN171">
        <f>24.4619048</f>
        <v>24.461904799999999</v>
      </c>
      <c r="DO171">
        <f>25.04286384</f>
        <v>25.042863839999999</v>
      </c>
      <c r="DP171">
        <f>26.12277776</f>
        <v>26.122777760000002</v>
      </c>
      <c r="DQ171">
        <f>26.96974445</f>
        <v>26.96974445</v>
      </c>
      <c r="DR171">
        <f>25.68789273</f>
        <v>25.687892730000002</v>
      </c>
      <c r="DS171">
        <f>23.49210784</f>
        <v>23.492107839999999</v>
      </c>
      <c r="DT171">
        <f>23.50540143</f>
        <v>23.505401429999999</v>
      </c>
      <c r="DU171">
        <f>23.66793339</f>
        <v>23.667933390000002</v>
      </c>
    </row>
    <row r="172" spans="1:125">
      <c r="A172" t="str">
        <f>"    Essex Property Trust Inc"</f>
        <v xml:space="preserve">    Essex Property Trust Inc</v>
      </c>
      <c r="B172" t="str">
        <f>"ESS US Equity"</f>
        <v>ESS US Equity</v>
      </c>
      <c r="C172" t="str">
        <f t="shared" si="54"/>
        <v>RR147</v>
      </c>
      <c r="D172" t="str">
        <f t="shared" si="55"/>
        <v>LT_DEBT_TO_TOT_ASSET</v>
      </c>
      <c r="E172" t="str">
        <f t="shared" si="56"/>
        <v>动态</v>
      </c>
      <c r="F172" t="str">
        <f ca="1">IF(AND(ISNUMBER($F$377),$B$226=1),$F$377,HLOOKUP(INDIRECT(ADDRESS(2,COLUMN())),OFFSET($BN$2,0,0,ROW()-1,60),ROW()-1,FALSE))</f>
        <v/>
      </c>
      <c r="G172">
        <f ca="1">IF(AND(ISNUMBER($G$377),$B$226=1),$G$377,HLOOKUP(INDIRECT(ADDRESS(2,COLUMN())),OFFSET($BN$2,0,0,ROW()-1,60),ROW()-1,FALSE))</f>
        <v>16.48715967</v>
      </c>
      <c r="H172">
        <f ca="1">IF(AND(ISNUMBER($H$377),$B$226=1),$H$377,HLOOKUP(INDIRECT(ADDRESS(2,COLUMN())),OFFSET($BN$2,0,0,ROW()-1,60),ROW()-1,FALSE))</f>
        <v>17.352487579999998</v>
      </c>
      <c r="I172">
        <f ca="1">IF(AND(ISNUMBER($I$377),$B$226=1),$I$377,HLOOKUP(INDIRECT(ADDRESS(2,COLUMN())),OFFSET($BN$2,0,0,ROW()-1,60),ROW()-1,FALSE))</f>
        <v>16.946916600000002</v>
      </c>
      <c r="J172">
        <f ca="1">IF(AND(ISNUMBER($J$377),$B$226=1),$J$377,HLOOKUP(INDIRECT(ADDRESS(2,COLUMN())),OFFSET($BN$2,0,0,ROW()-1,60),ROW()-1,FALSE))</f>
        <v>18.210470319999999</v>
      </c>
      <c r="K172">
        <f ca="1">IF(AND(ISNUMBER($K$377),$B$226=1),$K$377,HLOOKUP(INDIRECT(ADDRESS(2,COLUMN())),OFFSET($BN$2,0,0,ROW()-1,60),ROW()-1,FALSE))</f>
        <v>18.23128114</v>
      </c>
      <c r="L172">
        <f ca="1">IF(AND(ISNUMBER($L$377),$B$226=1),$L$377,HLOOKUP(INDIRECT(ADDRESS(2,COLUMN())),OFFSET($BN$2,0,0,ROW()-1,60),ROW()-1,FALSE))</f>
        <v>18.42784661</v>
      </c>
      <c r="M172">
        <f ca="1">IF(AND(ISNUMBER($M$377),$B$226=1),$M$377,HLOOKUP(INDIRECT(ADDRESS(2,COLUMN())),OFFSET($BN$2,0,0,ROW()-1,60),ROW()-1,FALSE))</f>
        <v>18.670342359999999</v>
      </c>
      <c r="N172">
        <f ca="1">IF(AND(ISNUMBER($N$377),$B$226=1),$N$377,HLOOKUP(INDIRECT(ADDRESS(2,COLUMN())),OFFSET($BN$2,0,0,ROW()-1,60),ROW()-1,FALSE))</f>
        <v>18.967325750000001</v>
      </c>
      <c r="O172">
        <f ca="1">IF(AND(ISNUMBER($O$377),$B$226=1),$O$377,HLOOKUP(INDIRECT(ADDRESS(2,COLUMN())),OFFSET($BN$2,0,0,ROW()-1,60),ROW()-1,FALSE))</f>
        <v>18.78712406</v>
      </c>
      <c r="P172">
        <f ca="1">IF(AND(ISNUMBER($P$377),$B$226=1),$P$377,HLOOKUP(INDIRECT(ADDRESS(2,COLUMN())),OFFSET($BN$2,0,0,ROW()-1,60),ROW()-1,FALSE))</f>
        <v>18.737842570000002</v>
      </c>
      <c r="Q172">
        <f ca="1">IF(AND(ISNUMBER($Q$377),$B$226=1),$Q$377,HLOOKUP(INDIRECT(ADDRESS(2,COLUMN())),OFFSET($BN$2,0,0,ROW()-1,60),ROW()-1,FALSE))</f>
        <v>18.879686549999999</v>
      </c>
      <c r="R172">
        <f ca="1">IF(AND(ISNUMBER($R$377),$B$226=1),$R$377,HLOOKUP(INDIRECT(ADDRESS(2,COLUMN())),OFFSET($BN$2,0,0,ROW()-1,60),ROW()-1,FALSE))</f>
        <v>19.458494510000001</v>
      </c>
      <c r="S172">
        <f ca="1">IF(AND(ISNUMBER($S$377),$B$226=1),$S$377,HLOOKUP(INDIRECT(ADDRESS(2,COLUMN())),OFFSET($BN$2,0,0,ROW()-1,60),ROW()-1,FALSE))</f>
        <v>19.65178856</v>
      </c>
      <c r="T172">
        <f ca="1">IF(AND(ISNUMBER($T$377),$B$226=1),$T$377,HLOOKUP(INDIRECT(ADDRESS(2,COLUMN())),OFFSET($BN$2,0,0,ROW()-1,60),ROW()-1,FALSE))</f>
        <v>19.684145170000001</v>
      </c>
      <c r="U172">
        <f ca="1">IF(AND(ISNUMBER($U$377),$B$226=1),$U$377,HLOOKUP(INDIRECT(ADDRESS(2,COLUMN())),OFFSET($BN$2,0,0,ROW()-1,60),ROW()-1,FALSE))</f>
        <v>20.136921950000001</v>
      </c>
      <c r="V172">
        <f ca="1">IF(AND(ISNUMBER($V$377),$B$226=1),$V$377,HLOOKUP(INDIRECT(ADDRESS(2,COLUMN())),OFFSET($BN$2,0,0,ROW()-1,60),ROW()-1,FALSE))</f>
        <v>21.346208870000002</v>
      </c>
      <c r="W172">
        <f ca="1">IF(AND(ISNUMBER($W$377),$B$226=1),$W$377,HLOOKUP(INDIRECT(ADDRESS(2,COLUMN())),OFFSET($BN$2,0,0,ROW()-1,60),ROW()-1,FALSE))</f>
        <v>27.225194380000001</v>
      </c>
      <c r="X172">
        <f ca="1">IF(AND(ISNUMBER($X$377),$B$226=1),$X$377,HLOOKUP(INDIRECT(ADDRESS(2,COLUMN())),OFFSET($BN$2,0,0,ROW()-1,60),ROW()-1,FALSE))</f>
        <v>29.40696106</v>
      </c>
      <c r="Y172">
        <f ca="1">IF(AND(ISNUMBER($Y$377),$B$226=1),$Y$377,HLOOKUP(INDIRECT(ADDRESS(2,COLUMN())),OFFSET($BN$2,0,0,ROW()-1,60),ROW()-1,FALSE))</f>
        <v>30.030314300000001</v>
      </c>
      <c r="Z172">
        <f ca="1">IF(AND(ISNUMBER($Z$377),$B$226=1),$Z$377,HLOOKUP(INDIRECT(ADDRESS(2,COLUMN())),OFFSET($BN$2,0,0,ROW()-1,60),ROW()-1,FALSE))</f>
        <v>31.760559539999999</v>
      </c>
      <c r="AA172">
        <f ca="1">IF(AND(ISNUMBER($AA$377),$B$226=1),$AA$377,HLOOKUP(INDIRECT(ADDRESS(2,COLUMN())),OFFSET($BN$2,0,0,ROW()-1,60),ROW()-1,FALSE))</f>
        <v>32.41012431</v>
      </c>
      <c r="AB172">
        <f ca="1">IF(AND(ISNUMBER($AB$377),$B$226=1),$AB$377,HLOOKUP(INDIRECT(ADDRESS(2,COLUMN())),OFFSET($BN$2,0,0,ROW()-1,60),ROW()-1,FALSE))</f>
        <v>34.66228649</v>
      </c>
      <c r="AC172">
        <f ca="1">IF(AND(ISNUMBER($AC$377),$B$226=1),$AC$377,HLOOKUP(INDIRECT(ADDRESS(2,COLUMN())),OFFSET($BN$2,0,0,ROW()-1,60),ROW()-1,FALSE))</f>
        <v>37.23442747</v>
      </c>
      <c r="AD172">
        <f ca="1">IF(AND(ISNUMBER($AD$377),$B$226=1),$AD$377,HLOOKUP(INDIRECT(ADDRESS(2,COLUMN())),OFFSET($BN$2,0,0,ROW()-1,60),ROW()-1,FALSE))</f>
        <v>42.561247059999999</v>
      </c>
      <c r="AE172">
        <f ca="1">IF(AND(ISNUMBER($AE$377),$B$226=1),$AE$377,HLOOKUP(INDIRECT(ADDRESS(2,COLUMN())),OFFSET($BN$2,0,0,ROW()-1,60),ROW()-1,FALSE))</f>
        <v>43.407942210000002</v>
      </c>
      <c r="AF172">
        <f ca="1">IF(AND(ISNUMBER($AF$377),$B$226=1),$AF$377,HLOOKUP(INDIRECT(ADDRESS(2,COLUMN())),OFFSET($BN$2,0,0,ROW()-1,60),ROW()-1,FALSE))</f>
        <v>45.09484234</v>
      </c>
      <c r="AG172">
        <f ca="1">IF(AND(ISNUMBER($AG$377),$B$226=1),$AG$377,HLOOKUP(INDIRECT(ADDRESS(2,COLUMN())),OFFSET($BN$2,0,0,ROW()-1,60),ROW()-1,FALSE))</f>
        <v>46.800649790000001</v>
      </c>
      <c r="AH172">
        <f ca="1">IF(AND(ISNUMBER($AH$377),$B$226=1),$AH$377,HLOOKUP(INDIRECT(ADDRESS(2,COLUMN())),OFFSET($BN$2,0,0,ROW()-1,60),ROW()-1,FALSE))</f>
        <v>47.111971339999997</v>
      </c>
      <c r="AI172">
        <f ca="1">IF(AND(ISNUMBER($AI$377),$B$226=1),$AI$377,HLOOKUP(INDIRECT(ADDRESS(2,COLUMN())),OFFSET($BN$2,0,0,ROW()-1,60),ROW()-1,FALSE))</f>
        <v>49.338970080000003</v>
      </c>
      <c r="AJ172">
        <f ca="1">IF(AND(ISNUMBER($AJ$377),$B$226=1),$AJ$377,HLOOKUP(INDIRECT(ADDRESS(2,COLUMN())),OFFSET($BN$2,0,0,ROW()-1,60),ROW()-1,FALSE))</f>
        <v>48.840257860000001</v>
      </c>
      <c r="AK172">
        <f ca="1">IF(AND(ISNUMBER($AK$377),$B$226=1),$AK$377,HLOOKUP(INDIRECT(ADDRESS(2,COLUMN())),OFFSET($BN$2,0,0,ROW()-1,60),ROW()-1,FALSE))</f>
        <v>49.334091819999998</v>
      </c>
      <c r="AL172">
        <f ca="1">IF(AND(ISNUMBER($AL$377),$B$226=1),$AL$377,HLOOKUP(INDIRECT(ADDRESS(2,COLUMN())),OFFSET($BN$2,0,0,ROW()-1,60),ROW()-1,FALSE))</f>
        <v>49.169349459999999</v>
      </c>
      <c r="AM172">
        <f ca="1">IF(AND(ISNUMBER($AM$377),$B$226=1),$AM$377,HLOOKUP(INDIRECT(ADDRESS(2,COLUMN())),OFFSET($BN$2,0,0,ROW()-1,60),ROW()-1,FALSE))</f>
        <v>49.269672780000001</v>
      </c>
      <c r="AN172">
        <f ca="1">IF(AND(ISNUMBER($AN$377),$B$226=1),$AN$377,HLOOKUP(INDIRECT(ADDRESS(2,COLUMN())),OFFSET($BN$2,0,0,ROW()-1,60),ROW()-1,FALSE))</f>
        <v>49.555806969999999</v>
      </c>
      <c r="AO172">
        <f ca="1">IF(AND(ISNUMBER($AO$377),$B$226=1),$AO$377,HLOOKUP(INDIRECT(ADDRESS(2,COLUMN())),OFFSET($BN$2,0,0,ROW()-1,60),ROW()-1,FALSE))</f>
        <v>48.637364650000002</v>
      </c>
      <c r="AP172">
        <f ca="1">IF(AND(ISNUMBER($AP$377),$B$226=1),$AP$377,HLOOKUP(INDIRECT(ADDRESS(2,COLUMN())),OFFSET($BN$2,0,0,ROW()-1,60),ROW()-1,FALSE))</f>
        <v>48.851502969999999</v>
      </c>
      <c r="AQ172">
        <f ca="1">IF(AND(ISNUMBER($AQ$377),$B$226=1),$AQ$377,HLOOKUP(INDIRECT(ADDRESS(2,COLUMN())),OFFSET($BN$2,0,0,ROW()-1,60),ROW()-1,FALSE))</f>
        <v>55.40429907</v>
      </c>
      <c r="AR172">
        <f ca="1">IF(AND(ISNUMBER($AR$377),$B$226=1),$AR$377,HLOOKUP(INDIRECT(ADDRESS(2,COLUMN())),OFFSET($BN$2,0,0,ROW()-1,60),ROW()-1,FALSE))</f>
        <v>42.797925890000002</v>
      </c>
      <c r="AS172">
        <f ca="1">IF(AND(ISNUMBER($AS$377),$B$226=1),$AS$377,HLOOKUP(INDIRECT(ADDRESS(2,COLUMN())),OFFSET($BN$2,0,0,ROW()-1,60),ROW()-1,FALSE))</f>
        <v>53.237024990000002</v>
      </c>
      <c r="AT172">
        <f ca="1">IF(AND(ISNUMBER($AT$377),$B$226=1),$AT$377,HLOOKUP(INDIRECT(ADDRESS(2,COLUMN())),OFFSET($BN$2,0,0,ROW()-1,60),ROW()-1,FALSE))</f>
        <v>43.724735750000001</v>
      </c>
      <c r="AU172">
        <f ca="1">IF(AND(ISNUMBER($AU$377),$B$226=1),$AU$377,HLOOKUP(INDIRECT(ADDRESS(2,COLUMN())),OFFSET($BN$2,0,0,ROW()-1,60),ROW()-1,FALSE))</f>
        <v>50.624881930000001</v>
      </c>
      <c r="AV172">
        <f ca="1">IF(AND(ISNUMBER($AV$377),$B$226=1),$AV$377,HLOOKUP(INDIRECT(ADDRESS(2,COLUMN())),OFFSET($BN$2,0,0,ROW()-1,60),ROW()-1,FALSE))</f>
        <v>50.067458709999997</v>
      </c>
      <c r="AW172">
        <f ca="1">IF(AND(ISNUMBER($AW$377),$B$226=1),$AW$377,HLOOKUP(INDIRECT(ADDRESS(2,COLUMN())),OFFSET($BN$2,0,0,ROW()-1,60),ROW()-1,FALSE))</f>
        <v>49.58104153</v>
      </c>
      <c r="AX172">
        <f ca="1">IF(AND(ISNUMBER($AX$377),$B$226=1),$AX$377,HLOOKUP(INDIRECT(ADDRESS(2,COLUMN())),OFFSET($BN$2,0,0,ROW()-1,60),ROW()-1,FALSE))</f>
        <v>51.945693310000003</v>
      </c>
      <c r="AY172">
        <f ca="1">IF(AND(ISNUMBER($AY$377),$B$226=1),$AY$377,HLOOKUP(INDIRECT(ADDRESS(2,COLUMN())),OFFSET($BN$2,0,0,ROW()-1,60),ROW()-1,FALSE))</f>
        <v>53.602243100000003</v>
      </c>
      <c r="AZ172">
        <f ca="1">IF(AND(ISNUMBER($AZ$377),$B$226=1),$AZ$377,HLOOKUP(INDIRECT(ADDRESS(2,COLUMN())),OFFSET($BN$2,0,0,ROW()-1,60),ROW()-1,FALSE))</f>
        <v>53.80147917</v>
      </c>
      <c r="BA172">
        <f ca="1">IF(AND(ISNUMBER($BA$377),$B$226=1),$BA$377,HLOOKUP(INDIRECT(ADDRESS(2,COLUMN())),OFFSET($BN$2,0,0,ROW()-1,60),ROW()-1,FALSE))</f>
        <v>50.252250189999998</v>
      </c>
      <c r="BB172">
        <f ca="1">IF(AND(ISNUMBER($BB$377),$B$226=1),$BB$377,HLOOKUP(INDIRECT(ADDRESS(2,COLUMN())),OFFSET($BN$2,0,0,ROW()-1,60),ROW()-1,FALSE))</f>
        <v>50.683960519999999</v>
      </c>
      <c r="BC172">
        <f ca="1">IF(AND(ISNUMBER($BC$377),$B$226=1),$BC$377,HLOOKUP(INDIRECT(ADDRESS(2,COLUMN())),OFFSET($BN$2,0,0,ROW()-1,60),ROW()-1,FALSE))</f>
        <v>49.342336189999997</v>
      </c>
      <c r="BD172">
        <f ca="1">IF(AND(ISNUMBER($BD$377),$B$226=1),$BD$377,HLOOKUP(INDIRECT(ADDRESS(2,COLUMN())),OFFSET($BN$2,0,0,ROW()-1,60),ROW()-1,FALSE))</f>
        <v>51.840406000000002</v>
      </c>
      <c r="BE172">
        <f ca="1">IF(AND(ISNUMBER($BE$377),$B$226=1),$BE$377,HLOOKUP(INDIRECT(ADDRESS(2,COLUMN())),OFFSET($BN$2,0,0,ROW()-1,60),ROW()-1,FALSE))</f>
        <v>50.199478620000001</v>
      </c>
      <c r="BF172">
        <f ca="1">IF(AND(ISNUMBER($BF$377),$B$226=1),$BF$377,HLOOKUP(INDIRECT(ADDRESS(2,COLUMN())),OFFSET($BN$2,0,0,ROW()-1,60),ROW()-1,FALSE))</f>
        <v>48.405459819999997</v>
      </c>
      <c r="BG172">
        <f ca="1">IF(AND(ISNUMBER($BG$377),$B$226=1),$BG$377,HLOOKUP(INDIRECT(ADDRESS(2,COLUMN())),OFFSET($BN$2,0,0,ROW()-1,60),ROW()-1,FALSE))</f>
        <v>48.143639309999998</v>
      </c>
      <c r="BH172">
        <f ca="1">IF(AND(ISNUMBER($BH$377),$B$226=1),$BH$377,HLOOKUP(INDIRECT(ADDRESS(2,COLUMN())),OFFSET($BN$2,0,0,ROW()-1,60),ROW()-1,FALSE))</f>
        <v>50.914162740000002</v>
      </c>
      <c r="BI172">
        <f ca="1">IF(AND(ISNUMBER($BI$377),$B$226=1),$BI$377,HLOOKUP(INDIRECT(ADDRESS(2,COLUMN())),OFFSET($BN$2,0,0,ROW()-1,60),ROW()-1,FALSE))</f>
        <v>53.441919579999997</v>
      </c>
      <c r="BJ172">
        <f ca="1">IF(AND(ISNUMBER($BJ$377),$B$226=1),$BJ$377,HLOOKUP(INDIRECT(ADDRESS(2,COLUMN())),OFFSET($BN$2,0,0,ROW()-1,60),ROW()-1,FALSE))</f>
        <v>50.148052450000002</v>
      </c>
      <c r="BK172">
        <f ca="1">IF(AND(ISNUMBER($BK$377),$B$226=1),$BK$377,HLOOKUP(INDIRECT(ADDRESS(2,COLUMN())),OFFSET($BN$2,0,0,ROW()-1,60),ROW()-1,FALSE))</f>
        <v>46.741436200000003</v>
      </c>
      <c r="BL172">
        <f ca="1">IF(AND(ISNUMBER($BL$377),$B$226=1),$BL$377,HLOOKUP(INDIRECT(ADDRESS(2,COLUMN())),OFFSET($BN$2,0,0,ROW()-1,60),ROW()-1,FALSE))</f>
        <v>40.058079020000001</v>
      </c>
      <c r="BM172">
        <f ca="1">IF(AND(ISNUMBER($BM$377),$B$226=1),$BM$377,HLOOKUP(INDIRECT(ADDRESS(2,COLUMN())),OFFSET($BN$2,0,0,ROW()-1,60),ROW()-1,FALSE))</f>
        <v>40.453174789999998</v>
      </c>
      <c r="BN172" t="str">
        <f>""</f>
        <v/>
      </c>
      <c r="BO172">
        <f>16.48715967</f>
        <v>16.48715967</v>
      </c>
      <c r="BP172">
        <f>17.35248758</f>
        <v>17.352487579999998</v>
      </c>
      <c r="BQ172">
        <f>16.9469166</f>
        <v>16.946916600000002</v>
      </c>
      <c r="BR172">
        <f>18.21047032</f>
        <v>18.210470319999999</v>
      </c>
      <c r="BS172">
        <f>18.23128114</f>
        <v>18.23128114</v>
      </c>
      <c r="BT172">
        <f>18.42784661</f>
        <v>18.42784661</v>
      </c>
      <c r="BU172">
        <f>18.67034236</f>
        <v>18.670342359999999</v>
      </c>
      <c r="BV172">
        <f>18.96732575</f>
        <v>18.967325750000001</v>
      </c>
      <c r="BW172">
        <f>18.78712406</f>
        <v>18.78712406</v>
      </c>
      <c r="BX172">
        <f>18.73784257</f>
        <v>18.737842570000002</v>
      </c>
      <c r="BY172">
        <f>18.87968655</f>
        <v>18.879686549999999</v>
      </c>
      <c r="BZ172">
        <f>19.45849451</f>
        <v>19.458494510000001</v>
      </c>
      <c r="CA172">
        <f>19.65178856</f>
        <v>19.65178856</v>
      </c>
      <c r="CB172">
        <f>19.68414517</f>
        <v>19.684145170000001</v>
      </c>
      <c r="CC172">
        <f>20.13692195</f>
        <v>20.136921950000001</v>
      </c>
      <c r="CD172">
        <f>21.34620887</f>
        <v>21.346208870000002</v>
      </c>
      <c r="CE172">
        <f>27.22519438</f>
        <v>27.225194380000001</v>
      </c>
      <c r="CF172">
        <f>29.40696106</f>
        <v>29.40696106</v>
      </c>
      <c r="CG172">
        <f>30.0303143</f>
        <v>30.030314300000001</v>
      </c>
      <c r="CH172">
        <f>31.76055954</f>
        <v>31.760559539999999</v>
      </c>
      <c r="CI172">
        <f>32.41012431</f>
        <v>32.41012431</v>
      </c>
      <c r="CJ172">
        <f>34.66228649</f>
        <v>34.66228649</v>
      </c>
      <c r="CK172">
        <f>37.23442747</f>
        <v>37.23442747</v>
      </c>
      <c r="CL172">
        <f>42.56124706</f>
        <v>42.561247059999999</v>
      </c>
      <c r="CM172">
        <f>43.40794221</f>
        <v>43.407942210000002</v>
      </c>
      <c r="CN172">
        <f>45.09484234</f>
        <v>45.09484234</v>
      </c>
      <c r="CO172">
        <f>46.80064979</f>
        <v>46.800649790000001</v>
      </c>
      <c r="CP172">
        <f>47.11197134</f>
        <v>47.111971339999997</v>
      </c>
      <c r="CQ172">
        <f>49.33897008</f>
        <v>49.338970080000003</v>
      </c>
      <c r="CR172">
        <f>48.84025786</f>
        <v>48.840257860000001</v>
      </c>
      <c r="CS172">
        <f>49.33409182</f>
        <v>49.334091819999998</v>
      </c>
      <c r="CT172">
        <f>49.16934946</f>
        <v>49.169349459999999</v>
      </c>
      <c r="CU172">
        <f>49.26967278</f>
        <v>49.269672780000001</v>
      </c>
      <c r="CV172">
        <f>49.55580697</f>
        <v>49.555806969999999</v>
      </c>
      <c r="CW172">
        <f>48.63736465</f>
        <v>48.637364650000002</v>
      </c>
      <c r="CX172">
        <f>48.85150297</f>
        <v>48.851502969999999</v>
      </c>
      <c r="CY172">
        <f>55.40429907</f>
        <v>55.40429907</v>
      </c>
      <c r="CZ172">
        <f>42.79792589</f>
        <v>42.797925890000002</v>
      </c>
      <c r="DA172">
        <f>53.23702499</f>
        <v>53.237024990000002</v>
      </c>
      <c r="DB172">
        <f>43.72473575</f>
        <v>43.724735750000001</v>
      </c>
      <c r="DC172">
        <f>50.62488193</f>
        <v>50.624881930000001</v>
      </c>
      <c r="DD172">
        <f>50.06745871</f>
        <v>50.067458709999997</v>
      </c>
      <c r="DE172">
        <f>49.58104153</f>
        <v>49.58104153</v>
      </c>
      <c r="DF172">
        <f>51.94569331</f>
        <v>51.945693310000003</v>
      </c>
      <c r="DG172">
        <f>53.6022431</f>
        <v>53.602243100000003</v>
      </c>
      <c r="DH172">
        <f>53.80147917</f>
        <v>53.80147917</v>
      </c>
      <c r="DI172">
        <f>50.25225019</f>
        <v>50.252250189999998</v>
      </c>
      <c r="DJ172">
        <f>50.68396052</f>
        <v>50.683960519999999</v>
      </c>
      <c r="DK172">
        <f>49.34233619</f>
        <v>49.342336189999997</v>
      </c>
      <c r="DL172">
        <f>51.840406</f>
        <v>51.840406000000002</v>
      </c>
      <c r="DM172">
        <f>50.19947862</f>
        <v>50.199478620000001</v>
      </c>
      <c r="DN172">
        <f>48.40545982</f>
        <v>48.405459819999997</v>
      </c>
      <c r="DO172">
        <f>48.14363931</f>
        <v>48.143639309999998</v>
      </c>
      <c r="DP172">
        <f>50.91416274</f>
        <v>50.914162740000002</v>
      </c>
      <c r="DQ172">
        <f>53.44191958</f>
        <v>53.441919579999997</v>
      </c>
      <c r="DR172">
        <f>50.14805245</f>
        <v>50.148052450000002</v>
      </c>
      <c r="DS172">
        <f>46.7414362</f>
        <v>46.741436200000003</v>
      </c>
      <c r="DT172">
        <f>40.05807902</f>
        <v>40.058079020000001</v>
      </c>
      <c r="DU172">
        <f>40.45317479</f>
        <v>40.453174789999998</v>
      </c>
    </row>
    <row r="173" spans="1:125">
      <c r="A173" t="str">
        <f>"    Mid-America Apartment Communit"</f>
        <v xml:space="preserve">    Mid-America Apartment Communit</v>
      </c>
      <c r="B173" t="str">
        <f>"MAA US Equity"</f>
        <v>MAA US Equity</v>
      </c>
      <c r="C173" t="str">
        <f t="shared" si="54"/>
        <v>RR147</v>
      </c>
      <c r="D173" t="str">
        <f t="shared" si="55"/>
        <v>LT_DEBT_TO_TOT_ASSET</v>
      </c>
      <c r="E173" t="str">
        <f t="shared" si="56"/>
        <v>动态</v>
      </c>
      <c r="F173" t="str">
        <f ca="1">IF(AND(ISNUMBER($F$378),$B$226=1),$F$378,HLOOKUP(INDIRECT(ADDRESS(2,COLUMN())),OFFSET($BN$2,0,0,ROW()-1,60),ROW()-1,FALSE))</f>
        <v/>
      </c>
      <c r="G173">
        <f ca="1">IF(AND(ISNUMBER($G$378),$B$226=1),$G$378,HLOOKUP(INDIRECT(ADDRESS(2,COLUMN())),OFFSET($BN$2,0,0,ROW()-1,60),ROW()-1,FALSE))</f>
        <v>8.4954653790000005</v>
      </c>
      <c r="H173">
        <f ca="1">IF(AND(ISNUMBER($H$378),$B$226=1),$H$378,HLOOKUP(INDIRECT(ADDRESS(2,COLUMN())),OFFSET($BN$2,0,0,ROW()-1,60),ROW()-1,FALSE))</f>
        <v>9.6244875810000003</v>
      </c>
      <c r="I173">
        <f ca="1">IF(AND(ISNUMBER($I$378),$B$226=1),$I$378,HLOOKUP(INDIRECT(ADDRESS(2,COLUMN())),OFFSET($BN$2,0,0,ROW()-1,60),ROW()-1,FALSE))</f>
        <v>9.7969773010000001</v>
      </c>
      <c r="J173">
        <f ca="1">IF(AND(ISNUMBER($J$378),$B$226=1),$J$378,HLOOKUP(INDIRECT(ADDRESS(2,COLUMN())),OFFSET($BN$2,0,0,ROW()-1,60),ROW()-1,FALSE))</f>
        <v>11.215672659999999</v>
      </c>
      <c r="K173">
        <f ca="1">IF(AND(ISNUMBER($K$378),$B$226=1),$K$378,HLOOKUP(INDIRECT(ADDRESS(2,COLUMN())),OFFSET($BN$2,0,0,ROW()-1,60),ROW()-1,FALSE))</f>
        <v>11.36704746</v>
      </c>
      <c r="L173">
        <f ca="1">IF(AND(ISNUMBER($L$378),$B$226=1),$L$378,HLOOKUP(INDIRECT(ADDRESS(2,COLUMN())),OFFSET($BN$2,0,0,ROW()-1,60),ROW()-1,FALSE))</f>
        <v>17.993194030000002</v>
      </c>
      <c r="M173">
        <f ca="1">IF(AND(ISNUMBER($M$378),$B$226=1),$M$378,HLOOKUP(INDIRECT(ADDRESS(2,COLUMN())),OFFSET($BN$2,0,0,ROW()-1,60),ROW()-1,FALSE))</f>
        <v>18.097671389999999</v>
      </c>
      <c r="N173">
        <f ca="1">IF(AND(ISNUMBER($N$378),$B$226=1),$N$378,HLOOKUP(INDIRECT(ADDRESS(2,COLUMN())),OFFSET($BN$2,0,0,ROW()-1,60),ROW()-1,FALSE))</f>
        <v>18.274215529999999</v>
      </c>
      <c r="O173">
        <f ca="1">IF(AND(ISNUMBER($O$378),$B$226=1),$O$378,HLOOKUP(INDIRECT(ADDRESS(2,COLUMN())),OFFSET($BN$2,0,0,ROW()-1,60),ROW()-1,FALSE))</f>
        <v>18.783252560000001</v>
      </c>
      <c r="P173">
        <f ca="1">IF(AND(ISNUMBER($P$378),$B$226=1),$P$378,HLOOKUP(INDIRECT(ADDRESS(2,COLUMN())),OFFSET($BN$2,0,0,ROW()-1,60),ROW()-1,FALSE))</f>
        <v>19.944620140000001</v>
      </c>
      <c r="Q173">
        <f ca="1">IF(AND(ISNUMBER($Q$378),$B$226=1),$Q$378,HLOOKUP(INDIRECT(ADDRESS(2,COLUMN())),OFFSET($BN$2,0,0,ROW()-1,60),ROW()-1,FALSE))</f>
        <v>20.659179859999998</v>
      </c>
      <c r="R173">
        <f ca="1">IF(AND(ISNUMBER($R$378),$B$226=1),$R$378,HLOOKUP(INDIRECT(ADDRESS(2,COLUMN())),OFFSET($BN$2,0,0,ROW()-1,60),ROW()-1,FALSE))</f>
        <v>21.01670343</v>
      </c>
      <c r="S173">
        <f ca="1">IF(AND(ISNUMBER($S$378),$B$226=1),$S$378,HLOOKUP(INDIRECT(ADDRESS(2,COLUMN())),OFFSET($BN$2,0,0,ROW()-1,60),ROW()-1,FALSE))</f>
        <v>23.30244403</v>
      </c>
      <c r="T173">
        <f ca="1">IF(AND(ISNUMBER($T$378),$B$226=1),$T$378,HLOOKUP(INDIRECT(ADDRESS(2,COLUMN())),OFFSET($BN$2,0,0,ROW()-1,60),ROW()-1,FALSE))</f>
        <v>22.91889712</v>
      </c>
      <c r="U173">
        <f ca="1">IF(AND(ISNUMBER($U$378),$B$226=1),$U$378,HLOOKUP(INDIRECT(ADDRESS(2,COLUMN())),OFFSET($BN$2,0,0,ROW()-1,60),ROW()-1,FALSE))</f>
        <v>23.042696719999999</v>
      </c>
      <c r="V173">
        <f ca="1">IF(AND(ISNUMBER($V$378),$B$226=1),$V$378,HLOOKUP(INDIRECT(ADDRESS(2,COLUMN())),OFFSET($BN$2,0,0,ROW()-1,60),ROW()-1,FALSE))</f>
        <v>26.307834620000001</v>
      </c>
      <c r="W173">
        <f ca="1">IF(AND(ISNUMBER($W$378),$B$226=1),$W$378,HLOOKUP(INDIRECT(ADDRESS(2,COLUMN())),OFFSET($BN$2,0,0,ROW()-1,60),ROW()-1,FALSE))</f>
        <v>26.175893479999999</v>
      </c>
      <c r="X173">
        <f ca="1">IF(AND(ISNUMBER($X$378),$B$226=1),$X$378,HLOOKUP(INDIRECT(ADDRESS(2,COLUMN())),OFFSET($BN$2,0,0,ROW()-1,60),ROW()-1,FALSE))</f>
        <v>34.680081639999997</v>
      </c>
      <c r="Y173">
        <f ca="1">IF(AND(ISNUMBER($Y$378),$B$226=1),$Y$378,HLOOKUP(INDIRECT(ADDRESS(2,COLUMN())),OFFSET($BN$2,0,0,ROW()-1,60),ROW()-1,FALSE))</f>
        <v>39.04221166</v>
      </c>
      <c r="Z173">
        <f ca="1">IF(AND(ISNUMBER($Z$378),$B$226=1),$Z$378,HLOOKUP(INDIRECT(ADDRESS(2,COLUMN())),OFFSET($BN$2,0,0,ROW()-1,60),ROW()-1,FALSE))</f>
        <v>40.153145500000001</v>
      </c>
      <c r="AA173">
        <f ca="1">IF(AND(ISNUMBER($AA$378),$B$226=1),$AA$378,HLOOKUP(INDIRECT(ADDRESS(2,COLUMN())),OFFSET($BN$2,0,0,ROW()-1,60),ROW()-1,FALSE))</f>
        <v>43.286752640000003</v>
      </c>
      <c r="AB173">
        <f ca="1">IF(AND(ISNUMBER($AB$378),$B$226=1),$AB$378,HLOOKUP(INDIRECT(ADDRESS(2,COLUMN())),OFFSET($BN$2,0,0,ROW()-1,60),ROW()-1,FALSE))</f>
        <v>42.951328160000003</v>
      </c>
      <c r="AC173">
        <f ca="1">IF(AND(ISNUMBER($AC$378),$B$226=1),$AC$378,HLOOKUP(INDIRECT(ADDRESS(2,COLUMN())),OFFSET($BN$2,0,0,ROW()-1,60),ROW()-1,FALSE))</f>
        <v>47.186590070000001</v>
      </c>
      <c r="AD173">
        <f ca="1">IF(AND(ISNUMBER($AD$378),$B$226=1),$AD$378,HLOOKUP(INDIRECT(ADDRESS(2,COLUMN())),OFFSET($BN$2,0,0,ROW()-1,60),ROW()-1,FALSE))</f>
        <v>53.535279199999998</v>
      </c>
      <c r="AE173">
        <f ca="1">IF(AND(ISNUMBER($AE$378),$B$226=1),$AE$378,HLOOKUP(INDIRECT(ADDRESS(2,COLUMN())),OFFSET($BN$2,0,0,ROW()-1,60),ROW()-1,FALSE))</f>
        <v>59.860666090000002</v>
      </c>
      <c r="AF173">
        <f ca="1">IF(AND(ISNUMBER($AF$378),$B$226=1),$AF$378,HLOOKUP(INDIRECT(ADDRESS(2,COLUMN())),OFFSET($BN$2,0,0,ROW()-1,60),ROW()-1,FALSE))</f>
        <v>60.23518808</v>
      </c>
      <c r="AG173">
        <f ca="1">IF(AND(ISNUMBER($AG$378),$B$226=1),$AG$378,HLOOKUP(INDIRECT(ADDRESS(2,COLUMN())),OFFSET($BN$2,0,0,ROW()-1,60),ROW()-1,FALSE))</f>
        <v>66.295097389999995</v>
      </c>
      <c r="AH173">
        <f ca="1">IF(AND(ISNUMBER($AH$378),$B$226=1),$AH$378,HLOOKUP(INDIRECT(ADDRESS(2,COLUMN())),OFFSET($BN$2,0,0,ROW()-1,60),ROW()-1,FALSE))</f>
        <v>65.937730360000003</v>
      </c>
      <c r="AI173">
        <f ca="1">IF(AND(ISNUMBER($AI$378),$B$226=1),$AI$378,HLOOKUP(INDIRECT(ADDRESS(2,COLUMN())),OFFSET($BN$2,0,0,ROW()-1,60),ROW()-1,FALSE))</f>
        <v>68.941172249999994</v>
      </c>
      <c r="AJ173">
        <f ca="1">IF(AND(ISNUMBER($AJ$378),$B$226=1),$AJ$378,HLOOKUP(INDIRECT(ADDRESS(2,COLUMN())),OFFSET($BN$2,0,0,ROW()-1,60),ROW()-1,FALSE))</f>
        <v>70.836006650000002</v>
      </c>
      <c r="AK173">
        <f ca="1">IF(AND(ISNUMBER($AK$378),$B$226=1),$AK$378,HLOOKUP(INDIRECT(ADDRESS(2,COLUMN())),OFFSET($BN$2,0,0,ROW()-1,60),ROW()-1,FALSE))</f>
        <v>68.226475489999999</v>
      </c>
      <c r="AL173">
        <f ca="1">IF(AND(ISNUMBER($AL$378),$B$226=1),$AL$378,HLOOKUP(INDIRECT(ADDRESS(2,COLUMN())),OFFSET($BN$2,0,0,ROW()-1,60),ROW()-1,FALSE))</f>
        <v>69.465196930000005</v>
      </c>
      <c r="AM173">
        <f ca="1">IF(AND(ISNUMBER($AM$378),$B$226=1),$AM$378,HLOOKUP(INDIRECT(ADDRESS(2,COLUMN())),OFFSET($BN$2,0,0,ROW()-1,60),ROW()-1,FALSE))</f>
        <v>70.443813399999996</v>
      </c>
      <c r="AN173">
        <f ca="1">IF(AND(ISNUMBER($AN$378),$B$226=1),$AN$378,HLOOKUP(INDIRECT(ADDRESS(2,COLUMN())),OFFSET($BN$2,0,0,ROW()-1,60),ROW()-1,FALSE))</f>
        <v>68.736662289999998</v>
      </c>
      <c r="AO173">
        <f ca="1">IF(AND(ISNUMBER($AO$378),$B$226=1),$AO$378,HLOOKUP(INDIRECT(ADDRESS(2,COLUMN())),OFFSET($BN$2,0,0,ROW()-1,60),ROW()-1,FALSE))</f>
        <v>69.514435430000006</v>
      </c>
      <c r="AP173">
        <f ca="1">IF(AND(ISNUMBER($AP$378),$B$226=1),$AP$378,HLOOKUP(INDIRECT(ADDRESS(2,COLUMN())),OFFSET($BN$2,0,0,ROW()-1,60),ROW()-1,FALSE))</f>
        <v>69.813152290000005</v>
      </c>
      <c r="AQ173">
        <f ca="1">IF(AND(ISNUMBER($AQ$378),$B$226=1),$AQ$378,HLOOKUP(INDIRECT(ADDRESS(2,COLUMN())),OFFSET($BN$2,0,0,ROW()-1,60),ROW()-1,FALSE))</f>
        <v>68.839072720000004</v>
      </c>
      <c r="AR173">
        <f ca="1">IF(AND(ISNUMBER($AR$378),$B$226=1),$AR$378,HLOOKUP(INDIRECT(ADDRESS(2,COLUMN())),OFFSET($BN$2,0,0,ROW()-1,60),ROW()-1,FALSE))</f>
        <v>68.667137539999999</v>
      </c>
      <c r="AS173">
        <f ca="1">IF(AND(ISNUMBER($AS$378),$B$226=1),$AS$378,HLOOKUP(INDIRECT(ADDRESS(2,COLUMN())),OFFSET($BN$2,0,0,ROW()-1,60),ROW()-1,FALSE))</f>
        <v>67.549255630000005</v>
      </c>
      <c r="AT173">
        <f ca="1">IF(AND(ISNUMBER($AT$378),$B$226=1),$AT$378,HLOOKUP(INDIRECT(ADDRESS(2,COLUMN())),OFFSET($BN$2,0,0,ROW()-1,60),ROW()-1,FALSE))</f>
        <v>70.65860911</v>
      </c>
      <c r="AU173">
        <f ca="1">IF(AND(ISNUMBER($AU$378),$B$226=1),$AU$378,HLOOKUP(INDIRECT(ADDRESS(2,COLUMN())),OFFSET($BN$2,0,0,ROW()-1,60),ROW()-1,FALSE))</f>
        <v>70.893844790000003</v>
      </c>
      <c r="AV173">
        <f ca="1">IF(AND(ISNUMBER($AV$378),$B$226=1),$AV$378,HLOOKUP(INDIRECT(ADDRESS(2,COLUMN())),OFFSET($BN$2,0,0,ROW()-1,60),ROW()-1,FALSE))</f>
        <v>69.695368200000004</v>
      </c>
      <c r="AW173">
        <f ca="1">IF(AND(ISNUMBER($AW$378),$B$226=1),$AW$378,HLOOKUP(INDIRECT(ADDRESS(2,COLUMN())),OFFSET($BN$2,0,0,ROW()-1,60),ROW()-1,FALSE))</f>
        <v>67.887379710000005</v>
      </c>
      <c r="AX173">
        <f ca="1">IF(AND(ISNUMBER($AX$378),$B$226=1),$AX$378,HLOOKUP(INDIRECT(ADDRESS(2,COLUMN())),OFFSET($BN$2,0,0,ROW()-1,60),ROW()-1,FALSE))</f>
        <v>68.298378760000006</v>
      </c>
      <c r="AY173">
        <f ca="1">IF(AND(ISNUMBER($AY$378),$B$226=1),$AY$378,HLOOKUP(INDIRECT(ADDRESS(2,COLUMN())),OFFSET($BN$2,0,0,ROW()-1,60),ROW()-1,FALSE))</f>
        <v>68.494073779999994</v>
      </c>
      <c r="AZ173">
        <f ca="1">IF(AND(ISNUMBER($AZ$378),$B$226=1),$AZ$378,HLOOKUP(INDIRECT(ADDRESS(2,COLUMN())),OFFSET($BN$2,0,0,ROW()-1,60),ROW()-1,FALSE))</f>
        <v>69.755092390000002</v>
      </c>
      <c r="BA173">
        <f ca="1">IF(AND(ISNUMBER($BA$378),$B$226=1),$BA$378,HLOOKUP(INDIRECT(ADDRESS(2,COLUMN())),OFFSET($BN$2,0,0,ROW()-1,60),ROW()-1,FALSE))</f>
        <v>68.99392306</v>
      </c>
      <c r="BB173">
        <f ca="1">IF(AND(ISNUMBER($BB$378),$B$226=1),$BB$378,HLOOKUP(INDIRECT(ADDRESS(2,COLUMN())),OFFSET($BN$2,0,0,ROW()-1,60),ROW()-1,FALSE))</f>
        <v>73.028341299999994</v>
      </c>
      <c r="BC173">
        <f ca="1">IF(AND(ISNUMBER($BC$378),$B$226=1),$BC$378,HLOOKUP(INDIRECT(ADDRESS(2,COLUMN())),OFFSET($BN$2,0,0,ROW()-1,60),ROW()-1,FALSE))</f>
        <v>72.149102130000003</v>
      </c>
      <c r="BD173">
        <f ca="1">IF(AND(ISNUMBER($BD$378),$B$226=1),$BD$378,HLOOKUP(INDIRECT(ADDRESS(2,COLUMN())),OFFSET($BN$2,0,0,ROW()-1,60),ROW()-1,FALSE))</f>
        <v>72.385675689999999</v>
      </c>
      <c r="BE173">
        <f ca="1">IF(AND(ISNUMBER($BE$378),$B$226=1),$BE$378,HLOOKUP(INDIRECT(ADDRESS(2,COLUMN())),OFFSET($BN$2,0,0,ROW()-1,60),ROW()-1,FALSE))</f>
        <v>71.464968490000004</v>
      </c>
      <c r="BF173">
        <f ca="1">IF(AND(ISNUMBER($BF$378),$B$226=1),$BF$378,HLOOKUP(INDIRECT(ADDRESS(2,COLUMN())),OFFSET($BN$2,0,0,ROW()-1,60),ROW()-1,FALSE))</f>
        <v>71.802473489999997</v>
      </c>
      <c r="BG173">
        <f ca="1">IF(AND(ISNUMBER($BG$378),$B$226=1),$BG$378,HLOOKUP(INDIRECT(ADDRESS(2,COLUMN())),OFFSET($BN$2,0,0,ROW()-1,60),ROW()-1,FALSE))</f>
        <v>71.173094520000006</v>
      </c>
      <c r="BH173">
        <f ca="1">IF(AND(ISNUMBER($BH$378),$B$226=1),$BH$378,HLOOKUP(INDIRECT(ADDRESS(2,COLUMN())),OFFSET($BN$2,0,0,ROW()-1,60),ROW()-1,FALSE))</f>
        <v>69.781438929999993</v>
      </c>
      <c r="BI173">
        <f ca="1">IF(AND(ISNUMBER($BI$378),$B$226=1),$BI$378,HLOOKUP(INDIRECT(ADDRESS(2,COLUMN())),OFFSET($BN$2,0,0,ROW()-1,60),ROW()-1,FALSE))</f>
        <v>69.754214259999998</v>
      </c>
      <c r="BJ173">
        <f ca="1">IF(AND(ISNUMBER($BJ$378),$B$226=1),$BJ$378,HLOOKUP(INDIRECT(ADDRESS(2,COLUMN())),OFFSET($BN$2,0,0,ROW()-1,60),ROW()-1,FALSE))</f>
        <v>68.745271310000007</v>
      </c>
      <c r="BK173">
        <f ca="1">IF(AND(ISNUMBER($BK$378),$B$226=1),$BK$378,HLOOKUP(INDIRECT(ADDRESS(2,COLUMN())),OFFSET($BN$2,0,0,ROW()-1,60),ROW()-1,FALSE))</f>
        <v>67.679962489999994</v>
      </c>
      <c r="BL173">
        <f ca="1">IF(AND(ISNUMBER($BL$378),$B$226=1),$BL$378,HLOOKUP(INDIRECT(ADDRESS(2,COLUMN())),OFFSET($BN$2,0,0,ROW()-1,60),ROW()-1,FALSE))</f>
        <v>66.719648800000002</v>
      </c>
      <c r="BM173">
        <f ca="1">IF(AND(ISNUMBER($BM$378),$B$226=1),$BM$378,HLOOKUP(INDIRECT(ADDRESS(2,COLUMN())),OFFSET($BN$2,0,0,ROW()-1,60),ROW()-1,FALSE))</f>
        <v>66.467129880000002</v>
      </c>
      <c r="BN173" t="str">
        <f>""</f>
        <v/>
      </c>
      <c r="BO173">
        <f>8.495465379</f>
        <v>8.4954653790000005</v>
      </c>
      <c r="BP173">
        <f>9.624487581</f>
        <v>9.6244875810000003</v>
      </c>
      <c r="BQ173">
        <f>9.796977301</f>
        <v>9.7969773010000001</v>
      </c>
      <c r="BR173">
        <f>11.21567266</f>
        <v>11.215672659999999</v>
      </c>
      <c r="BS173">
        <f>11.36704746</f>
        <v>11.36704746</v>
      </c>
      <c r="BT173">
        <f>17.99319403</f>
        <v>17.993194030000002</v>
      </c>
      <c r="BU173">
        <f>18.09767139</f>
        <v>18.097671389999999</v>
      </c>
      <c r="BV173">
        <f>18.27421553</f>
        <v>18.274215529999999</v>
      </c>
      <c r="BW173">
        <f>18.78325256</f>
        <v>18.783252560000001</v>
      </c>
      <c r="BX173">
        <f>19.94462014</f>
        <v>19.944620140000001</v>
      </c>
      <c r="BY173">
        <f>20.65917986</f>
        <v>20.659179859999998</v>
      </c>
      <c r="BZ173">
        <f>21.01670343</f>
        <v>21.01670343</v>
      </c>
      <c r="CA173">
        <f>23.30244403</f>
        <v>23.30244403</v>
      </c>
      <c r="CB173">
        <f>22.91889712</f>
        <v>22.91889712</v>
      </c>
      <c r="CC173">
        <f>23.04269672</f>
        <v>23.042696719999999</v>
      </c>
      <c r="CD173">
        <f>26.30783462</f>
        <v>26.307834620000001</v>
      </c>
      <c r="CE173">
        <f>26.17589348</f>
        <v>26.175893479999999</v>
      </c>
      <c r="CF173">
        <f>34.68008164</f>
        <v>34.680081639999997</v>
      </c>
      <c r="CG173">
        <f>39.04221166</f>
        <v>39.04221166</v>
      </c>
      <c r="CH173">
        <f>40.1531455</f>
        <v>40.153145500000001</v>
      </c>
      <c r="CI173">
        <f>43.28675264</f>
        <v>43.286752640000003</v>
      </c>
      <c r="CJ173">
        <f>42.95132816</f>
        <v>42.951328160000003</v>
      </c>
      <c r="CK173">
        <f>47.18659007</f>
        <v>47.186590070000001</v>
      </c>
      <c r="CL173">
        <f>53.5352792</f>
        <v>53.535279199999998</v>
      </c>
      <c r="CM173">
        <f>59.86066609</f>
        <v>59.860666090000002</v>
      </c>
      <c r="CN173">
        <f>60.23518808</f>
        <v>60.23518808</v>
      </c>
      <c r="CO173">
        <f>66.29509739</f>
        <v>66.295097389999995</v>
      </c>
      <c r="CP173">
        <f>65.93773036</f>
        <v>65.937730360000003</v>
      </c>
      <c r="CQ173">
        <f>68.94117225</f>
        <v>68.941172249999994</v>
      </c>
      <c r="CR173">
        <f>70.83600665</f>
        <v>70.836006650000002</v>
      </c>
      <c r="CS173">
        <f>68.22647549</f>
        <v>68.226475489999999</v>
      </c>
      <c r="CT173">
        <f>69.46519693</f>
        <v>69.465196930000005</v>
      </c>
      <c r="CU173">
        <f>70.4438134</f>
        <v>70.443813399999996</v>
      </c>
      <c r="CV173">
        <f>68.73666229</f>
        <v>68.736662289999998</v>
      </c>
      <c r="CW173">
        <f>69.51443543</f>
        <v>69.514435430000006</v>
      </c>
      <c r="CX173">
        <f>69.81315229</f>
        <v>69.813152290000005</v>
      </c>
      <c r="CY173">
        <f>68.83907272</f>
        <v>68.839072720000004</v>
      </c>
      <c r="CZ173">
        <f>68.66713754</f>
        <v>68.667137539999999</v>
      </c>
      <c r="DA173">
        <f>67.54925563</f>
        <v>67.549255630000005</v>
      </c>
      <c r="DB173">
        <f>70.65860911</f>
        <v>70.65860911</v>
      </c>
      <c r="DC173">
        <f>70.89384479</f>
        <v>70.893844790000003</v>
      </c>
      <c r="DD173">
        <f>69.6953682</f>
        <v>69.695368200000004</v>
      </c>
      <c r="DE173">
        <f>67.88737971</f>
        <v>67.887379710000005</v>
      </c>
      <c r="DF173">
        <f>68.29837876</f>
        <v>68.298378760000006</v>
      </c>
      <c r="DG173">
        <f>68.49407378</f>
        <v>68.494073779999994</v>
      </c>
      <c r="DH173">
        <f>69.75509239</f>
        <v>69.755092390000002</v>
      </c>
      <c r="DI173">
        <f>68.99392306</f>
        <v>68.99392306</v>
      </c>
      <c r="DJ173">
        <f>73.0283413</f>
        <v>73.028341299999994</v>
      </c>
      <c r="DK173">
        <f>72.14910213</f>
        <v>72.149102130000003</v>
      </c>
      <c r="DL173">
        <f>72.38567569</f>
        <v>72.385675689999999</v>
      </c>
      <c r="DM173">
        <f>71.46496849</f>
        <v>71.464968490000004</v>
      </c>
      <c r="DN173">
        <f>71.80247349</f>
        <v>71.802473489999997</v>
      </c>
      <c r="DO173">
        <f>71.17309452</f>
        <v>71.173094520000006</v>
      </c>
      <c r="DP173">
        <f>69.78143893</f>
        <v>69.781438929999993</v>
      </c>
      <c r="DQ173">
        <f>69.75421426</f>
        <v>69.754214259999998</v>
      </c>
      <c r="DR173">
        <f>68.74527131</f>
        <v>68.745271310000007</v>
      </c>
      <c r="DS173">
        <f>67.67996249</f>
        <v>67.679962489999994</v>
      </c>
      <c r="DT173">
        <f>66.7196488</f>
        <v>66.719648800000002</v>
      </c>
      <c r="DU173">
        <f>66.46712988</f>
        <v>66.467129880000002</v>
      </c>
    </row>
    <row r="174" spans="1:125">
      <c r="A174" t="str">
        <f>"    UDR Inc"</f>
        <v xml:space="preserve">    UDR Inc</v>
      </c>
      <c r="B174" t="str">
        <f>"UDR US Equity"</f>
        <v>UDR US Equity</v>
      </c>
      <c r="C174" t="str">
        <f t="shared" si="54"/>
        <v>RR147</v>
      </c>
      <c r="D174" t="str">
        <f t="shared" si="55"/>
        <v>LT_DEBT_TO_TOT_ASSET</v>
      </c>
      <c r="E174" t="str">
        <f t="shared" si="56"/>
        <v>动态</v>
      </c>
      <c r="F174" t="str">
        <f ca="1">IF(AND(ISNUMBER($F$379),$B$226=1),$F$379,HLOOKUP(INDIRECT(ADDRESS(2,COLUMN())),OFFSET($BN$2,0,0,ROW()-1,60),ROW()-1,FALSE))</f>
        <v/>
      </c>
      <c r="G174">
        <f ca="1">IF(AND(ISNUMBER($G$379),$B$226=1),$G$379,HLOOKUP(INDIRECT(ADDRESS(2,COLUMN())),OFFSET($BN$2,0,0,ROW()-1,60),ROW()-1,FALSE))</f>
        <v>10.38718018</v>
      </c>
      <c r="H174">
        <f ca="1">IF(AND(ISNUMBER($H$379),$B$226=1),$H$379,HLOOKUP(INDIRECT(ADDRESS(2,COLUMN())),OFFSET($BN$2,0,0,ROW()-1,60),ROW()-1,FALSE))</f>
        <v>10.3724726</v>
      </c>
      <c r="I174">
        <f ca="1">IF(AND(ISNUMBER($I$379),$B$226=1),$I$379,HLOOKUP(INDIRECT(ADDRESS(2,COLUMN())),OFFSET($BN$2,0,0,ROW()-1,60),ROW()-1,FALSE))</f>
        <v>10.3843184</v>
      </c>
      <c r="J174">
        <f ca="1">IF(AND(ISNUMBER($J$379),$B$226=1),$J$379,HLOOKUP(INDIRECT(ADDRESS(2,COLUMN())),OFFSET($BN$2,0,0,ROW()-1,60),ROW()-1,FALSE))</f>
        <v>13.334008109999999</v>
      </c>
      <c r="K174">
        <f ca="1">IF(AND(ISNUMBER($K$379),$B$226=1),$K$379,HLOOKUP(INDIRECT(ADDRESS(2,COLUMN())),OFFSET($BN$2,0,0,ROW()-1,60),ROW()-1,FALSE))</f>
        <v>14.725511170000001</v>
      </c>
      <c r="L174">
        <f ca="1">IF(AND(ISNUMBER($L$379),$B$226=1),$L$379,HLOOKUP(INDIRECT(ADDRESS(2,COLUMN())),OFFSET($BN$2,0,0,ROW()-1,60),ROW()-1,FALSE))</f>
        <v>13.65809591</v>
      </c>
      <c r="M174">
        <f ca="1">IF(AND(ISNUMBER($M$379),$B$226=1),$M$379,HLOOKUP(INDIRECT(ADDRESS(2,COLUMN())),OFFSET($BN$2,0,0,ROW()-1,60),ROW()-1,FALSE))</f>
        <v>16.505985089999999</v>
      </c>
      <c r="N174">
        <f ca="1">IF(AND(ISNUMBER($N$379),$B$226=1),$N$379,HLOOKUP(INDIRECT(ADDRESS(2,COLUMN())),OFFSET($BN$2,0,0,ROW()-1,60),ROW()-1,FALSE))</f>
        <v>18.084032140000001</v>
      </c>
      <c r="O174">
        <f ca="1">IF(AND(ISNUMBER($O$379),$B$226=1),$O$379,HLOOKUP(INDIRECT(ADDRESS(2,COLUMN())),OFFSET($BN$2,0,0,ROW()-1,60),ROW()-1,FALSE))</f>
        <v>17.96676707</v>
      </c>
      <c r="P174">
        <f ca="1">IF(AND(ISNUMBER($P$379),$B$226=1),$P$379,HLOOKUP(INDIRECT(ADDRESS(2,COLUMN())),OFFSET($BN$2,0,0,ROW()-1,60),ROW()-1,FALSE))</f>
        <v>19.45752615</v>
      </c>
      <c r="Q174">
        <f ca="1">IF(AND(ISNUMBER($Q$379),$B$226=1),$Q$379,HLOOKUP(INDIRECT(ADDRESS(2,COLUMN())),OFFSET($BN$2,0,0,ROW()-1,60),ROW()-1,FALSE))</f>
        <v>19.459532289999999</v>
      </c>
      <c r="R174">
        <f ca="1">IF(AND(ISNUMBER($R$379),$B$226=1),$R$379,HLOOKUP(INDIRECT(ADDRESS(2,COLUMN())),OFFSET($BN$2,0,0,ROW()-1,60),ROW()-1,FALSE))</f>
        <v>19.984993830000001</v>
      </c>
      <c r="S174">
        <f ca="1">IF(AND(ISNUMBER($S$379),$B$226=1),$S$379,HLOOKUP(INDIRECT(ADDRESS(2,COLUMN())),OFFSET($BN$2,0,0,ROW()-1,60),ROW()-1,FALSE))</f>
        <v>19.832697979999999</v>
      </c>
      <c r="T174">
        <f ca="1">IF(AND(ISNUMBER($T$379),$B$226=1),$T$379,HLOOKUP(INDIRECT(ADDRESS(2,COLUMN())),OFFSET($BN$2,0,0,ROW()-1,60),ROW()-1,FALSE))</f>
        <v>20.28637501</v>
      </c>
      <c r="U174">
        <f ca="1">IF(AND(ISNUMBER($U$379),$B$226=1),$U$379,HLOOKUP(INDIRECT(ADDRESS(2,COLUMN())),OFFSET($BN$2,0,0,ROW()-1,60),ROW()-1,FALSE))</f>
        <v>20.23440639</v>
      </c>
      <c r="V174">
        <f ca="1">IF(AND(ISNUMBER($V$379),$B$226=1),$V$379,HLOOKUP(INDIRECT(ADDRESS(2,COLUMN())),OFFSET($BN$2,0,0,ROW()-1,60),ROW()-1,FALSE))</f>
        <v>21.113083759999999</v>
      </c>
      <c r="W174">
        <f ca="1">IF(AND(ISNUMBER($W$379),$B$226=1),$W$379,HLOOKUP(INDIRECT(ADDRESS(2,COLUMN())),OFFSET($BN$2,0,0,ROW()-1,60),ROW()-1,FALSE))</f>
        <v>21.182959589999999</v>
      </c>
      <c r="X174">
        <f ca="1">IF(AND(ISNUMBER($X$379),$B$226=1),$X$379,HLOOKUP(INDIRECT(ADDRESS(2,COLUMN())),OFFSET($BN$2,0,0,ROW()-1,60),ROW()-1,FALSE))</f>
        <v>20.452642109999999</v>
      </c>
      <c r="Y174">
        <f ca="1">IF(AND(ISNUMBER($Y$379),$B$226=1),$Y$379,HLOOKUP(INDIRECT(ADDRESS(2,COLUMN())),OFFSET($BN$2,0,0,ROW()-1,60),ROW()-1,FALSE))</f>
        <v>20.53866936</v>
      </c>
      <c r="Z174">
        <f ca="1">IF(AND(ISNUMBER($Z$379),$B$226=1),$Z$379,HLOOKUP(INDIRECT(ADDRESS(2,COLUMN())),OFFSET($BN$2,0,0,ROW()-1,60),ROW()-1,FALSE))</f>
        <v>20.689425480000001</v>
      </c>
      <c r="AA174">
        <f ca="1">IF(AND(ISNUMBER($AA$379),$B$226=1),$AA$379,HLOOKUP(INDIRECT(ADDRESS(2,COLUMN())),OFFSET($BN$2,0,0,ROW()-1,60),ROW()-1,FALSE))</f>
        <v>20.850175310000001</v>
      </c>
      <c r="AB174">
        <f ca="1">IF(AND(ISNUMBER($AB$379),$B$226=1),$AB$379,HLOOKUP(INDIRECT(ADDRESS(2,COLUMN())),OFFSET($BN$2,0,0,ROW()-1,60),ROW()-1,FALSE))</f>
        <v>20.833199489999998</v>
      </c>
      <c r="AC174">
        <f ca="1">IF(AND(ISNUMBER($AC$379),$B$226=1),$AC$379,HLOOKUP(INDIRECT(ADDRESS(2,COLUMN())),OFFSET($BN$2,0,0,ROW()-1,60),ROW()-1,FALSE))</f>
        <v>20.68606626</v>
      </c>
      <c r="AD174">
        <f ca="1">IF(AND(ISNUMBER($AD$379),$B$226=1),$AD$379,HLOOKUP(INDIRECT(ADDRESS(2,COLUMN())),OFFSET($BN$2,0,0,ROW()-1,60),ROW()-1,FALSE))</f>
        <v>26.12802421</v>
      </c>
      <c r="AE174">
        <f ca="1">IF(AND(ISNUMBER($AE$379),$B$226=1),$AE$379,HLOOKUP(INDIRECT(ADDRESS(2,COLUMN())),OFFSET($BN$2,0,0,ROW()-1,60),ROW()-1,FALSE))</f>
        <v>28.142439750000001</v>
      </c>
      <c r="AF174">
        <f ca="1">IF(AND(ISNUMBER($AF$379),$B$226=1),$AF$379,HLOOKUP(INDIRECT(ADDRESS(2,COLUMN())),OFFSET($BN$2,0,0,ROW()-1,60),ROW()-1,FALSE))</f>
        <v>29.709225830000001</v>
      </c>
      <c r="AG174">
        <f ca="1">IF(AND(ISNUMBER($AG$379),$B$226=1),$AG$379,HLOOKUP(INDIRECT(ADDRESS(2,COLUMN())),OFFSET($BN$2,0,0,ROW()-1,60),ROW()-1,FALSE))</f>
        <v>33.41958279</v>
      </c>
      <c r="AH174">
        <f ca="1">IF(AND(ISNUMBER($AH$379),$B$226=1),$AH$379,HLOOKUP(INDIRECT(ADDRESS(2,COLUMN())),OFFSET($BN$2,0,0,ROW()-1,60),ROW()-1,FALSE))</f>
        <v>32.19901136</v>
      </c>
      <c r="AI174">
        <f ca="1">IF(AND(ISNUMBER($AI$379),$B$226=1),$AI$379,HLOOKUP(INDIRECT(ADDRESS(2,COLUMN())),OFFSET($BN$2,0,0,ROW()-1,60),ROW()-1,FALSE))</f>
        <v>35.512357270000003</v>
      </c>
      <c r="AJ174">
        <f ca="1">IF(AND(ISNUMBER($AJ$379),$B$226=1),$AJ$379,HLOOKUP(INDIRECT(ADDRESS(2,COLUMN())),OFFSET($BN$2,0,0,ROW()-1,60),ROW()-1,FALSE))</f>
        <v>37.35030648</v>
      </c>
      <c r="AK174">
        <f ca="1">IF(AND(ISNUMBER($AK$379),$B$226=1),$AK$379,HLOOKUP(INDIRECT(ADDRESS(2,COLUMN())),OFFSET($BN$2,0,0,ROW()-1,60),ROW()-1,FALSE))</f>
        <v>38.536400880000002</v>
      </c>
      <c r="AL174">
        <f ca="1">IF(AND(ISNUMBER($AL$379),$B$226=1),$AL$379,HLOOKUP(INDIRECT(ADDRESS(2,COLUMN())),OFFSET($BN$2,0,0,ROW()-1,60),ROW()-1,FALSE))</f>
        <v>38.021363970000003</v>
      </c>
      <c r="AM174">
        <f ca="1">IF(AND(ISNUMBER($AM$379),$B$226=1),$AM$379,HLOOKUP(INDIRECT(ADDRESS(2,COLUMN())),OFFSET($BN$2,0,0,ROW()-1,60),ROW()-1,FALSE))</f>
        <v>38.760616659999997</v>
      </c>
      <c r="AN174">
        <f ca="1">IF(AND(ISNUMBER($AN$379),$B$226=1),$AN$379,HLOOKUP(INDIRECT(ADDRESS(2,COLUMN())),OFFSET($BN$2,0,0,ROW()-1,60),ROW()-1,FALSE))</f>
        <v>37.186256110000002</v>
      </c>
      <c r="AO174">
        <f ca="1">IF(AND(ISNUMBER($AO$379),$B$226=1),$AO$379,HLOOKUP(INDIRECT(ADDRESS(2,COLUMN())),OFFSET($BN$2,0,0,ROW()-1,60),ROW()-1,FALSE))</f>
        <v>34.78828171</v>
      </c>
      <c r="AP174">
        <f ca="1">IF(AND(ISNUMBER($AP$379),$B$226=1),$AP$379,HLOOKUP(INDIRECT(ADDRESS(2,COLUMN())),OFFSET($BN$2,0,0,ROW()-1,60),ROW()-1,FALSE))</f>
        <v>33.116074920000003</v>
      </c>
      <c r="AQ174">
        <f ca="1">IF(AND(ISNUMBER($AQ$379),$B$226=1),$AQ$379,HLOOKUP(INDIRECT(ADDRESS(2,COLUMN())),OFFSET($BN$2,0,0,ROW()-1,60),ROW()-1,FALSE))</f>
        <v>28.428987840000001</v>
      </c>
      <c r="AR174">
        <f ca="1">IF(AND(ISNUMBER($AR$379),$B$226=1),$AR$379,HLOOKUP(INDIRECT(ADDRESS(2,COLUMN())),OFFSET($BN$2,0,0,ROW()-1,60),ROW()-1,FALSE))</f>
        <v>25.78471248</v>
      </c>
      <c r="AS174">
        <f ca="1">IF(AND(ISNUMBER($AS$379),$B$226=1),$AS$379,HLOOKUP(INDIRECT(ADDRESS(2,COLUMN())),OFFSET($BN$2,0,0,ROW()-1,60),ROW()-1,FALSE))</f>
        <v>23.963105909999999</v>
      </c>
      <c r="AT174">
        <f ca="1">IF(AND(ISNUMBER($AT$379),$B$226=1),$AT$379,HLOOKUP(INDIRECT(ADDRESS(2,COLUMN())),OFFSET($BN$2,0,0,ROW()-1,60),ROW()-1,FALSE))</f>
        <v>22.710067939999998</v>
      </c>
      <c r="AU174">
        <f ca="1">IF(AND(ISNUMBER($AU$379),$B$226=1),$AU$379,HLOOKUP(INDIRECT(ADDRESS(2,COLUMN())),OFFSET($BN$2,0,0,ROW()-1,60),ROW()-1,FALSE))</f>
        <v>23.701464720000001</v>
      </c>
      <c r="AV174">
        <f ca="1">IF(AND(ISNUMBER($AV$379),$B$226=1),$AV$379,HLOOKUP(INDIRECT(ADDRESS(2,COLUMN())),OFFSET($BN$2,0,0,ROW()-1,60),ROW()-1,FALSE))</f>
        <v>25.951514979999999</v>
      </c>
      <c r="AW174">
        <f ca="1">IF(AND(ISNUMBER($AW$379),$B$226=1),$AW$379,HLOOKUP(INDIRECT(ADDRESS(2,COLUMN())),OFFSET($BN$2,0,0,ROW()-1,60),ROW()-1,FALSE))</f>
        <v>26.118612670000001</v>
      </c>
      <c r="AX174">
        <f ca="1">IF(AND(ISNUMBER($AX$379),$B$226=1),$AX$379,HLOOKUP(INDIRECT(ADDRESS(2,COLUMN())),OFFSET($BN$2,0,0,ROW()-1,60),ROW()-1,FALSE))</f>
        <v>25.443693830000001</v>
      </c>
      <c r="AY174">
        <f ca="1">IF(AND(ISNUMBER($AY$379),$B$226=1),$AY$379,HLOOKUP(INDIRECT(ADDRESS(2,COLUMN())),OFFSET($BN$2,0,0,ROW()-1,60),ROW()-1,FALSE))</f>
        <v>25.298345229999999</v>
      </c>
      <c r="AZ174">
        <f ca="1">IF(AND(ISNUMBER($AZ$379),$B$226=1),$AZ$379,HLOOKUP(INDIRECT(ADDRESS(2,COLUMN())),OFFSET($BN$2,0,0,ROW()-1,60),ROW()-1,FALSE))</f>
        <v>24.81531378</v>
      </c>
      <c r="BA174">
        <f ca="1">IF(AND(ISNUMBER($BA$379),$B$226=1),$BA$379,HLOOKUP(INDIRECT(ADDRESS(2,COLUMN())),OFFSET($BN$2,0,0,ROW()-1,60),ROW()-1,FALSE))</f>
        <v>24.746547450000001</v>
      </c>
      <c r="BB174">
        <f ca="1">IF(AND(ISNUMBER($BB$379),$B$226=1),$BB$379,HLOOKUP(INDIRECT(ADDRESS(2,COLUMN())),OFFSET($BN$2,0,0,ROW()-1,60),ROW()-1,FALSE))</f>
        <v>24.76718455</v>
      </c>
      <c r="BC174">
        <f ca="1">IF(AND(ISNUMBER($BC$379),$B$226=1),$BC$379,HLOOKUP(INDIRECT(ADDRESS(2,COLUMN())),OFFSET($BN$2,0,0,ROW()-1,60),ROW()-1,FALSE))</f>
        <v>24.578578490000002</v>
      </c>
      <c r="BD174">
        <f ca="1">IF(AND(ISNUMBER($BD$379),$B$226=1),$BD$379,HLOOKUP(INDIRECT(ADDRESS(2,COLUMN())),OFFSET($BN$2,0,0,ROW()-1,60),ROW()-1,FALSE))</f>
        <v>24.793496340000001</v>
      </c>
      <c r="BE174">
        <f ca="1">IF(AND(ISNUMBER($BE$379),$B$226=1),$BE$379,HLOOKUP(INDIRECT(ADDRESS(2,COLUMN())),OFFSET($BN$2,0,0,ROW()-1,60),ROW()-1,FALSE))</f>
        <v>24.70225688</v>
      </c>
      <c r="BF174">
        <f ca="1">IF(AND(ISNUMBER($BF$379),$B$226=1),$BF$379,HLOOKUP(INDIRECT(ADDRESS(2,COLUMN())),OFFSET($BN$2,0,0,ROW()-1,60),ROW()-1,FALSE))</f>
        <v>24.998782729999999</v>
      </c>
      <c r="BG174">
        <f ca="1">IF(AND(ISNUMBER($BG$379),$B$226=1),$BG$379,HLOOKUP(INDIRECT(ADDRESS(2,COLUMN())),OFFSET($BN$2,0,0,ROW()-1,60),ROW()-1,FALSE))</f>
        <v>27.6529022</v>
      </c>
      <c r="BH174">
        <f ca="1">IF(AND(ISNUMBER($BH$379),$B$226=1),$BH$379,HLOOKUP(INDIRECT(ADDRESS(2,COLUMN())),OFFSET($BN$2,0,0,ROW()-1,60),ROW()-1,FALSE))</f>
        <v>27.51807436</v>
      </c>
      <c r="BI174">
        <f ca="1">IF(AND(ISNUMBER($BI$379),$B$226=1),$BI$379,HLOOKUP(INDIRECT(ADDRESS(2,COLUMN())),OFFSET($BN$2,0,0,ROW()-1,60),ROW()-1,FALSE))</f>
        <v>27.45580026</v>
      </c>
      <c r="BJ174">
        <f ca="1">IF(AND(ISNUMBER($BJ$379),$B$226=1),$BJ$379,HLOOKUP(INDIRECT(ADDRESS(2,COLUMN())),OFFSET($BN$2,0,0,ROW()-1,60),ROW()-1,FALSE))</f>
        <v>27.973975429999999</v>
      </c>
      <c r="BK174">
        <f ca="1">IF(AND(ISNUMBER($BK$379),$B$226=1),$BK$379,HLOOKUP(INDIRECT(ADDRESS(2,COLUMN())),OFFSET($BN$2,0,0,ROW()-1,60),ROW()-1,FALSE))</f>
        <v>28.728288939999999</v>
      </c>
      <c r="BL174">
        <f ca="1">IF(AND(ISNUMBER($BL$379),$B$226=1),$BL$379,HLOOKUP(INDIRECT(ADDRESS(2,COLUMN())),OFFSET($BN$2,0,0,ROW()-1,60),ROW()-1,FALSE))</f>
        <v>30.508750630000002</v>
      </c>
      <c r="BM174">
        <f ca="1">IF(AND(ISNUMBER($BM$379),$B$226=1),$BM$379,HLOOKUP(INDIRECT(ADDRESS(2,COLUMN())),OFFSET($BN$2,0,0,ROW()-1,60),ROW()-1,FALSE))</f>
        <v>30.327205280000001</v>
      </c>
      <c r="BN174" t="str">
        <f>""</f>
        <v/>
      </c>
      <c r="BO174">
        <f>10.38718018</f>
        <v>10.38718018</v>
      </c>
      <c r="BP174">
        <f>10.3724726</f>
        <v>10.3724726</v>
      </c>
      <c r="BQ174">
        <f>10.3843184</f>
        <v>10.3843184</v>
      </c>
      <c r="BR174">
        <f>13.33400811</f>
        <v>13.334008109999999</v>
      </c>
      <c r="BS174">
        <f>14.72551117</f>
        <v>14.725511170000001</v>
      </c>
      <c r="BT174">
        <f>13.65809591</f>
        <v>13.65809591</v>
      </c>
      <c r="BU174">
        <f>16.50598509</f>
        <v>16.505985089999999</v>
      </c>
      <c r="BV174">
        <f>18.08403214</f>
        <v>18.084032140000001</v>
      </c>
      <c r="BW174">
        <f>17.96676707</f>
        <v>17.96676707</v>
      </c>
      <c r="BX174">
        <f>19.45752615</f>
        <v>19.45752615</v>
      </c>
      <c r="BY174">
        <f>19.45953229</f>
        <v>19.459532289999999</v>
      </c>
      <c r="BZ174">
        <f>19.98499383</f>
        <v>19.984993830000001</v>
      </c>
      <c r="CA174">
        <f>19.83269798</f>
        <v>19.832697979999999</v>
      </c>
      <c r="CB174">
        <f>20.28637501</f>
        <v>20.28637501</v>
      </c>
      <c r="CC174">
        <f>20.23440639</f>
        <v>20.23440639</v>
      </c>
      <c r="CD174">
        <f>21.11308376</f>
        <v>21.113083759999999</v>
      </c>
      <c r="CE174">
        <f>21.18295959</f>
        <v>21.182959589999999</v>
      </c>
      <c r="CF174">
        <f>20.45264211</f>
        <v>20.452642109999999</v>
      </c>
      <c r="CG174">
        <f>20.53866936</f>
        <v>20.53866936</v>
      </c>
      <c r="CH174">
        <f>20.68942548</f>
        <v>20.689425480000001</v>
      </c>
      <c r="CI174">
        <f>20.85017531</f>
        <v>20.850175310000001</v>
      </c>
      <c r="CJ174">
        <f>20.83319949</f>
        <v>20.833199489999998</v>
      </c>
      <c r="CK174">
        <f>20.68606626</f>
        <v>20.68606626</v>
      </c>
      <c r="CL174">
        <f>26.12802421</f>
        <v>26.12802421</v>
      </c>
      <c r="CM174">
        <f>28.14243975</f>
        <v>28.142439750000001</v>
      </c>
      <c r="CN174">
        <f>29.70922583</f>
        <v>29.709225830000001</v>
      </c>
      <c r="CO174">
        <f>33.41958279</f>
        <v>33.41958279</v>
      </c>
      <c r="CP174">
        <f>32.19901136</f>
        <v>32.19901136</v>
      </c>
      <c r="CQ174">
        <f>35.51235727</f>
        <v>35.512357270000003</v>
      </c>
      <c r="CR174">
        <f>37.35030648</f>
        <v>37.35030648</v>
      </c>
      <c r="CS174">
        <f>38.53640088</f>
        <v>38.536400880000002</v>
      </c>
      <c r="CT174">
        <f>38.02136397</f>
        <v>38.021363970000003</v>
      </c>
      <c r="CU174">
        <f>38.76061666</f>
        <v>38.760616659999997</v>
      </c>
      <c r="CV174">
        <f>37.18625611</f>
        <v>37.186256110000002</v>
      </c>
      <c r="CW174">
        <f>34.78828171</f>
        <v>34.78828171</v>
      </c>
      <c r="CX174">
        <f>33.11607492</f>
        <v>33.116074920000003</v>
      </c>
      <c r="CY174">
        <f>28.42898784</f>
        <v>28.428987840000001</v>
      </c>
      <c r="CZ174">
        <f>25.78471248</f>
        <v>25.78471248</v>
      </c>
      <c r="DA174">
        <f>23.96310591</f>
        <v>23.963105909999999</v>
      </c>
      <c r="DB174">
        <f>22.71006794</f>
        <v>22.710067939999998</v>
      </c>
      <c r="DC174">
        <f>23.70146472</f>
        <v>23.701464720000001</v>
      </c>
      <c r="DD174">
        <f>25.95151498</f>
        <v>25.951514979999999</v>
      </c>
      <c r="DE174">
        <f>26.11861267</f>
        <v>26.118612670000001</v>
      </c>
      <c r="DF174">
        <f>25.44369383</f>
        <v>25.443693830000001</v>
      </c>
      <c r="DG174">
        <f>25.29834523</f>
        <v>25.298345229999999</v>
      </c>
      <c r="DH174">
        <f>24.81531378</f>
        <v>24.81531378</v>
      </c>
      <c r="DI174">
        <f>24.74654745</f>
        <v>24.746547450000001</v>
      </c>
      <c r="DJ174">
        <f>24.76718455</f>
        <v>24.76718455</v>
      </c>
      <c r="DK174">
        <f>24.57857849</f>
        <v>24.578578490000002</v>
      </c>
      <c r="DL174">
        <f>24.79349634</f>
        <v>24.793496340000001</v>
      </c>
      <c r="DM174">
        <f>24.70225688</f>
        <v>24.70225688</v>
      </c>
      <c r="DN174">
        <f>24.99878273</f>
        <v>24.998782729999999</v>
      </c>
      <c r="DO174">
        <f>27.6529022</f>
        <v>27.6529022</v>
      </c>
      <c r="DP174">
        <f>27.51807436</f>
        <v>27.51807436</v>
      </c>
      <c r="DQ174">
        <f>27.45580026</f>
        <v>27.45580026</v>
      </c>
      <c r="DR174">
        <f>27.97397543</f>
        <v>27.973975429999999</v>
      </c>
      <c r="DS174">
        <f>28.72828894</f>
        <v>28.728288939999999</v>
      </c>
      <c r="DT174">
        <f>30.50875063</f>
        <v>30.508750630000002</v>
      </c>
      <c r="DU174">
        <f>30.32720528</f>
        <v>30.327205280000001</v>
      </c>
    </row>
    <row r="175" spans="1:125">
      <c r="A175" t="str">
        <f>"债务/市值"</f>
        <v>债务/市值</v>
      </c>
      <c r="B175" t="str">
        <f>""</f>
        <v/>
      </c>
      <c r="E175" t="str">
        <f>"Median"</f>
        <v>Median</v>
      </c>
      <c r="F175">
        <f ca="1">IF(ISERROR(IF(MEDIAN($F$176:$F$183) = 0, "", MEDIAN($F$176:$F$183))), "", (IF(MEDIAN($F$176:$F$183) = 0, "", MEDIAN($F$176:$F$183))))</f>
        <v>0.38254664049999998</v>
      </c>
      <c r="G175">
        <f ca="1">IF(ISERROR(IF(MEDIAN($G$176:$G$183) = 0, "", MEDIAN($G$176:$G$183))), "", (IF(MEDIAN($G$176:$G$183) = 0, "", MEDIAN($G$176:$G$183))))</f>
        <v>0.35808032400000001</v>
      </c>
      <c r="H175">
        <f ca="1">IF(ISERROR(IF(MEDIAN($H$176:$H$183) = 0, "", MEDIAN($H$176:$H$183))), "", (IF(MEDIAN($H$176:$H$183) = 0, "", MEDIAN($H$176:$H$183))))</f>
        <v>0.35003993200000005</v>
      </c>
      <c r="I175">
        <f ca="1">IF(ISERROR(IF(MEDIAN($I$176:$I$183) = 0, "", MEDIAN($I$176:$I$183))), "", (IF(MEDIAN($I$176:$I$183) = 0, "", MEDIAN($I$176:$I$183))))</f>
        <v>0.34361151000000001</v>
      </c>
      <c r="J175">
        <f ca="1">IF(ISERROR(IF(MEDIAN($J$176:$J$183) = 0, "", MEDIAN($J$176:$J$183))), "", (IF(MEDIAN($J$176:$J$183) = 0, "", MEDIAN($J$176:$J$183))))</f>
        <v>0.35629121149999998</v>
      </c>
      <c r="K175">
        <f ca="1">IF(ISERROR(IF(MEDIAN($K$176:$K$183) = 0, "", MEDIAN($K$176:$K$183))), "", (IF(MEDIAN($K$176:$K$183) = 0, "", MEDIAN($K$176:$K$183))))</f>
        <v>0.34309466150000001</v>
      </c>
      <c r="L175">
        <f ca="1">IF(ISERROR(IF(MEDIAN($L$176:$L$183) = 0, "", MEDIAN($L$176:$L$183))), "", (IF(MEDIAN($L$176:$L$183) = 0, "", MEDIAN($L$176:$L$183))))</f>
        <v>0.36508510599999999</v>
      </c>
      <c r="M175">
        <f ca="1">IF(ISERROR(IF(MEDIAN($M$176:$M$183) = 0, "", MEDIAN($M$176:$M$183))), "", (IF(MEDIAN($M$176:$M$183) = 0, "", MEDIAN($M$176:$M$183))))</f>
        <v>0.34470198750000003</v>
      </c>
      <c r="N175">
        <f ca="1">IF(ISERROR(IF(MEDIAN($N$176:$N$183) = 0, "", MEDIAN($N$176:$N$183))), "", (IF(MEDIAN($N$176:$N$183) = 0, "", MEDIAN($N$176:$N$183))))</f>
        <v>0.341892431</v>
      </c>
      <c r="O175">
        <f ca="1">IF(ISERROR(IF(MEDIAN($O$176:$O$183) = 0, "", MEDIAN($O$176:$O$183))), "", (IF(MEDIAN($O$176:$O$183) = 0, "", MEDIAN($O$176:$O$183))))</f>
        <v>0.36510761450000001</v>
      </c>
      <c r="P175">
        <f ca="1">IF(ISERROR(IF(MEDIAN($P$176:$P$183) = 0, "", MEDIAN($P$176:$P$183))), "", (IF(MEDIAN($P$176:$P$183) = 0, "", MEDIAN($P$176:$P$183))))</f>
        <v>0.40901775799999995</v>
      </c>
      <c r="Q175">
        <f ca="1">IF(ISERROR(IF(MEDIAN($Q$176:$Q$183) = 0, "", MEDIAN($Q$176:$Q$183))), "", (IF(MEDIAN($Q$176:$Q$183) = 0, "", MEDIAN($Q$176:$Q$183))))</f>
        <v>0.42681455200000001</v>
      </c>
      <c r="R175">
        <f ca="1">IF(ISERROR(IF(MEDIAN($R$176:$R$183) = 0, "", MEDIAN($R$176:$R$183))), "", (IF(MEDIAN($R$176:$R$183) = 0, "", MEDIAN($R$176:$R$183))))</f>
        <v>0.394940607</v>
      </c>
      <c r="S175">
        <f ca="1">IF(ISERROR(IF(MEDIAN($S$176:$S$183) = 0, "", MEDIAN($S$176:$S$183))), "", (IF(MEDIAN($S$176:$S$183) = 0, "", MEDIAN($S$176:$S$183))))</f>
        <v>0.422306509</v>
      </c>
      <c r="T175">
        <f ca="1">IF(ISERROR(IF(MEDIAN($T$176:$T$183) = 0, "", MEDIAN($T$176:$T$183))), "", (IF(MEDIAN($T$176:$T$183) = 0, "", MEDIAN($T$176:$T$183))))</f>
        <v>0.50161927049999999</v>
      </c>
      <c r="U175">
        <f ca="1">IF(ISERROR(IF(MEDIAN($U$176:$U$183) = 0, "", MEDIAN($U$176:$U$183))), "", (IF(MEDIAN($U$176:$U$183) = 0, "", MEDIAN($U$176:$U$183))))</f>
        <v>0.46526566650000001</v>
      </c>
      <c r="V175">
        <f ca="1">IF(ISERROR(IF(MEDIAN($V$176:$V$183) = 0, "", MEDIAN($V$176:$V$183))), "", (IF(MEDIAN($V$176:$V$183) = 0, "", MEDIAN($V$176:$V$183))))</f>
        <v>0.54064349749999996</v>
      </c>
      <c r="W175">
        <f ca="1">IF(ISERROR(IF(MEDIAN($W$176:$W$183) = 0, "", MEDIAN($W$176:$W$183))), "", (IF(MEDIAN($W$176:$W$183) = 0, "", MEDIAN($W$176:$W$183))))</f>
        <v>0.588878711</v>
      </c>
      <c r="X175">
        <f ca="1">IF(ISERROR(IF(MEDIAN($X$176:$X$183) = 0, "", MEDIAN($X$176:$X$183))), "", (IF(MEDIAN($X$176:$X$183) = 0, "", MEDIAN($X$176:$X$183))))</f>
        <v>0.59463231849999998</v>
      </c>
      <c r="Y175">
        <f ca="1">IF(ISERROR(IF(MEDIAN($Y$176:$Y$183) = 0, "", MEDIAN($Y$176:$Y$183))), "", (IF(MEDIAN($Y$176:$Y$183) = 0, "", MEDIAN($Y$176:$Y$183))))</f>
        <v>0.50780719799999996</v>
      </c>
      <c r="Z175">
        <f ca="1">IF(ISERROR(IF(MEDIAN($Z$176:$Z$183) = 0, "", MEDIAN($Z$176:$Z$183))), "", (IF(MEDIAN($Z$176:$Z$183) = 0, "", MEDIAN($Z$176:$Z$183))))</f>
        <v>0.48514483949999998</v>
      </c>
      <c r="AA175">
        <f ca="1">IF(ISERROR(IF(MEDIAN($AA$176:$AA$183) = 0, "", MEDIAN($AA$176:$AA$183))), "", (IF(MEDIAN($AA$176:$AA$183) = 0, "", MEDIAN($AA$176:$AA$183))))</f>
        <v>0.46197430750000001</v>
      </c>
      <c r="AB175">
        <f ca="1">IF(ISERROR(IF(MEDIAN($AB$176:$AB$183) = 0, "", MEDIAN($AB$176:$AB$183))), "", (IF(MEDIAN($AB$176:$AB$183) = 0, "", MEDIAN($AB$176:$AB$183))))</f>
        <v>0.46705251149999999</v>
      </c>
      <c r="AC175">
        <f ca="1">IF(ISERROR(IF(MEDIAN($AC$176:$AC$183) = 0, "", MEDIAN($AC$176:$AC$183))), "", (IF(MEDIAN($AC$176:$AC$183) = 0, "", MEDIAN($AC$176:$AC$183))))</f>
        <v>0.47157705150000001</v>
      </c>
      <c r="AD175">
        <f ca="1">IF(ISERROR(IF(MEDIAN($AD$176:$AD$183) = 0, "", MEDIAN($AD$176:$AD$183))), "", (IF(MEDIAN($AD$176:$AD$183) = 0, "", MEDIAN($AD$176:$AD$183))))</f>
        <v>0.45760971699999997</v>
      </c>
      <c r="AE175">
        <f ca="1">IF(ISERROR(IF(MEDIAN($AE$176:$AE$183) = 0, "", MEDIAN($AE$176:$AE$183))), "", (IF(MEDIAN($AE$176:$AE$183) = 0, "", MEDIAN($AE$176:$AE$183))))</f>
        <v>0.52067577249999997</v>
      </c>
      <c r="AF175">
        <f ca="1">IF(ISERROR(IF(MEDIAN($AF$176:$AF$183) = 0, "", MEDIAN($AF$176:$AF$183))), "", (IF(MEDIAN($AF$176:$AF$183) = 0, "", MEDIAN($AF$176:$AF$183))))</f>
        <v>0.56375752099999998</v>
      </c>
      <c r="AG175">
        <f ca="1">IF(ISERROR(IF(MEDIAN($AG$176:$AG$183) = 0, "", MEDIAN($AG$176:$AG$183))), "", (IF(MEDIAN($AG$176:$AG$183) = 0, "", MEDIAN($AG$176:$AG$183))))</f>
        <v>0.53379047400000001</v>
      </c>
      <c r="AH175">
        <f ca="1">IF(ISERROR(IF(MEDIAN($AH$176:$AH$183) = 0, "", MEDIAN($AH$176:$AH$183))), "", (IF(MEDIAN($AH$176:$AH$183) = 0, "", MEDIAN($AH$176:$AH$183))))</f>
        <v>0.58885971550000005</v>
      </c>
      <c r="AI175">
        <f ca="1">IF(ISERROR(IF(MEDIAN($AI$176:$AI$183) = 0, "", MEDIAN($AI$176:$AI$183))), "", (IF(MEDIAN($AI$176:$AI$183) = 0, "", MEDIAN($AI$176:$AI$183))))</f>
        <v>0.68221114449999998</v>
      </c>
      <c r="AJ175">
        <f ca="1">IF(ISERROR(IF(MEDIAN($AJ$176:$AJ$183) = 0, "", MEDIAN($AJ$176:$AJ$183))), "", (IF(MEDIAN($AJ$176:$AJ$183) = 0, "", MEDIAN($AJ$176:$AJ$183))))</f>
        <v>0.77295246499999992</v>
      </c>
      <c r="AK175">
        <f ca="1">IF(ISERROR(IF(MEDIAN($AK$176:$AK$183) = 0, "", MEDIAN($AK$176:$AK$183))), "", (IF(MEDIAN($AK$176:$AK$183) = 0, "", MEDIAN($AK$176:$AK$183))))</f>
        <v>0.85000126149999999</v>
      </c>
      <c r="AL175">
        <f ca="1">IF(ISERROR(IF(MEDIAN($AL$176:$AL$183) = 0, "", MEDIAN($AL$176:$AL$183))), "", (IF(MEDIAN($AL$176:$AL$183) = 0, "", MEDIAN($AL$176:$AL$183))))</f>
        <v>0.88103708399999991</v>
      </c>
      <c r="AM175">
        <f ca="1">IF(ISERROR(IF(MEDIAN($AM$176:$AM$183) = 0, "", MEDIAN($AM$176:$AM$183))), "", (IF(MEDIAN($AM$176:$AM$183) = 0, "", MEDIAN($AM$176:$AM$183))))</f>
        <v>0.98500798749999996</v>
      </c>
      <c r="AN175">
        <f ca="1">IF(ISERROR(IF(MEDIAN($AN$176:$AN$183) = 0, "", MEDIAN($AN$176:$AN$183))), "", (IF(MEDIAN($AN$176:$AN$183) = 0, "", MEDIAN($AN$176:$AN$183))))</f>
        <v>1.023227152</v>
      </c>
      <c r="AO175">
        <f ca="1">IF(ISERROR(IF(MEDIAN($AO$176:$AO$183) = 0, "", MEDIAN($AO$176:$AO$183))), "", (IF(MEDIAN($AO$176:$AO$183) = 0, "", MEDIAN($AO$176:$AO$183))))</f>
        <v>1.3718199549999999</v>
      </c>
      <c r="AP175">
        <f ca="1">IF(ISERROR(IF(MEDIAN($AP$176:$AP$183) = 0, "", MEDIAN($AP$176:$AP$183))), "", (IF(MEDIAN($AP$176:$AP$183) = 0, "", MEDIAN($AP$176:$AP$183))))</f>
        <v>1.8986215679999998</v>
      </c>
      <c r="AQ175">
        <f ca="1">IF(ISERROR(IF(MEDIAN($AQ$176:$AQ$183) = 0, "", MEDIAN($AQ$176:$AQ$183))), "", (IF(MEDIAN($AQ$176:$AQ$183) = 0, "", MEDIAN($AQ$176:$AQ$183))))</f>
        <v>1.3831124895</v>
      </c>
      <c r="AR175">
        <f ca="1">IF(ISERROR(IF(MEDIAN($AR$176:$AR$183) = 0, "", MEDIAN($AR$176:$AR$183))), "", (IF(MEDIAN($AR$176:$AR$183) = 0, "", MEDIAN($AR$176:$AR$183))))</f>
        <v>0.93796301849999997</v>
      </c>
      <c r="AS175">
        <f ca="1">IF(ISERROR(IF(MEDIAN($AS$176:$AS$183) = 0, "", MEDIAN($AS$176:$AS$183))), "", (IF(MEDIAN($AS$176:$AS$183) = 0, "", MEDIAN($AS$176:$AS$183))))</f>
        <v>1.0376269035000001</v>
      </c>
      <c r="AT175">
        <f ca="1">IF(ISERROR(IF(MEDIAN($AT$176:$AT$183) = 0, "", MEDIAN($AT$176:$AT$183))), "", (IF(MEDIAN($AT$176:$AT$183) = 0, "", MEDIAN($AT$176:$AT$183))))</f>
        <v>0.92715605000000001</v>
      </c>
      <c r="AU175">
        <f ca="1">IF(ISERROR(IF(MEDIAN($AU$176:$AU$183) = 0, "", MEDIAN($AU$176:$AU$183))), "", (IF(MEDIAN($AU$176:$AU$183) = 0, "", MEDIAN($AU$176:$AU$183))))</f>
        <v>1.0279507460000001</v>
      </c>
      <c r="AV175">
        <f ca="1">IF(ISERROR(IF(MEDIAN($AV$176:$AV$183) = 0, "", MEDIAN($AV$176:$AV$183))), "", (IF(MEDIAN($AV$176:$AV$183) = 0, "", MEDIAN($AV$176:$AV$183))))</f>
        <v>0.83483268200000005</v>
      </c>
      <c r="AW175">
        <f ca="1">IF(ISERROR(IF(MEDIAN($AW$176:$AW$183) = 0, "", MEDIAN($AW$176:$AW$183))), "", (IF(MEDIAN($AW$176:$AW$183) = 0, "", MEDIAN($AW$176:$AW$183))))</f>
        <v>0.77284635650000011</v>
      </c>
      <c r="AX175">
        <f ca="1">IF(ISERROR(IF(MEDIAN($AX$176:$AX$183) = 0, "", MEDIAN($AX$176:$AX$183))), "", (IF(MEDIAN($AX$176:$AX$183) = 0, "", MEDIAN($AX$176:$AX$183))))</f>
        <v>0.70175569000000004</v>
      </c>
      <c r="AY175">
        <f ca="1">IF(ISERROR(IF(MEDIAN($AY$176:$AY$183) = 0, "", MEDIAN($AY$176:$AY$183))), "", (IF(MEDIAN($AY$176:$AY$183) = 0, "", MEDIAN($AY$176:$AY$183))))</f>
        <v>0.62292887749999992</v>
      </c>
      <c r="AZ175">
        <f ca="1">IF(ISERROR(IF(MEDIAN($AZ$176:$AZ$183) = 0, "", MEDIAN($AZ$176:$AZ$183))), "", (IF(MEDIAN($AZ$176:$AZ$183) = 0, "", MEDIAN($AZ$176:$AZ$183))))</f>
        <v>0.65924024599999997</v>
      </c>
      <c r="BA175">
        <f ca="1">IF(ISERROR(IF(MEDIAN($BA$176:$BA$183) = 0, "", MEDIAN($BA$176:$BA$183))), "", (IF(MEDIAN($BA$176:$BA$183) = 0, "", MEDIAN($BA$176:$BA$183))))</f>
        <v>0.74961514699999998</v>
      </c>
      <c r="BB175">
        <f ca="1">IF(ISERROR(IF(MEDIAN($BB$176:$BB$183) = 0, "", MEDIAN($BB$176:$BB$183))), "", (IF(MEDIAN($BB$176:$BB$183) = 0, "", MEDIAN($BB$176:$BB$183))))</f>
        <v>0.79730674550000002</v>
      </c>
      <c r="BC175">
        <f ca="1">IF(ISERROR(IF(MEDIAN($BC$176:$BC$183) = 0, "", MEDIAN($BC$176:$BC$183))), "", (IF(MEDIAN($BC$176:$BC$183) = 0, "", MEDIAN($BC$176:$BC$183))))</f>
        <v>0.77805760150000003</v>
      </c>
      <c r="BD175">
        <f ca="1">IF(ISERROR(IF(MEDIAN($BD$176:$BD$183) = 0, "", MEDIAN($BD$176:$BD$183))), "", (IF(MEDIAN($BD$176:$BD$183) = 0, "", MEDIAN($BD$176:$BD$183))))</f>
        <v>0.79533587500000003</v>
      </c>
      <c r="BE175">
        <f ca="1">IF(ISERROR(IF(MEDIAN($BE$176:$BE$183) = 0, "", MEDIAN($BE$176:$BE$183))), "", (IF(MEDIAN($BE$176:$BE$183) = 0, "", MEDIAN($BE$176:$BE$183))))</f>
        <v>0.85264939899999992</v>
      </c>
      <c r="BF175">
        <f ca="1">IF(ISERROR(IF(MEDIAN($BF$176:$BF$183) = 0, "", MEDIAN($BF$176:$BF$183))), "", (IF(MEDIAN($BF$176:$BF$183) = 0, "", MEDIAN($BF$176:$BF$183))))</f>
        <v>0.93049856499999994</v>
      </c>
      <c r="BG175">
        <f ca="1">IF(ISERROR(IF(MEDIAN($BG$176:$BG$183) = 0, "", MEDIAN($BG$176:$BG$183))), "", (IF(MEDIAN($BG$176:$BG$183) = 0, "", MEDIAN($BG$176:$BG$183))))</f>
        <v>0.70851590399999997</v>
      </c>
      <c r="BH175">
        <f ca="1">IF(ISERROR(IF(MEDIAN($BH$176:$BH$183) = 0, "", MEDIAN($BH$176:$BH$183))), "", (IF(MEDIAN($BH$176:$BH$183) = 0, "", MEDIAN($BH$176:$BH$183))))</f>
        <v>0.82443247799999997</v>
      </c>
      <c r="BI175">
        <f ca="1">IF(ISERROR(IF(MEDIAN($BI$176:$BI$183) = 0, "", MEDIAN($BI$176:$BI$183))), "", (IF(MEDIAN($BI$176:$BI$183) = 0, "", MEDIAN($BI$176:$BI$183))))</f>
        <v>0.82905755349999999</v>
      </c>
      <c r="BJ175">
        <f ca="1">IF(ISERROR(IF(MEDIAN($BJ$176:$BJ$183) = 0, "", MEDIAN($BJ$176:$BJ$183))), "", (IF(MEDIAN($BJ$176:$BJ$183) = 0, "", MEDIAN($BJ$176:$BJ$183))))</f>
        <v>0.81545257199999999</v>
      </c>
      <c r="BK175">
        <f ca="1">IF(ISERROR(IF(MEDIAN($BK$176:$BK$183) = 0, "", MEDIAN($BK$176:$BK$183))), "", (IF(MEDIAN($BK$176:$BK$183) = 0, "", MEDIAN($BK$176:$BK$183))))</f>
        <v>0.77594249500000001</v>
      </c>
      <c r="BL175">
        <f ca="1">IF(ISERROR(IF(MEDIAN($BL$176:$BL$183) = 0, "", MEDIAN($BL$176:$BL$183))), "", (IF(MEDIAN($BL$176:$BL$183) = 0, "", MEDIAN($BL$176:$BL$183))))</f>
        <v>0.82738665999999994</v>
      </c>
      <c r="BM175">
        <f ca="1">IF(ISERROR(IF(MEDIAN($BM$176:$BM$183) = 0, "", MEDIAN($BM$176:$BM$183))), "", (IF(MEDIAN($BM$176:$BM$183) = 0, "", MEDIAN($BM$176:$BM$183))))</f>
        <v>0.98320344599999998</v>
      </c>
      <c r="BN175">
        <f>0.382546641</f>
        <v>0.38254664100000002</v>
      </c>
      <c r="BO175">
        <f>0.358080324</f>
        <v>0.35808032400000001</v>
      </c>
      <c r="BP175">
        <f>0.350039932</f>
        <v>0.350039932</v>
      </c>
      <c r="BQ175">
        <f>0.34361151</f>
        <v>0.34361151000000001</v>
      </c>
      <c r="BR175">
        <f>0.356291212</f>
        <v>0.35629121200000002</v>
      </c>
      <c r="BS175">
        <f>0.343094662</f>
        <v>0.34309466199999999</v>
      </c>
      <c r="BT175">
        <f>0.365085106</f>
        <v>0.36508510599999999</v>
      </c>
      <c r="BU175">
        <f>0.344701987</f>
        <v>0.34470198699999999</v>
      </c>
      <c r="BV175">
        <f>0.341892431</f>
        <v>0.341892431</v>
      </c>
      <c r="BW175">
        <f>0.365107614</f>
        <v>0.36510761400000002</v>
      </c>
      <c r="BX175">
        <f>0.409017758</f>
        <v>0.40901775800000001</v>
      </c>
      <c r="BY175">
        <f>0.426814552</f>
        <v>0.42681455200000001</v>
      </c>
      <c r="BZ175">
        <f>0.394940607</f>
        <v>0.394940607</v>
      </c>
      <c r="CA175">
        <f>0.422306509</f>
        <v>0.422306509</v>
      </c>
      <c r="CB175">
        <f>0.50161927</f>
        <v>0.50161926999999995</v>
      </c>
      <c r="CC175">
        <f>0.465265666</f>
        <v>0.46526566600000002</v>
      </c>
      <c r="CD175">
        <f>0.540643498</f>
        <v>0.540643498</v>
      </c>
      <c r="CE175">
        <f>0.588878711</f>
        <v>0.588878711</v>
      </c>
      <c r="CF175">
        <f>0.594632319</f>
        <v>0.59463231900000002</v>
      </c>
      <c r="CG175">
        <f>0.507807198</f>
        <v>0.50780719799999996</v>
      </c>
      <c r="CH175">
        <f>0.48514484</f>
        <v>0.48514484000000002</v>
      </c>
      <c r="CI175">
        <f>0.461974307</f>
        <v>0.46197430699999997</v>
      </c>
      <c r="CJ175">
        <f>0.467052512</f>
        <v>0.46705251199999998</v>
      </c>
      <c r="CK175">
        <f>0.471577051</f>
        <v>0.47157705100000002</v>
      </c>
      <c r="CL175">
        <f>0.457609717</f>
        <v>0.45760971700000003</v>
      </c>
      <c r="CM175">
        <f>0.520675772</f>
        <v>0.52067577200000004</v>
      </c>
      <c r="CN175">
        <f>0.563757521</f>
        <v>0.56375752099999998</v>
      </c>
      <c r="CO175">
        <f>0.533790474</f>
        <v>0.53379047400000001</v>
      </c>
      <c r="CP175">
        <f>0.588859716</f>
        <v>0.58885971599999998</v>
      </c>
      <c r="CQ175">
        <f>0.682211144</f>
        <v>0.68221114400000005</v>
      </c>
      <c r="CR175">
        <f>0.772952465</f>
        <v>0.77295246500000003</v>
      </c>
      <c r="CS175">
        <f>0.850001261</f>
        <v>0.85000126099999995</v>
      </c>
      <c r="CT175">
        <f>0.881037084</f>
        <v>0.88103708400000003</v>
      </c>
      <c r="CU175">
        <f>0.985007988</f>
        <v>0.985007988</v>
      </c>
      <c r="CV175">
        <f>1.023227152</f>
        <v>1.023227152</v>
      </c>
      <c r="CW175">
        <f>1.371819955</f>
        <v>1.3718199550000001</v>
      </c>
      <c r="CX175">
        <f>1.898621568</f>
        <v>1.898621568</v>
      </c>
      <c r="CY175">
        <f>1.383112489</f>
        <v>1.3831124889999999</v>
      </c>
      <c r="CZ175">
        <f>0.937963019</f>
        <v>0.93796301900000001</v>
      </c>
      <c r="DA175">
        <f>1.037626904</f>
        <v>1.0376269039999999</v>
      </c>
      <c r="DB175">
        <f>0.92715605</f>
        <v>0.92715605000000001</v>
      </c>
      <c r="DC175">
        <f>1.027950746</f>
        <v>1.0279507459999999</v>
      </c>
      <c r="DD175">
        <f>0.834832682</f>
        <v>0.83483268200000005</v>
      </c>
      <c r="DE175">
        <f>0.772846356</f>
        <v>0.77284635599999996</v>
      </c>
      <c r="DF175">
        <f>0.70175569</f>
        <v>0.70175569000000004</v>
      </c>
      <c r="DG175">
        <f>0.622928877</f>
        <v>0.62292887699999999</v>
      </c>
      <c r="DH175">
        <f>0.659240246</f>
        <v>0.65924024599999997</v>
      </c>
      <c r="DI175">
        <f>0.749615147</f>
        <v>0.74961514699999998</v>
      </c>
      <c r="DJ175">
        <f>0.797306745</f>
        <v>0.79730674499999998</v>
      </c>
      <c r="DK175">
        <f>0.778057602</f>
        <v>0.77805760199999996</v>
      </c>
      <c r="DL175">
        <f>0.795335875</f>
        <v>0.79533587500000003</v>
      </c>
      <c r="DM175">
        <f>0.852649399</f>
        <v>0.85264939900000003</v>
      </c>
      <c r="DN175">
        <f>0.930498565</f>
        <v>0.93049856500000006</v>
      </c>
      <c r="DO175">
        <f>0.708515904</f>
        <v>0.70851590399999997</v>
      </c>
      <c r="DP175">
        <f>0.824432478</f>
        <v>0.82443247799999997</v>
      </c>
      <c r="DQ175">
        <f>0.829057553</f>
        <v>0.82905755299999995</v>
      </c>
      <c r="DR175">
        <f>0.815452572</f>
        <v>0.81545257199999999</v>
      </c>
      <c r="DS175">
        <f>0.775942495</f>
        <v>0.77594249500000001</v>
      </c>
      <c r="DT175">
        <f>0.82738666</f>
        <v>0.82738666000000005</v>
      </c>
      <c r="DU175">
        <f>0.983203446</f>
        <v>0.98320344599999998</v>
      </c>
    </row>
    <row r="176" spans="1:125">
      <c r="A176" t="str">
        <f>"    American Campus Communities In"</f>
        <v xml:space="preserve">    American Campus Communities In</v>
      </c>
      <c r="B176" t="str">
        <f>"ACC US Equity"</f>
        <v>ACC US Equity</v>
      </c>
      <c r="C176" t="str">
        <f t="shared" ref="C176:C183" si="57">"RR263"</f>
        <v>RR263</v>
      </c>
      <c r="D176" t="str">
        <f t="shared" ref="D176:D183" si="58">"DEBT_TO_MKT_CAP"</f>
        <v>DEBT_TO_MKT_CAP</v>
      </c>
      <c r="E176" t="str">
        <f t="shared" ref="E176:E183" si="59">"动态"</f>
        <v>动态</v>
      </c>
      <c r="F176">
        <f ca="1">IF(AND(ISNUMBER($F$380),$B$226=1),$F$380,HLOOKUP(INDIRECT(ADDRESS(2,COLUMN())),OFFSET($BN$2,0,0,ROW()-1,60),ROW()-1,FALSE))</f>
        <v>0.58112947500000001</v>
      </c>
      <c r="G176">
        <f ca="1">IF(AND(ISNUMBER($G$380),$B$226=1),$G$380,HLOOKUP(INDIRECT(ADDRESS(2,COLUMN())),OFFSET($BN$2,0,0,ROW()-1,60),ROW()-1,FALSE))</f>
        <v>0.54032622100000005</v>
      </c>
      <c r="H176">
        <f ca="1">IF(AND(ISNUMBER($H$380),$B$226=1),$H$380,HLOOKUP(INDIRECT(ADDRESS(2,COLUMN())),OFFSET($BN$2,0,0,ROW()-1,60),ROW()-1,FALSE))</f>
        <v>0.45926934400000002</v>
      </c>
      <c r="I176">
        <f ca="1">IF(AND(ISNUMBER($I$380),$B$226=1),$I$380,HLOOKUP(INDIRECT(ADDRESS(2,COLUMN())),OFFSET($BN$2,0,0,ROW()-1,60),ROW()-1,FALSE))</f>
        <v>0.37214568399999998</v>
      </c>
      <c r="J176">
        <f ca="1">IF(AND(ISNUMBER($J$380),$B$226=1),$J$380,HLOOKUP(INDIRECT(ADDRESS(2,COLUMN())),OFFSET($BN$2,0,0,ROW()-1,60),ROW()-1,FALSE))</f>
        <v>0.34775550500000002</v>
      </c>
      <c r="K176">
        <f ca="1">IF(AND(ISNUMBER($K$380),$B$226=1),$K$380,HLOOKUP(INDIRECT(ADDRESS(2,COLUMN())),OFFSET($BN$2,0,0,ROW()-1,60),ROW()-1,FALSE))</f>
        <v>0.32325853700000001</v>
      </c>
      <c r="L176">
        <f ca="1">IF(AND(ISNUMBER($L$380),$B$226=1),$L$380,HLOOKUP(INDIRECT(ADDRESS(2,COLUMN())),OFFSET($BN$2,0,0,ROW()-1,60),ROW()-1,FALSE))</f>
        <v>0.37431825299999999</v>
      </c>
      <c r="M176">
        <f ca="1">IF(AND(ISNUMBER($M$380),$B$226=1),$M$380,HLOOKUP(INDIRECT(ADDRESS(2,COLUMN())),OFFSET($BN$2,0,0,ROW()-1,60),ROW()-1,FALSE))</f>
        <v>0.375646808</v>
      </c>
      <c r="N176">
        <f ca="1">IF(AND(ISNUMBER($N$380),$B$226=1),$N$380,HLOOKUP(INDIRECT(ADDRESS(2,COLUMN())),OFFSET($BN$2,0,0,ROW()-1,60),ROW()-1,FALSE))</f>
        <v>0.42706278600000003</v>
      </c>
      <c r="O176">
        <f ca="1">IF(AND(ISNUMBER($O$380),$B$226=1),$O$380,HLOOKUP(INDIRECT(ADDRESS(2,COLUMN())),OFFSET($BN$2,0,0,ROW()-1,60),ROW()-1,FALSE))</f>
        <v>0.63489951499999997</v>
      </c>
      <c r="P176">
        <f ca="1">IF(AND(ISNUMBER($P$380),$B$226=1),$P$380,HLOOKUP(INDIRECT(ADDRESS(2,COLUMN())),OFFSET($BN$2,0,0,ROW()-1,60),ROW()-1,FALSE))</f>
        <v>0.71769522200000002</v>
      </c>
      <c r="Q176">
        <f ca="1">IF(AND(ISNUMBER($Q$380),$B$226=1),$Q$380,HLOOKUP(INDIRECT(ADDRESS(2,COLUMN())),OFFSET($BN$2,0,0,ROW()-1,60),ROW()-1,FALSE))</f>
        <v>0.64567376700000001</v>
      </c>
      <c r="R176">
        <f ca="1">IF(AND(ISNUMBER($R$380),$B$226=1),$R$380,HLOOKUP(INDIRECT(ADDRESS(2,COLUMN())),OFFSET($BN$2,0,0,ROW()-1,60),ROW()-1,FALSE))</f>
        <v>0.56596809199999998</v>
      </c>
      <c r="S176">
        <f ca="1">IF(AND(ISNUMBER($S$380),$B$226=1),$S$380,HLOOKUP(INDIRECT(ADDRESS(2,COLUMN())),OFFSET($BN$2,0,0,ROW()-1,60),ROW()-1,FALSE))</f>
        <v>0.68374675500000004</v>
      </c>
      <c r="T176">
        <f ca="1">IF(AND(ISNUMBER($T$380),$B$226=1),$T$380,HLOOKUP(INDIRECT(ADDRESS(2,COLUMN())),OFFSET($BN$2,0,0,ROW()-1,60),ROW()-1,FALSE))</f>
        <v>0.76458034100000005</v>
      </c>
      <c r="U176">
        <f ca="1">IF(AND(ISNUMBER($U$380),$B$226=1),$U$380,HLOOKUP(INDIRECT(ADDRESS(2,COLUMN())),OFFSET($BN$2,0,0,ROW()-1,60),ROW()-1,FALSE))</f>
        <v>0.72572561700000005</v>
      </c>
      <c r="V176">
        <f ca="1">IF(AND(ISNUMBER($V$380),$B$226=1),$V$380,HLOOKUP(INDIRECT(ADDRESS(2,COLUMN())),OFFSET($BN$2,0,0,ROW()-1,60),ROW()-1,FALSE))</f>
        <v>0.71219282900000003</v>
      </c>
      <c r="W176">
        <f ca="1">IF(AND(ISNUMBER($W$380),$B$226=1),$W$380,HLOOKUP(INDIRECT(ADDRESS(2,COLUMN())),OFFSET($BN$2,0,0,ROW()-1,60),ROW()-1,FALSE))</f>
        <v>0.81313858800000005</v>
      </c>
      <c r="X176">
        <f ca="1">IF(AND(ISNUMBER($X$380),$B$226=1),$X$380,HLOOKUP(INDIRECT(ADDRESS(2,COLUMN())),OFFSET($BN$2,0,0,ROW()-1,60),ROW()-1,FALSE))</f>
        <v>0.68029573399999999</v>
      </c>
      <c r="Y176">
        <f ca="1">IF(AND(ISNUMBER($Y$380),$B$226=1),$Y$380,HLOOKUP(INDIRECT(ADDRESS(2,COLUMN())),OFFSET($BN$2,0,0,ROW()-1,60),ROW()-1,FALSE))</f>
        <v>0.575152106</v>
      </c>
      <c r="Z176">
        <f ca="1">IF(AND(ISNUMBER($Z$380),$B$226=1),$Z$380,HLOOKUP(INDIRECT(ADDRESS(2,COLUMN())),OFFSET($BN$2,0,0,ROW()-1,60),ROW()-1,FALSE))</f>
        <v>0.48285686999999999</v>
      </c>
      <c r="AA176">
        <f ca="1">IF(AND(ISNUMBER($AA$380),$B$226=1),$AA$380,HLOOKUP(INDIRECT(ADDRESS(2,COLUMN())),OFFSET($BN$2,0,0,ROW()-1,60),ROW()-1,FALSE))</f>
        <v>0.460171212</v>
      </c>
      <c r="AB176">
        <f ca="1">IF(AND(ISNUMBER($AB$380),$B$226=1),$AB$380,HLOOKUP(INDIRECT(ADDRESS(2,COLUMN())),OFFSET($BN$2,0,0,ROW()-1,60),ROW()-1,FALSE))</f>
        <v>0.45324651599999999</v>
      </c>
      <c r="AC176">
        <f ca="1">IF(AND(ISNUMBER($AC$380),$B$226=1),$AC$380,HLOOKUP(INDIRECT(ADDRESS(2,COLUMN())),OFFSET($BN$2,0,0,ROW()-1,60),ROW()-1,FALSE))</f>
        <v>0.484178475</v>
      </c>
      <c r="AD176">
        <f ca="1">IF(AND(ISNUMBER($AD$380),$B$226=1),$AD$380,HLOOKUP(INDIRECT(ADDRESS(2,COLUMN())),OFFSET($BN$2,0,0,ROW()-1,60),ROW()-1,FALSE))</f>
        <v>0.44601859700000002</v>
      </c>
      <c r="AE176">
        <f ca="1">IF(AND(ISNUMBER($AE$380),$B$226=1),$AE$380,HLOOKUP(INDIRECT(ADDRESS(2,COLUMN())),OFFSET($BN$2,0,0,ROW()-1,60),ROW()-1,FALSE))</f>
        <v>0.48686931700000002</v>
      </c>
      <c r="AF176">
        <f ca="1">IF(AND(ISNUMBER($AF$380),$B$226=1),$AF$380,HLOOKUP(INDIRECT(ADDRESS(2,COLUMN())),OFFSET($BN$2,0,0,ROW()-1,60),ROW()-1,FALSE))</f>
        <v>0.47816075499999999</v>
      </c>
      <c r="AG176">
        <f ca="1">IF(AND(ISNUMBER($AG$380),$B$226=1),$AG$380,HLOOKUP(INDIRECT(ADDRESS(2,COLUMN())),OFFSET($BN$2,0,0,ROW()-1,60),ROW()-1,FALSE))</f>
        <v>0.49883501099999999</v>
      </c>
      <c r="AH176">
        <f ca="1">IF(AND(ISNUMBER($AH$380),$B$226=1),$AH$380,HLOOKUP(INDIRECT(ADDRESS(2,COLUMN())),OFFSET($BN$2,0,0,ROW()-1,60),ROW()-1,FALSE))</f>
        <v>0.58279239800000004</v>
      </c>
      <c r="AI176">
        <f ca="1">IF(AND(ISNUMBER($AI$380),$B$226=1),$AI$380,HLOOKUP(INDIRECT(ADDRESS(2,COLUMN())),OFFSET($BN$2,0,0,ROW()-1,60),ROW()-1,FALSE))</f>
        <v>0.63434975800000004</v>
      </c>
      <c r="AJ176">
        <f ca="1">IF(AND(ISNUMBER($AJ$380),$B$226=1),$AJ$380,HLOOKUP(INDIRECT(ADDRESS(2,COLUMN())),OFFSET($BN$2,0,0,ROW()-1,60),ROW()-1,FALSE))</f>
        <v>0.63992753700000005</v>
      </c>
      <c r="AK176">
        <f ca="1">IF(AND(ISNUMBER($AK$380),$B$226=1),$AK$380,HLOOKUP(INDIRECT(ADDRESS(2,COLUMN())),OFFSET($BN$2,0,0,ROW()-1,60),ROW()-1,FALSE))</f>
        <v>0.820304857</v>
      </c>
      <c r="AL176">
        <f ca="1">IF(AND(ISNUMBER($AL$380),$B$226=1),$AL$380,HLOOKUP(INDIRECT(ADDRESS(2,COLUMN())),OFFSET($BN$2,0,0,ROW()-1,60),ROW()-1,FALSE))</f>
        <v>0.80918564699999995</v>
      </c>
      <c r="AM176">
        <f ca="1">IF(AND(ISNUMBER($AM$380),$B$226=1),$AM$380,HLOOKUP(INDIRECT(ADDRESS(2,COLUMN())),OFFSET($BN$2,0,0,ROW()-1,60),ROW()-1,FALSE))</f>
        <v>0.83402436099999999</v>
      </c>
      <c r="AN176">
        <f ca="1">IF(AND(ISNUMBER($AN$380),$B$226=1),$AN$380,HLOOKUP(INDIRECT(ADDRESS(2,COLUMN())),OFFSET($BN$2,0,0,ROW()-1,60),ROW()-1,FALSE))</f>
        <v>0.891681104</v>
      </c>
      <c r="AO176">
        <f ca="1">IF(AND(ISNUMBER($AO$380),$B$226=1),$AO$380,HLOOKUP(INDIRECT(ADDRESS(2,COLUMN())),OFFSET($BN$2,0,0,ROW()-1,60),ROW()-1,FALSE))</f>
        <v>1.027970045</v>
      </c>
      <c r="AP176">
        <f ca="1">IF(AND(ISNUMBER($AP$380),$B$226=1),$AP$380,HLOOKUP(INDIRECT(ADDRESS(2,COLUMN())),OFFSET($BN$2,0,0,ROW()-1,60),ROW()-1,FALSE))</f>
        <v>1.7830441379999999</v>
      </c>
      <c r="AQ176">
        <f ca="1">IF(AND(ISNUMBER($AQ$380),$B$226=1),$AQ$380,HLOOKUP(INDIRECT(ADDRESS(2,COLUMN())),OFFSET($BN$2,0,0,ROW()-1,60),ROW()-1,FALSE))</f>
        <v>1.473781609</v>
      </c>
      <c r="AR176">
        <f ca="1">IF(AND(ISNUMBER($AR$380),$B$226=1),$AR$380,HLOOKUP(INDIRECT(ADDRESS(2,COLUMN())),OFFSET($BN$2,0,0,ROW()-1,60),ROW()-1,FALSE))</f>
        <v>0.87517460499999999</v>
      </c>
      <c r="AS176">
        <f ca="1">IF(AND(ISNUMBER($AS$380),$B$226=1),$AS$380,HLOOKUP(INDIRECT(ADDRESS(2,COLUMN())),OFFSET($BN$2,0,0,ROW()-1,60),ROW()-1,FALSE))</f>
        <v>1.1626679209999999</v>
      </c>
      <c r="AT176">
        <f ca="1">IF(AND(ISNUMBER($AT$380),$B$226=1),$AT$380,HLOOKUP(INDIRECT(ADDRESS(2,COLUMN())),OFFSET($BN$2,0,0,ROW()-1,60),ROW()-1,FALSE))</f>
        <v>0.80782130399999996</v>
      </c>
      <c r="AU176">
        <f ca="1">IF(AND(ISNUMBER($AU$380),$B$226=1),$AU$380,HLOOKUP(INDIRECT(ADDRESS(2,COLUMN())),OFFSET($BN$2,0,0,ROW()-1,60),ROW()-1,FALSE))</f>
        <v>0.74149260299999997</v>
      </c>
      <c r="AV176">
        <f ca="1">IF(AND(ISNUMBER($AV$380),$B$226=1),$AV$380,HLOOKUP(INDIRECT(ADDRESS(2,COLUMN())),OFFSET($BN$2,0,0,ROW()-1,60),ROW()-1,FALSE))</f>
        <v>0.85808087300000002</v>
      </c>
      <c r="AW176">
        <f ca="1">IF(AND(ISNUMBER($AW$380),$B$226=1),$AW$380,HLOOKUP(INDIRECT(ADDRESS(2,COLUMN())),OFFSET($BN$2,0,0,ROW()-1,60),ROW()-1,FALSE))</f>
        <v>0.82851906900000005</v>
      </c>
      <c r="AX176">
        <f ca="1">IF(AND(ISNUMBER($AX$380),$B$226=1),$AX$380,HLOOKUP(INDIRECT(ADDRESS(2,COLUMN())),OFFSET($BN$2,0,0,ROW()-1,60),ROW()-1,FALSE))</f>
        <v>0.76128939500000004</v>
      </c>
      <c r="AY176">
        <f ca="1">IF(AND(ISNUMBER($AY$380),$B$226=1),$AY$380,HLOOKUP(INDIRECT(ADDRESS(2,COLUMN())),OFFSET($BN$2,0,0,ROW()-1,60),ROW()-1,FALSE))</f>
        <v>0.66297551499999996</v>
      </c>
      <c r="AZ176">
        <f ca="1">IF(AND(ISNUMBER($AZ$380),$B$226=1),$AZ$380,HLOOKUP(INDIRECT(ADDRESS(2,COLUMN())),OFFSET($BN$2,0,0,ROW()-1,60),ROW()-1,FALSE))</f>
        <v>0.75255580899999996</v>
      </c>
      <c r="BA176">
        <f ca="1">IF(AND(ISNUMBER($BA$380),$B$226=1),$BA$380,HLOOKUP(INDIRECT(ADDRESS(2,COLUMN())),OFFSET($BN$2,0,0,ROW()-1,60),ROW()-1,FALSE))</f>
        <v>1.1952764789999999</v>
      </c>
      <c r="BB176">
        <f ca="1">IF(AND(ISNUMBER($BB$380),$B$226=1),$BB$380,HLOOKUP(INDIRECT(ADDRESS(2,COLUMN())),OFFSET($BN$2,0,0,ROW()-1,60),ROW()-1,FALSE))</f>
        <v>1.099247394</v>
      </c>
      <c r="BC176">
        <f ca="1">IF(AND(ISNUMBER($BC$380),$B$226=1),$BC$380,HLOOKUP(INDIRECT(ADDRESS(2,COLUMN())),OFFSET($BN$2,0,0,ROW()-1,60),ROW()-1,FALSE))</f>
        <v>0.68411396099999999</v>
      </c>
      <c r="BD176">
        <f ca="1">IF(AND(ISNUMBER($BD$380),$B$226=1),$BD$380,HLOOKUP(INDIRECT(ADDRESS(2,COLUMN())),OFFSET($BN$2,0,0,ROW()-1,60),ROW()-1,FALSE))</f>
        <v>0.706610089</v>
      </c>
      <c r="BE176">
        <f ca="1">IF(AND(ISNUMBER($BE$380),$B$226=1),$BE$380,HLOOKUP(INDIRECT(ADDRESS(2,COLUMN())),OFFSET($BN$2,0,0,ROW()-1,60),ROW()-1,FALSE))</f>
        <v>0.89533109399999999</v>
      </c>
      <c r="BF176">
        <f ca="1">IF(AND(ISNUMBER($BF$380),$B$226=1),$BF$380,HLOOKUP(INDIRECT(ADDRESS(2,COLUMN())),OFFSET($BN$2,0,0,ROW()-1,60),ROW()-1,FALSE))</f>
        <v>1.1816062220000001</v>
      </c>
      <c r="BG176">
        <f ca="1">IF(AND(ISNUMBER($BG$380),$B$226=1),$BG$380,HLOOKUP(INDIRECT(ADDRESS(2,COLUMN())),OFFSET($BN$2,0,0,ROW()-1,60),ROW()-1,FALSE))</f>
        <v>0.70851590399999997</v>
      </c>
      <c r="BH176">
        <f ca="1">IF(AND(ISNUMBER($BH$380),$B$226=1),$BH$380,HLOOKUP(INDIRECT(ADDRESS(2,COLUMN())),OFFSET($BN$2,0,0,ROW()-1,60),ROW()-1,FALSE))</f>
        <v>0.82443247799999997</v>
      </c>
      <c r="BI176" t="str">
        <f ca="1">IF(AND(ISNUMBER($BI$380),$B$226=1),$BI$380,HLOOKUP(INDIRECT(ADDRESS(2,COLUMN())),OFFSET($BN$2,0,0,ROW()-1,60),ROW()-1,FALSE))</f>
        <v/>
      </c>
      <c r="BJ176" t="str">
        <f ca="1">IF(AND(ISNUMBER($BJ$380),$B$226=1),$BJ$380,HLOOKUP(INDIRECT(ADDRESS(2,COLUMN())),OFFSET($BN$2,0,0,ROW()-1,60),ROW()-1,FALSE))</f>
        <v/>
      </c>
      <c r="BK176" t="str">
        <f ca="1">IF(AND(ISNUMBER($BK$380),$B$226=1),$BK$380,HLOOKUP(INDIRECT(ADDRESS(2,COLUMN())),OFFSET($BN$2,0,0,ROW()-1,60),ROW()-1,FALSE))</f>
        <v/>
      </c>
      <c r="BL176" t="str">
        <f ca="1">IF(AND(ISNUMBER($BL$380),$B$226=1),$BL$380,HLOOKUP(INDIRECT(ADDRESS(2,COLUMN())),OFFSET($BN$2,0,0,ROW()-1,60),ROW()-1,FALSE))</f>
        <v/>
      </c>
      <c r="BM176" t="str">
        <f ca="1">IF(AND(ISNUMBER($BM$380),$B$226=1),$BM$380,HLOOKUP(INDIRECT(ADDRESS(2,COLUMN())),OFFSET($BN$2,0,0,ROW()-1,60),ROW()-1,FALSE))</f>
        <v/>
      </c>
      <c r="BN176">
        <f>0.581129475</f>
        <v>0.58112947500000001</v>
      </c>
      <c r="BO176">
        <f>0.540326221</f>
        <v>0.54032622100000005</v>
      </c>
      <c r="BP176">
        <f>0.459269344</f>
        <v>0.45926934400000002</v>
      </c>
      <c r="BQ176">
        <f>0.372145684</f>
        <v>0.37214568399999998</v>
      </c>
      <c r="BR176">
        <f>0.347755505</f>
        <v>0.34775550500000002</v>
      </c>
      <c r="BS176">
        <f>0.323258537</f>
        <v>0.32325853700000001</v>
      </c>
      <c r="BT176">
        <f>0.374318253</f>
        <v>0.37431825299999999</v>
      </c>
      <c r="BU176">
        <f>0.375646808</f>
        <v>0.375646808</v>
      </c>
      <c r="BV176">
        <f>0.427062786</f>
        <v>0.42706278600000003</v>
      </c>
      <c r="BW176">
        <f>0.634899515</f>
        <v>0.63489951499999997</v>
      </c>
      <c r="BX176">
        <f>0.717695222</f>
        <v>0.71769522200000002</v>
      </c>
      <c r="BY176">
        <f>0.645673767</f>
        <v>0.64567376700000001</v>
      </c>
      <c r="BZ176">
        <f>0.565968092</f>
        <v>0.56596809199999998</v>
      </c>
      <c r="CA176">
        <f>0.683746755</f>
        <v>0.68374675500000004</v>
      </c>
      <c r="CB176">
        <f>0.764580341</f>
        <v>0.76458034100000005</v>
      </c>
      <c r="CC176">
        <f>0.725725617</f>
        <v>0.72572561700000005</v>
      </c>
      <c r="CD176">
        <f>0.712192829</f>
        <v>0.71219282900000003</v>
      </c>
      <c r="CE176">
        <f>0.813138588</f>
        <v>0.81313858800000005</v>
      </c>
      <c r="CF176">
        <f>0.680295734</f>
        <v>0.68029573399999999</v>
      </c>
      <c r="CG176">
        <f>0.575152106</f>
        <v>0.575152106</v>
      </c>
      <c r="CH176">
        <f>0.48285687</f>
        <v>0.48285686999999999</v>
      </c>
      <c r="CI176">
        <f>0.460171212</f>
        <v>0.460171212</v>
      </c>
      <c r="CJ176">
        <f>0.453246516</f>
        <v>0.45324651599999999</v>
      </c>
      <c r="CK176">
        <f>0.484178475</f>
        <v>0.484178475</v>
      </c>
      <c r="CL176">
        <f>0.446018597</f>
        <v>0.44601859700000002</v>
      </c>
      <c r="CM176">
        <f>0.486869317</f>
        <v>0.48686931700000002</v>
      </c>
      <c r="CN176">
        <f>0.478160755</f>
        <v>0.47816075499999999</v>
      </c>
      <c r="CO176">
        <f>0.498835011</f>
        <v>0.49883501099999999</v>
      </c>
      <c r="CP176">
        <f>0.582792398</f>
        <v>0.58279239800000004</v>
      </c>
      <c r="CQ176">
        <f>0.634349758</f>
        <v>0.63434975800000004</v>
      </c>
      <c r="CR176">
        <f>0.639927537</f>
        <v>0.63992753700000005</v>
      </c>
      <c r="CS176">
        <f>0.820304857</f>
        <v>0.820304857</v>
      </c>
      <c r="CT176">
        <f>0.809185647</f>
        <v>0.80918564699999995</v>
      </c>
      <c r="CU176">
        <f>0.834024361</f>
        <v>0.83402436099999999</v>
      </c>
      <c r="CV176">
        <f>0.891681104</f>
        <v>0.891681104</v>
      </c>
      <c r="CW176">
        <f>1.027970045</f>
        <v>1.027970045</v>
      </c>
      <c r="CX176">
        <f>1.783044138</f>
        <v>1.7830441379999999</v>
      </c>
      <c r="CY176">
        <f>1.473781609</f>
        <v>1.473781609</v>
      </c>
      <c r="CZ176">
        <f>0.875174605</f>
        <v>0.87517460499999999</v>
      </c>
      <c r="DA176">
        <f>1.162667921</f>
        <v>1.1626679209999999</v>
      </c>
      <c r="DB176">
        <f>0.807821304</f>
        <v>0.80782130399999996</v>
      </c>
      <c r="DC176">
        <f>0.741492603</f>
        <v>0.74149260299999997</v>
      </c>
      <c r="DD176">
        <f>0.858080873</f>
        <v>0.85808087300000002</v>
      </c>
      <c r="DE176">
        <f>0.828519069</f>
        <v>0.82851906900000005</v>
      </c>
      <c r="DF176">
        <f>0.761289395</f>
        <v>0.76128939500000004</v>
      </c>
      <c r="DG176">
        <f>0.662975515</f>
        <v>0.66297551499999996</v>
      </c>
      <c r="DH176">
        <f>0.752555809</f>
        <v>0.75255580899999996</v>
      </c>
      <c r="DI176">
        <f>1.195276479</f>
        <v>1.1952764789999999</v>
      </c>
      <c r="DJ176">
        <f>1.099247394</f>
        <v>1.099247394</v>
      </c>
      <c r="DK176">
        <f>0.684113961</f>
        <v>0.68411396099999999</v>
      </c>
      <c r="DL176">
        <f>0.706610089</f>
        <v>0.706610089</v>
      </c>
      <c r="DM176">
        <f>0.895331094</f>
        <v>0.89533109399999999</v>
      </c>
      <c r="DN176">
        <f>1.181606222</f>
        <v>1.1816062220000001</v>
      </c>
      <c r="DO176">
        <f>0.708515904</f>
        <v>0.70851590399999997</v>
      </c>
      <c r="DP176">
        <f>0.824432478</f>
        <v>0.82443247799999997</v>
      </c>
      <c r="DQ176" t="str">
        <f>""</f>
        <v/>
      </c>
      <c r="DR176" t="str">
        <f>""</f>
        <v/>
      </c>
      <c r="DS176" t="str">
        <f>""</f>
        <v/>
      </c>
      <c r="DT176" t="str">
        <f>""</f>
        <v/>
      </c>
      <c r="DU176" t="str">
        <f>""</f>
        <v/>
      </c>
    </row>
    <row r="177" spans="1:125">
      <c r="A177" t="str">
        <f>"    AvalonBay Communities Inc"</f>
        <v xml:space="preserve">    AvalonBay Communities Inc</v>
      </c>
      <c r="B177" t="str">
        <f>"AVB US Equity"</f>
        <v>AVB US Equity</v>
      </c>
      <c r="C177" t="str">
        <f t="shared" si="57"/>
        <v>RR263</v>
      </c>
      <c r="D177" t="str">
        <f t="shared" si="58"/>
        <v>DEBT_TO_MKT_CAP</v>
      </c>
      <c r="E177" t="str">
        <f t="shared" si="59"/>
        <v>动态</v>
      </c>
      <c r="F177">
        <f ca="1">IF(AND(ISNUMBER($F$381),$B$226=1),$F$381,HLOOKUP(INDIRECT(ADDRESS(2,COLUMN())),OFFSET($BN$2,0,0,ROW()-1,60),ROW()-1,FALSE))</f>
        <v>0.32859936099999998</v>
      </c>
      <c r="G177">
        <f ca="1">IF(AND(ISNUMBER($G$381),$B$226=1),$G$381,HLOOKUP(INDIRECT(ADDRESS(2,COLUMN())),OFFSET($BN$2,0,0,ROW()-1,60),ROW()-1,FALSE))</f>
        <v>0.29750746</v>
      </c>
      <c r="H177">
        <f ca="1">IF(AND(ISNUMBER($H$381),$B$226=1),$H$381,HLOOKUP(INDIRECT(ADDRESS(2,COLUMN())),OFFSET($BN$2,0,0,ROW()-1,60),ROW()-1,FALSE))</f>
        <v>0.28932453899999999</v>
      </c>
      <c r="I177">
        <f ca="1">IF(AND(ISNUMBER($I$381),$B$226=1),$I$381,HLOOKUP(INDIRECT(ADDRESS(2,COLUMN())),OFFSET($BN$2,0,0,ROW()-1,60),ROW()-1,FALSE))</f>
        <v>0.26405569400000001</v>
      </c>
      <c r="J177">
        <f ca="1">IF(AND(ISNUMBER($J$381),$B$226=1),$J$381,HLOOKUP(INDIRECT(ADDRESS(2,COLUMN())),OFFSET($BN$2,0,0,ROW()-1,60),ROW()-1,FALSE))</f>
        <v>0.277851083</v>
      </c>
      <c r="K177">
        <f ca="1">IF(AND(ISNUMBER($K$381),$B$226=1),$K$381,HLOOKUP(INDIRECT(ADDRESS(2,COLUMN())),OFFSET($BN$2,0,0,ROW()-1,60),ROW()-1,FALSE))</f>
        <v>0.28901217099999998</v>
      </c>
      <c r="L177">
        <f ca="1">IF(AND(ISNUMBER($L$381),$B$226=1),$L$381,HLOOKUP(INDIRECT(ADDRESS(2,COLUMN())),OFFSET($BN$2,0,0,ROW()-1,60),ROW()-1,FALSE))</f>
        <v>0.279116054</v>
      </c>
      <c r="M177">
        <f ca="1">IF(AND(ISNUMBER($M$381),$B$226=1),$M$381,HLOOKUP(INDIRECT(ADDRESS(2,COLUMN())),OFFSET($BN$2,0,0,ROW()-1,60),ROW()-1,FALSE))</f>
        <v>0.27620178699999998</v>
      </c>
      <c r="N177">
        <f ca="1">IF(AND(ISNUMBER($N$381),$B$226=1),$N$381,HLOOKUP(INDIRECT(ADDRESS(2,COLUMN())),OFFSET($BN$2,0,0,ROW()-1,60),ROW()-1,FALSE))</f>
        <v>0.249543552</v>
      </c>
      <c r="O177">
        <f ca="1">IF(AND(ISNUMBER($O$381),$B$226=1),$O$381,HLOOKUP(INDIRECT(ADDRESS(2,COLUMN())),OFFSET($BN$2,0,0,ROW()-1,60),ROW()-1,FALSE))</f>
        <v>0.25619557900000001</v>
      </c>
      <c r="P177">
        <f ca="1">IF(AND(ISNUMBER($P$381),$B$226=1),$P$381,HLOOKUP(INDIRECT(ADDRESS(2,COLUMN())),OFFSET($BN$2,0,0,ROW()-1,60),ROW()-1,FALSE))</f>
        <v>0.27144433000000001</v>
      </c>
      <c r="Q177">
        <f ca="1">IF(AND(ISNUMBER($Q$381),$B$226=1),$Q$381,HLOOKUP(INDIRECT(ADDRESS(2,COLUMN())),OFFSET($BN$2,0,0,ROW()-1,60),ROW()-1,FALSE))</f>
        <v>0.30696734599999997</v>
      </c>
      <c r="R177">
        <f ca="1">IF(AND(ISNUMBER($R$381),$B$226=1),$R$381,HLOOKUP(INDIRECT(ADDRESS(2,COLUMN())),OFFSET($BN$2,0,0,ROW()-1,60),ROW()-1,FALSE))</f>
        <v>0.28519862800000001</v>
      </c>
      <c r="S177">
        <f ca="1">IF(AND(ISNUMBER($S$381),$B$226=1),$S$381,HLOOKUP(INDIRECT(ADDRESS(2,COLUMN())),OFFSET($BN$2,0,0,ROW()-1,60),ROW()-1,FALSE))</f>
        <v>0.300884129</v>
      </c>
      <c r="T177">
        <f ca="1">IF(AND(ISNUMBER($T$381),$B$226=1),$T$381,HLOOKUP(INDIRECT(ADDRESS(2,COLUMN())),OFFSET($BN$2,0,0,ROW()-1,60),ROW()-1,FALSE))</f>
        <v>0.32482301699999999</v>
      </c>
      <c r="U177">
        <f ca="1">IF(AND(ISNUMBER($U$381),$B$226=1),$U$381,HLOOKUP(INDIRECT(ADDRESS(2,COLUMN())),OFFSET($BN$2,0,0,ROW()-1,60),ROW()-1,FALSE))</f>
        <v>0.339401542</v>
      </c>
      <c r="V177">
        <f ca="1">IF(AND(ISNUMBER($V$381),$B$226=1),$V$381,HLOOKUP(INDIRECT(ADDRESS(2,COLUMN())),OFFSET($BN$2,0,0,ROW()-1,60),ROW()-1,FALSE))</f>
        <v>0.37550848199999998</v>
      </c>
      <c r="W177">
        <f ca="1">IF(AND(ISNUMBER($W$381),$B$226=1),$W$381,HLOOKUP(INDIRECT(ADDRESS(2,COLUMN())),OFFSET($BN$2,0,0,ROW()-1,60),ROW()-1,FALSE))</f>
        <v>0.400924585</v>
      </c>
      <c r="X177">
        <f ca="1">IF(AND(ISNUMBER($X$381),$B$226=1),$X$381,HLOOKUP(INDIRECT(ADDRESS(2,COLUMN())),OFFSET($BN$2,0,0,ROW()-1,60),ROW()-1,FALSE))</f>
        <v>0.37077107399999998</v>
      </c>
      <c r="Y177">
        <f ca="1">IF(AND(ISNUMBER($Y$381),$B$226=1),$Y$381,HLOOKUP(INDIRECT(ADDRESS(2,COLUMN())),OFFSET($BN$2,0,0,ROW()-1,60),ROW()-1,FALSE))</f>
        <v>0.33534434800000001</v>
      </c>
      <c r="Z177">
        <f ca="1">IF(AND(ISNUMBER($Z$381),$B$226=1),$Z$381,HLOOKUP(INDIRECT(ADDRESS(2,COLUMN())),OFFSET($BN$2,0,0,ROW()-1,60),ROW()-1,FALSE))</f>
        <v>0.361972189</v>
      </c>
      <c r="AA177">
        <f ca="1">IF(AND(ISNUMBER($AA$381),$B$226=1),$AA$381,HLOOKUP(INDIRECT(ADDRESS(2,COLUMN())),OFFSET($BN$2,0,0,ROW()-1,60),ROW()-1,FALSE))</f>
        <v>0.24830673</v>
      </c>
      <c r="AB177">
        <f ca="1">IF(AND(ISNUMBER($AB$381),$B$226=1),$AB$381,HLOOKUP(INDIRECT(ADDRESS(2,COLUMN())),OFFSET($BN$2,0,0,ROW()-1,60),ROW()-1,FALSE))</f>
        <v>0.28895608699999997</v>
      </c>
      <c r="AC177">
        <f ca="1">IF(AND(ISNUMBER($AC$381),$B$226=1),$AC$381,HLOOKUP(INDIRECT(ADDRESS(2,COLUMN())),OFFSET($BN$2,0,0,ROW()-1,60),ROW()-1,FALSE))</f>
        <v>0.24924068899999999</v>
      </c>
      <c r="AD177">
        <f ca="1">IF(AND(ISNUMBER($AD$381),$B$226=1),$AD$381,HLOOKUP(INDIRECT(ADDRESS(2,COLUMN())),OFFSET($BN$2,0,0,ROW()-1,60),ROW()-1,FALSE))</f>
        <v>0.25117980299999998</v>
      </c>
      <c r="AE177">
        <f ca="1">IF(AND(ISNUMBER($AE$381),$B$226=1),$AE$381,HLOOKUP(INDIRECT(ADDRESS(2,COLUMN())),OFFSET($BN$2,0,0,ROW()-1,60),ROW()-1,FALSE))</f>
        <v>0.28984440099999997</v>
      </c>
      <c r="AF177">
        <f ca="1">IF(AND(ISNUMBER($AF$381),$B$226=1),$AF$381,HLOOKUP(INDIRECT(ADDRESS(2,COLUMN())),OFFSET($BN$2,0,0,ROW()-1,60),ROW()-1,FALSE))</f>
        <v>0.35290518199999998</v>
      </c>
      <c r="AG177">
        <f ca="1">IF(AND(ISNUMBER($AG$381),$B$226=1),$AG$381,HLOOKUP(INDIRECT(ADDRESS(2,COLUMN())),OFFSET($BN$2,0,0,ROW()-1,60),ROW()-1,FALSE))</f>
        <v>0.35554376599999998</v>
      </c>
      <c r="AH177">
        <f ca="1">IF(AND(ISNUMBER($AH$381),$B$226=1),$AH$381,HLOOKUP(INDIRECT(ADDRESS(2,COLUMN())),OFFSET($BN$2,0,0,ROW()-1,60),ROW()-1,FALSE))</f>
        <v>0.39055008499999999</v>
      </c>
      <c r="AI177">
        <f ca="1">IF(AND(ISNUMBER($AI$381),$B$226=1),$AI$381,HLOOKUP(INDIRECT(ADDRESS(2,COLUMN())),OFFSET($BN$2,0,0,ROW()-1,60),ROW()-1,FALSE))</f>
        <v>0.41391603300000002</v>
      </c>
      <c r="AJ177">
        <f ca="1">IF(AND(ISNUMBER($AJ$381),$B$226=1),$AJ$381,HLOOKUP(INDIRECT(ADDRESS(2,COLUMN())),OFFSET($BN$2,0,0,ROW()-1,60),ROW()-1,FALSE))</f>
        <v>0.44603984899999999</v>
      </c>
      <c r="AK177">
        <f ca="1">IF(AND(ISNUMBER($AK$381),$B$226=1),$AK$381,HLOOKUP(INDIRECT(ADDRESS(2,COLUMN())),OFFSET($BN$2,0,0,ROW()-1,60),ROW()-1,FALSE))</f>
        <v>0.50960124299999998</v>
      </c>
      <c r="AL177">
        <f ca="1">IF(AND(ISNUMBER($AL$381),$B$226=1),$AL$381,HLOOKUP(INDIRECT(ADDRESS(2,COLUMN())),OFFSET($BN$2,0,0,ROW()-1,60),ROW()-1,FALSE))</f>
        <v>0.56094359900000001</v>
      </c>
      <c r="AM177">
        <f ca="1">IF(AND(ISNUMBER($AM$381),$B$226=1),$AM$381,HLOOKUP(INDIRECT(ADDRESS(2,COLUMN())),OFFSET($BN$2,0,0,ROW()-1,60),ROW()-1,FALSE))</f>
        <v>0.59446256600000003</v>
      </c>
      <c r="AN177">
        <f ca="1">IF(AND(ISNUMBER($AN$381),$B$226=1),$AN$381,HLOOKUP(INDIRECT(ADDRESS(2,COLUMN())),OFFSET($BN$2,0,0,ROW()-1,60),ROW()-1,FALSE))</f>
        <v>0.76248724000000001</v>
      </c>
      <c r="AO177">
        <f ca="1">IF(AND(ISNUMBER($AO$381),$B$226=1),$AO$381,HLOOKUP(INDIRECT(ADDRESS(2,COLUMN())),OFFSET($BN$2,0,0,ROW()-1,60),ROW()-1,FALSE))</f>
        <v>0.92848355800000004</v>
      </c>
      <c r="AP177">
        <f ca="1">IF(AND(ISNUMBER($AP$381),$B$226=1),$AP$381,HLOOKUP(INDIRECT(ADDRESS(2,COLUMN())),OFFSET($BN$2,0,0,ROW()-1,60),ROW()-1,FALSE))</f>
        <v>1.012920362</v>
      </c>
      <c r="AQ177">
        <f ca="1">IF(AND(ISNUMBER($AQ$381),$B$226=1),$AQ$381,HLOOKUP(INDIRECT(ADDRESS(2,COLUMN())),OFFSET($BN$2,0,0,ROW()-1,60),ROW()-1,FALSE))</f>
        <v>0.782358683</v>
      </c>
      <c r="AR177">
        <f ca="1">IF(AND(ISNUMBER($AR$381),$B$226=1),$AR$381,HLOOKUP(INDIRECT(ADDRESS(2,COLUMN())),OFFSET($BN$2,0,0,ROW()-1,60),ROW()-1,FALSE))</f>
        <v>0.45198464799999999</v>
      </c>
      <c r="AS177">
        <f ca="1">IF(AND(ISNUMBER($AS$381),$B$226=1),$AS$381,HLOOKUP(INDIRECT(ADDRESS(2,COLUMN())),OFFSET($BN$2,0,0,ROW()-1,60),ROW()-1,FALSE))</f>
        <v>0.49888638699999999</v>
      </c>
      <c r="AT177">
        <f ca="1">IF(AND(ISNUMBER($AT$381),$B$226=1),$AT$381,HLOOKUP(INDIRECT(ADDRESS(2,COLUMN())),OFFSET($BN$2,0,0,ROW()-1,60),ROW()-1,FALSE))</f>
        <v>0.495958819</v>
      </c>
      <c r="AU177">
        <f ca="1">IF(AND(ISNUMBER($AU$381),$B$226=1),$AU$381,HLOOKUP(INDIRECT(ADDRESS(2,COLUMN())),OFFSET($BN$2,0,0,ROW()-1,60),ROW()-1,FALSE))</f>
        <v>0.43274052400000002</v>
      </c>
      <c r="AV177">
        <f ca="1">IF(AND(ISNUMBER($AV$381),$B$226=1),$AV$381,HLOOKUP(INDIRECT(ADDRESS(2,COLUMN())),OFFSET($BN$2,0,0,ROW()-1,60),ROW()-1,FALSE))</f>
        <v>0.32447541499999999</v>
      </c>
      <c r="AW177">
        <f ca="1">IF(AND(ISNUMBER($AW$381),$B$226=1),$AW$381,HLOOKUP(INDIRECT(ADDRESS(2,COLUMN())),OFFSET($BN$2,0,0,ROW()-1,60),ROW()-1,FALSE))</f>
        <v>0.30783349700000001</v>
      </c>
      <c r="AX177">
        <f ca="1">IF(AND(ISNUMBER($AX$381),$B$226=1),$AX$381,HLOOKUP(INDIRECT(ADDRESS(2,COLUMN())),OFFSET($BN$2,0,0,ROW()-1,60),ROW()-1,FALSE))</f>
        <v>0.272221241</v>
      </c>
      <c r="AY177">
        <f ca="1">IF(AND(ISNUMBER($AY$381),$B$226=1),$AY$381,HLOOKUP(INDIRECT(ADDRESS(2,COLUMN())),OFFSET($BN$2,0,0,ROW()-1,60),ROW()-1,FALSE))</f>
        <v>0.288744679</v>
      </c>
      <c r="AZ177">
        <f ca="1">IF(AND(ISNUMBER($AZ$381),$B$226=1),$AZ$381,HLOOKUP(INDIRECT(ADDRESS(2,COLUMN())),OFFSET($BN$2,0,0,ROW()-1,60),ROW()-1,FALSE))</f>
        <v>0.29459395900000002</v>
      </c>
      <c r="BA177">
        <f ca="1">IF(AND(ISNUMBER($BA$381),$B$226=1),$BA$381,HLOOKUP(INDIRECT(ADDRESS(2,COLUMN())),OFFSET($BN$2,0,0,ROW()-1,60),ROW()-1,FALSE))</f>
        <v>0.28441878399999998</v>
      </c>
      <c r="BB177">
        <f ca="1">IF(AND(ISNUMBER($BB$381),$B$226=1),$BB$381,HLOOKUP(INDIRECT(ADDRESS(2,COLUMN())),OFFSET($BN$2,0,0,ROW()-1,60),ROW()-1,FALSE))</f>
        <v>0.28481447999999998</v>
      </c>
      <c r="BC177">
        <f ca="1">IF(AND(ISNUMBER($BC$381),$B$226=1),$BC$381,HLOOKUP(INDIRECT(ADDRESS(2,COLUMN())),OFFSET($BN$2,0,0,ROW()-1,60),ROW()-1,FALSE))</f>
        <v>0.36063896099999998</v>
      </c>
      <c r="BD177">
        <f ca="1">IF(AND(ISNUMBER($BD$381),$B$226=1),$BD$381,HLOOKUP(INDIRECT(ADDRESS(2,COLUMN())),OFFSET($BN$2,0,0,ROW()-1,60),ROW()-1,FALSE))</f>
        <v>0.38097561499999999</v>
      </c>
      <c r="BE177">
        <f ca="1">IF(AND(ISNUMBER($BE$381),$B$226=1),$BE$381,HLOOKUP(INDIRECT(ADDRESS(2,COLUMN())),OFFSET($BN$2,0,0,ROW()-1,60),ROW()-1,FALSE))</f>
        <v>0.41401660099999998</v>
      </c>
      <c r="BF177">
        <f ca="1">IF(AND(ISNUMBER($BF$381),$B$226=1),$BF$381,HLOOKUP(INDIRECT(ADDRESS(2,COLUMN())),OFFSET($BN$2,0,0,ROW()-1,60),ROW()-1,FALSE))</f>
        <v>0.49488174400000001</v>
      </c>
      <c r="BG177">
        <f ca="1">IF(AND(ISNUMBER($BG$381),$B$226=1),$BG$381,HLOOKUP(INDIRECT(ADDRESS(2,COLUMN())),OFFSET($BN$2,0,0,ROW()-1,60),ROW()-1,FALSE))</f>
        <v>0.45035131499999997</v>
      </c>
      <c r="BH177">
        <f ca="1">IF(AND(ISNUMBER($BH$381),$B$226=1),$BH$381,HLOOKUP(INDIRECT(ADDRESS(2,COLUMN())),OFFSET($BN$2,0,0,ROW()-1,60),ROW()-1,FALSE))</f>
        <v>0.584990232</v>
      </c>
      <c r="BI177">
        <f ca="1">IF(AND(ISNUMBER($BI$381),$B$226=1),$BI$381,HLOOKUP(INDIRECT(ADDRESS(2,COLUMN())),OFFSET($BN$2,0,0,ROW()-1,60),ROW()-1,FALSE))</f>
        <v>0.60299122299999997</v>
      </c>
      <c r="BJ177">
        <f ca="1">IF(AND(ISNUMBER($BJ$381),$B$226=1),$BJ$381,HLOOKUP(INDIRECT(ADDRESS(2,COLUMN())),OFFSET($BN$2,0,0,ROW()-1,60),ROW()-1,FALSE))</f>
        <v>0.62836747199999998</v>
      </c>
      <c r="BK177">
        <f ca="1">IF(AND(ISNUMBER($BK$381),$B$226=1),$BK$381,HLOOKUP(INDIRECT(ADDRESS(2,COLUMN())),OFFSET($BN$2,0,0,ROW()-1,60),ROW()-1,FALSE))</f>
        <v>0.69160604199999998</v>
      </c>
      <c r="BL177">
        <f ca="1">IF(AND(ISNUMBER($BL$381),$B$226=1),$BL$381,HLOOKUP(INDIRECT(ADDRESS(2,COLUMN())),OFFSET($BN$2,0,0,ROW()-1,60),ROW()-1,FALSE))</f>
        <v>0.74086580400000002</v>
      </c>
      <c r="BM177">
        <f ca="1">IF(AND(ISNUMBER($BM$381),$B$226=1),$BM$381,HLOOKUP(INDIRECT(ADDRESS(2,COLUMN())),OFFSET($BN$2,0,0,ROW()-1,60),ROW()-1,FALSE))</f>
        <v>0.89035573999999995</v>
      </c>
      <c r="BN177">
        <f>0.328599361</f>
        <v>0.32859936099999998</v>
      </c>
      <c r="BO177">
        <f>0.29750746</f>
        <v>0.29750746</v>
      </c>
      <c r="BP177">
        <f>0.289324539</f>
        <v>0.28932453899999999</v>
      </c>
      <c r="BQ177">
        <f>0.264055694</f>
        <v>0.26405569400000001</v>
      </c>
      <c r="BR177">
        <f>0.277851083</f>
        <v>0.277851083</v>
      </c>
      <c r="BS177">
        <f>0.289012171</f>
        <v>0.28901217099999998</v>
      </c>
      <c r="BT177">
        <f>0.279116054</f>
        <v>0.279116054</v>
      </c>
      <c r="BU177">
        <f>0.276201787</f>
        <v>0.27620178699999998</v>
      </c>
      <c r="BV177">
        <f>0.249543552</f>
        <v>0.249543552</v>
      </c>
      <c r="BW177">
        <f>0.256195579</f>
        <v>0.25619557900000001</v>
      </c>
      <c r="BX177">
        <f>0.27144433</f>
        <v>0.27144433000000001</v>
      </c>
      <c r="BY177">
        <f>0.306967346</f>
        <v>0.30696734599999997</v>
      </c>
      <c r="BZ177">
        <f>0.285198628</f>
        <v>0.28519862800000001</v>
      </c>
      <c r="CA177">
        <f>0.300884129</f>
        <v>0.300884129</v>
      </c>
      <c r="CB177">
        <f>0.324823017</f>
        <v>0.32482301699999999</v>
      </c>
      <c r="CC177">
        <f>0.339401542</f>
        <v>0.339401542</v>
      </c>
      <c r="CD177">
        <f>0.375508482</f>
        <v>0.37550848199999998</v>
      </c>
      <c r="CE177">
        <f>0.400924585</f>
        <v>0.400924585</v>
      </c>
      <c r="CF177">
        <f>0.370771074</f>
        <v>0.37077107399999998</v>
      </c>
      <c r="CG177">
        <f>0.335344348</f>
        <v>0.33534434800000001</v>
      </c>
      <c r="CH177">
        <f>0.361972189</f>
        <v>0.361972189</v>
      </c>
      <c r="CI177">
        <f>0.24830673</f>
        <v>0.24830673</v>
      </c>
      <c r="CJ177">
        <f>0.288956087</f>
        <v>0.28895608699999997</v>
      </c>
      <c r="CK177">
        <f>0.249240689</f>
        <v>0.24924068899999999</v>
      </c>
      <c r="CL177">
        <f>0.251179803</f>
        <v>0.25117980299999998</v>
      </c>
      <c r="CM177">
        <f>0.289844401</f>
        <v>0.28984440099999997</v>
      </c>
      <c r="CN177">
        <f>0.352905182</f>
        <v>0.35290518199999998</v>
      </c>
      <c r="CO177">
        <f>0.355543766</f>
        <v>0.35554376599999998</v>
      </c>
      <c r="CP177">
        <f>0.390550085</f>
        <v>0.39055008499999999</v>
      </c>
      <c r="CQ177">
        <f>0.413916033</f>
        <v>0.41391603300000002</v>
      </c>
      <c r="CR177">
        <f>0.446039849</f>
        <v>0.44603984899999999</v>
      </c>
      <c r="CS177">
        <f>0.509601243</f>
        <v>0.50960124299999998</v>
      </c>
      <c r="CT177">
        <f>0.560943599</f>
        <v>0.56094359900000001</v>
      </c>
      <c r="CU177">
        <f>0.594462566</f>
        <v>0.59446256600000003</v>
      </c>
      <c r="CV177">
        <f>0.76248724</f>
        <v>0.76248724000000001</v>
      </c>
      <c r="CW177">
        <f>0.928483558</f>
        <v>0.92848355800000004</v>
      </c>
      <c r="CX177">
        <f>1.012920362</f>
        <v>1.012920362</v>
      </c>
      <c r="CY177">
        <f>0.782358683</f>
        <v>0.782358683</v>
      </c>
      <c r="CZ177">
        <f>0.451984648</f>
        <v>0.45198464799999999</v>
      </c>
      <c r="DA177">
        <f>0.498886387</f>
        <v>0.49888638699999999</v>
      </c>
      <c r="DB177">
        <f>0.495958819</f>
        <v>0.495958819</v>
      </c>
      <c r="DC177">
        <f>0.432740524</f>
        <v>0.43274052400000002</v>
      </c>
      <c r="DD177">
        <f>0.324475415</f>
        <v>0.32447541499999999</v>
      </c>
      <c r="DE177">
        <f>0.307833497</f>
        <v>0.30783349700000001</v>
      </c>
      <c r="DF177">
        <f>0.272221241</f>
        <v>0.272221241</v>
      </c>
      <c r="DG177">
        <f>0.288744679</f>
        <v>0.288744679</v>
      </c>
      <c r="DH177">
        <f>0.294593959</f>
        <v>0.29459395900000002</v>
      </c>
      <c r="DI177">
        <f>0.284418784</f>
        <v>0.28441878399999998</v>
      </c>
      <c r="DJ177">
        <f>0.28481448</f>
        <v>0.28481447999999998</v>
      </c>
      <c r="DK177">
        <f>0.360638961</f>
        <v>0.36063896099999998</v>
      </c>
      <c r="DL177">
        <f>0.380975615</f>
        <v>0.38097561499999999</v>
      </c>
      <c r="DM177">
        <f>0.414016601</f>
        <v>0.41401660099999998</v>
      </c>
      <c r="DN177">
        <f>0.494881744</f>
        <v>0.49488174400000001</v>
      </c>
      <c r="DO177">
        <f>0.450351315</f>
        <v>0.45035131499999997</v>
      </c>
      <c r="DP177">
        <f>0.584990232</f>
        <v>0.584990232</v>
      </c>
      <c r="DQ177">
        <f>0.602991223</f>
        <v>0.60299122299999997</v>
      </c>
      <c r="DR177">
        <f>0.628367472</f>
        <v>0.62836747199999998</v>
      </c>
      <c r="DS177">
        <f>0.691606042</f>
        <v>0.69160604199999998</v>
      </c>
      <c r="DT177">
        <f>0.740865804</f>
        <v>0.74086580400000002</v>
      </c>
      <c r="DU177">
        <f>0.89035574</f>
        <v>0.89035573999999995</v>
      </c>
    </row>
    <row r="178" spans="1:125">
      <c r="A178" t="str">
        <f>"    Camden Property Trust"</f>
        <v xml:space="preserve">    Camden Property Trust</v>
      </c>
      <c r="B178" t="str">
        <f>"CPT US Equity"</f>
        <v>CPT US Equity</v>
      </c>
      <c r="C178" t="str">
        <f t="shared" si="57"/>
        <v>RR263</v>
      </c>
      <c r="D178" t="str">
        <f t="shared" si="58"/>
        <v>DEBT_TO_MKT_CAP</v>
      </c>
      <c r="E178" t="str">
        <f t="shared" si="59"/>
        <v>动态</v>
      </c>
      <c r="F178">
        <f ca="1">IF(AND(ISNUMBER($F$382),$B$226=1),$F$382,HLOOKUP(INDIRECT(ADDRESS(2,COLUMN())),OFFSET($BN$2,0,0,ROW()-1,60),ROW()-1,FALSE))</f>
        <v>0.28605333999999999</v>
      </c>
      <c r="G178">
        <f ca="1">IF(AND(ISNUMBER($G$382),$B$226=1),$G$382,HLOOKUP(INDIRECT(ADDRESS(2,COLUMN())),OFFSET($BN$2,0,0,ROW()-1,60),ROW()-1,FALSE))</f>
        <v>0.25840158499999999</v>
      </c>
      <c r="H178">
        <f ca="1">IF(AND(ISNUMBER($H$382),$B$226=1),$H$382,HLOOKUP(INDIRECT(ADDRESS(2,COLUMN())),OFFSET($BN$2,0,0,ROW()-1,60),ROW()-1,FALSE))</f>
        <v>0.26011192700000002</v>
      </c>
      <c r="I178">
        <f ca="1">IF(AND(ISNUMBER($I$382),$B$226=1),$I$382,HLOOKUP(INDIRECT(ADDRESS(2,COLUMN())),OFFSET($BN$2,0,0,ROW()-1,60),ROW()-1,FALSE))</f>
        <v>0.30742443800000002</v>
      </c>
      <c r="J178">
        <f ca="1">IF(AND(ISNUMBER($J$382),$B$226=1),$J$382,HLOOKUP(INDIRECT(ADDRESS(2,COLUMN())),OFFSET($BN$2,0,0,ROW()-1,60),ROW()-1,FALSE))</f>
        <v>0.34752550399999999</v>
      </c>
      <c r="K178">
        <f ca="1">IF(AND(ISNUMBER($K$382),$B$226=1),$K$382,HLOOKUP(INDIRECT(ADDRESS(2,COLUMN())),OFFSET($BN$2,0,0,ROW()-1,60),ROW()-1,FALSE))</f>
        <v>0.33729194800000001</v>
      </c>
      <c r="L178">
        <f ca="1">IF(AND(ISNUMBER($L$382),$B$226=1),$L$382,HLOOKUP(INDIRECT(ADDRESS(2,COLUMN())),OFFSET($BN$2,0,0,ROW()-1,60),ROW()-1,FALSE))</f>
        <v>0.33888812800000001</v>
      </c>
      <c r="M178">
        <f ca="1">IF(AND(ISNUMBER($M$382),$B$226=1),$M$382,HLOOKUP(INDIRECT(ADDRESS(2,COLUMN())),OFFSET($BN$2,0,0,ROW()-1,60),ROW()-1,FALSE))</f>
        <v>0.32250116099999998</v>
      </c>
      <c r="N178">
        <f ca="1">IF(AND(ISNUMBER($N$382),$B$226=1),$N$382,HLOOKUP(INDIRECT(ADDRESS(2,COLUMN())),OFFSET($BN$2,0,0,ROW()-1,60),ROW()-1,FALSE))</f>
        <v>0.378374145</v>
      </c>
      <c r="O178">
        <f ca="1">IF(AND(ISNUMBER($O$382),$B$226=1),$O$382,HLOOKUP(INDIRECT(ADDRESS(2,COLUMN())),OFFSET($BN$2,0,0,ROW()-1,60),ROW()-1,FALSE))</f>
        <v>0.40865411299999999</v>
      </c>
      <c r="P178">
        <f ca="1">IF(AND(ISNUMBER($P$382),$B$226=1),$P$382,HLOOKUP(INDIRECT(ADDRESS(2,COLUMN())),OFFSET($BN$2,0,0,ROW()-1,60),ROW()-1,FALSE))</f>
        <v>0.42303097899999997</v>
      </c>
      <c r="Q178">
        <f ca="1">IF(AND(ISNUMBER($Q$382),$B$226=1),$Q$382,HLOOKUP(INDIRECT(ADDRESS(2,COLUMN())),OFFSET($BN$2,0,0,ROW()-1,60),ROW()-1,FALSE))</f>
        <v>0.41464124499999999</v>
      </c>
      <c r="R178">
        <f ca="1">IF(AND(ISNUMBER($R$382),$B$226=1),$R$382,HLOOKUP(INDIRECT(ADDRESS(2,COLUMN())),OFFSET($BN$2,0,0,ROW()-1,60),ROW()-1,FALSE))</f>
        <v>0.39052282900000002</v>
      </c>
      <c r="S178">
        <f ca="1">IF(AND(ISNUMBER($S$382),$B$226=1),$S$382,HLOOKUP(INDIRECT(ADDRESS(2,COLUMN())),OFFSET($BN$2,0,0,ROW()-1,60),ROW()-1,FALSE))</f>
        <v>0.42801845999999999</v>
      </c>
      <c r="T178">
        <f ca="1">IF(AND(ISNUMBER($T$382),$B$226=1),$T$382,HLOOKUP(INDIRECT(ADDRESS(2,COLUMN())),OFFSET($BN$2,0,0,ROW()-1,60),ROW()-1,FALSE))</f>
        <v>0.46750167399999998</v>
      </c>
      <c r="U178">
        <f ca="1">IF(AND(ISNUMBER($U$382),$B$226=1),$U$382,HLOOKUP(INDIRECT(ADDRESS(2,COLUMN())),OFFSET($BN$2,0,0,ROW()-1,60),ROW()-1,FALSE))</f>
        <v>0.44353257200000001</v>
      </c>
      <c r="V178">
        <f ca="1">IF(AND(ISNUMBER($V$382),$B$226=1),$V$382,HLOOKUP(INDIRECT(ADDRESS(2,COLUMN())),OFFSET($BN$2,0,0,ROW()-1,60),ROW()-1,FALSE))</f>
        <v>0.433880665</v>
      </c>
      <c r="W178">
        <f ca="1">IF(AND(ISNUMBER($W$382),$B$226=1),$W$382,HLOOKUP(INDIRECT(ADDRESS(2,COLUMN())),OFFSET($BN$2,0,0,ROW()-1,60),ROW()-1,FALSE))</f>
        <v>0.52086829099999998</v>
      </c>
      <c r="X178">
        <f ca="1">IF(AND(ISNUMBER($X$382),$B$226=1),$X$382,HLOOKUP(INDIRECT(ADDRESS(2,COLUMN())),OFFSET($BN$2,0,0,ROW()-1,60),ROW()-1,FALSE))</f>
        <v>0.50874902200000005</v>
      </c>
      <c r="Y178">
        <f ca="1">IF(AND(ISNUMBER($Y$382),$B$226=1),$Y$382,HLOOKUP(INDIRECT(ADDRESS(2,COLUMN())),OFFSET($BN$2,0,0,ROW()-1,60),ROW()-1,FALSE))</f>
        <v>0.430268294</v>
      </c>
      <c r="Z178">
        <f ca="1">IF(AND(ISNUMBER($Z$382),$B$226=1),$Z$382,HLOOKUP(INDIRECT(ADDRESS(2,COLUMN())),OFFSET($BN$2,0,0,ROW()-1,60),ROW()-1,FALSE))</f>
        <v>0.42990765399999997</v>
      </c>
      <c r="AA178">
        <f ca="1">IF(AND(ISNUMBER($AA$382),$B$226=1),$AA$382,HLOOKUP(INDIRECT(ADDRESS(2,COLUMN())),OFFSET($BN$2,0,0,ROW()-1,60),ROW()-1,FALSE))</f>
        <v>0.43755190399999999</v>
      </c>
      <c r="AB178">
        <f ca="1">IF(AND(ISNUMBER($AB$382),$B$226=1),$AB$382,HLOOKUP(INDIRECT(ADDRESS(2,COLUMN())),OFFSET($BN$2,0,0,ROW()-1,60),ROW()-1,FALSE))</f>
        <v>0.44406894699999999</v>
      </c>
      <c r="AC178">
        <f ca="1">IF(AND(ISNUMBER($AC$382),$B$226=1),$AC$382,HLOOKUP(INDIRECT(ADDRESS(2,COLUMN())),OFFSET($BN$2,0,0,ROW()-1,60),ROW()-1,FALSE))</f>
        <v>0.44107670599999999</v>
      </c>
      <c r="AD178">
        <f ca="1">IF(AND(ISNUMBER($AD$382),$B$226=1),$AD$382,HLOOKUP(INDIRECT(ADDRESS(2,COLUMN())),OFFSET($BN$2,0,0,ROW()-1,60),ROW()-1,FALSE))</f>
        <v>0.46920083699999998</v>
      </c>
      <c r="AE178">
        <f ca="1">IF(AND(ISNUMBER($AE$382),$B$226=1),$AE$382,HLOOKUP(INDIRECT(ADDRESS(2,COLUMN())),OFFSET($BN$2,0,0,ROW()-1,60),ROW()-1,FALSE))</f>
        <v>0.54761226200000002</v>
      </c>
      <c r="AF178">
        <f ca="1">IF(AND(ISNUMBER($AF$382),$B$226=1),$AF$382,HLOOKUP(INDIRECT(ADDRESS(2,COLUMN())),OFFSET($BN$2,0,0,ROW()-1,60),ROW()-1,FALSE))</f>
        <v>0.618608088</v>
      </c>
      <c r="AG178">
        <f ca="1">IF(AND(ISNUMBER($AG$382),$B$226=1),$AG$382,HLOOKUP(INDIRECT(ADDRESS(2,COLUMN())),OFFSET($BN$2,0,0,ROW()-1,60),ROW()-1,FALSE))</f>
        <v>0.54515336800000003</v>
      </c>
      <c r="AH178">
        <f ca="1">IF(AND(ISNUMBER($AH$382),$B$226=1),$AH$382,HLOOKUP(INDIRECT(ADDRESS(2,COLUMN())),OFFSET($BN$2,0,0,ROW()-1,60),ROW()-1,FALSE))</f>
        <v>0.62410033099999995</v>
      </c>
      <c r="AI178">
        <f ca="1">IF(AND(ISNUMBER($AI$382),$B$226=1),$AI$382,HLOOKUP(INDIRECT(ADDRESS(2,COLUMN())),OFFSET($BN$2,0,0,ROW()-1,60),ROW()-1,FALSE))</f>
        <v>0.69156262700000004</v>
      </c>
      <c r="AJ178">
        <f ca="1">IF(AND(ISNUMBER($AJ$382),$B$226=1),$AJ$382,HLOOKUP(INDIRECT(ADDRESS(2,COLUMN())),OFFSET($BN$2,0,0,ROW()-1,60),ROW()-1,FALSE))</f>
        <v>0.79119218899999999</v>
      </c>
      <c r="AK178">
        <f ca="1">IF(AND(ISNUMBER($AK$382),$B$226=1),$AK$382,HLOOKUP(INDIRECT(ADDRESS(2,COLUMN())),OFFSET($BN$2,0,0,ROW()-1,60),ROW()-1,FALSE))</f>
        <v>0.95620362999999997</v>
      </c>
      <c r="AL178">
        <f ca="1">IF(AND(ISNUMBER($AL$382),$B$226=1),$AL$382,HLOOKUP(INDIRECT(ADDRESS(2,COLUMN())),OFFSET($BN$2,0,0,ROW()-1,60),ROW()-1,FALSE))</f>
        <v>0.95690762399999996</v>
      </c>
      <c r="AM178">
        <f ca="1">IF(AND(ISNUMBER($AM$382),$B$226=1),$AM$382,HLOOKUP(INDIRECT(ADDRESS(2,COLUMN())),OFFSET($BN$2,0,0,ROW()-1,60),ROW()-1,FALSE))</f>
        <v>0.96546796499999998</v>
      </c>
      <c r="AN178">
        <f ca="1">IF(AND(ISNUMBER($AN$382),$B$226=1),$AN$382,HLOOKUP(INDIRECT(ADDRESS(2,COLUMN())),OFFSET($BN$2,0,0,ROW()-1,60),ROW()-1,FALSE))</f>
        <v>1.0147161179999999</v>
      </c>
      <c r="AO178">
        <f ca="1">IF(AND(ISNUMBER($AO$382),$B$226=1),$AO$382,HLOOKUP(INDIRECT(ADDRESS(2,COLUMN())),OFFSET($BN$2,0,0,ROW()-1,60),ROW()-1,FALSE))</f>
        <v>1.4659605529999999</v>
      </c>
      <c r="AP178">
        <f ca="1">IF(AND(ISNUMBER($AP$382),$B$226=1),$AP$382,HLOOKUP(INDIRECT(ADDRESS(2,COLUMN())),OFFSET($BN$2,0,0,ROW()-1,60),ROW()-1,FALSE))</f>
        <v>2.461246204</v>
      </c>
      <c r="AQ178">
        <f ca="1">IF(AND(ISNUMBER($AQ$382),$B$226=1),$AQ$382,HLOOKUP(INDIRECT(ADDRESS(2,COLUMN())),OFFSET($BN$2,0,0,ROW()-1,60),ROW()-1,FALSE))</f>
        <v>1.696887271</v>
      </c>
      <c r="AR178">
        <f ca="1">IF(AND(ISNUMBER($AR$382),$B$226=1),$AR$382,HLOOKUP(INDIRECT(ADDRESS(2,COLUMN())),OFFSET($BN$2,0,0,ROW()-1,60),ROW()-1,FALSE))</f>
        <v>1.158188376</v>
      </c>
      <c r="AS178">
        <f ca="1">IF(AND(ISNUMBER($AS$382),$B$226=1),$AS$382,HLOOKUP(INDIRECT(ADDRESS(2,COLUMN())),OFFSET($BN$2,0,0,ROW()-1,60),ROW()-1,FALSE))</f>
        <v>1.249491387</v>
      </c>
      <c r="AT178">
        <f ca="1">IF(AND(ISNUMBER($AT$382),$B$226=1),$AT$382,HLOOKUP(INDIRECT(ADDRESS(2,COLUMN())),OFFSET($BN$2,0,0,ROW()-1,60),ROW()-1,FALSE))</f>
        <v>1.100458165</v>
      </c>
      <c r="AU178">
        <f ca="1">IF(AND(ISNUMBER($AU$382),$B$226=1),$AU$382,HLOOKUP(INDIRECT(ADDRESS(2,COLUMN())),OFFSET($BN$2,0,0,ROW()-1,60),ROW()-1,FALSE))</f>
        <v>1.0940234900000001</v>
      </c>
      <c r="AV178">
        <f ca="1">IF(AND(ISNUMBER($AV$382),$B$226=1),$AV$382,HLOOKUP(INDIRECT(ADDRESS(2,COLUMN())),OFFSET($BN$2,0,0,ROW()-1,60),ROW()-1,FALSE))</f>
        <v>0.79366037300000003</v>
      </c>
      <c r="AW178">
        <f ca="1">IF(AND(ISNUMBER($AW$382),$B$226=1),$AW$382,HLOOKUP(INDIRECT(ADDRESS(2,COLUMN())),OFFSET($BN$2,0,0,ROW()-1,60),ROW()-1,FALSE))</f>
        <v>0.71717364400000005</v>
      </c>
      <c r="AX178">
        <f ca="1">IF(AND(ISNUMBER($AX$382),$B$226=1),$AX$382,HLOOKUP(INDIRECT(ADDRESS(2,COLUMN())),OFFSET($BN$2,0,0,ROW()-1,60),ROW()-1,FALSE))</f>
        <v>0.64222198500000005</v>
      </c>
      <c r="AY178">
        <f ca="1">IF(AND(ISNUMBER($AY$382),$B$226=1),$AY$382,HLOOKUP(INDIRECT(ADDRESS(2,COLUMN())),OFFSET($BN$2,0,0,ROW()-1,60),ROW()-1,FALSE))</f>
        <v>0.58288224</v>
      </c>
      <c r="AZ178">
        <f ca="1">IF(AND(ISNUMBER($AZ$382),$B$226=1),$AZ$382,HLOOKUP(INDIRECT(ADDRESS(2,COLUMN())),OFFSET($BN$2,0,0,ROW()-1,60),ROW()-1,FALSE))</f>
        <v>0.55494460099999998</v>
      </c>
      <c r="BA178">
        <f ca="1">IF(AND(ISNUMBER($BA$382),$B$226=1),$BA$382,HLOOKUP(INDIRECT(ADDRESS(2,COLUMN())),OFFSET($BN$2,0,0,ROW()-1,60),ROW()-1,FALSE))</f>
        <v>0.64484433299999999</v>
      </c>
      <c r="BB178">
        <f ca="1">IF(AND(ISNUMBER($BB$382),$B$226=1),$BB$382,HLOOKUP(INDIRECT(ADDRESS(2,COLUMN())),OFFSET($BN$2,0,0,ROW()-1,60),ROW()-1,FALSE))</f>
        <v>0.75596137399999996</v>
      </c>
      <c r="BC178">
        <f ca="1">IF(AND(ISNUMBER($BC$382),$B$226=1),$BC$382,HLOOKUP(INDIRECT(ADDRESS(2,COLUMN())),OFFSET($BN$2,0,0,ROW()-1,60),ROW()-1,FALSE))</f>
        <v>0.87200124199999995</v>
      </c>
      <c r="BD178">
        <f ca="1">IF(AND(ISNUMBER($BD$382),$B$226=1),$BD$382,HLOOKUP(INDIRECT(ADDRESS(2,COLUMN())),OFFSET($BN$2,0,0,ROW()-1,60),ROW()-1,FALSE))</f>
        <v>0.88406166100000005</v>
      </c>
      <c r="BE178">
        <f ca="1">IF(AND(ISNUMBER($BE$382),$B$226=1),$BE$382,HLOOKUP(INDIRECT(ADDRESS(2,COLUMN())),OFFSET($BN$2,0,0,ROW()-1,60),ROW()-1,FALSE))</f>
        <v>0.90802863300000003</v>
      </c>
      <c r="BF178">
        <f ca="1">IF(AND(ISNUMBER($BF$382),$B$226=1),$BF$382,HLOOKUP(INDIRECT(ADDRESS(2,COLUMN())),OFFSET($BN$2,0,0,ROW()-1,60),ROW()-1,FALSE))</f>
        <v>1.056119644</v>
      </c>
      <c r="BG178">
        <f ca="1">IF(AND(ISNUMBER($BG$382),$B$226=1),$BG$382,HLOOKUP(INDIRECT(ADDRESS(2,COLUMN())),OFFSET($BN$2,0,0,ROW()-1,60),ROW()-1,FALSE))</f>
        <v>0.773776668</v>
      </c>
      <c r="BH178">
        <f ca="1">IF(AND(ISNUMBER($BH$382),$B$226=1),$BH$382,HLOOKUP(INDIRECT(ADDRESS(2,COLUMN())),OFFSET($BN$2,0,0,ROW()-1,60),ROW()-1,FALSE))</f>
        <v>0.87061564499999999</v>
      </c>
      <c r="BI178">
        <f ca="1">IF(AND(ISNUMBER($BI$382),$B$226=1),$BI$382,HLOOKUP(INDIRECT(ADDRESS(2,COLUMN())),OFFSET($BN$2,0,0,ROW()-1,60),ROW()-1,FALSE))</f>
        <v>0.85654301799999999</v>
      </c>
      <c r="BJ178">
        <f ca="1">IF(AND(ISNUMBER($BJ$382),$B$226=1),$BJ$382,HLOOKUP(INDIRECT(ADDRESS(2,COLUMN())),OFFSET($BN$2,0,0,ROW()-1,60),ROW()-1,FALSE))</f>
        <v>0.85152987800000002</v>
      </c>
      <c r="BK178">
        <f ca="1">IF(AND(ISNUMBER($BK$382),$B$226=1),$BK$382,HLOOKUP(INDIRECT(ADDRESS(2,COLUMN())),OFFSET($BN$2,0,0,ROW()-1,60),ROW()-1,FALSE))</f>
        <v>0.86027894800000004</v>
      </c>
      <c r="BL178">
        <f ca="1">IF(AND(ISNUMBER($BL$382),$B$226=1),$BL$382,HLOOKUP(INDIRECT(ADDRESS(2,COLUMN())),OFFSET($BN$2,0,0,ROW()-1,60),ROW()-1,FALSE))</f>
        <v>0.98033037300000003</v>
      </c>
      <c r="BM178">
        <f ca="1">IF(AND(ISNUMBER($BM$382),$B$226=1),$BM$382,HLOOKUP(INDIRECT(ADDRESS(2,COLUMN())),OFFSET($BN$2,0,0,ROW()-1,60),ROW()-1,FALSE))</f>
        <v>1.076051152</v>
      </c>
      <c r="BN178">
        <f>0.28605334</f>
        <v>0.28605333999999999</v>
      </c>
      <c r="BO178">
        <f>0.258401585</f>
        <v>0.25840158499999999</v>
      </c>
      <c r="BP178">
        <f>0.260111927</f>
        <v>0.26011192700000002</v>
      </c>
      <c r="BQ178">
        <f>0.307424438</f>
        <v>0.30742443800000002</v>
      </c>
      <c r="BR178">
        <f>0.347525504</f>
        <v>0.34752550399999999</v>
      </c>
      <c r="BS178">
        <f>0.337291948</f>
        <v>0.33729194800000001</v>
      </c>
      <c r="BT178">
        <f>0.338888128</f>
        <v>0.33888812800000001</v>
      </c>
      <c r="BU178">
        <f>0.322501161</f>
        <v>0.32250116099999998</v>
      </c>
      <c r="BV178">
        <f>0.378374145</f>
        <v>0.378374145</v>
      </c>
      <c r="BW178">
        <f>0.408654113</f>
        <v>0.40865411299999999</v>
      </c>
      <c r="BX178">
        <f>0.423030979</f>
        <v>0.42303097899999997</v>
      </c>
      <c r="BY178">
        <f>0.414641245</f>
        <v>0.41464124499999999</v>
      </c>
      <c r="BZ178">
        <f>0.390522829</f>
        <v>0.39052282900000002</v>
      </c>
      <c r="CA178">
        <f>0.42801846</f>
        <v>0.42801845999999999</v>
      </c>
      <c r="CB178">
        <f>0.467501674</f>
        <v>0.46750167399999998</v>
      </c>
      <c r="CC178">
        <f>0.443532572</f>
        <v>0.44353257200000001</v>
      </c>
      <c r="CD178">
        <f>0.433880665</f>
        <v>0.433880665</v>
      </c>
      <c r="CE178">
        <f>0.520868291</f>
        <v>0.52086829099999998</v>
      </c>
      <c r="CF178">
        <f>0.508749022</f>
        <v>0.50874902200000005</v>
      </c>
      <c r="CG178">
        <f>0.430268294</f>
        <v>0.430268294</v>
      </c>
      <c r="CH178">
        <f>0.429907654</f>
        <v>0.42990765399999997</v>
      </c>
      <c r="CI178">
        <f>0.437551904</f>
        <v>0.43755190399999999</v>
      </c>
      <c r="CJ178">
        <f>0.444068947</f>
        <v>0.44406894699999999</v>
      </c>
      <c r="CK178">
        <f>0.441076706</f>
        <v>0.44107670599999999</v>
      </c>
      <c r="CL178">
        <f>0.469200837</f>
        <v>0.46920083699999998</v>
      </c>
      <c r="CM178">
        <f>0.547612262</f>
        <v>0.54761226200000002</v>
      </c>
      <c r="CN178">
        <f>0.618608088</f>
        <v>0.618608088</v>
      </c>
      <c r="CO178">
        <f>0.545153368</f>
        <v>0.54515336800000003</v>
      </c>
      <c r="CP178">
        <f>0.624100331</f>
        <v>0.62410033099999995</v>
      </c>
      <c r="CQ178">
        <f>0.691562627</f>
        <v>0.69156262700000004</v>
      </c>
      <c r="CR178">
        <f>0.791192189</f>
        <v>0.79119218899999999</v>
      </c>
      <c r="CS178">
        <f>0.95620363</f>
        <v>0.95620362999999997</v>
      </c>
      <c r="CT178">
        <f>0.956907624</f>
        <v>0.95690762399999996</v>
      </c>
      <c r="CU178">
        <f>0.965467965</f>
        <v>0.96546796499999998</v>
      </c>
      <c r="CV178">
        <f>1.014716118</f>
        <v>1.0147161179999999</v>
      </c>
      <c r="CW178">
        <f>1.465960553</f>
        <v>1.4659605529999999</v>
      </c>
      <c r="CX178">
        <f>2.461246204</f>
        <v>2.461246204</v>
      </c>
      <c r="CY178">
        <f>1.696887271</f>
        <v>1.696887271</v>
      </c>
      <c r="CZ178">
        <f>1.158188376</f>
        <v>1.158188376</v>
      </c>
      <c r="DA178">
        <f>1.249491387</f>
        <v>1.249491387</v>
      </c>
      <c r="DB178">
        <f>1.100458165</f>
        <v>1.100458165</v>
      </c>
      <c r="DC178">
        <f>1.09402349</f>
        <v>1.0940234900000001</v>
      </c>
      <c r="DD178">
        <f>0.793660373</f>
        <v>0.79366037300000003</v>
      </c>
      <c r="DE178">
        <f>0.717173644</f>
        <v>0.71717364400000005</v>
      </c>
      <c r="DF178">
        <f>0.642221985</f>
        <v>0.64222198500000005</v>
      </c>
      <c r="DG178">
        <f>0.58288224</f>
        <v>0.58288224</v>
      </c>
      <c r="DH178">
        <f>0.554944601</f>
        <v>0.55494460099999998</v>
      </c>
      <c r="DI178">
        <f>0.644844333</f>
        <v>0.64484433299999999</v>
      </c>
      <c r="DJ178">
        <f>0.755961374</f>
        <v>0.75596137399999996</v>
      </c>
      <c r="DK178">
        <f>0.872001242</f>
        <v>0.87200124199999995</v>
      </c>
      <c r="DL178">
        <f>0.884061661</f>
        <v>0.88406166100000005</v>
      </c>
      <c r="DM178">
        <f>0.908028633</f>
        <v>0.90802863300000003</v>
      </c>
      <c r="DN178">
        <f>1.056119644</f>
        <v>1.056119644</v>
      </c>
      <c r="DO178">
        <f>0.773776668</f>
        <v>0.773776668</v>
      </c>
      <c r="DP178">
        <f>0.870615645</f>
        <v>0.87061564499999999</v>
      </c>
      <c r="DQ178">
        <f>0.856543018</f>
        <v>0.85654301799999999</v>
      </c>
      <c r="DR178">
        <f>0.851529878</f>
        <v>0.85152987800000002</v>
      </c>
      <c r="DS178">
        <f>0.860278948</f>
        <v>0.86027894800000004</v>
      </c>
      <c r="DT178">
        <f>0.980330373</f>
        <v>0.98033037300000003</v>
      </c>
      <c r="DU178">
        <f>1.076051152</f>
        <v>1.076051152</v>
      </c>
    </row>
    <row r="179" spans="1:125">
      <c r="A179" t="str">
        <f>"    Education Realty Trust Inc"</f>
        <v xml:space="preserve">    Education Realty Trust Inc</v>
      </c>
      <c r="B179" t="str">
        <f>"EDR US Equity"</f>
        <v>EDR US Equity</v>
      </c>
      <c r="C179" t="str">
        <f t="shared" si="57"/>
        <v>RR263</v>
      </c>
      <c r="D179" t="str">
        <f t="shared" si="58"/>
        <v>DEBT_TO_MKT_CAP</v>
      </c>
      <c r="E179" t="str">
        <f t="shared" si="59"/>
        <v>动态</v>
      </c>
      <c r="F179">
        <f ca="1">IF(AND(ISNUMBER($F$383),$B$226=1),$F$383,HLOOKUP(INDIRECT(ADDRESS(2,COLUMN())),OFFSET($BN$2,0,0,ROW()-1,60),ROW()-1,FALSE))</f>
        <v>0.378421175</v>
      </c>
      <c r="G179">
        <f ca="1">IF(AND(ISNUMBER($G$383),$B$226=1),$G$383,HLOOKUP(INDIRECT(ADDRESS(2,COLUMN())),OFFSET($BN$2,0,0,ROW()-1,60),ROW()-1,FALSE))</f>
        <v>0.35287176799999997</v>
      </c>
      <c r="H179">
        <f ca="1">IF(AND(ISNUMBER($H$383),$B$226=1),$H$383,HLOOKUP(INDIRECT(ADDRESS(2,COLUMN())),OFFSET($BN$2,0,0,ROW()-1,60),ROW()-1,FALSE))</f>
        <v>0.30726102199999999</v>
      </c>
      <c r="I179">
        <f ca="1">IF(AND(ISNUMBER($I$383),$B$226=1),$I$383,HLOOKUP(INDIRECT(ADDRESS(2,COLUMN())),OFFSET($BN$2,0,0,ROW()-1,60),ROW()-1,FALSE))</f>
        <v>0.285352035</v>
      </c>
      <c r="J179">
        <f ca="1">IF(AND(ISNUMBER($J$383),$B$226=1),$J$383,HLOOKUP(INDIRECT(ADDRESS(2,COLUMN())),OFFSET($BN$2,0,0,ROW()-1,60),ROW()-1,FALSE))</f>
        <v>0.24222933499999999</v>
      </c>
      <c r="K179">
        <f ca="1">IF(AND(ISNUMBER($K$383),$B$226=1),$K$383,HLOOKUP(INDIRECT(ADDRESS(2,COLUMN())),OFFSET($BN$2,0,0,ROW()-1,60),ROW()-1,FALSE))</f>
        <v>0.16731821299999999</v>
      </c>
      <c r="L179">
        <f ca="1">IF(AND(ISNUMBER($L$383),$B$226=1),$L$383,HLOOKUP(INDIRECT(ADDRESS(2,COLUMN())),OFFSET($BN$2,0,0,ROW()-1,60),ROW()-1,FALSE))</f>
        <v>0.157527954</v>
      </c>
      <c r="M179">
        <f ca="1">IF(AND(ISNUMBER($M$383),$B$226=1),$M$383,HLOOKUP(INDIRECT(ADDRESS(2,COLUMN())),OFFSET($BN$2,0,0,ROW()-1,60),ROW()-1,FALSE))</f>
        <v>0.174787778</v>
      </c>
      <c r="N179">
        <f ca="1">IF(AND(ISNUMBER($N$383),$B$226=1),$N$383,HLOOKUP(INDIRECT(ADDRESS(2,COLUMN())),OFFSET($BN$2,0,0,ROW()-1,60),ROW()-1,FALSE))</f>
        <v>0.21011471800000001</v>
      </c>
      <c r="O179">
        <f ca="1">IF(AND(ISNUMBER($O$383),$B$226=1),$O$383,HLOOKUP(INDIRECT(ADDRESS(2,COLUMN())),OFFSET($BN$2,0,0,ROW()-1,60),ROW()-1,FALSE))</f>
        <v>0.29866216699999998</v>
      </c>
      <c r="P179">
        <f ca="1">IF(AND(ISNUMBER($P$383),$B$226=1),$P$383,HLOOKUP(INDIRECT(ADDRESS(2,COLUMN())),OFFSET($BN$2,0,0,ROW()-1,60),ROW()-1,FALSE))</f>
        <v>0.55944685000000005</v>
      </c>
      <c r="Q179">
        <f ca="1">IF(AND(ISNUMBER($Q$383),$B$226=1),$Q$383,HLOOKUP(INDIRECT(ADDRESS(2,COLUMN())),OFFSET($BN$2,0,0,ROW()-1,60),ROW()-1,FALSE))</f>
        <v>0.527704583</v>
      </c>
      <c r="R179">
        <f ca="1">IF(AND(ISNUMBER($R$383),$B$226=1),$R$383,HLOOKUP(INDIRECT(ADDRESS(2,COLUMN())),OFFSET($BN$2,0,0,ROW()-1,60),ROW()-1,FALSE))</f>
        <v>0.43556808899999999</v>
      </c>
      <c r="S179">
        <f ca="1">IF(AND(ISNUMBER($S$383),$B$226=1),$S$383,HLOOKUP(INDIRECT(ADDRESS(2,COLUMN())),OFFSET($BN$2,0,0,ROW()-1,60),ROW()-1,FALSE))</f>
        <v>0.406123332</v>
      </c>
      <c r="T179">
        <f ca="1">IF(AND(ISNUMBER($T$383),$B$226=1),$T$383,HLOOKUP(INDIRECT(ADDRESS(2,COLUMN())),OFFSET($BN$2,0,0,ROW()-1,60),ROW()-1,FALSE))</f>
        <v>0.51133919000000005</v>
      </c>
      <c r="U179">
        <f ca="1">IF(AND(ISNUMBER($U$383),$B$226=1),$U$383,HLOOKUP(INDIRECT(ADDRESS(2,COLUMN())),OFFSET($BN$2,0,0,ROW()-1,60),ROW()-1,FALSE))</f>
        <v>0.41021953799999999</v>
      </c>
      <c r="V179">
        <f ca="1">IF(AND(ISNUMBER($V$383),$B$226=1),$V$383,HLOOKUP(INDIRECT(ADDRESS(2,COLUMN())),OFFSET($BN$2,0,0,ROW()-1,60),ROW()-1,FALSE))</f>
        <v>0.70220539500000001</v>
      </c>
      <c r="W179">
        <f ca="1">IF(AND(ISNUMBER($W$383),$B$226=1),$W$383,HLOOKUP(INDIRECT(ADDRESS(2,COLUMN())),OFFSET($BN$2,0,0,ROW()-1,60),ROW()-1,FALSE))</f>
        <v>0.76980421499999996</v>
      </c>
      <c r="X179">
        <f ca="1">IF(AND(ISNUMBER($X$383),$B$226=1),$X$383,HLOOKUP(INDIRECT(ADDRESS(2,COLUMN())),OFFSET($BN$2,0,0,ROW()-1,60),ROW()-1,FALSE))</f>
        <v>0.67343801700000006</v>
      </c>
      <c r="Y179">
        <f ca="1">IF(AND(ISNUMBER($Y$383),$B$226=1),$Y$383,HLOOKUP(INDIRECT(ADDRESS(2,COLUMN())),OFFSET($BN$2,0,0,ROW()-1,60),ROW()-1,FALSE))</f>
        <v>0.46869079000000002</v>
      </c>
      <c r="Z179">
        <f ca="1">IF(AND(ISNUMBER($Z$383),$B$226=1),$Z$383,HLOOKUP(INDIRECT(ADDRESS(2,COLUMN())),OFFSET($BN$2,0,0,ROW()-1,60),ROW()-1,FALSE))</f>
        <v>0.43140120999999998</v>
      </c>
      <c r="AA179">
        <f ca="1">IF(AND(ISNUMBER($AA$383),$B$226=1),$AA$383,HLOOKUP(INDIRECT(ADDRESS(2,COLUMN())),OFFSET($BN$2,0,0,ROW()-1,60),ROW()-1,FALSE))</f>
        <v>0.39736348799999999</v>
      </c>
      <c r="AB179">
        <f ca="1">IF(AND(ISNUMBER($AB$383),$B$226=1),$AB$383,HLOOKUP(INDIRECT(ADDRESS(2,COLUMN())),OFFSET($BN$2,0,0,ROW()-1,60),ROW()-1,FALSE))</f>
        <v>0.26183246799999998</v>
      </c>
      <c r="AC179">
        <f ca="1">IF(AND(ISNUMBER($AC$383),$B$226=1),$AC$383,HLOOKUP(INDIRECT(ADDRESS(2,COLUMN())),OFFSET($BN$2,0,0,ROW()-1,60),ROW()-1,FALSE))</f>
        <v>0.324307917</v>
      </c>
      <c r="AD179">
        <f ca="1">IF(AND(ISNUMBER($AD$383),$B$226=1),$AD$383,HLOOKUP(INDIRECT(ADDRESS(2,COLUMN())),OFFSET($BN$2,0,0,ROW()-1,60),ROW()-1,FALSE))</f>
        <v>0.33122853699999999</v>
      </c>
      <c r="AE179">
        <f ca="1">IF(AND(ISNUMBER($AE$383),$B$226=1),$AE$383,HLOOKUP(INDIRECT(ADDRESS(2,COLUMN())),OFFSET($BN$2,0,0,ROW()-1,60),ROW()-1,FALSE))</f>
        <v>0.38097349699999999</v>
      </c>
      <c r="AF179">
        <f ca="1">IF(AND(ISNUMBER($AF$383),$B$226=1),$AF$383,HLOOKUP(INDIRECT(ADDRESS(2,COLUMN())),OFFSET($BN$2,0,0,ROW()-1,60),ROW()-1,FALSE))</f>
        <v>0.53969834100000003</v>
      </c>
      <c r="AG179">
        <f ca="1">IF(AND(ISNUMBER($AG$383),$B$226=1),$AG$383,HLOOKUP(INDIRECT(ADDRESS(2,COLUMN())),OFFSET($BN$2,0,0,ROW()-1,60),ROW()-1,FALSE))</f>
        <v>0.53312605400000002</v>
      </c>
      <c r="AH179">
        <f ca="1">IF(AND(ISNUMBER($AH$383),$B$226=1),$AH$383,HLOOKUP(INDIRECT(ADDRESS(2,COLUMN())),OFFSET($BN$2,0,0,ROW()-1,60),ROW()-1,FALSE))</f>
        <v>0.57117082200000002</v>
      </c>
      <c r="AI179">
        <f ca="1">IF(AND(ISNUMBER($AI$383),$B$226=1),$AI$383,HLOOKUP(INDIRECT(ADDRESS(2,COLUMN())),OFFSET($BN$2,0,0,ROW()-1,60),ROW()-1,FALSE))</f>
        <v>0.815431982</v>
      </c>
      <c r="AJ179">
        <f ca="1">IF(AND(ISNUMBER($AJ$383),$B$226=1),$AJ$383,HLOOKUP(INDIRECT(ADDRESS(2,COLUMN())),OFFSET($BN$2,0,0,ROW()-1,60),ROW()-1,FALSE))</f>
        <v>0.96889702600000005</v>
      </c>
      <c r="AK179">
        <f ca="1">IF(AND(ISNUMBER($AK$383),$B$226=1),$AK$383,HLOOKUP(INDIRECT(ADDRESS(2,COLUMN())),OFFSET($BN$2,0,0,ROW()-1,60),ROW()-1,FALSE))</f>
        <v>1.163038419</v>
      </c>
      <c r="AL179">
        <f ca="1">IF(AND(ISNUMBER($AL$383),$B$226=1),$AL$383,HLOOKUP(INDIRECT(ADDRESS(2,COLUMN())),OFFSET($BN$2,0,0,ROW()-1,60),ROW()-1,FALSE))</f>
        <v>1.2439617140000001</v>
      </c>
      <c r="AM179">
        <f ca="1">IF(AND(ISNUMBER($AM$383),$B$226=1),$AM$383,HLOOKUP(INDIRECT(ADDRESS(2,COLUMN())),OFFSET($BN$2,0,0,ROW()-1,60),ROW()-1,FALSE))</f>
        <v>1.4808230979999999</v>
      </c>
      <c r="AN179">
        <f ca="1">IF(AND(ISNUMBER($AN$383),$B$226=1),$AN$383,HLOOKUP(INDIRECT(ADDRESS(2,COLUMN())),OFFSET($BN$2,0,0,ROW()-1,60),ROW()-1,FALSE))</f>
        <v>1.361040853</v>
      </c>
      <c r="AO179">
        <f ca="1">IF(AND(ISNUMBER($AO$383),$B$226=1),$AO$383,HLOOKUP(INDIRECT(ADDRESS(2,COLUMN())),OFFSET($BN$2,0,0,ROW()-1,60),ROW()-1,FALSE))</f>
        <v>3.924043401</v>
      </c>
      <c r="AP179">
        <f ca="1">IF(AND(ISNUMBER($AP$383),$B$226=1),$AP$383,HLOOKUP(INDIRECT(ADDRESS(2,COLUMN())),OFFSET($BN$2,0,0,ROW()-1,60),ROW()-1,FALSE))</f>
        <v>4.8000374829999997</v>
      </c>
      <c r="AQ179">
        <f ca="1">IF(AND(ISNUMBER($AQ$383),$B$226=1),$AQ$383,HLOOKUP(INDIRECT(ADDRESS(2,COLUMN())),OFFSET($BN$2,0,0,ROW()-1,60),ROW()-1,FALSE))</f>
        <v>3.1922367280000001</v>
      </c>
      <c r="AR179">
        <f ca="1">IF(AND(ISNUMBER($AR$383),$B$226=1),$AR$383,HLOOKUP(INDIRECT(ADDRESS(2,COLUMN())),OFFSET($BN$2,0,0,ROW()-1,60),ROW()-1,FALSE))</f>
        <v>1.4167380700000001</v>
      </c>
      <c r="AS179">
        <f ca="1">IF(AND(ISNUMBER($AS$383),$B$226=1),$AS$383,HLOOKUP(INDIRECT(ADDRESS(2,COLUMN())),OFFSET($BN$2,0,0,ROW()-1,60),ROW()-1,FALSE))</f>
        <v>1.3858757779999999</v>
      </c>
      <c r="AT179">
        <f ca="1">IF(AND(ISNUMBER($AT$383),$B$226=1),$AT$383,HLOOKUP(INDIRECT(ADDRESS(2,COLUMN())),OFFSET($BN$2,0,0,ROW()-1,60),ROW()-1,FALSE))</f>
        <v>1.2045639459999999</v>
      </c>
      <c r="AU179">
        <f ca="1">IF(AND(ISNUMBER($AU$383),$B$226=1),$AU$383,HLOOKUP(INDIRECT(ADDRESS(2,COLUMN())),OFFSET($BN$2,0,0,ROW()-1,60),ROW()-1,FALSE))</f>
        <v>1.3496092070000001</v>
      </c>
      <c r="AV179">
        <f ca="1">IF(AND(ISNUMBER($AV$383),$B$226=1),$AV$383,HLOOKUP(INDIRECT(ADDRESS(2,COLUMN())),OFFSET($BN$2,0,0,ROW()-1,60),ROW()-1,FALSE))</f>
        <v>1.102447873</v>
      </c>
      <c r="AW179">
        <f ca="1">IF(AND(ISNUMBER($AW$383),$B$226=1),$AW$383,HLOOKUP(INDIRECT(ADDRESS(2,COLUMN())),OFFSET($BN$2,0,0,ROW()-1,60),ROW()-1,FALSE))</f>
        <v>1.078185607</v>
      </c>
      <c r="AX179">
        <f ca="1">IF(AND(ISNUMBER($AX$383),$B$226=1),$AX$383,HLOOKUP(INDIRECT(ADDRESS(2,COLUMN())),OFFSET($BN$2,0,0,ROW()-1,60),ROW()-1,FALSE))</f>
        <v>1.200726449</v>
      </c>
      <c r="AY179">
        <f ca="1">IF(AND(ISNUMBER($AY$383),$B$226=1),$AY$383,HLOOKUP(INDIRECT(ADDRESS(2,COLUMN())),OFFSET($BN$2,0,0,ROW()-1,60),ROW()-1,FALSE))</f>
        <v>1.2570902850000001</v>
      </c>
      <c r="AZ179">
        <f ca="1">IF(AND(ISNUMBER($AZ$383),$B$226=1),$AZ$383,HLOOKUP(INDIRECT(ADDRESS(2,COLUMN())),OFFSET($BN$2,0,0,ROW()-1,60),ROW()-1,FALSE))</f>
        <v>1.267362729</v>
      </c>
      <c r="BA179">
        <f ca="1">IF(AND(ISNUMBER($BA$383),$B$226=1),$BA$383,HLOOKUP(INDIRECT(ADDRESS(2,COLUMN())),OFFSET($BN$2,0,0,ROW()-1,60),ROW()-1,FALSE))</f>
        <v>1.1173772989999999</v>
      </c>
      <c r="BB179">
        <f ca="1">IF(AND(ISNUMBER($BB$383),$B$226=1),$BB$383,HLOOKUP(INDIRECT(ADDRESS(2,COLUMN())),OFFSET($BN$2,0,0,ROW()-1,60),ROW()-1,FALSE))</f>
        <v>1.1874913380000001</v>
      </c>
      <c r="BC179">
        <f ca="1">IF(AND(ISNUMBER($BC$383),$B$226=1),$BC$383,HLOOKUP(INDIRECT(ADDRESS(2,COLUMN())),OFFSET($BN$2,0,0,ROW()-1,60),ROW()-1,FALSE))</f>
        <v>0.96444936000000003</v>
      </c>
      <c r="BD179">
        <f ca="1">IF(AND(ISNUMBER($BD$383),$B$226=1),$BD$383,HLOOKUP(INDIRECT(ADDRESS(2,COLUMN())),OFFSET($BN$2,0,0,ROW()-1,60),ROW()-1,FALSE))</f>
        <v>0.89911669999999999</v>
      </c>
      <c r="BE179">
        <f ca="1">IF(AND(ISNUMBER($BE$383),$B$226=1),$BE$383,HLOOKUP(INDIRECT(ADDRESS(2,COLUMN())),OFFSET($BN$2,0,0,ROW()-1,60),ROW()-1,FALSE))</f>
        <v>0.81670600999999998</v>
      </c>
      <c r="BF179">
        <f ca="1">IF(AND(ISNUMBER($BF$383),$B$226=1),$BF$383,HLOOKUP(INDIRECT(ADDRESS(2,COLUMN())),OFFSET($BN$2,0,0,ROW()-1,60),ROW()-1,FALSE))</f>
        <v>0.78880765600000002</v>
      </c>
      <c r="BG179" t="str">
        <f ca="1">IF(AND(ISNUMBER($BG$383),$B$226=1),$BG$383,HLOOKUP(INDIRECT(ADDRESS(2,COLUMN())),OFFSET($BN$2,0,0,ROW()-1,60),ROW()-1,FALSE))</f>
        <v/>
      </c>
      <c r="BH179" t="str">
        <f ca="1">IF(AND(ISNUMBER($BH$383),$B$226=1),$BH$383,HLOOKUP(INDIRECT(ADDRESS(2,COLUMN())),OFFSET($BN$2,0,0,ROW()-1,60),ROW()-1,FALSE))</f>
        <v/>
      </c>
      <c r="BI179" t="str">
        <f ca="1">IF(AND(ISNUMBER($BI$383),$B$226=1),$BI$383,HLOOKUP(INDIRECT(ADDRESS(2,COLUMN())),OFFSET($BN$2,0,0,ROW()-1,60),ROW()-1,FALSE))</f>
        <v/>
      </c>
      <c r="BJ179" t="str">
        <f ca="1">IF(AND(ISNUMBER($BJ$383),$B$226=1),$BJ$383,HLOOKUP(INDIRECT(ADDRESS(2,COLUMN())),OFFSET($BN$2,0,0,ROW()-1,60),ROW()-1,FALSE))</f>
        <v/>
      </c>
      <c r="BK179" t="str">
        <f ca="1">IF(AND(ISNUMBER($BK$383),$B$226=1),$BK$383,HLOOKUP(INDIRECT(ADDRESS(2,COLUMN())),OFFSET($BN$2,0,0,ROW()-1,60),ROW()-1,FALSE))</f>
        <v/>
      </c>
      <c r="BL179" t="str">
        <f ca="1">IF(AND(ISNUMBER($BL$383),$B$226=1),$BL$383,HLOOKUP(INDIRECT(ADDRESS(2,COLUMN())),OFFSET($BN$2,0,0,ROW()-1,60),ROW()-1,FALSE))</f>
        <v/>
      </c>
      <c r="BM179" t="str">
        <f ca="1">IF(AND(ISNUMBER($BM$383),$B$226=1),$BM$383,HLOOKUP(INDIRECT(ADDRESS(2,COLUMN())),OFFSET($BN$2,0,0,ROW()-1,60),ROW()-1,FALSE))</f>
        <v/>
      </c>
      <c r="BN179">
        <f>0.378421175</f>
        <v>0.378421175</v>
      </c>
      <c r="BO179">
        <f>0.352871768</f>
        <v>0.35287176799999997</v>
      </c>
      <c r="BP179">
        <f>0.307261022</f>
        <v>0.30726102199999999</v>
      </c>
      <c r="BQ179">
        <f>0.285352035</f>
        <v>0.285352035</v>
      </c>
      <c r="BR179">
        <f>0.242229335</f>
        <v>0.24222933499999999</v>
      </c>
      <c r="BS179">
        <f>0.167318213</f>
        <v>0.16731821299999999</v>
      </c>
      <c r="BT179">
        <f>0.157527954</f>
        <v>0.157527954</v>
      </c>
      <c r="BU179">
        <f>0.174787778</f>
        <v>0.174787778</v>
      </c>
      <c r="BV179">
        <f>0.210114718</f>
        <v>0.21011471800000001</v>
      </c>
      <c r="BW179">
        <f>0.298662167</f>
        <v>0.29866216699999998</v>
      </c>
      <c r="BX179">
        <f>0.55944685</f>
        <v>0.55944685000000005</v>
      </c>
      <c r="BY179">
        <f>0.527704583</f>
        <v>0.527704583</v>
      </c>
      <c r="BZ179">
        <f>0.435568089</f>
        <v>0.43556808899999999</v>
      </c>
      <c r="CA179">
        <f>0.406123332</f>
        <v>0.406123332</v>
      </c>
      <c r="CB179">
        <f>0.51133919</f>
        <v>0.51133919000000005</v>
      </c>
      <c r="CC179">
        <f>0.410219538</f>
        <v>0.41021953799999999</v>
      </c>
      <c r="CD179">
        <f>0.702205395</f>
        <v>0.70220539500000001</v>
      </c>
      <c r="CE179">
        <f>0.769804215</f>
        <v>0.76980421499999996</v>
      </c>
      <c r="CF179">
        <f>0.673438017</f>
        <v>0.67343801700000006</v>
      </c>
      <c r="CG179">
        <f>0.46869079</f>
        <v>0.46869079000000002</v>
      </c>
      <c r="CH179">
        <f>0.43140121</f>
        <v>0.43140120999999998</v>
      </c>
      <c r="CI179">
        <f>0.397363488</f>
        <v>0.39736348799999999</v>
      </c>
      <c r="CJ179">
        <f>0.261832468</f>
        <v>0.26183246799999998</v>
      </c>
      <c r="CK179">
        <f>0.324307917</f>
        <v>0.324307917</v>
      </c>
      <c r="CL179">
        <f>0.331228537</f>
        <v>0.33122853699999999</v>
      </c>
      <c r="CM179">
        <f>0.380973497</f>
        <v>0.38097349699999999</v>
      </c>
      <c r="CN179">
        <f>0.539698341</f>
        <v>0.53969834100000003</v>
      </c>
      <c r="CO179">
        <f>0.533126054</f>
        <v>0.53312605400000002</v>
      </c>
      <c r="CP179">
        <f>0.571170822</f>
        <v>0.57117082200000002</v>
      </c>
      <c r="CQ179">
        <f>0.815431982</f>
        <v>0.815431982</v>
      </c>
      <c r="CR179">
        <f>0.968897026</f>
        <v>0.96889702600000005</v>
      </c>
      <c r="CS179">
        <f>1.163038419</f>
        <v>1.163038419</v>
      </c>
      <c r="CT179">
        <f>1.243961714</f>
        <v>1.2439617140000001</v>
      </c>
      <c r="CU179">
        <f>1.480823098</f>
        <v>1.4808230979999999</v>
      </c>
      <c r="CV179">
        <f>1.361040853</f>
        <v>1.361040853</v>
      </c>
      <c r="CW179">
        <f>3.924043401</f>
        <v>3.924043401</v>
      </c>
      <c r="CX179">
        <f>4.800037483</f>
        <v>4.8000374829999997</v>
      </c>
      <c r="CY179">
        <f>3.192236728</f>
        <v>3.1922367280000001</v>
      </c>
      <c r="CZ179">
        <f>1.41673807</f>
        <v>1.4167380700000001</v>
      </c>
      <c r="DA179">
        <f>1.385875778</f>
        <v>1.3858757779999999</v>
      </c>
      <c r="DB179">
        <f>1.204563946</f>
        <v>1.2045639459999999</v>
      </c>
      <c r="DC179">
        <f>1.349609207</f>
        <v>1.3496092070000001</v>
      </c>
      <c r="DD179">
        <f>1.102447873</f>
        <v>1.102447873</v>
      </c>
      <c r="DE179">
        <f>1.078185607</f>
        <v>1.078185607</v>
      </c>
      <c r="DF179">
        <f>1.200726449</f>
        <v>1.200726449</v>
      </c>
      <c r="DG179">
        <f>1.257090285</f>
        <v>1.2570902850000001</v>
      </c>
      <c r="DH179">
        <f>1.267362729</f>
        <v>1.267362729</v>
      </c>
      <c r="DI179">
        <f>1.117377299</f>
        <v>1.1173772989999999</v>
      </c>
      <c r="DJ179">
        <f>1.187491338</f>
        <v>1.1874913380000001</v>
      </c>
      <c r="DK179">
        <f>0.96444936</f>
        <v>0.96444936000000003</v>
      </c>
      <c r="DL179">
        <f>0.8991167</f>
        <v>0.89911669999999999</v>
      </c>
      <c r="DM179">
        <f>0.81670601</f>
        <v>0.81670600999999998</v>
      </c>
      <c r="DN179">
        <f>0.788807656</f>
        <v>0.78880765600000002</v>
      </c>
      <c r="DO179" t="str">
        <f>""</f>
        <v/>
      </c>
      <c r="DP179" t="str">
        <f>""</f>
        <v/>
      </c>
      <c r="DQ179" t="str">
        <f>""</f>
        <v/>
      </c>
      <c r="DR179" t="str">
        <f>""</f>
        <v/>
      </c>
      <c r="DS179" t="str">
        <f>""</f>
        <v/>
      </c>
      <c r="DT179" t="str">
        <f>""</f>
        <v/>
      </c>
      <c r="DU179" t="str">
        <f>""</f>
        <v/>
      </c>
    </row>
    <row r="180" spans="1:125">
      <c r="A180" t="str">
        <f>"    Equity Residential"</f>
        <v xml:space="preserve">    Equity Residential</v>
      </c>
      <c r="B180" t="str">
        <f>"EQR US Equity"</f>
        <v>EQR US Equity</v>
      </c>
      <c r="C180" t="str">
        <f t="shared" si="57"/>
        <v>RR263</v>
      </c>
      <c r="D180" t="str">
        <f t="shared" si="58"/>
        <v>DEBT_TO_MKT_CAP</v>
      </c>
      <c r="E180" t="str">
        <f t="shared" si="59"/>
        <v>动态</v>
      </c>
      <c r="F180">
        <f ca="1">IF(AND(ISNUMBER($F$384),$B$226=1),$F$384,HLOOKUP(INDIRECT(ADDRESS(2,COLUMN())),OFFSET($BN$2,0,0,ROW()-1,60),ROW()-1,FALSE))</f>
        <v>0.40979037299999999</v>
      </c>
      <c r="G180">
        <f ca="1">IF(AND(ISNUMBER($G$384),$B$226=1),$G$384,HLOOKUP(INDIRECT(ADDRESS(2,COLUMN())),OFFSET($BN$2,0,0,ROW()-1,60),ROW()-1,FALSE))</f>
        <v>0.38222659599999997</v>
      </c>
      <c r="H180">
        <f ca="1">IF(AND(ISNUMBER($H$384),$B$226=1),$H$384,HLOOKUP(INDIRECT(ADDRESS(2,COLUMN())),OFFSET($BN$2,0,0,ROW()-1,60),ROW()-1,FALSE))</f>
        <v>0.37132120899999999</v>
      </c>
      <c r="I180">
        <f ca="1">IF(AND(ISNUMBER($I$384),$B$226=1),$I$384,HLOOKUP(INDIRECT(ADDRESS(2,COLUMN())),OFFSET($BN$2,0,0,ROW()-1,60),ROW()-1,FALSE))</f>
        <v>0.37087956100000002</v>
      </c>
      <c r="J180">
        <f ca="1">IF(AND(ISNUMBER($J$384),$B$226=1),$J$384,HLOOKUP(INDIRECT(ADDRESS(2,COLUMN())),OFFSET($BN$2,0,0,ROW()-1,60),ROW()-1,FALSE))</f>
        <v>0.390963481</v>
      </c>
      <c r="K180">
        <f ca="1">IF(AND(ISNUMBER($K$384),$B$226=1),$K$384,HLOOKUP(INDIRECT(ADDRESS(2,COLUMN())),OFFSET($BN$2,0,0,ROW()-1,60),ROW()-1,FALSE))</f>
        <v>0.38188298399999998</v>
      </c>
      <c r="L180">
        <f ca="1">IF(AND(ISNUMBER($L$384),$B$226=1),$L$384,HLOOKUP(INDIRECT(ADDRESS(2,COLUMN())),OFFSET($BN$2,0,0,ROW()-1,60),ROW()-1,FALSE))</f>
        <v>0.36140101600000002</v>
      </c>
      <c r="M180">
        <f ca="1">IF(AND(ISNUMBER($M$384),$B$226=1),$M$384,HLOOKUP(INDIRECT(ADDRESS(2,COLUMN())),OFFSET($BN$2,0,0,ROW()-1,60),ROW()-1,FALSE))</f>
        <v>0.33806267699999998</v>
      </c>
      <c r="N180">
        <f ca="1">IF(AND(ISNUMBER($N$384),$B$226=1),$N$384,HLOOKUP(INDIRECT(ADDRESS(2,COLUMN())),OFFSET($BN$2,0,0,ROW()-1,60),ROW()-1,FALSE))</f>
        <v>0.31331720099999999</v>
      </c>
      <c r="O180">
        <f ca="1">IF(AND(ISNUMBER($O$384),$B$226=1),$O$384,HLOOKUP(INDIRECT(ADDRESS(2,COLUMN())),OFFSET($BN$2,0,0,ROW()-1,60),ROW()-1,FALSE))</f>
        <v>0.367473775</v>
      </c>
      <c r="P180">
        <f ca="1">IF(AND(ISNUMBER($P$384),$B$226=1),$P$384,HLOOKUP(INDIRECT(ADDRESS(2,COLUMN())),OFFSET($BN$2,0,0,ROW()-1,60),ROW()-1,FALSE))</f>
        <v>0.39500453699999999</v>
      </c>
      <c r="Q180">
        <f ca="1">IF(AND(ISNUMBER($Q$384),$B$226=1),$Q$384,HLOOKUP(INDIRECT(ADDRESS(2,COLUMN())),OFFSET($BN$2,0,0,ROW()-1,60),ROW()-1,FALSE))</f>
        <v>0.423940645</v>
      </c>
      <c r="R180">
        <f ca="1">IF(AND(ISNUMBER($R$384),$B$226=1),$R$384,HLOOKUP(INDIRECT(ADDRESS(2,COLUMN())),OFFSET($BN$2,0,0,ROW()-1,60),ROW()-1,FALSE))</f>
        <v>0.383384962</v>
      </c>
      <c r="S180">
        <f ca="1">IF(AND(ISNUMBER($S$384),$B$226=1),$S$384,HLOOKUP(INDIRECT(ADDRESS(2,COLUMN())),OFFSET($BN$2,0,0,ROW()-1,60),ROW()-1,FALSE))</f>
        <v>0.416594558</v>
      </c>
      <c r="T180">
        <f ca="1">IF(AND(ISNUMBER($T$384),$B$226=1),$T$384,HLOOKUP(INDIRECT(ADDRESS(2,COLUMN())),OFFSET($BN$2,0,0,ROW()-1,60),ROW()-1,FALSE))</f>
        <v>0.49189935099999998</v>
      </c>
      <c r="U180">
        <f ca="1">IF(AND(ISNUMBER($U$384),$B$226=1),$U$384,HLOOKUP(INDIRECT(ADDRESS(2,COLUMN())),OFFSET($BN$2,0,0,ROW()-1,60),ROW()-1,FALSE))</f>
        <v>0.486998761</v>
      </c>
      <c r="V180">
        <f ca="1">IF(AND(ISNUMBER($V$384),$B$226=1),$V$384,HLOOKUP(INDIRECT(ADDRESS(2,COLUMN())),OFFSET($BN$2,0,0,ROW()-1,60),ROW()-1,FALSE))</f>
        <v>0.52262721199999995</v>
      </c>
      <c r="W180">
        <f ca="1">IF(AND(ISNUMBER($W$384),$B$226=1),$W$384,HLOOKUP(INDIRECT(ADDRESS(2,COLUMN())),OFFSET($BN$2,0,0,ROW()-1,60),ROW()-1,FALSE))</f>
        <v>0.57590469300000002</v>
      </c>
      <c r="X180">
        <f ca="1">IF(AND(ISNUMBER($X$384),$B$226=1),$X$384,HLOOKUP(INDIRECT(ADDRESS(2,COLUMN())),OFFSET($BN$2,0,0,ROW()-1,60),ROW()-1,FALSE))</f>
        <v>0.60649239200000005</v>
      </c>
      <c r="Y180">
        <f ca="1">IF(AND(ISNUMBER($Y$384),$B$226=1),$Y$384,HLOOKUP(INDIRECT(ADDRESS(2,COLUMN())),OFFSET($BN$2,0,0,ROW()-1,60),ROW()-1,FALSE))</f>
        <v>0.56064884999999998</v>
      </c>
      <c r="Z180">
        <f ca="1">IF(AND(ISNUMBER($Z$384),$B$226=1),$Z$384,HLOOKUP(INDIRECT(ADDRESS(2,COLUMN())),OFFSET($BN$2,0,0,ROW()-1,60),ROW()-1,FALSE))</f>
        <v>0.61335368700000004</v>
      </c>
      <c r="AA180">
        <f ca="1">IF(AND(ISNUMBER($AA$384),$B$226=1),$AA$384,HLOOKUP(INDIRECT(ADDRESS(2,COLUMN())),OFFSET($BN$2,0,0,ROW()-1,60),ROW()-1,FALSE))</f>
        <v>0.46377740299999998</v>
      </c>
      <c r="AB180">
        <f ca="1">IF(AND(ISNUMBER($AB$384),$B$226=1),$AB$384,HLOOKUP(INDIRECT(ADDRESS(2,COLUMN())),OFFSET($BN$2,0,0,ROW()-1,60),ROW()-1,FALSE))</f>
        <v>0.53756161700000005</v>
      </c>
      <c r="AC180">
        <f ca="1">IF(AND(ISNUMBER($AC$384),$B$226=1),$AC$384,HLOOKUP(INDIRECT(ADDRESS(2,COLUMN())),OFFSET($BN$2,0,0,ROW()-1,60),ROW()-1,FALSE))</f>
        <v>0.50110973400000003</v>
      </c>
      <c r="AD180">
        <f ca="1">IF(AND(ISNUMBER($AD$384),$B$226=1),$AD$384,HLOOKUP(INDIRECT(ADDRESS(2,COLUMN())),OFFSET($BN$2,0,0,ROW()-1,60),ROW()-1,FALSE))</f>
        <v>0.50063985300000002</v>
      </c>
      <c r="AE180">
        <f ca="1">IF(AND(ISNUMBER($AE$384),$B$226=1),$AE$384,HLOOKUP(INDIRECT(ADDRESS(2,COLUMN())),OFFSET($BN$2,0,0,ROW()-1,60),ROW()-1,FALSE))</f>
        <v>0.57464187899999997</v>
      </c>
      <c r="AF180">
        <f ca="1">IF(AND(ISNUMBER($AF$384),$B$226=1),$AF$384,HLOOKUP(INDIRECT(ADDRESS(2,COLUMN())),OFFSET($BN$2,0,0,ROW()-1,60),ROW()-1,FALSE))</f>
        <v>0.570730454</v>
      </c>
      <c r="AG180">
        <f ca="1">IF(AND(ISNUMBER($AG$384),$B$226=1),$AG$384,HLOOKUP(INDIRECT(ADDRESS(2,COLUMN())),OFFSET($BN$2,0,0,ROW()-1,60),ROW()-1,FALSE))</f>
        <v>0.53445489400000001</v>
      </c>
      <c r="AH180">
        <f ca="1">IF(AND(ISNUMBER($AH$384),$B$226=1),$AH$384,HLOOKUP(INDIRECT(ADDRESS(2,COLUMN())),OFFSET($BN$2,0,0,ROW()-1,60),ROW()-1,FALSE))</f>
        <v>0.58350354000000004</v>
      </c>
      <c r="AI180">
        <f ca="1">IF(AND(ISNUMBER($AI$384),$B$226=1),$AI$384,HLOOKUP(INDIRECT(ADDRESS(2,COLUMN())),OFFSET($BN$2,0,0,ROW()-1,60),ROW()-1,FALSE))</f>
        <v>0.67321225399999995</v>
      </c>
      <c r="AJ180">
        <f ca="1">IF(AND(ISNUMBER($AJ$384),$B$226=1),$AJ$384,HLOOKUP(INDIRECT(ADDRESS(2,COLUMN())),OFFSET($BN$2,0,0,ROW()-1,60),ROW()-1,FALSE))</f>
        <v>0.75471274099999996</v>
      </c>
      <c r="AK180">
        <f ca="1">IF(AND(ISNUMBER($AK$384),$B$226=1),$AK$384,HLOOKUP(INDIRECT(ADDRESS(2,COLUMN())),OFFSET($BN$2,0,0,ROW()-1,60),ROW()-1,FALSE))</f>
        <v>0.81986475599999997</v>
      </c>
      <c r="AL180">
        <f ca="1">IF(AND(ISNUMBER($AL$384),$B$226=1),$AL$384,HLOOKUP(INDIRECT(ADDRESS(2,COLUMN())),OFFSET($BN$2,0,0,ROW()-1,60),ROW()-1,FALSE))</f>
        <v>0.86035799099999999</v>
      </c>
      <c r="AM180">
        <f ca="1">IF(AND(ISNUMBER($AM$384),$B$226=1),$AM$384,HLOOKUP(INDIRECT(ADDRESS(2,COLUMN())),OFFSET($BN$2,0,0,ROW()-1,60),ROW()-1,FALSE))</f>
        <v>1.006905878</v>
      </c>
      <c r="AN180">
        <f ca="1">IF(AND(ISNUMBER($AN$384),$B$226=1),$AN$384,HLOOKUP(INDIRECT(ADDRESS(2,COLUMN())),OFFSET($BN$2,0,0,ROW()-1,60),ROW()-1,FALSE))</f>
        <v>1.1693088309999999</v>
      </c>
      <c r="AO180">
        <f ca="1">IF(AND(ISNUMBER($AO$384),$B$226=1),$AO$384,HLOOKUP(INDIRECT(ADDRESS(2,COLUMN())),OFFSET($BN$2,0,0,ROW()-1,60),ROW()-1,FALSE))</f>
        <v>1.638422147</v>
      </c>
      <c r="AP180">
        <f ca="1">IF(AND(ISNUMBER($AP$384),$B$226=1),$AP$384,HLOOKUP(INDIRECT(ADDRESS(2,COLUMN())),OFFSET($BN$2,0,0,ROW()-1,60),ROW()-1,FALSE))</f>
        <v>2.0141989979999999</v>
      </c>
      <c r="AQ180">
        <f ca="1">IF(AND(ISNUMBER($AQ$384),$B$226=1),$AQ$384,HLOOKUP(INDIRECT(ADDRESS(2,COLUMN())),OFFSET($BN$2,0,0,ROW()-1,60),ROW()-1,FALSE))</f>
        <v>1.29244337</v>
      </c>
      <c r="AR180">
        <f ca="1">IF(AND(ISNUMBER($AR$384),$B$226=1),$AR$384,HLOOKUP(INDIRECT(ADDRESS(2,COLUMN())),OFFSET($BN$2,0,0,ROW()-1,60),ROW()-1,FALSE))</f>
        <v>0.839553879</v>
      </c>
      <c r="AS180">
        <f ca="1">IF(AND(ISNUMBER($AS$384),$B$226=1),$AS$384,HLOOKUP(INDIRECT(ADDRESS(2,COLUMN())),OFFSET($BN$2,0,0,ROW()-1,60),ROW()-1,FALSE))</f>
        <v>0.95340022400000002</v>
      </c>
      <c r="AT180">
        <f ca="1">IF(AND(ISNUMBER($AT$384),$B$226=1),$AT$384,HLOOKUP(INDIRECT(ADDRESS(2,COLUMN())),OFFSET($BN$2,0,0,ROW()-1,60),ROW()-1,FALSE))</f>
        <v>0.88197039300000002</v>
      </c>
      <c r="AU180">
        <f ca="1">IF(AND(ISNUMBER($AU$384),$B$226=1),$AU$384,HLOOKUP(INDIRECT(ADDRESS(2,COLUMN())),OFFSET($BN$2,0,0,ROW()-1,60),ROW()-1,FALSE))</f>
        <v>0.96187800199999995</v>
      </c>
      <c r="AV180">
        <f ca="1">IF(AND(ISNUMBER($AV$384),$B$226=1),$AV$384,HLOOKUP(INDIRECT(ADDRESS(2,COLUMN())),OFFSET($BN$2,0,0,ROW()-1,60),ROW()-1,FALSE))</f>
        <v>0.81158449099999996</v>
      </c>
      <c r="AW180">
        <f ca="1">IF(AND(ISNUMBER($AW$384),$B$226=1),$AW$384,HLOOKUP(INDIRECT(ADDRESS(2,COLUMN())),OFFSET($BN$2,0,0,ROW()-1,60),ROW()-1,FALSE))</f>
        <v>0.703375631</v>
      </c>
      <c r="AX180">
        <f ca="1">IF(AND(ISNUMBER($AX$384),$B$226=1),$AX$384,HLOOKUP(INDIRECT(ADDRESS(2,COLUMN())),OFFSET($BN$2,0,0,ROW()-1,60),ROW()-1,FALSE))</f>
        <v>0.59757944100000004</v>
      </c>
      <c r="AY180">
        <f ca="1">IF(AND(ISNUMBER($AY$384),$B$226=1),$AY$384,HLOOKUP(INDIRECT(ADDRESS(2,COLUMN())),OFFSET($BN$2,0,0,ROW()-1,60),ROW()-1,FALSE))</f>
        <v>0.54349097400000002</v>
      </c>
      <c r="AZ180">
        <f ca="1">IF(AND(ISNUMBER($AZ$384),$B$226=1),$AZ$384,HLOOKUP(INDIRECT(ADDRESS(2,COLUMN())),OFFSET($BN$2,0,0,ROW()-1,60),ROW()-1,FALSE))</f>
        <v>0.56592468299999998</v>
      </c>
      <c r="BA180">
        <f ca="1">IF(AND(ISNUMBER($BA$384),$B$226=1),$BA$384,HLOOKUP(INDIRECT(ADDRESS(2,COLUMN())),OFFSET($BN$2,0,0,ROW()-1,60),ROW()-1,FALSE))</f>
        <v>0.59023140900000004</v>
      </c>
      <c r="BB180">
        <f ca="1">IF(AND(ISNUMBER($BB$384),$B$226=1),$BB$384,HLOOKUP(INDIRECT(ADDRESS(2,COLUMN())),OFFSET($BN$2,0,0,ROW()-1,60),ROW()-1,FALSE))</f>
        <v>0.54748664300000005</v>
      </c>
      <c r="BC180">
        <f ca="1">IF(AND(ISNUMBER($BC$384),$B$226=1),$BC$384,HLOOKUP(INDIRECT(ADDRESS(2,COLUMN())),OFFSET($BN$2,0,0,ROW()-1,60),ROW()-1,FALSE))</f>
        <v>0.67338258699999998</v>
      </c>
      <c r="BD180">
        <f ca="1">IF(AND(ISNUMBER($BD$384),$B$226=1),$BD$384,HLOOKUP(INDIRECT(ADDRESS(2,COLUMN())),OFFSET($BN$2,0,0,ROW()-1,60),ROW()-1,FALSE))</f>
        <v>0.62267794600000004</v>
      </c>
      <c r="BE180">
        <f ca="1">IF(AND(ISNUMBER($BE$384),$B$226=1),$BE$384,HLOOKUP(INDIRECT(ADDRESS(2,COLUMN())),OFFSET($BN$2,0,0,ROW()-1,60),ROW()-1,FALSE))</f>
        <v>0.63039184999999998</v>
      </c>
      <c r="BF180">
        <f ca="1">IF(AND(ISNUMBER($BF$384),$B$226=1),$BF$384,HLOOKUP(INDIRECT(ADDRESS(2,COLUMN())),OFFSET($BN$2,0,0,ROW()-1,60),ROW()-1,FALSE))</f>
        <v>0.69783976700000006</v>
      </c>
      <c r="BG180">
        <f ca="1">IF(AND(ISNUMBER($BG$384),$B$226=1),$BG$384,HLOOKUP(INDIRECT(ADDRESS(2,COLUMN())),OFFSET($BN$2,0,0,ROW()-1,60),ROW()-1,FALSE))</f>
        <v>0.63142758499999996</v>
      </c>
      <c r="BH180">
        <f ca="1">IF(AND(ISNUMBER($BH$384),$B$226=1),$BH$384,HLOOKUP(INDIRECT(ADDRESS(2,COLUMN())),OFFSET($BN$2,0,0,ROW()-1,60),ROW()-1,FALSE))</f>
        <v>0.72933631700000001</v>
      </c>
      <c r="BI180">
        <f ca="1">IF(AND(ISNUMBER($BI$384),$B$226=1),$BI$384,HLOOKUP(INDIRECT(ADDRESS(2,COLUMN())),OFFSET($BN$2,0,0,ROW()-1,60),ROW()-1,FALSE))</f>
        <v>0.76830370299999995</v>
      </c>
      <c r="BJ180">
        <f ca="1">IF(AND(ISNUMBER($BJ$384),$B$226=1),$BJ$384,HLOOKUP(INDIRECT(ADDRESS(2,COLUMN())),OFFSET($BN$2,0,0,ROW()-1,60),ROW()-1,FALSE))</f>
        <v>0.76011458799999998</v>
      </c>
      <c r="BK180">
        <f ca="1">IF(AND(ISNUMBER($BK$384),$B$226=1),$BK$384,HLOOKUP(INDIRECT(ADDRESS(2,COLUMN())),OFFSET($BN$2,0,0,ROW()-1,60),ROW()-1,FALSE))</f>
        <v>0.65943947000000003</v>
      </c>
      <c r="BL180">
        <f ca="1">IF(AND(ISNUMBER($BL$384),$B$226=1),$BL$384,HLOOKUP(INDIRECT(ADDRESS(2,COLUMN())),OFFSET($BN$2,0,0,ROW()-1,60),ROW()-1,FALSE))</f>
        <v>0.69460746500000004</v>
      </c>
      <c r="BM180">
        <f ca="1">IF(AND(ISNUMBER($BM$384),$B$226=1),$BM$384,HLOOKUP(INDIRECT(ADDRESS(2,COLUMN())),OFFSET($BN$2,0,0,ROW()-1,60),ROW()-1,FALSE))</f>
        <v>0.80661166399999995</v>
      </c>
      <c r="BN180">
        <f>0.409790373</f>
        <v>0.40979037299999999</v>
      </c>
      <c r="BO180">
        <f>0.382226596</f>
        <v>0.38222659599999997</v>
      </c>
      <c r="BP180">
        <f>0.371321209</f>
        <v>0.37132120899999999</v>
      </c>
      <c r="BQ180">
        <f>0.370879561</f>
        <v>0.37087956100000002</v>
      </c>
      <c r="BR180">
        <f>0.390963481</f>
        <v>0.390963481</v>
      </c>
      <c r="BS180">
        <f>0.381882984</f>
        <v>0.38188298399999998</v>
      </c>
      <c r="BT180">
        <f>0.361401016</f>
        <v>0.36140101600000002</v>
      </c>
      <c r="BU180">
        <f>0.338062677</f>
        <v>0.33806267699999998</v>
      </c>
      <c r="BV180">
        <f>0.313317201</f>
        <v>0.31331720099999999</v>
      </c>
      <c r="BW180">
        <f>0.367473775</f>
        <v>0.367473775</v>
      </c>
      <c r="BX180">
        <f>0.395004537</f>
        <v>0.39500453699999999</v>
      </c>
      <c r="BY180">
        <f>0.423940645</f>
        <v>0.423940645</v>
      </c>
      <c r="BZ180">
        <f>0.383384962</f>
        <v>0.383384962</v>
      </c>
      <c r="CA180">
        <f>0.416594558</f>
        <v>0.416594558</v>
      </c>
      <c r="CB180">
        <f>0.491899351</f>
        <v>0.49189935099999998</v>
      </c>
      <c r="CC180">
        <f>0.486998761</f>
        <v>0.486998761</v>
      </c>
      <c r="CD180">
        <f>0.522627212</f>
        <v>0.52262721199999995</v>
      </c>
      <c r="CE180">
        <f>0.575904693</f>
        <v>0.57590469300000002</v>
      </c>
      <c r="CF180">
        <f>0.606492392</f>
        <v>0.60649239200000005</v>
      </c>
      <c r="CG180">
        <f>0.56064885</f>
        <v>0.56064884999999998</v>
      </c>
      <c r="CH180">
        <f>0.613353687</f>
        <v>0.61335368700000004</v>
      </c>
      <c r="CI180">
        <f>0.463777403</f>
        <v>0.46377740299999998</v>
      </c>
      <c r="CJ180">
        <f>0.537561617</f>
        <v>0.53756161700000005</v>
      </c>
      <c r="CK180">
        <f>0.501109734</f>
        <v>0.50110973400000003</v>
      </c>
      <c r="CL180">
        <f>0.500639853</f>
        <v>0.50063985300000002</v>
      </c>
      <c r="CM180">
        <f>0.574641879</f>
        <v>0.57464187899999997</v>
      </c>
      <c r="CN180">
        <f>0.570730454</f>
        <v>0.570730454</v>
      </c>
      <c r="CO180">
        <f>0.534454894</f>
        <v>0.53445489400000001</v>
      </c>
      <c r="CP180">
        <f>0.58350354</f>
        <v>0.58350354000000004</v>
      </c>
      <c r="CQ180">
        <f>0.673212254</f>
        <v>0.67321225399999995</v>
      </c>
      <c r="CR180">
        <f>0.754712741</f>
        <v>0.75471274099999996</v>
      </c>
      <c r="CS180">
        <f>0.819864756</f>
        <v>0.81986475599999997</v>
      </c>
      <c r="CT180">
        <f>0.860357991</f>
        <v>0.86035799099999999</v>
      </c>
      <c r="CU180">
        <f>1.006905878</f>
        <v>1.006905878</v>
      </c>
      <c r="CV180">
        <f>1.169308831</f>
        <v>1.1693088309999999</v>
      </c>
      <c r="CW180">
        <f>1.638422147</f>
        <v>1.638422147</v>
      </c>
      <c r="CX180">
        <f>2.014198998</f>
        <v>2.0141989979999999</v>
      </c>
      <c r="CY180">
        <f>1.29244337</f>
        <v>1.29244337</v>
      </c>
      <c r="CZ180">
        <f>0.839553879</f>
        <v>0.839553879</v>
      </c>
      <c r="DA180">
        <f>0.953400224</f>
        <v>0.95340022400000002</v>
      </c>
      <c r="DB180">
        <f>0.881970393</f>
        <v>0.88197039300000002</v>
      </c>
      <c r="DC180">
        <f>0.961878002</f>
        <v>0.96187800199999995</v>
      </c>
      <c r="DD180">
        <f>0.811584491</f>
        <v>0.81158449099999996</v>
      </c>
      <c r="DE180">
        <f>0.703375631</f>
        <v>0.703375631</v>
      </c>
      <c r="DF180">
        <f>0.597579441</f>
        <v>0.59757944100000004</v>
      </c>
      <c r="DG180">
        <f>0.543490974</f>
        <v>0.54349097400000002</v>
      </c>
      <c r="DH180">
        <f>0.565924683</f>
        <v>0.56592468299999998</v>
      </c>
      <c r="DI180">
        <f>0.590231409</f>
        <v>0.59023140900000004</v>
      </c>
      <c r="DJ180">
        <f>0.547486643</f>
        <v>0.54748664300000005</v>
      </c>
      <c r="DK180">
        <f>0.673382587</f>
        <v>0.67338258699999998</v>
      </c>
      <c r="DL180">
        <f>0.622677946</f>
        <v>0.62267794600000004</v>
      </c>
      <c r="DM180">
        <f>0.63039185</f>
        <v>0.63039184999999998</v>
      </c>
      <c r="DN180">
        <f>0.697839767</f>
        <v>0.69783976700000006</v>
      </c>
      <c r="DO180">
        <f>0.631427585</f>
        <v>0.63142758499999996</v>
      </c>
      <c r="DP180">
        <f>0.729336317</f>
        <v>0.72933631700000001</v>
      </c>
      <c r="DQ180">
        <f>0.768303703</f>
        <v>0.76830370299999995</v>
      </c>
      <c r="DR180">
        <f>0.760114588</f>
        <v>0.76011458799999998</v>
      </c>
      <c r="DS180">
        <f>0.65943947</f>
        <v>0.65943947000000003</v>
      </c>
      <c r="DT180">
        <f>0.694607465</f>
        <v>0.69460746500000004</v>
      </c>
      <c r="DU180">
        <f>0.806611664</f>
        <v>0.80661166399999995</v>
      </c>
    </row>
    <row r="181" spans="1:125">
      <c r="A181" t="str">
        <f>"    Essex Property Trust Inc"</f>
        <v xml:space="preserve">    Essex Property Trust Inc</v>
      </c>
      <c r="B181" t="str">
        <f>"ESS US Equity"</f>
        <v>ESS US Equity</v>
      </c>
      <c r="C181" t="str">
        <f t="shared" si="57"/>
        <v>RR263</v>
      </c>
      <c r="D181" t="str">
        <f t="shared" si="58"/>
        <v>DEBT_TO_MKT_CAP</v>
      </c>
      <c r="E181" t="str">
        <f t="shared" si="59"/>
        <v>动态</v>
      </c>
      <c r="F181">
        <f ca="1">IF(AND(ISNUMBER($F$385),$B$226=1),$F$385,HLOOKUP(INDIRECT(ADDRESS(2,COLUMN())),OFFSET($BN$2,0,0,ROW()-1,60),ROW()-1,FALSE))</f>
        <v>0.36517617099999999</v>
      </c>
      <c r="G181">
        <f ca="1">IF(AND(ISNUMBER($G$385),$B$226=1),$G$385,HLOOKUP(INDIRECT(ADDRESS(2,COLUMN())),OFFSET($BN$2,0,0,ROW()-1,60),ROW()-1,FALSE))</f>
        <v>0.36017110099999999</v>
      </c>
      <c r="H181">
        <f ca="1">IF(AND(ISNUMBER($H$385),$B$226=1),$H$385,HLOOKUP(INDIRECT(ADDRESS(2,COLUMN())),OFFSET($BN$2,0,0,ROW()-1,60),ROW()-1,FALSE))</f>
        <v>0.33853505900000003</v>
      </c>
      <c r="I181">
        <f ca="1">IF(AND(ISNUMBER($I$385),$B$226=1),$I$385,HLOOKUP(INDIRECT(ADDRESS(2,COLUMN())),OFFSET($BN$2,0,0,ROW()-1,60),ROW()-1,FALSE))</f>
        <v>0.33841697300000001</v>
      </c>
      <c r="J181">
        <f ca="1">IF(AND(ISNUMBER($J$385),$B$226=1),$J$385,HLOOKUP(INDIRECT(ADDRESS(2,COLUMN())),OFFSET($BN$2,0,0,ROW()-1,60),ROW()-1,FALSE))</f>
        <v>0.37144911800000002</v>
      </c>
      <c r="K181">
        <f ca="1">IF(AND(ISNUMBER($K$385),$B$226=1),$K$385,HLOOKUP(INDIRECT(ADDRESS(2,COLUMN())),OFFSET($BN$2,0,0,ROW()-1,60),ROW()-1,FALSE))</f>
        <v>0.36757316299999998</v>
      </c>
      <c r="L181">
        <f ca="1">IF(AND(ISNUMBER($L$385),$B$226=1),$L$385,HLOOKUP(INDIRECT(ADDRESS(2,COLUMN())),OFFSET($BN$2,0,0,ROW()-1,60),ROW()-1,FALSE))</f>
        <v>0.38528173399999999</v>
      </c>
      <c r="M181">
        <f ca="1">IF(AND(ISNUMBER($M$385),$B$226=1),$M$385,HLOOKUP(INDIRECT(ADDRESS(2,COLUMN())),OFFSET($BN$2,0,0,ROW()-1,60),ROW()-1,FALSE))</f>
        <v>0.37903900299999999</v>
      </c>
      <c r="N181">
        <f ca="1">IF(AND(ISNUMBER($N$385),$B$226=1),$N$385,HLOOKUP(INDIRECT(ADDRESS(2,COLUMN())),OFFSET($BN$2,0,0,ROW()-1,60),ROW()-1,FALSE))</f>
        <v>0.35231020400000002</v>
      </c>
      <c r="O181">
        <f ca="1">IF(AND(ISNUMBER($O$385),$B$226=1),$O$385,HLOOKUP(INDIRECT(ADDRESS(2,COLUMN())),OFFSET($BN$2,0,0,ROW()-1,60),ROW()-1,FALSE))</f>
        <v>0.33901888899999999</v>
      </c>
      <c r="P181">
        <f ca="1">IF(AND(ISNUMBER($P$385),$B$226=1),$P$385,HLOOKUP(INDIRECT(ADDRESS(2,COLUMN())),OFFSET($BN$2,0,0,ROW()-1,60),ROW()-1,FALSE))</f>
        <v>0.36380813400000001</v>
      </c>
      <c r="Q181">
        <f ca="1">IF(AND(ISNUMBER($Q$385),$B$226=1),$Q$385,HLOOKUP(INDIRECT(ADDRESS(2,COLUMN())),OFFSET($BN$2,0,0,ROW()-1,60),ROW()-1,FALSE))</f>
        <v>0.38663522099999997</v>
      </c>
      <c r="R181">
        <f ca="1">IF(AND(ISNUMBER($R$385),$B$226=1),$R$385,HLOOKUP(INDIRECT(ADDRESS(2,COLUMN())),OFFSET($BN$2,0,0,ROW()-1,60),ROW()-1,FALSE))</f>
        <v>0.36499145700000002</v>
      </c>
      <c r="S181">
        <f ca="1">IF(AND(ISNUMBER($S$385),$B$226=1),$S$385,HLOOKUP(INDIRECT(ADDRESS(2,COLUMN())),OFFSET($BN$2,0,0,ROW()-1,60),ROW()-1,FALSE))</f>
        <v>0.38693492200000001</v>
      </c>
      <c r="T181">
        <f ca="1">IF(AND(ISNUMBER($T$385),$B$226=1),$T$385,HLOOKUP(INDIRECT(ADDRESS(2,COLUMN())),OFFSET($BN$2,0,0,ROW()-1,60),ROW()-1,FALSE))</f>
        <v>0.46392008600000001</v>
      </c>
      <c r="U181">
        <f ca="1">IF(AND(ISNUMBER($U$385),$B$226=1),$U$385,HLOOKUP(INDIRECT(ADDRESS(2,COLUMN())),OFFSET($BN$2,0,0,ROW()-1,60),ROW()-1,FALSE))</f>
        <v>0.44125856400000002</v>
      </c>
      <c r="V181">
        <f ca="1">IF(AND(ISNUMBER($V$385),$B$226=1),$V$385,HLOOKUP(INDIRECT(ADDRESS(2,COLUMN())),OFFSET($BN$2,0,0,ROW()-1,60),ROW()-1,FALSE))</f>
        <v>0.45117080799999998</v>
      </c>
      <c r="W181">
        <f ca="1">IF(AND(ISNUMBER($W$385),$B$226=1),$W$385,HLOOKUP(INDIRECT(ADDRESS(2,COLUMN())),OFFSET($BN$2,0,0,ROW()-1,60),ROW()-1,FALSE))</f>
        <v>0.56636690199999995</v>
      </c>
      <c r="X181">
        <f ca="1">IF(AND(ISNUMBER($X$385),$B$226=1),$X$385,HLOOKUP(INDIRECT(ADDRESS(2,COLUMN())),OFFSET($BN$2,0,0,ROW()-1,60),ROW()-1,FALSE))</f>
        <v>0.51994719700000003</v>
      </c>
      <c r="Y181">
        <f ca="1">IF(AND(ISNUMBER($Y$385),$B$226=1),$Y$385,HLOOKUP(INDIRECT(ADDRESS(2,COLUMN())),OFFSET($BN$2,0,0,ROW()-1,60),ROW()-1,FALSE))</f>
        <v>0.484481098</v>
      </c>
      <c r="Z181">
        <f ca="1">IF(AND(ISNUMBER($Z$385),$B$226=1),$Z$385,HLOOKUP(INDIRECT(ADDRESS(2,COLUMN())),OFFSET($BN$2,0,0,ROW()-1,60),ROW()-1,FALSE))</f>
        <v>0.48743280900000002</v>
      </c>
      <c r="AA181">
        <f ca="1">IF(AND(ISNUMBER($AA$385),$B$226=1),$AA$385,HLOOKUP(INDIRECT(ADDRESS(2,COLUMN())),OFFSET($BN$2,0,0,ROW()-1,60),ROW()-1,FALSE))</f>
        <v>0.52718847499999999</v>
      </c>
      <c r="AB181">
        <f ca="1">IF(AND(ISNUMBER($AB$385),$B$226=1),$AB$385,HLOOKUP(INDIRECT(ADDRESS(2,COLUMN())),OFFSET($BN$2,0,0,ROW()-1,60),ROW()-1,FALSE))</f>
        <v>0.48085850699999999</v>
      </c>
      <c r="AC181">
        <f ca="1">IF(AND(ISNUMBER($AC$385),$B$226=1),$AC$385,HLOOKUP(INDIRECT(ADDRESS(2,COLUMN())),OFFSET($BN$2,0,0,ROW()-1,60),ROW()-1,FALSE))</f>
        <v>0.45897562800000002</v>
      </c>
      <c r="AD181">
        <f ca="1">IF(AND(ISNUMBER($AD$385),$B$226=1),$AD$385,HLOOKUP(INDIRECT(ADDRESS(2,COLUMN())),OFFSET($BN$2,0,0,ROW()-1,60),ROW()-1,FALSE))</f>
        <v>0.44423243000000001</v>
      </c>
      <c r="AE181">
        <f ca="1">IF(AND(ISNUMBER($AE$385),$B$226=1),$AE$385,HLOOKUP(INDIRECT(ADDRESS(2,COLUMN())),OFFSET($BN$2,0,0,ROW()-1,60),ROW()-1,FALSE))</f>
        <v>0.49373928299999997</v>
      </c>
      <c r="AF181">
        <f ca="1">IF(AND(ISNUMBER($AF$385),$B$226=1),$AF$385,HLOOKUP(INDIRECT(ADDRESS(2,COLUMN())),OFFSET($BN$2,0,0,ROW()-1,60),ROW()-1,FALSE))</f>
        <v>0.55678458799999997</v>
      </c>
      <c r="AG181">
        <f ca="1">IF(AND(ISNUMBER($AG$385),$B$226=1),$AG$385,HLOOKUP(INDIRECT(ADDRESS(2,COLUMN())),OFFSET($BN$2,0,0,ROW()-1,60),ROW()-1,FALSE))</f>
        <v>0.51134811800000002</v>
      </c>
      <c r="AH181">
        <f ca="1">IF(AND(ISNUMBER($AH$385),$B$226=1),$AH$385,HLOOKUP(INDIRECT(ADDRESS(2,COLUMN())),OFFSET($BN$2,0,0,ROW()-1,60),ROW()-1,FALSE))</f>
        <v>0.59421589100000005</v>
      </c>
      <c r="AI181">
        <f ca="1">IF(AND(ISNUMBER($AI$385),$B$226=1),$AI$385,HLOOKUP(INDIRECT(ADDRESS(2,COLUMN())),OFFSET($BN$2,0,0,ROW()-1,60),ROW()-1,FALSE))</f>
        <v>0.63369782900000005</v>
      </c>
      <c r="AJ181">
        <f ca="1">IF(AND(ISNUMBER($AJ$385),$B$226=1),$AJ$385,HLOOKUP(INDIRECT(ADDRESS(2,COLUMN())),OFFSET($BN$2,0,0,ROW()-1,60),ROW()-1,FALSE))</f>
        <v>0.62134834500000002</v>
      </c>
      <c r="AK181">
        <f ca="1">IF(AND(ISNUMBER($AK$385),$B$226=1),$AK$385,HLOOKUP(INDIRECT(ADDRESS(2,COLUMN())),OFFSET($BN$2,0,0,ROW()-1,60),ROW()-1,FALSE))</f>
        <v>0.64951899700000004</v>
      </c>
      <c r="AL181">
        <f ca="1">IF(AND(ISNUMBER($AL$385),$B$226=1),$AL$385,HLOOKUP(INDIRECT(ADDRESS(2,COLUMN())),OFFSET($BN$2,0,0,ROW()-1,60),ROW()-1,FALSE))</f>
        <v>0.70746855900000005</v>
      </c>
      <c r="AM181">
        <f ca="1">IF(AND(ISNUMBER($AM$385),$B$226=1),$AM$385,HLOOKUP(INDIRECT(ADDRESS(2,COLUMN())),OFFSET($BN$2,0,0,ROW()-1,60),ROW()-1,FALSE))</f>
        <v>0.75848638899999998</v>
      </c>
      <c r="AN181">
        <f ca="1">IF(AND(ISNUMBER($AN$385),$B$226=1),$AN$385,HLOOKUP(INDIRECT(ADDRESS(2,COLUMN())),OFFSET($BN$2,0,0,ROW()-1,60),ROW()-1,FALSE))</f>
        <v>0.83175389200000005</v>
      </c>
      <c r="AO181">
        <f ca="1">IF(AND(ISNUMBER($AO$385),$B$226=1),$AO$385,HLOOKUP(INDIRECT(ADDRESS(2,COLUMN())),OFFSET($BN$2,0,0,ROW()-1,60),ROW()-1,FALSE))</f>
        <v>1.075859146</v>
      </c>
      <c r="AP181">
        <f ca="1">IF(AND(ISNUMBER($AP$385),$B$226=1),$AP$385,HLOOKUP(INDIRECT(ADDRESS(2,COLUMN())),OFFSET($BN$2,0,0,ROW()-1,60),ROW()-1,FALSE))</f>
        <v>1.1876769030000001</v>
      </c>
      <c r="AQ181">
        <f ca="1">IF(AND(ISNUMBER($AQ$385),$B$226=1),$AQ$385,HLOOKUP(INDIRECT(ADDRESS(2,COLUMN())),OFFSET($BN$2,0,0,ROW()-1,60),ROW()-1,FALSE))</f>
        <v>0.933085257</v>
      </c>
      <c r="AR181">
        <f ca="1">IF(AND(ISNUMBER($AR$385),$B$226=1),$AR$385,HLOOKUP(INDIRECT(ADDRESS(2,COLUMN())),OFFSET($BN$2,0,0,ROW()-1,60),ROW()-1,FALSE))</f>
        <v>0.57190894299999995</v>
      </c>
      <c r="AS181">
        <f ca="1">IF(AND(ISNUMBER($AS$385),$B$226=1),$AS$385,HLOOKUP(INDIRECT(ADDRESS(2,COLUMN())),OFFSET($BN$2,0,0,ROW()-1,60),ROW()-1,FALSE))</f>
        <v>0.70298353400000002</v>
      </c>
      <c r="AT181">
        <f ca="1">IF(AND(ISNUMBER($AT$385),$B$226=1),$AT$385,HLOOKUP(INDIRECT(ADDRESS(2,COLUMN())),OFFSET($BN$2,0,0,ROW()-1,60),ROW()-1,FALSE))</f>
        <v>0.57943742499999995</v>
      </c>
      <c r="AU181">
        <f ca="1">IF(AND(ISNUMBER($AU$385),$B$226=1),$AU$385,HLOOKUP(INDIRECT(ADDRESS(2,COLUMN())),OFFSET($BN$2,0,0,ROW()-1,60),ROW()-1,FALSE))</f>
        <v>0.73462928900000002</v>
      </c>
      <c r="AV181">
        <f ca="1">IF(AND(ISNUMBER($AV$385),$B$226=1),$AV$385,HLOOKUP(INDIRECT(ADDRESS(2,COLUMN())),OFFSET($BN$2,0,0,ROW()-1,60),ROW()-1,FALSE))</f>
        <v>0.59894217199999999</v>
      </c>
      <c r="AW181">
        <f ca="1">IF(AND(ISNUMBER($AW$385),$B$226=1),$AW$385,HLOOKUP(INDIRECT(ADDRESS(2,COLUMN())),OFFSET($BN$2,0,0,ROW()-1,60),ROW()-1,FALSE))</f>
        <v>0.53417967</v>
      </c>
      <c r="AX181">
        <f ca="1">IF(AND(ISNUMBER($AX$385),$B$226=1),$AX$385,HLOOKUP(INDIRECT(ADDRESS(2,COLUMN())),OFFSET($BN$2,0,0,ROW()-1,60),ROW()-1,FALSE))</f>
        <v>0.51744103399999997</v>
      </c>
      <c r="AY181">
        <f ca="1">IF(AND(ISNUMBER($AY$385),$B$226=1),$AY$385,HLOOKUP(INDIRECT(ADDRESS(2,COLUMN())),OFFSET($BN$2,0,0,ROW()-1,60),ROW()-1,FALSE))</f>
        <v>0.51601470000000005</v>
      </c>
      <c r="AZ181">
        <f ca="1">IF(AND(ISNUMBER($AZ$385),$B$226=1),$AZ$385,HLOOKUP(INDIRECT(ADDRESS(2,COLUMN())),OFFSET($BN$2,0,0,ROW()-1,60),ROW()-1,FALSE))</f>
        <v>0.551133506</v>
      </c>
      <c r="BA181">
        <f ca="1">IF(AND(ISNUMBER($BA$385),$B$226=1),$BA$385,HLOOKUP(INDIRECT(ADDRESS(2,COLUMN())),OFFSET($BN$2,0,0,ROW()-1,60),ROW()-1,FALSE))</f>
        <v>0.55586758300000005</v>
      </c>
      <c r="BB181">
        <f ca="1">IF(AND(ISNUMBER($BB$385),$B$226=1),$BB$385,HLOOKUP(INDIRECT(ADDRESS(2,COLUMN())),OFFSET($BN$2,0,0,ROW()-1,60),ROW()-1,FALSE))</f>
        <v>0.56577224800000003</v>
      </c>
      <c r="BC181">
        <f ca="1">IF(AND(ISNUMBER($BC$385),$B$226=1),$BC$385,HLOOKUP(INDIRECT(ADDRESS(2,COLUMN())),OFFSET($BN$2,0,0,ROW()-1,60),ROW()-1,FALSE))</f>
        <v>0.64300189799999996</v>
      </c>
      <c r="BD181">
        <f ca="1">IF(AND(ISNUMBER($BD$385),$B$226=1),$BD$385,HLOOKUP(INDIRECT(ADDRESS(2,COLUMN())),OFFSET($BN$2,0,0,ROW()-1,60),ROW()-1,FALSE))</f>
        <v>0.63250826699999996</v>
      </c>
      <c r="BE181">
        <f ca="1">IF(AND(ISNUMBER($BE$385),$B$226=1),$BE$385,HLOOKUP(INDIRECT(ADDRESS(2,COLUMN())),OFFSET($BN$2,0,0,ROW()-1,60),ROW()-1,FALSE))</f>
        <v>0.68557811199999996</v>
      </c>
      <c r="BF181">
        <f ca="1">IF(AND(ISNUMBER($BF$385),$B$226=1),$BF$385,HLOOKUP(INDIRECT(ADDRESS(2,COLUMN())),OFFSET($BN$2,0,0,ROW()-1,60),ROW()-1,FALSE))</f>
        <v>0.82804352299999995</v>
      </c>
      <c r="BG181">
        <f ca="1">IF(AND(ISNUMBER($BG$385),$B$226=1),$BG$385,HLOOKUP(INDIRECT(ADDRESS(2,COLUMN())),OFFSET($BN$2,0,0,ROW()-1,60),ROW()-1,FALSE))</f>
        <v>0.68480218699999995</v>
      </c>
      <c r="BH181">
        <f ca="1">IF(AND(ISNUMBER($BH$385),$B$226=1),$BH$385,HLOOKUP(INDIRECT(ADDRESS(2,COLUMN())),OFFSET($BN$2,0,0,ROW()-1,60),ROW()-1,FALSE))</f>
        <v>0.766538414</v>
      </c>
      <c r="BI181">
        <f ca="1">IF(AND(ISNUMBER($BI$385),$B$226=1),$BI$385,HLOOKUP(INDIRECT(ADDRESS(2,COLUMN())),OFFSET($BN$2,0,0,ROW()-1,60),ROW()-1,FALSE))</f>
        <v>0.80157208899999999</v>
      </c>
      <c r="BJ181">
        <f ca="1">IF(AND(ISNUMBER($BJ$385),$B$226=1),$BJ$385,HLOOKUP(INDIRECT(ADDRESS(2,COLUMN())),OFFSET($BN$2,0,0,ROW()-1,60),ROW()-1,FALSE))</f>
        <v>0.77937526599999996</v>
      </c>
      <c r="BK181">
        <f ca="1">IF(AND(ISNUMBER($BK$385),$B$226=1),$BK$385,HLOOKUP(INDIRECT(ADDRESS(2,COLUMN())),OFFSET($BN$2,0,0,ROW()-1,60),ROW()-1,FALSE))</f>
        <v>0.67581540900000003</v>
      </c>
      <c r="BL181">
        <f ca="1">IF(AND(ISNUMBER($BL$385),$B$226=1),$BL$385,HLOOKUP(INDIRECT(ADDRESS(2,COLUMN())),OFFSET($BN$2,0,0,ROW()-1,60),ROW()-1,FALSE))</f>
        <v>0.62642617700000003</v>
      </c>
      <c r="BM181">
        <f ca="1">IF(AND(ISNUMBER($BM$385),$B$226=1),$BM$385,HLOOKUP(INDIRECT(ADDRESS(2,COLUMN())),OFFSET($BN$2,0,0,ROW()-1,60),ROW()-1,FALSE))</f>
        <v>0.68790898599999994</v>
      </c>
      <c r="BN181">
        <f>0.365176171</f>
        <v>0.36517617099999999</v>
      </c>
      <c r="BO181">
        <f>0.360171101</f>
        <v>0.36017110099999999</v>
      </c>
      <c r="BP181">
        <f>0.338535059</f>
        <v>0.33853505900000003</v>
      </c>
      <c r="BQ181">
        <f>0.338416973</f>
        <v>0.33841697300000001</v>
      </c>
      <c r="BR181">
        <f>0.371449118</f>
        <v>0.37144911800000002</v>
      </c>
      <c r="BS181">
        <f>0.367573163</f>
        <v>0.36757316299999998</v>
      </c>
      <c r="BT181">
        <f>0.385281734</f>
        <v>0.38528173399999999</v>
      </c>
      <c r="BU181">
        <f>0.379039003</f>
        <v>0.37903900299999999</v>
      </c>
      <c r="BV181">
        <f>0.352310204</f>
        <v>0.35231020400000002</v>
      </c>
      <c r="BW181">
        <f>0.339018889</f>
        <v>0.33901888899999999</v>
      </c>
      <c r="BX181">
        <f>0.363808134</f>
        <v>0.36380813400000001</v>
      </c>
      <c r="BY181">
        <f>0.386635221</f>
        <v>0.38663522099999997</v>
      </c>
      <c r="BZ181">
        <f>0.364991457</f>
        <v>0.36499145700000002</v>
      </c>
      <c r="CA181">
        <f>0.386934922</f>
        <v>0.38693492200000001</v>
      </c>
      <c r="CB181">
        <f>0.463920086</f>
        <v>0.46392008600000001</v>
      </c>
      <c r="CC181">
        <f>0.441258564</f>
        <v>0.44125856400000002</v>
      </c>
      <c r="CD181">
        <f>0.451170808</f>
        <v>0.45117080799999998</v>
      </c>
      <c r="CE181">
        <f>0.566366902</f>
        <v>0.56636690199999995</v>
      </c>
      <c r="CF181">
        <f>0.519947197</f>
        <v>0.51994719700000003</v>
      </c>
      <c r="CG181">
        <f>0.484481098</f>
        <v>0.484481098</v>
      </c>
      <c r="CH181">
        <f>0.487432809</f>
        <v>0.48743280900000002</v>
      </c>
      <c r="CI181">
        <f>0.527188475</f>
        <v>0.52718847499999999</v>
      </c>
      <c r="CJ181">
        <f>0.480858507</f>
        <v>0.48085850699999999</v>
      </c>
      <c r="CK181">
        <f>0.458975628</f>
        <v>0.45897562800000002</v>
      </c>
      <c r="CL181">
        <f>0.44423243</f>
        <v>0.44423243000000001</v>
      </c>
      <c r="CM181">
        <f>0.493739283</f>
        <v>0.49373928299999997</v>
      </c>
      <c r="CN181">
        <f>0.556784588</f>
        <v>0.55678458799999997</v>
      </c>
      <c r="CO181">
        <f>0.511348118</f>
        <v>0.51134811800000002</v>
      </c>
      <c r="CP181">
        <f>0.594215891</f>
        <v>0.59421589100000005</v>
      </c>
      <c r="CQ181">
        <f>0.633697829</f>
        <v>0.63369782900000005</v>
      </c>
      <c r="CR181">
        <f>0.621348345</f>
        <v>0.62134834500000002</v>
      </c>
      <c r="CS181">
        <f>0.649518997</f>
        <v>0.64951899700000004</v>
      </c>
      <c r="CT181">
        <f>0.707468559</f>
        <v>0.70746855900000005</v>
      </c>
      <c r="CU181">
        <f>0.758486389</f>
        <v>0.75848638899999998</v>
      </c>
      <c r="CV181">
        <f>0.831753892</f>
        <v>0.83175389200000005</v>
      </c>
      <c r="CW181">
        <f>1.075859146</f>
        <v>1.075859146</v>
      </c>
      <c r="CX181">
        <f>1.187676903</f>
        <v>1.1876769030000001</v>
      </c>
      <c r="CY181">
        <f>0.933085257</f>
        <v>0.933085257</v>
      </c>
      <c r="CZ181">
        <f>0.571908943</f>
        <v>0.57190894299999995</v>
      </c>
      <c r="DA181">
        <f>0.702983534</f>
        <v>0.70298353400000002</v>
      </c>
      <c r="DB181">
        <f>0.579437425</f>
        <v>0.57943742499999995</v>
      </c>
      <c r="DC181">
        <f>0.734629289</f>
        <v>0.73462928900000002</v>
      </c>
      <c r="DD181">
        <f>0.598942172</f>
        <v>0.59894217199999999</v>
      </c>
      <c r="DE181">
        <f>0.53417967</f>
        <v>0.53417967</v>
      </c>
      <c r="DF181">
        <f>0.517441034</f>
        <v>0.51744103399999997</v>
      </c>
      <c r="DG181">
        <f>0.5160147</f>
        <v>0.51601470000000005</v>
      </c>
      <c r="DH181">
        <f>0.551133506</f>
        <v>0.551133506</v>
      </c>
      <c r="DI181">
        <f>0.555867583</f>
        <v>0.55586758300000005</v>
      </c>
      <c r="DJ181">
        <f>0.565772248</f>
        <v>0.56577224800000003</v>
      </c>
      <c r="DK181">
        <f>0.643001898</f>
        <v>0.64300189799999996</v>
      </c>
      <c r="DL181">
        <f>0.632508267</f>
        <v>0.63250826699999996</v>
      </c>
      <c r="DM181">
        <f>0.685578112</f>
        <v>0.68557811199999996</v>
      </c>
      <c r="DN181">
        <f>0.828043523</f>
        <v>0.82804352299999995</v>
      </c>
      <c r="DO181">
        <f>0.684802187</f>
        <v>0.68480218699999995</v>
      </c>
      <c r="DP181">
        <f>0.766538414</f>
        <v>0.766538414</v>
      </c>
      <c r="DQ181">
        <f>0.801572089</f>
        <v>0.80157208899999999</v>
      </c>
      <c r="DR181">
        <f>0.779375266</f>
        <v>0.77937526599999996</v>
      </c>
      <c r="DS181">
        <f>0.675815409</f>
        <v>0.67581540900000003</v>
      </c>
      <c r="DT181">
        <f>0.626426177</f>
        <v>0.62642617700000003</v>
      </c>
      <c r="DU181">
        <f>0.687908986</f>
        <v>0.68790898599999994</v>
      </c>
    </row>
    <row r="182" spans="1:125">
      <c r="A182" t="str">
        <f>"    Mid-America Apartment Communit"</f>
        <v xml:space="preserve">    Mid-America Apartment Communit</v>
      </c>
      <c r="B182" t="str">
        <f>"MAA US Equity"</f>
        <v>MAA US Equity</v>
      </c>
      <c r="C182" t="str">
        <f t="shared" si="57"/>
        <v>RR263</v>
      </c>
      <c r="D182" t="str">
        <f t="shared" si="58"/>
        <v>DEBT_TO_MKT_CAP</v>
      </c>
      <c r="E182" t="str">
        <f t="shared" si="59"/>
        <v>动态</v>
      </c>
      <c r="F182">
        <f ca="1">IF(AND(ISNUMBER($F$386),$B$226=1),$F$386,HLOOKUP(INDIRECT(ADDRESS(2,COLUMN())),OFFSET($BN$2,0,0,ROW()-1,60),ROW()-1,FALSE))</f>
        <v>0.44260387000000001</v>
      </c>
      <c r="G182">
        <f ca="1">IF(AND(ISNUMBER($G$386),$B$226=1),$G$386,HLOOKUP(INDIRECT(ADDRESS(2,COLUMN())),OFFSET($BN$2,0,0,ROW()-1,60),ROW()-1,FALSE))</f>
        <v>0.39400717499999999</v>
      </c>
      <c r="H182">
        <f ca="1">IF(AND(ISNUMBER($H$386),$B$226=1),$H$386,HLOOKUP(INDIRECT(ADDRESS(2,COLUMN())),OFFSET($BN$2,0,0,ROW()-1,60),ROW()-1,FALSE))</f>
        <v>0.37001219200000002</v>
      </c>
      <c r="I182">
        <f ca="1">IF(AND(ISNUMBER($I$386),$B$226=1),$I$386,HLOOKUP(INDIRECT(ADDRESS(2,COLUMN())),OFFSET($BN$2,0,0,ROW()-1,60),ROW()-1,FALSE))</f>
        <v>0.38208778900000001</v>
      </c>
      <c r="J182">
        <f ca="1">IF(AND(ISNUMBER($J$386),$B$226=1),$J$386,HLOOKUP(INDIRECT(ADDRESS(2,COLUMN())),OFFSET($BN$2,0,0,ROW()-1,60),ROW()-1,FALSE))</f>
        <v>0.39448992700000002</v>
      </c>
      <c r="K182">
        <f ca="1">IF(AND(ISNUMBER($K$386),$B$226=1),$K$386,HLOOKUP(INDIRECT(ADDRESS(2,COLUMN())),OFFSET($BN$2,0,0,ROW()-1,60),ROW()-1,FALSE))</f>
        <v>0.40475351300000001</v>
      </c>
      <c r="L182">
        <f ca="1">IF(AND(ISNUMBER($L$386),$B$226=1),$L$386,HLOOKUP(INDIRECT(ADDRESS(2,COLUMN())),OFFSET($BN$2,0,0,ROW()-1,60),ROW()-1,FALSE))</f>
        <v>0.48372162800000001</v>
      </c>
      <c r="M182">
        <f ca="1">IF(AND(ISNUMBER($M$386),$B$226=1),$M$386,HLOOKUP(INDIRECT(ADDRESS(2,COLUMN())),OFFSET($BN$2,0,0,ROW()-1,60),ROW()-1,FALSE))</f>
        <v>0.43431937700000001</v>
      </c>
      <c r="N182">
        <f ca="1">IF(AND(ISNUMBER($N$386),$B$226=1),$N$386,HLOOKUP(INDIRECT(ADDRESS(2,COLUMN())),OFFSET($BN$2,0,0,ROW()-1,60),ROW()-1,FALSE))</f>
        <v>0.446694598</v>
      </c>
      <c r="O182">
        <f ca="1">IF(AND(ISNUMBER($O$386),$B$226=1),$O$386,HLOOKUP(INDIRECT(ADDRESS(2,COLUMN())),OFFSET($BN$2,0,0,ROW()-1,60),ROW()-1,FALSE))</f>
        <v>0.50072565899999999</v>
      </c>
      <c r="P182">
        <f ca="1">IF(AND(ISNUMBER($P$386),$B$226=1),$P$386,HLOOKUP(INDIRECT(ADDRESS(2,COLUMN())),OFFSET($BN$2,0,0,ROW()-1,60),ROW()-1,FALSE))</f>
        <v>0.55504261099999996</v>
      </c>
      <c r="Q182">
        <f ca="1">IF(AND(ISNUMBER($Q$386),$B$226=1),$Q$386,HLOOKUP(INDIRECT(ADDRESS(2,COLUMN())),OFFSET($BN$2,0,0,ROW()-1,60),ROW()-1,FALSE))</f>
        <v>0.62746059600000004</v>
      </c>
      <c r="R182">
        <f ca="1">IF(AND(ISNUMBER($R$386),$B$226=1),$R$386,HLOOKUP(INDIRECT(ADDRESS(2,COLUMN())),OFFSET($BN$2,0,0,ROW()-1,60),ROW()-1,FALSE))</f>
        <v>0.59803324899999999</v>
      </c>
      <c r="S182">
        <f ca="1">IF(AND(ISNUMBER($S$386),$B$226=1),$S$386,HLOOKUP(INDIRECT(ADDRESS(2,COLUMN())),OFFSET($BN$2,0,0,ROW()-1,60),ROW()-1,FALSE))</f>
        <v>0.62503681499999997</v>
      </c>
      <c r="T182">
        <f ca="1">IF(AND(ISNUMBER($T$386),$B$226=1),$T$386,HLOOKUP(INDIRECT(ADDRESS(2,COLUMN())),OFFSET($BN$2,0,0,ROW()-1,60),ROW()-1,FALSE))</f>
        <v>0.69482144499999998</v>
      </c>
      <c r="U182">
        <f ca="1">IF(AND(ISNUMBER($U$386),$B$226=1),$U$386,HLOOKUP(INDIRECT(ADDRESS(2,COLUMN())),OFFSET($BN$2,0,0,ROW()-1,60),ROW()-1,FALSE))</f>
        <v>0.63426743200000002</v>
      </c>
      <c r="V182">
        <f ca="1">IF(AND(ISNUMBER($V$386),$B$226=1),$V$386,HLOOKUP(INDIRECT(ADDRESS(2,COLUMN())),OFFSET($BN$2,0,0,ROW()-1,60),ROW()-1,FALSE))</f>
        <v>0.67661824999999998</v>
      </c>
      <c r="W182">
        <f ca="1">IF(AND(ISNUMBER($W$386),$B$226=1),$W$386,HLOOKUP(INDIRECT(ADDRESS(2,COLUMN())),OFFSET($BN$2,0,0,ROW()-1,60),ROW()-1,FALSE))</f>
        <v>0.76459449300000004</v>
      </c>
      <c r="X182">
        <f ca="1">IF(AND(ISNUMBER($X$386),$B$226=1),$X$386,HLOOKUP(INDIRECT(ADDRESS(2,COLUMN())),OFFSET($BN$2,0,0,ROW()-1,60),ROW()-1,FALSE))</f>
        <v>0.69644856600000005</v>
      </c>
      <c r="Y182">
        <f ca="1">IF(AND(ISNUMBER($Y$386),$B$226=1),$Y$386,HLOOKUP(INDIRECT(ADDRESS(2,COLUMN())),OFFSET($BN$2,0,0,ROW()-1,60),ROW()-1,FALSE))</f>
        <v>0.58934863299999996</v>
      </c>
      <c r="Z182">
        <f ca="1">IF(AND(ISNUMBER($Z$386),$B$226=1),$Z$386,HLOOKUP(INDIRECT(ADDRESS(2,COLUMN())),OFFSET($BN$2,0,0,ROW()-1,60),ROW()-1,FALSE))</f>
        <v>0.57824132500000003</v>
      </c>
      <c r="AA182">
        <f ca="1">IF(AND(ISNUMBER($AA$386),$B$226=1),$AA$386,HLOOKUP(INDIRECT(ADDRESS(2,COLUMN())),OFFSET($BN$2,0,0,ROW()-1,60),ROW()-1,FALSE))</f>
        <v>0.61160308100000005</v>
      </c>
      <c r="AB182">
        <f ca="1">IF(AND(ISNUMBER($AB$386),$B$226=1),$AB$386,HLOOKUP(INDIRECT(ADDRESS(2,COLUMN())),OFFSET($BN$2,0,0,ROW()-1,60),ROW()-1,FALSE))</f>
        <v>1.079735077</v>
      </c>
      <c r="AC182">
        <f ca="1">IF(AND(ISNUMBER($AC$386),$B$226=1),$AC$386,HLOOKUP(INDIRECT(ADDRESS(2,COLUMN())),OFFSET($BN$2,0,0,ROW()-1,60),ROW()-1,FALSE))</f>
        <v>1.0079806520000001</v>
      </c>
      <c r="AD182">
        <f ca="1">IF(AND(ISNUMBER($AD$386),$B$226=1),$AD$386,HLOOKUP(INDIRECT(ADDRESS(2,COLUMN())),OFFSET($BN$2,0,0,ROW()-1,60),ROW()-1,FALSE))</f>
        <v>0.56143130900000005</v>
      </c>
      <c r="AE182">
        <f ca="1">IF(AND(ISNUMBER($AE$386),$B$226=1),$AE$386,HLOOKUP(INDIRECT(ADDRESS(2,COLUMN())),OFFSET($BN$2,0,0,ROW()-1,60),ROW()-1,FALSE))</f>
        <v>1.3375551210000001</v>
      </c>
      <c r="AF182">
        <f ca="1">IF(AND(ISNUMBER($AF$386),$B$226=1),$AF$386,HLOOKUP(INDIRECT(ADDRESS(2,COLUMN())),OFFSET($BN$2,0,0,ROW()-1,60),ROW()-1,FALSE))</f>
        <v>0.709931494</v>
      </c>
      <c r="AG182">
        <f ca="1">IF(AND(ISNUMBER($AG$386),$B$226=1),$AG$386,HLOOKUP(INDIRECT(ADDRESS(2,COLUMN())),OFFSET($BN$2,0,0,ROW()-1,60),ROW()-1,FALSE))</f>
        <v>0.620330296</v>
      </c>
      <c r="AH182">
        <f ca="1">IF(AND(ISNUMBER($AH$386),$B$226=1),$AH$386,HLOOKUP(INDIRECT(ADDRESS(2,COLUMN())),OFFSET($BN$2,0,0,ROW()-1,60),ROW()-1,FALSE))</f>
        <v>0.63318634600000001</v>
      </c>
      <c r="AI182">
        <f ca="1">IF(AND(ISNUMBER($AI$386),$B$226=1),$AI$386,HLOOKUP(INDIRECT(ADDRESS(2,COLUMN())),OFFSET($BN$2,0,0,ROW()-1,60),ROW()-1,FALSE))</f>
        <v>0.691210035</v>
      </c>
      <c r="AJ182">
        <f ca="1">IF(AND(ISNUMBER($AJ$386),$B$226=1),$AJ$386,HLOOKUP(INDIRECT(ADDRESS(2,COLUMN())),OFFSET($BN$2,0,0,ROW()-1,60),ROW()-1,FALSE))</f>
        <v>0.81152221599999996</v>
      </c>
      <c r="AK182">
        <f ca="1">IF(AND(ISNUMBER($AK$386),$B$226=1),$AK$386,HLOOKUP(INDIRECT(ADDRESS(2,COLUMN())),OFFSET($BN$2,0,0,ROW()-1,60),ROW()-1,FALSE))</f>
        <v>0.87969766599999999</v>
      </c>
      <c r="AL182">
        <f ca="1">IF(AND(ISNUMBER($AL$386),$B$226=1),$AL$386,HLOOKUP(INDIRECT(ADDRESS(2,COLUMN())),OFFSET($BN$2,0,0,ROW()-1,60),ROW()-1,FALSE))</f>
        <v>0.90171617699999995</v>
      </c>
      <c r="AM182">
        <f ca="1">IF(AND(ISNUMBER($AM$386),$B$226=1),$AM$386,HLOOKUP(INDIRECT(ADDRESS(2,COLUMN())),OFFSET($BN$2,0,0,ROW()-1,60),ROW()-1,FALSE))</f>
        <v>1.0045480099999999</v>
      </c>
      <c r="AN182">
        <f ca="1">IF(AND(ISNUMBER($AN$386),$B$226=1),$AN$386,HLOOKUP(INDIRECT(ADDRESS(2,COLUMN())),OFFSET($BN$2,0,0,ROW()-1,60),ROW()-1,FALSE))</f>
        <v>1.0317381859999999</v>
      </c>
      <c r="AO182">
        <f ca="1">IF(AND(ISNUMBER($AO$386),$B$226=1),$AO$386,HLOOKUP(INDIRECT(ADDRESS(2,COLUMN())),OFFSET($BN$2,0,0,ROW()-1,60),ROW()-1,FALSE))</f>
        <v>1.277679357</v>
      </c>
      <c r="AP182">
        <f ca="1">IF(AND(ISNUMBER($AP$386),$B$226=1),$AP$386,HLOOKUP(INDIRECT(ADDRESS(2,COLUMN())),OFFSET($BN$2,0,0,ROW()-1,60),ROW()-1,FALSE))</f>
        <v>1.5562222509999999</v>
      </c>
      <c r="AQ182">
        <f ca="1">IF(AND(ISNUMBER($AQ$386),$B$226=1),$AQ$386,HLOOKUP(INDIRECT(ADDRESS(2,COLUMN())),OFFSET($BN$2,0,0,ROW()-1,60),ROW()-1,FALSE))</f>
        <v>1.2629581350000001</v>
      </c>
      <c r="AR182">
        <f ca="1">IF(AND(ISNUMBER($AR$386),$B$226=1),$AR$386,HLOOKUP(INDIRECT(ADDRESS(2,COLUMN())),OFFSET($BN$2,0,0,ROW()-1,60),ROW()-1,FALSE))</f>
        <v>1.0036547170000001</v>
      </c>
      <c r="AS182">
        <f ca="1">IF(AND(ISNUMBER($AS$386),$B$226=1),$AS$386,HLOOKUP(INDIRECT(ADDRESS(2,COLUMN())),OFFSET($BN$2,0,0,ROW()-1,60),ROW()-1,FALSE))</f>
        <v>0.92856576000000002</v>
      </c>
      <c r="AT182">
        <f ca="1">IF(AND(ISNUMBER($AT$386),$B$226=1),$AT$386,HLOOKUP(INDIRECT(ADDRESS(2,COLUMN())),OFFSET($BN$2,0,0,ROW()-1,60),ROW()-1,FALSE))</f>
        <v>0.98997169200000001</v>
      </c>
      <c r="AU182">
        <f ca="1">IF(AND(ISNUMBER($AU$386),$B$226=1),$AU$386,HLOOKUP(INDIRECT(ADDRESS(2,COLUMN())),OFFSET($BN$2,0,0,ROW()-1,60),ROW()-1,FALSE))</f>
        <v>1.1565175889999999</v>
      </c>
      <c r="AV182">
        <f ca="1">IF(AND(ISNUMBER($AV$386),$B$226=1),$AV$386,HLOOKUP(INDIRECT(ADDRESS(2,COLUMN())),OFFSET($BN$2,0,0,ROW()-1,60),ROW()-1,FALSE))</f>
        <v>0.980906995</v>
      </c>
      <c r="AW182">
        <f ca="1">IF(AND(ISNUMBER($AW$386),$B$226=1),$AW$386,HLOOKUP(INDIRECT(ADDRESS(2,COLUMN())),OFFSET($BN$2,0,0,ROW()-1,60),ROW()-1,FALSE))</f>
        <v>0.89515912900000005</v>
      </c>
      <c r="AX182">
        <f ca="1">IF(AND(ISNUMBER($AX$386),$B$226=1),$AX$386,HLOOKUP(INDIRECT(ADDRESS(2,COLUMN())),OFFSET($BN$2,0,0,ROW()-1,60),ROW()-1,FALSE))</f>
        <v>0.83053139499999995</v>
      </c>
      <c r="AY182">
        <f ca="1">IF(AND(ISNUMBER($AY$386),$B$226=1),$AY$386,HLOOKUP(INDIRECT(ADDRESS(2,COLUMN())),OFFSET($BN$2,0,0,ROW()-1,60),ROW()-1,FALSE))</f>
        <v>2.5601425469999999</v>
      </c>
      <c r="AZ182">
        <f ca="1">IF(AND(ISNUMBER($AZ$386),$B$226=1),$AZ$386,HLOOKUP(INDIRECT(ADDRESS(2,COLUMN())),OFFSET($BN$2,0,0,ROW()-1,60),ROW()-1,FALSE))</f>
        <v>0.81671104999999999</v>
      </c>
      <c r="BA182">
        <f ca="1">IF(AND(ISNUMBER($BA$386),$B$226=1),$BA$386,HLOOKUP(INDIRECT(ADDRESS(2,COLUMN())),OFFSET($BN$2,0,0,ROW()-1,60),ROW()-1,FALSE))</f>
        <v>0.85438596099999997</v>
      </c>
      <c r="BB182">
        <f ca="1">IF(AND(ISNUMBER($BB$386),$B$226=1),$BB$386,HLOOKUP(INDIRECT(ADDRESS(2,COLUMN())),OFFSET($BN$2,0,0,ROW()-1,60),ROW()-1,FALSE))</f>
        <v>0.97281225999999998</v>
      </c>
      <c r="BC182">
        <f ca="1">IF(AND(ISNUMBER($BC$386),$B$226=1),$BC$386,HLOOKUP(INDIRECT(ADDRESS(2,COLUMN())),OFFSET($BN$2,0,0,ROW()-1,60),ROW()-1,FALSE))</f>
        <v>1.0807702269999999</v>
      </c>
      <c r="BD182">
        <f ca="1">IF(AND(ISNUMBER($BD$386),$B$226=1),$BD$386,HLOOKUP(INDIRECT(ADDRESS(2,COLUMN())),OFFSET($BN$2,0,0,ROW()-1,60),ROW()-1,FALSE))</f>
        <v>1.1374530709999999</v>
      </c>
      <c r="BE182">
        <f ca="1">IF(AND(ISNUMBER($BE$386),$B$226=1),$BE$386,HLOOKUP(INDIRECT(ADDRESS(2,COLUMN())),OFFSET($BN$2,0,0,ROW()-1,60),ROW()-1,FALSE))</f>
        <v>1.119726668</v>
      </c>
      <c r="BF182">
        <f ca="1">IF(AND(ISNUMBER($BF$386),$B$226=1),$BF$386,HLOOKUP(INDIRECT(ADDRESS(2,COLUMN())),OFFSET($BN$2,0,0,ROW()-1,60),ROW()-1,FALSE))</f>
        <v>1.4523094240000001</v>
      </c>
      <c r="BG182">
        <f ca="1">IF(AND(ISNUMBER($BG$386),$B$226=1),$BG$386,HLOOKUP(INDIRECT(ADDRESS(2,COLUMN())),OFFSET($BN$2,0,0,ROW()-1,60),ROW()-1,FALSE))</f>
        <v>1.274381097</v>
      </c>
      <c r="BH182">
        <f ca="1">IF(AND(ISNUMBER($BH$386),$B$226=1),$BH$386,HLOOKUP(INDIRECT(ADDRESS(2,COLUMN())),OFFSET($BN$2,0,0,ROW()-1,60),ROW()-1,FALSE))</f>
        <v>1.2798779899999999</v>
      </c>
      <c r="BI182">
        <f ca="1">IF(AND(ISNUMBER($BI$386),$B$226=1),$BI$386,HLOOKUP(INDIRECT(ADDRESS(2,COLUMN())),OFFSET($BN$2,0,0,ROW()-1,60),ROW()-1,FALSE))</f>
        <v>1.318725562</v>
      </c>
      <c r="BJ182">
        <f ca="1">IF(AND(ISNUMBER($BJ$386),$B$226=1),$BJ$386,HLOOKUP(INDIRECT(ADDRESS(2,COLUMN())),OFFSET($BN$2,0,0,ROW()-1,60),ROW()-1,FALSE))</f>
        <v>1.3133404769999999</v>
      </c>
      <c r="BK182">
        <f ca="1">IF(AND(ISNUMBER($BK$386),$B$226=1),$BK$386,HLOOKUP(INDIRECT(ADDRESS(2,COLUMN())),OFFSET($BN$2,0,0,ROW()-1,60),ROW()-1,FALSE))</f>
        <v>1.451793707</v>
      </c>
      <c r="BL182">
        <f ca="1">IF(AND(ISNUMBER($BL$386),$B$226=1),$BL$386,HLOOKUP(INDIRECT(ADDRESS(2,COLUMN())),OFFSET($BN$2,0,0,ROW()-1,60),ROW()-1,FALSE))</f>
        <v>1.678209767</v>
      </c>
      <c r="BM182">
        <f ca="1">IF(AND(ISNUMBER($BM$386),$B$226=1),$BM$386,HLOOKUP(INDIRECT(ADDRESS(2,COLUMN())),OFFSET($BN$2,0,0,ROW()-1,60),ROW()-1,FALSE))</f>
        <v>1.7237045820000001</v>
      </c>
      <c r="BN182">
        <f>0.44260387</f>
        <v>0.44260387000000001</v>
      </c>
      <c r="BO182">
        <f>0.394007175</f>
        <v>0.39400717499999999</v>
      </c>
      <c r="BP182">
        <f>0.370012192</f>
        <v>0.37001219200000002</v>
      </c>
      <c r="BQ182">
        <f>0.382087789</f>
        <v>0.38208778900000001</v>
      </c>
      <c r="BR182">
        <f>0.394489927</f>
        <v>0.39448992700000002</v>
      </c>
      <c r="BS182">
        <f>0.404753513</f>
        <v>0.40475351300000001</v>
      </c>
      <c r="BT182">
        <f>0.483721628</f>
        <v>0.48372162800000001</v>
      </c>
      <c r="BU182">
        <f>0.434319377</f>
        <v>0.43431937700000001</v>
      </c>
      <c r="BV182">
        <f>0.446694598</f>
        <v>0.446694598</v>
      </c>
      <c r="BW182">
        <f>0.500725659</f>
        <v>0.50072565899999999</v>
      </c>
      <c r="BX182">
        <f>0.555042611</f>
        <v>0.55504261099999996</v>
      </c>
      <c r="BY182">
        <f>0.627460596</f>
        <v>0.62746059600000004</v>
      </c>
      <c r="BZ182">
        <f>0.598033249</f>
        <v>0.59803324899999999</v>
      </c>
      <c r="CA182">
        <f>0.625036815</f>
        <v>0.62503681499999997</v>
      </c>
      <c r="CB182">
        <f>0.694821445</f>
        <v>0.69482144499999998</v>
      </c>
      <c r="CC182">
        <f>0.634267432</f>
        <v>0.63426743200000002</v>
      </c>
      <c r="CD182">
        <f>0.67661825</f>
        <v>0.67661824999999998</v>
      </c>
      <c r="CE182">
        <f>0.764594493</f>
        <v>0.76459449300000004</v>
      </c>
      <c r="CF182">
        <f>0.696448566</f>
        <v>0.69644856600000005</v>
      </c>
      <c r="CG182">
        <f>0.589348633</f>
        <v>0.58934863299999996</v>
      </c>
      <c r="CH182">
        <f>0.578241325</f>
        <v>0.57824132500000003</v>
      </c>
      <c r="CI182">
        <f>0.611603081</f>
        <v>0.61160308100000005</v>
      </c>
      <c r="CJ182">
        <f>1.079735077</f>
        <v>1.079735077</v>
      </c>
      <c r="CK182">
        <f>1.007980652</f>
        <v>1.0079806520000001</v>
      </c>
      <c r="CL182">
        <f>0.561431309</f>
        <v>0.56143130900000005</v>
      </c>
      <c r="CM182">
        <f>1.337555121</f>
        <v>1.3375551210000001</v>
      </c>
      <c r="CN182">
        <f>0.709931494</f>
        <v>0.709931494</v>
      </c>
      <c r="CO182">
        <f>0.620330296</f>
        <v>0.620330296</v>
      </c>
      <c r="CP182">
        <f>0.633186346</f>
        <v>0.63318634600000001</v>
      </c>
      <c r="CQ182">
        <f>0.691210035</f>
        <v>0.691210035</v>
      </c>
      <c r="CR182">
        <f>0.811522216</f>
        <v>0.81152221599999996</v>
      </c>
      <c r="CS182">
        <f>0.879697666</f>
        <v>0.87969766599999999</v>
      </c>
      <c r="CT182">
        <f>0.901716177</f>
        <v>0.90171617699999995</v>
      </c>
      <c r="CU182">
        <f>1.00454801</f>
        <v>1.0045480099999999</v>
      </c>
      <c r="CV182">
        <f>1.031738186</f>
        <v>1.0317381859999999</v>
      </c>
      <c r="CW182">
        <f>1.277679357</f>
        <v>1.277679357</v>
      </c>
      <c r="CX182">
        <f>1.556222251</f>
        <v>1.5562222509999999</v>
      </c>
      <c r="CY182">
        <f>1.262958135</f>
        <v>1.2629581350000001</v>
      </c>
      <c r="CZ182">
        <f>1.003654717</f>
        <v>1.0036547170000001</v>
      </c>
      <c r="DA182">
        <f>0.92856576</f>
        <v>0.92856576000000002</v>
      </c>
      <c r="DB182">
        <f>0.989971692</f>
        <v>0.98997169200000001</v>
      </c>
      <c r="DC182">
        <f>1.156517589</f>
        <v>1.1565175889999999</v>
      </c>
      <c r="DD182">
        <f>0.980906995</f>
        <v>0.980906995</v>
      </c>
      <c r="DE182">
        <f>0.895159129</f>
        <v>0.89515912900000005</v>
      </c>
      <c r="DF182">
        <f>0.830531395</f>
        <v>0.83053139499999995</v>
      </c>
      <c r="DG182">
        <f>2.560142547</f>
        <v>2.5601425469999999</v>
      </c>
      <c r="DH182">
        <f>0.81671105</f>
        <v>0.81671104999999999</v>
      </c>
      <c r="DI182">
        <f>0.854385961</f>
        <v>0.85438596099999997</v>
      </c>
      <c r="DJ182">
        <f>0.97281226</f>
        <v>0.97281225999999998</v>
      </c>
      <c r="DK182">
        <f>1.080770227</f>
        <v>1.0807702269999999</v>
      </c>
      <c r="DL182">
        <f>1.137453071</f>
        <v>1.1374530709999999</v>
      </c>
      <c r="DM182">
        <f>1.119726668</f>
        <v>1.119726668</v>
      </c>
      <c r="DN182">
        <f>1.452309424</f>
        <v>1.4523094240000001</v>
      </c>
      <c r="DO182">
        <f>1.274381097</f>
        <v>1.274381097</v>
      </c>
      <c r="DP182">
        <f>1.27987799</f>
        <v>1.2798779899999999</v>
      </c>
      <c r="DQ182">
        <f>1.318725562</f>
        <v>1.318725562</v>
      </c>
      <c r="DR182">
        <f>1.313340477</f>
        <v>1.3133404769999999</v>
      </c>
      <c r="DS182">
        <f>1.451793707</f>
        <v>1.451793707</v>
      </c>
      <c r="DT182">
        <f>1.678209767</f>
        <v>1.678209767</v>
      </c>
      <c r="DU182">
        <f>1.723704582</f>
        <v>1.7237045820000001</v>
      </c>
    </row>
    <row r="183" spans="1:125">
      <c r="A183" t="str">
        <f>"    UDR Inc"</f>
        <v xml:space="preserve">    UDR Inc</v>
      </c>
      <c r="B183" t="str">
        <f>"UDR US Equity"</f>
        <v>UDR US Equity</v>
      </c>
      <c r="C183" t="str">
        <f t="shared" si="57"/>
        <v>RR263</v>
      </c>
      <c r="D183" t="str">
        <f t="shared" si="58"/>
        <v>DEBT_TO_MKT_CAP</v>
      </c>
      <c r="E183" t="str">
        <f t="shared" si="59"/>
        <v>动态</v>
      </c>
      <c r="F183">
        <f ca="1">IF(AND(ISNUMBER($F$387),$B$226=1),$F$387,HLOOKUP(INDIRECT(ADDRESS(2,COLUMN())),OFFSET($BN$2,0,0,ROW()-1,60),ROW()-1,FALSE))</f>
        <v>0.38667210600000002</v>
      </c>
      <c r="G183">
        <f ca="1">IF(AND(ISNUMBER($G$387),$B$226=1),$G$387,HLOOKUP(INDIRECT(ADDRESS(2,COLUMN())),OFFSET($BN$2,0,0,ROW()-1,60),ROW()-1,FALSE))</f>
        <v>0.35598954700000002</v>
      </c>
      <c r="H183">
        <f ca="1">IF(AND(ISNUMBER($H$387),$B$226=1),$H$387,HLOOKUP(INDIRECT(ADDRESS(2,COLUMN())),OFFSET($BN$2,0,0,ROW()-1,60),ROW()-1,FALSE))</f>
        <v>0.36154480500000002</v>
      </c>
      <c r="I183">
        <f ca="1">IF(AND(ISNUMBER($I$387),$B$226=1),$I$387,HLOOKUP(INDIRECT(ADDRESS(2,COLUMN())),OFFSET($BN$2,0,0,ROW()-1,60),ROW()-1,FALSE))</f>
        <v>0.34880604700000001</v>
      </c>
      <c r="J183">
        <f ca="1">IF(AND(ISNUMBER($J$387),$B$226=1),$J$387,HLOOKUP(INDIRECT(ADDRESS(2,COLUMN())),OFFSET($BN$2,0,0,ROW()-1,60),ROW()-1,FALSE))</f>
        <v>0.364826918</v>
      </c>
      <c r="K183">
        <f ca="1">IF(AND(ISNUMBER($K$387),$B$226=1),$K$387,HLOOKUP(INDIRECT(ADDRESS(2,COLUMN())),OFFSET($BN$2,0,0,ROW()-1,60),ROW()-1,FALSE))</f>
        <v>0.34889737500000001</v>
      </c>
      <c r="L183">
        <f ca="1">IF(AND(ISNUMBER($L$387),$B$226=1),$L$387,HLOOKUP(INDIRECT(ADDRESS(2,COLUMN())),OFFSET($BN$2,0,0,ROW()-1,60),ROW()-1,FALSE))</f>
        <v>0.36876919600000002</v>
      </c>
      <c r="M183">
        <f ca="1">IF(AND(ISNUMBER($M$387),$B$226=1),$M$387,HLOOKUP(INDIRECT(ADDRESS(2,COLUMN())),OFFSET($BN$2,0,0,ROW()-1,60),ROW()-1,FALSE))</f>
        <v>0.35134129800000002</v>
      </c>
      <c r="N183">
        <f ca="1">IF(AND(ISNUMBER($N$387),$B$226=1),$N$387,HLOOKUP(INDIRECT(ADDRESS(2,COLUMN())),OFFSET($BN$2,0,0,ROW()-1,60),ROW()-1,FALSE))</f>
        <v>0.33147465799999998</v>
      </c>
      <c r="O183">
        <f ca="1">IF(AND(ISNUMBER($O$387),$B$226=1),$O$387,HLOOKUP(INDIRECT(ADDRESS(2,COLUMN())),OFFSET($BN$2,0,0,ROW()-1,60),ROW()-1,FALSE))</f>
        <v>0.36274145400000002</v>
      </c>
      <c r="P183">
        <f ca="1">IF(AND(ISNUMBER($P$387),$B$226=1),$P$387,HLOOKUP(INDIRECT(ADDRESS(2,COLUMN())),OFFSET($BN$2,0,0,ROW()-1,60),ROW()-1,FALSE))</f>
        <v>0.388892552</v>
      </c>
      <c r="Q183">
        <f ca="1">IF(AND(ISNUMBER($Q$387),$B$226=1),$Q$387,HLOOKUP(INDIRECT(ADDRESS(2,COLUMN())),OFFSET($BN$2,0,0,ROW()-1,60),ROW()-1,FALSE))</f>
        <v>0.42968845900000002</v>
      </c>
      <c r="R183">
        <f ca="1">IF(AND(ISNUMBER($R$387),$B$226=1),$R$387,HLOOKUP(INDIRECT(ADDRESS(2,COLUMN())),OFFSET($BN$2,0,0,ROW()-1,60),ROW()-1,FALSE))</f>
        <v>0.39935838499999998</v>
      </c>
      <c r="S183">
        <f ca="1">IF(AND(ISNUMBER($S$387),$B$226=1),$S$387,HLOOKUP(INDIRECT(ADDRESS(2,COLUMN())),OFFSET($BN$2,0,0,ROW()-1,60),ROW()-1,FALSE))</f>
        <v>0.45326501499999999</v>
      </c>
      <c r="T183">
        <f ca="1">IF(AND(ISNUMBER($T$387),$B$226=1),$T$387,HLOOKUP(INDIRECT(ADDRESS(2,COLUMN())),OFFSET($BN$2,0,0,ROW()-1,60),ROW()-1,FALSE))</f>
        <v>0.528980644</v>
      </c>
      <c r="U183">
        <f ca="1">IF(AND(ISNUMBER($U$387),$B$226=1),$U$387,HLOOKUP(INDIRECT(ADDRESS(2,COLUMN())),OFFSET($BN$2,0,0,ROW()-1,60),ROW()-1,FALSE))</f>
        <v>0.52063821499999996</v>
      </c>
      <c r="V183">
        <f ca="1">IF(AND(ISNUMBER($V$387),$B$226=1),$V$387,HLOOKUP(INDIRECT(ADDRESS(2,COLUMN())),OFFSET($BN$2,0,0,ROW()-1,60),ROW()-1,FALSE))</f>
        <v>0.55865978299999997</v>
      </c>
      <c r="W183">
        <f ca="1">IF(AND(ISNUMBER($W$387),$B$226=1),$W$387,HLOOKUP(INDIRECT(ADDRESS(2,COLUMN())),OFFSET($BN$2,0,0,ROW()-1,60),ROW()-1,FALSE))</f>
        <v>0.60185272899999998</v>
      </c>
      <c r="X183">
        <f ca="1">IF(AND(ISNUMBER($X$387),$B$226=1),$X$387,HLOOKUP(INDIRECT(ADDRESS(2,COLUMN())),OFFSET($BN$2,0,0,ROW()-1,60),ROW()-1,FALSE))</f>
        <v>0.58277224500000002</v>
      </c>
      <c r="Y183">
        <f ca="1">IF(AND(ISNUMBER($Y$387),$B$226=1),$Y$387,HLOOKUP(INDIRECT(ADDRESS(2,COLUMN())),OFFSET($BN$2,0,0,ROW()-1,60),ROW()-1,FALSE))</f>
        <v>0.53113329799999998</v>
      </c>
      <c r="Z183">
        <f ca="1">IF(AND(ISNUMBER($Z$387),$B$226=1),$Z$387,HLOOKUP(INDIRECT(ADDRESS(2,COLUMN())),OFFSET($BN$2,0,0,ROW()-1,60),ROW()-1,FALSE))</f>
        <v>0.57818827800000006</v>
      </c>
      <c r="AA183">
        <f ca="1">IF(AND(ISNUMBER($AA$387),$B$226=1),$AA$387,HLOOKUP(INDIRECT(ADDRESS(2,COLUMN())),OFFSET($BN$2,0,0,ROW()-1,60),ROW()-1,FALSE))</f>
        <v>0.57316588800000001</v>
      </c>
      <c r="AB183">
        <f ca="1">IF(AND(ISNUMBER($AB$387),$B$226=1),$AB$387,HLOOKUP(INDIRECT(ADDRESS(2,COLUMN())),OFFSET($BN$2,0,0,ROW()-1,60),ROW()-1,FALSE))</f>
        <v>0.53827089400000006</v>
      </c>
      <c r="AC183">
        <f ca="1">IF(AND(ISNUMBER($AC$387),$B$226=1),$AC$387,HLOOKUP(INDIRECT(ADDRESS(2,COLUMN())),OFFSET($BN$2,0,0,ROW()-1,60),ROW()-1,FALSE))</f>
        <v>0.52333312700000001</v>
      </c>
      <c r="AD183">
        <f ca="1">IF(AND(ISNUMBER($AD$387),$B$226=1),$AD$387,HLOOKUP(INDIRECT(ADDRESS(2,COLUMN())),OFFSET($BN$2,0,0,ROW()-1,60),ROW()-1,FALSE))</f>
        <v>0.65601489199999996</v>
      </c>
      <c r="AE183">
        <f ca="1">IF(AND(ISNUMBER($AE$387),$B$226=1),$AE$387,HLOOKUP(INDIRECT(ADDRESS(2,COLUMN())),OFFSET($BN$2,0,0,ROW()-1,60),ROW()-1,FALSE))</f>
        <v>0.71269340000000003</v>
      </c>
      <c r="AF183">
        <f ca="1">IF(AND(ISNUMBER($AF$387),$B$226=1),$AF$387,HLOOKUP(INDIRECT(ADDRESS(2,COLUMN())),OFFSET($BN$2,0,0,ROW()-1,60),ROW()-1,FALSE))</f>
        <v>0.82247371999999996</v>
      </c>
      <c r="AG183">
        <f ca="1">IF(AND(ISNUMBER($AG$387),$B$226=1),$AG$387,HLOOKUP(INDIRECT(ADDRESS(2,COLUMN())),OFFSET($BN$2,0,0,ROW()-1,60),ROW()-1,FALSE))</f>
        <v>0.79406153599999996</v>
      </c>
      <c r="AH183">
        <f ca="1">IF(AND(ISNUMBER($AH$387),$B$226=1),$AH$387,HLOOKUP(INDIRECT(ADDRESS(2,COLUMN())),OFFSET($BN$2,0,0,ROW()-1,60),ROW()-1,FALSE))</f>
        <v>0.79119447300000001</v>
      </c>
      <c r="AI183">
        <f ca="1">IF(AND(ISNUMBER($AI$387),$B$226=1),$AI$387,HLOOKUP(INDIRECT(ADDRESS(2,COLUMN())),OFFSET($BN$2,0,0,ROW()-1,60),ROW()-1,FALSE))</f>
        <v>0.83277751</v>
      </c>
      <c r="AJ183">
        <f ca="1">IF(AND(ISNUMBER($AJ$387),$B$226=1),$AJ$387,HLOOKUP(INDIRECT(ADDRESS(2,COLUMN())),OFFSET($BN$2,0,0,ROW()-1,60),ROW()-1,FALSE))</f>
        <v>0.90632351600000005</v>
      </c>
      <c r="AK183">
        <f ca="1">IF(AND(ISNUMBER($AK$387),$B$226=1),$AK$387,HLOOKUP(INDIRECT(ADDRESS(2,COLUMN())),OFFSET($BN$2,0,0,ROW()-1,60),ROW()-1,FALSE))</f>
        <v>1.0997085360000001</v>
      </c>
      <c r="AL183">
        <f ca="1">IF(AND(ISNUMBER($AL$387),$B$226=1),$AL$387,HLOOKUP(INDIRECT(ADDRESS(2,COLUMN())),OFFSET($BN$2,0,0,ROW()-1,60),ROW()-1,FALSE))</f>
        <v>1.244918242</v>
      </c>
      <c r="AM183">
        <f ca="1">IF(AND(ISNUMBER($AM$387),$B$226=1),$AM$387,HLOOKUP(INDIRECT(ADDRESS(2,COLUMN())),OFFSET($BN$2,0,0,ROW()-1,60),ROW()-1,FALSE))</f>
        <v>1.3638796230000001</v>
      </c>
      <c r="AN183">
        <f ca="1">IF(AND(ISNUMBER($AN$387),$B$226=1),$AN$387,HLOOKUP(INDIRECT(ADDRESS(2,COLUMN())),OFFSET($BN$2,0,0,ROW()-1,60),ROW()-1,FALSE))</f>
        <v>1.382008009</v>
      </c>
      <c r="AO183">
        <f ca="1">IF(AND(ISNUMBER($AO$387),$B$226=1),$AO$387,HLOOKUP(INDIRECT(ADDRESS(2,COLUMN())),OFFSET($BN$2,0,0,ROW()-1,60),ROW()-1,FALSE))</f>
        <v>2.0678363869999998</v>
      </c>
      <c r="AP183">
        <f ca="1">IF(AND(ISNUMBER($AP$387),$B$226=1),$AP$387,HLOOKUP(INDIRECT(ADDRESS(2,COLUMN())),OFFSET($BN$2,0,0,ROW()-1,60),ROW()-1,FALSE))</f>
        <v>2.6226412030000001</v>
      </c>
      <c r="AQ183">
        <f ca="1">IF(AND(ISNUMBER($AQ$387),$B$226=1),$AQ$387,HLOOKUP(INDIRECT(ADDRESS(2,COLUMN())),OFFSET($BN$2,0,0,ROW()-1,60),ROW()-1,FALSE))</f>
        <v>1.7434309750000001</v>
      </c>
      <c r="AR183">
        <f ca="1">IF(AND(ISNUMBER($AR$387),$B$226=1),$AR$387,HLOOKUP(INDIRECT(ADDRESS(2,COLUMN())),OFFSET($BN$2,0,0,ROW()-1,60),ROW()-1,FALSE))</f>
        <v>1.0007514319999999</v>
      </c>
      <c r="AS183">
        <f ca="1">IF(AND(ISNUMBER($AS$387),$B$226=1),$AS$387,HLOOKUP(INDIRECT(ADDRESS(2,COLUMN())),OFFSET($BN$2,0,0,ROW()-1,60),ROW()-1,FALSE))</f>
        <v>1.121853583</v>
      </c>
      <c r="AT183">
        <f ca="1">IF(AND(ISNUMBER($AT$387),$B$226=1),$AT$387,HLOOKUP(INDIRECT(ADDRESS(2,COLUMN())),OFFSET($BN$2,0,0,ROW()-1,60),ROW()-1,FALSE))</f>
        <v>0.972341707</v>
      </c>
      <c r="AU183">
        <f ca="1">IF(AND(ISNUMBER($AU$387),$B$226=1),$AU$387,HLOOKUP(INDIRECT(ADDRESS(2,COLUMN())),OFFSET($BN$2,0,0,ROW()-1,60),ROW()-1,FALSE))</f>
        <v>1.3151373180000001</v>
      </c>
      <c r="AV183">
        <f ca="1">IF(AND(ISNUMBER($AV$387),$B$226=1),$AV$387,HLOOKUP(INDIRECT(ADDRESS(2,COLUMN())),OFFSET($BN$2,0,0,ROW()-1,60),ROW()-1,FALSE))</f>
        <v>1.0493369210000001</v>
      </c>
      <c r="AW183">
        <f ca="1">IF(AND(ISNUMBER($AW$387),$B$226=1),$AW$387,HLOOKUP(INDIRECT(ADDRESS(2,COLUMN())),OFFSET($BN$2,0,0,ROW()-1,60),ROW()-1,FALSE))</f>
        <v>1.0058483439999999</v>
      </c>
      <c r="AX183">
        <f ca="1">IF(AND(ISNUMBER($AX$387),$B$226=1),$AX$387,HLOOKUP(INDIRECT(ADDRESS(2,COLUMN())),OFFSET($BN$2,0,0,ROW()-1,60),ROW()-1,FALSE))</f>
        <v>0.83622618699999995</v>
      </c>
      <c r="AY183">
        <f ca="1">IF(AND(ISNUMBER($AY$387),$B$226=1),$AY$387,HLOOKUP(INDIRECT(ADDRESS(2,COLUMN())),OFFSET($BN$2,0,0,ROW()-1,60),ROW()-1,FALSE))</f>
        <v>0.77975079199999997</v>
      </c>
      <c r="AZ183">
        <f ca="1">IF(AND(ISNUMBER($AZ$387),$B$226=1),$AZ$387,HLOOKUP(INDIRECT(ADDRESS(2,COLUMN())),OFFSET($BN$2,0,0,ROW()-1,60),ROW()-1,FALSE))</f>
        <v>0.81971856600000004</v>
      </c>
      <c r="BA183">
        <f ca="1">IF(AND(ISNUMBER($BA$387),$B$226=1),$BA$387,HLOOKUP(INDIRECT(ADDRESS(2,COLUMN())),OFFSET($BN$2,0,0,ROW()-1,60),ROW()-1,FALSE))</f>
        <v>0.90446101800000001</v>
      </c>
      <c r="BB183">
        <f ca="1">IF(AND(ISNUMBER($BB$387),$B$226=1),$BB$387,HLOOKUP(INDIRECT(ADDRESS(2,COLUMN())),OFFSET($BN$2,0,0,ROW()-1,60),ROW()-1,FALSE))</f>
        <v>0.83865211699999997</v>
      </c>
      <c r="BC183">
        <f ca="1">IF(AND(ISNUMBER($BC$387),$B$226=1),$BC$387,HLOOKUP(INDIRECT(ADDRESS(2,COLUMN())),OFFSET($BN$2,0,0,ROW()-1,60),ROW()-1,FALSE))</f>
        <v>0.98263713500000005</v>
      </c>
      <c r="BD183">
        <f ca="1">IF(AND(ISNUMBER($BD$387),$B$226=1),$BD$387,HLOOKUP(INDIRECT(ADDRESS(2,COLUMN())),OFFSET($BN$2,0,0,ROW()-1,60),ROW()-1,FALSE))</f>
        <v>0.94018395399999999</v>
      </c>
      <c r="BE183">
        <f ca="1">IF(AND(ISNUMBER($BE$387),$B$226=1),$BE$387,HLOOKUP(INDIRECT(ADDRESS(2,COLUMN())),OFFSET($BN$2,0,0,ROW()-1,60),ROW()-1,FALSE))</f>
        <v>0.88859278799999997</v>
      </c>
      <c r="BF183">
        <f ca="1">IF(AND(ISNUMBER($BF$387),$B$226=1),$BF$387,HLOOKUP(INDIRECT(ADDRESS(2,COLUMN())),OFFSET($BN$2,0,0,ROW()-1,60),ROW()-1,FALSE))</f>
        <v>1.0329536070000001</v>
      </c>
      <c r="BG183">
        <f ca="1">IF(AND(ISNUMBER($BG$387),$B$226=1),$BG$387,HLOOKUP(INDIRECT(ADDRESS(2,COLUMN())),OFFSET($BN$2,0,0,ROW()-1,60),ROW()-1,FALSE))</f>
        <v>0.87621785399999996</v>
      </c>
      <c r="BH183">
        <f ca="1">IF(AND(ISNUMBER($BH$387),$B$226=1),$BH$387,HLOOKUP(INDIRECT(ADDRESS(2,COLUMN())),OFFSET($BN$2,0,0,ROW()-1,60),ROW()-1,FALSE))</f>
        <v>0.993448734</v>
      </c>
      <c r="BI183">
        <f ca="1">IF(AND(ISNUMBER($BI$387),$B$226=1),$BI$387,HLOOKUP(INDIRECT(ADDRESS(2,COLUMN())),OFFSET($BN$2,0,0,ROW()-1,60),ROW()-1,FALSE))</f>
        <v>0.89637925600000001</v>
      </c>
      <c r="BJ183">
        <f ca="1">IF(AND(ISNUMBER($BJ$387),$B$226=1),$BJ$387,HLOOKUP(INDIRECT(ADDRESS(2,COLUMN())),OFFSET($BN$2,0,0,ROW()-1,60),ROW()-1,FALSE))</f>
        <v>0.89394635200000006</v>
      </c>
      <c r="BK183">
        <f ca="1">IF(AND(ISNUMBER($BK$387),$B$226=1),$BK$387,HLOOKUP(INDIRECT(ADDRESS(2,COLUMN())),OFFSET($BN$2,0,0,ROW()-1,60),ROW()-1,FALSE))</f>
        <v>0.91935910799999998</v>
      </c>
      <c r="BL183">
        <f ca="1">IF(AND(ISNUMBER($BL$387),$B$226=1),$BL$387,HLOOKUP(INDIRECT(ADDRESS(2,COLUMN())),OFFSET($BN$2,0,0,ROW()-1,60),ROW()-1,FALSE))</f>
        <v>0.91390751599999998</v>
      </c>
      <c r="BM183">
        <f ca="1">IF(AND(ISNUMBER($BM$387),$B$226=1),$BM$387,HLOOKUP(INDIRECT(ADDRESS(2,COLUMN())),OFFSET($BN$2,0,0,ROW()-1,60),ROW()-1,FALSE))</f>
        <v>1.089796631</v>
      </c>
      <c r="BN183">
        <f>0.386672106</f>
        <v>0.38667210600000002</v>
      </c>
      <c r="BO183">
        <f>0.355989547</f>
        <v>0.35598954700000002</v>
      </c>
      <c r="BP183">
        <f>0.361544805</f>
        <v>0.36154480500000002</v>
      </c>
      <c r="BQ183">
        <f>0.348806047</f>
        <v>0.34880604700000001</v>
      </c>
      <c r="BR183">
        <f>0.364826918</f>
        <v>0.364826918</v>
      </c>
      <c r="BS183">
        <f>0.348897375</f>
        <v>0.34889737500000001</v>
      </c>
      <c r="BT183">
        <f>0.368769196</f>
        <v>0.36876919600000002</v>
      </c>
      <c r="BU183">
        <f>0.351341298</f>
        <v>0.35134129800000002</v>
      </c>
      <c r="BV183">
        <f>0.331474658</f>
        <v>0.33147465799999998</v>
      </c>
      <c r="BW183">
        <f>0.362741454</f>
        <v>0.36274145400000002</v>
      </c>
      <c r="BX183">
        <f>0.388892552</f>
        <v>0.388892552</v>
      </c>
      <c r="BY183">
        <f>0.429688459</f>
        <v>0.42968845900000002</v>
      </c>
      <c r="BZ183">
        <f>0.399358385</f>
        <v>0.39935838499999998</v>
      </c>
      <c r="CA183">
        <f>0.453265015</f>
        <v>0.45326501499999999</v>
      </c>
      <c r="CB183">
        <f>0.528980644</f>
        <v>0.528980644</v>
      </c>
      <c r="CC183">
        <f>0.520638215</f>
        <v>0.52063821499999996</v>
      </c>
      <c r="CD183">
        <f>0.558659783</f>
        <v>0.55865978299999997</v>
      </c>
      <c r="CE183">
        <f>0.601852729</f>
        <v>0.60185272899999998</v>
      </c>
      <c r="CF183">
        <f>0.582772245</f>
        <v>0.58277224500000002</v>
      </c>
      <c r="CG183">
        <f>0.531133298</f>
        <v>0.53113329799999998</v>
      </c>
      <c r="CH183">
        <f>0.578188278</f>
        <v>0.57818827800000006</v>
      </c>
      <c r="CI183">
        <f>0.573165888</f>
        <v>0.57316588800000001</v>
      </c>
      <c r="CJ183">
        <f>0.538270894</f>
        <v>0.53827089400000006</v>
      </c>
      <c r="CK183">
        <f>0.523333127</f>
        <v>0.52333312700000001</v>
      </c>
      <c r="CL183">
        <f>0.656014892</f>
        <v>0.65601489199999996</v>
      </c>
      <c r="CM183">
        <f>0.7126934</f>
        <v>0.71269340000000003</v>
      </c>
      <c r="CN183">
        <f>0.82247372</f>
        <v>0.82247371999999996</v>
      </c>
      <c r="CO183">
        <f>0.794061536</f>
        <v>0.79406153599999996</v>
      </c>
      <c r="CP183">
        <f>0.791194473</f>
        <v>0.79119447300000001</v>
      </c>
      <c r="CQ183">
        <f>0.83277751</f>
        <v>0.83277751</v>
      </c>
      <c r="CR183">
        <f>0.906323516</f>
        <v>0.90632351600000005</v>
      </c>
      <c r="CS183">
        <f>1.099708536</f>
        <v>1.0997085360000001</v>
      </c>
      <c r="CT183">
        <f>1.244918242</f>
        <v>1.244918242</v>
      </c>
      <c r="CU183">
        <f>1.363879623</f>
        <v>1.3638796230000001</v>
      </c>
      <c r="CV183">
        <f>1.382008009</f>
        <v>1.382008009</v>
      </c>
      <c r="CW183">
        <f>2.067836387</f>
        <v>2.0678363869999998</v>
      </c>
      <c r="CX183">
        <f>2.622641203</f>
        <v>2.6226412030000001</v>
      </c>
      <c r="CY183">
        <f>1.743430975</f>
        <v>1.7434309750000001</v>
      </c>
      <c r="CZ183">
        <f>1.000751432</f>
        <v>1.0007514319999999</v>
      </c>
      <c r="DA183">
        <f>1.121853583</f>
        <v>1.121853583</v>
      </c>
      <c r="DB183">
        <f>0.972341707</f>
        <v>0.972341707</v>
      </c>
      <c r="DC183">
        <f>1.315137318</f>
        <v>1.3151373180000001</v>
      </c>
      <c r="DD183">
        <f>1.049336921</f>
        <v>1.0493369210000001</v>
      </c>
      <c r="DE183">
        <f>1.005848344</f>
        <v>1.0058483439999999</v>
      </c>
      <c r="DF183">
        <f>0.836226187</f>
        <v>0.83622618699999995</v>
      </c>
      <c r="DG183">
        <f>0.779750792</f>
        <v>0.77975079199999997</v>
      </c>
      <c r="DH183">
        <f>0.819718566</f>
        <v>0.81971856600000004</v>
      </c>
      <c r="DI183">
        <f>0.904461018</f>
        <v>0.90446101800000001</v>
      </c>
      <c r="DJ183">
        <f>0.838652117</f>
        <v>0.83865211699999997</v>
      </c>
      <c r="DK183">
        <f>0.982637135</f>
        <v>0.98263713500000005</v>
      </c>
      <c r="DL183">
        <f>0.940183954</f>
        <v>0.94018395399999999</v>
      </c>
      <c r="DM183">
        <f>0.888592788</f>
        <v>0.88859278799999997</v>
      </c>
      <c r="DN183">
        <f>1.032953607</f>
        <v>1.0329536070000001</v>
      </c>
      <c r="DO183">
        <f>0.876217854</f>
        <v>0.87621785399999996</v>
      </c>
      <c r="DP183">
        <f>0.993448734</f>
        <v>0.993448734</v>
      </c>
      <c r="DQ183">
        <f>0.896379256</f>
        <v>0.89637925600000001</v>
      </c>
      <c r="DR183">
        <f>0.893946352</f>
        <v>0.89394635200000006</v>
      </c>
      <c r="DS183">
        <f>0.919359108</f>
        <v>0.91935910799999998</v>
      </c>
      <c r="DT183">
        <f>0.913907516</f>
        <v>0.91390751599999998</v>
      </c>
      <c r="DU183">
        <f>1.089796631</f>
        <v>1.089796631</v>
      </c>
    </row>
    <row r="184" spans="1:125">
      <c r="A184" t="str">
        <f>"现金与有价证券"</f>
        <v>现金与有价证券</v>
      </c>
      <c r="B184" t="str">
        <f>""</f>
        <v/>
      </c>
      <c r="E184" t="str">
        <f>"Median"</f>
        <v>Median</v>
      </c>
      <c r="F184" t="str">
        <f ca="1">IF(ISERROR(IF(MEDIAN($F$185:$F$192) = 0, "", MEDIAN($F$185:$F$192))), "", (IF(MEDIAN($F$185:$F$192) = 0, "", MEDIAN($F$185:$F$192))))</f>
        <v/>
      </c>
      <c r="G184">
        <f ca="1">IF(ISERROR(IF(MEDIAN($G$185:$G$192) = 0, "", MEDIAN($G$185:$G$192))), "", (IF(MEDIAN($G$185:$G$192) = 0, "", MEDIAN($G$185:$G$192))))</f>
        <v>42.900999999999996</v>
      </c>
      <c r="H184">
        <f ca="1">IF(ISERROR(IF(MEDIAN($H$185:$H$192) = 0, "", MEDIAN($H$185:$H$192))), "", (IF(MEDIAN($H$185:$H$192) = 0, "", MEDIAN($H$185:$H$192))))</f>
        <v>46.536000000000001</v>
      </c>
      <c r="I184">
        <f ca="1">IF(ISERROR(IF(MEDIAN($I$185:$I$192) = 0, "", MEDIAN($I$185:$I$192))), "", (IF(MEDIAN($I$185:$I$192) = 0, "", MEDIAN($I$185:$I$192))))</f>
        <v>35.607500000000002</v>
      </c>
      <c r="J184">
        <f ca="1">IF(ISERROR(IF(MEDIAN($J$185:$J$192) = 0, "", MEDIAN($J$185:$J$192))), "", (IF(MEDIAN($J$185:$J$192) = 0, "", MEDIAN($J$185:$J$192))))</f>
        <v>38.530500000000004</v>
      </c>
      <c r="K184">
        <f ca="1">IF(ISERROR(IF(MEDIAN($K$185:$K$192) = 0, "", MEDIAN($K$185:$K$192))), "", (IF(MEDIAN($K$185:$K$192) = 0, "", MEDIAN($K$185:$K$192))))</f>
        <v>49.698000000000008</v>
      </c>
      <c r="L184">
        <f ca="1">IF(ISERROR(IF(MEDIAN($L$185:$L$192) = 0, "", MEDIAN($L$185:$L$192))), "", (IF(MEDIAN($L$185:$L$192) = 0, "", MEDIAN($L$185:$L$192))))</f>
        <v>90.692499999999995</v>
      </c>
      <c r="M184">
        <f ca="1">IF(ISERROR(IF(MEDIAN($M$185:$M$192) = 0, "", MEDIAN($M$185:$M$192))), "", (IF(MEDIAN($M$185:$M$192) = 0, "", MEDIAN($M$185:$M$192))))</f>
        <v>194.62649999999999</v>
      </c>
      <c r="N184">
        <f ca="1">IF(ISERROR(IF(MEDIAN($N$185:$N$192) = 0, "", MEDIAN($N$185:$N$192))), "", (IF(MEDIAN($N$185:$N$192) = 0, "", MEDIAN($N$185:$N$192))))</f>
        <v>72.852499999999992</v>
      </c>
      <c r="O184">
        <f ca="1">IF(ISERROR(IF(MEDIAN($O$185:$O$192) = 0, "", MEDIAN($O$185:$O$192))), "", (IF(MEDIAN($O$185:$O$192) = 0, "", MEDIAN($O$185:$O$192))))</f>
        <v>31.712499999999999</v>
      </c>
      <c r="P184">
        <f ca="1">IF(ISERROR(IF(MEDIAN($P$185:$P$192) = 0, "", MEDIAN($P$185:$P$192))), "", (IF(MEDIAN($P$185:$P$192) = 0, "", MEDIAN($P$185:$P$192))))</f>
        <v>36.516999999999996</v>
      </c>
      <c r="Q184">
        <f ca="1">IF(ISERROR(IF(MEDIAN($Q$185:$Q$192) = 0, "", MEDIAN($Q$185:$Q$192))), "", (IF(MEDIAN($Q$185:$Q$192) = 0, "", MEDIAN($Q$185:$Q$192))))</f>
        <v>23.556000000000001</v>
      </c>
      <c r="R184">
        <f ca="1">IF(ISERROR(IF(MEDIAN($R$185:$R$192) = 0, "", MEDIAN($R$185:$R$192))), "", (IF(MEDIAN($R$185:$R$192) = 0, "", MEDIAN($R$185:$R$192))))</f>
        <v>36.528999999999996</v>
      </c>
      <c r="S184">
        <f ca="1">IF(ISERROR(IF(MEDIAN($S$185:$S$192) = 0, "", MEDIAN($S$185:$S$192))), "", (IF(MEDIAN($S$185:$S$192) = 0, "", MEDIAN($S$185:$S$192))))</f>
        <v>26.131499999999999</v>
      </c>
      <c r="T184">
        <f ca="1">IF(ISERROR(IF(MEDIAN($T$185:$T$192) = 0, "", MEDIAN($T$185:$T$192))), "", (IF(MEDIAN($T$185:$T$192) = 0, "", MEDIAN($T$185:$T$192))))</f>
        <v>25.445</v>
      </c>
      <c r="U184">
        <f ca="1">IF(ISERROR(IF(MEDIAN($U$185:$U$192) = 0, "", MEDIAN($U$185:$U$192))), "", (IF(MEDIAN($U$185:$U$192) = 0, "", MEDIAN($U$185:$U$192))))</f>
        <v>26.567</v>
      </c>
      <c r="V184">
        <f ca="1">IF(ISERROR(IF(MEDIAN($V$185:$V$192) = 0, "", MEDIAN($V$185:$V$192))), "", (IF(MEDIAN($V$185:$V$192) = 0, "", MEDIAN($V$185:$V$192))))</f>
        <v>25.564499999999999</v>
      </c>
      <c r="W184">
        <f ca="1">IF(ISERROR(IF(MEDIAN($W$185:$W$192) = 0, "", MEDIAN($W$185:$W$192))), "", (IF(MEDIAN($W$185:$W$192) = 0, "", MEDIAN($W$185:$W$192))))</f>
        <v>34.5</v>
      </c>
      <c r="X184">
        <f ca="1">IF(ISERROR(IF(MEDIAN($X$185:$X$192) = 0, "", MEDIAN($X$185:$X$192))), "", (IF(MEDIAN($X$185:$X$192) = 0, "", MEDIAN($X$185:$X$192))))</f>
        <v>20.801000000000002</v>
      </c>
      <c r="Y184">
        <f ca="1">IF(ISERROR(IF(MEDIAN($Y$185:$Y$192) = 0, "", MEDIAN($Y$185:$Y$192))), "", (IF(MEDIAN($Y$185:$Y$192) = 0, "", MEDIAN($Y$185:$Y$192))))</f>
        <v>15.590499999999999</v>
      </c>
      <c r="Z184">
        <f ca="1">IF(ISERROR(IF(MEDIAN($Z$185:$Z$192) = 0, "", MEDIAN($Z$185:$Z$192))), "", (IF(MEDIAN($Z$185:$Z$192) = 0, "", MEDIAN($Z$185:$Z$192))))</f>
        <v>22.938500000000001</v>
      </c>
      <c r="AA184">
        <f ca="1">IF(ISERROR(IF(MEDIAN($AA$185:$AA$192) = 0, "", MEDIAN($AA$185:$AA$192))), "", (IF(MEDIAN($AA$185:$AA$192) = 0, "", MEDIAN($AA$185:$AA$192))))</f>
        <v>20.03</v>
      </c>
      <c r="AB184">
        <f ca="1">IF(ISERROR(IF(MEDIAN($AB$185:$AB$192) = 0, "", MEDIAN($AB$185:$AB$192))), "", (IF(MEDIAN($AB$185:$AB$192) = 0, "", MEDIAN($AB$185:$AB$192))))</f>
        <v>31.817</v>
      </c>
      <c r="AC184">
        <f ca="1">IF(ISERROR(IF(MEDIAN($AC$185:$AC$192) = 0, "", MEDIAN($AC$185:$AC$192))), "", (IF(MEDIAN($AC$185:$AC$192) = 0, "", MEDIAN($AC$185:$AC$192))))</f>
        <v>33.463000000000001</v>
      </c>
      <c r="AD184">
        <f ca="1">IF(ISERROR(IF(MEDIAN($AD$185:$AD$192) = 0, "", MEDIAN($AD$185:$AD$192))), "", (IF(MEDIAN($AD$185:$AD$192) = 0, "", MEDIAN($AD$185:$AD$192))))</f>
        <v>37.209000000000003</v>
      </c>
      <c r="AE184">
        <f ca="1">IF(ISERROR(IF(MEDIAN($AE$185:$AE$192) = 0, "", MEDIAN($AE$185:$AE$192))), "", (IF(MEDIAN($AE$185:$AE$192) = 0, "", MEDIAN($AE$185:$AE$192))))</f>
        <v>56.238</v>
      </c>
      <c r="AF184">
        <f ca="1">IF(ISERROR(IF(MEDIAN($AF$185:$AF$192) = 0, "", MEDIAN($AF$185:$AF$192))), "", (IF(MEDIAN($AF$185:$AF$192) = 0, "", MEDIAN($AF$185:$AF$192))))</f>
        <v>37.2425</v>
      </c>
      <c r="AG184">
        <f ca="1">IF(ISERROR(IF(MEDIAN($AG$185:$AG$192) = 0, "", MEDIAN($AG$185:$AG$192))), "", (IF(MEDIAN($AG$185:$AG$192) = 0, "", MEDIAN($AG$185:$AG$192))))</f>
        <v>55.705500000000001</v>
      </c>
      <c r="AH184">
        <f ca="1">IF(ISERROR(IF(MEDIAN($AH$185:$AH$192) = 0, "", MEDIAN($AH$185:$AH$192))), "", (IF(MEDIAN($AH$185:$AH$192) = 0, "", MEDIAN($AH$185:$AH$192))))</f>
        <v>86.646000000000001</v>
      </c>
      <c r="AI184">
        <f ca="1">IF(ISERROR(IF(MEDIAN($AI$185:$AI$192) = 0, "", MEDIAN($AI$185:$AI$192))), "", (IF(MEDIAN($AI$185:$AI$192) = 0, "", MEDIAN($AI$185:$AI$192))))</f>
        <v>79.724500000000006</v>
      </c>
      <c r="AJ184">
        <f ca="1">IF(ISERROR(IF(MEDIAN($AJ$185:$AJ$192) = 0, "", MEDIAN($AJ$185:$AJ$192))), "", (IF(MEDIAN($AJ$185:$AJ$192) = 0, "", MEDIAN($AJ$185:$AJ$192))))</f>
        <v>67.365499999999997</v>
      </c>
      <c r="AK184">
        <f ca="1">IF(ISERROR(IF(MEDIAN($AK$185:$AK$192) = 0, "", MEDIAN($AK$185:$AK$192))), "", (IF(MEDIAN($AK$185:$AK$192) = 0, "", MEDIAN($AK$185:$AK$192))))</f>
        <v>24.296500000000002</v>
      </c>
      <c r="AL184">
        <f ca="1">IF(ISERROR(IF(MEDIAN($AL$185:$AL$192) = 0, "", MEDIAN($AL$185:$AL$192))), "", (IF(MEDIAN($AL$185:$AL$192) = 0, "", MEDIAN($AL$185:$AL$192))))</f>
        <v>28.468499999999999</v>
      </c>
      <c r="AM184">
        <f ca="1">IF(ISERROR(IF(MEDIAN($AM$185:$AM$192) = 0, "", MEDIAN($AM$185:$AM$192))), "", (IF(MEDIAN($AM$185:$AM$192) = 0, "", MEDIAN($AM$185:$AM$192))))</f>
        <v>47.662500000000009</v>
      </c>
      <c r="AN184">
        <f ca="1">IF(ISERROR(IF(MEDIAN($AN$185:$AN$192) = 0, "", MEDIAN($AN$185:$AN$192))), "", (IF(MEDIAN($AN$185:$AN$192) = 0, "", MEDIAN($AN$185:$AN$192))))</f>
        <v>82.941000000000003</v>
      </c>
      <c r="AO184">
        <f ca="1">IF(ISERROR(IF(MEDIAN($AO$185:$AO$192) = 0, "", MEDIAN($AO$185:$AO$192))), "", (IF(MEDIAN($AO$185:$AO$192) = 0, "", MEDIAN($AO$185:$AO$192))))</f>
        <v>61.308999999999997</v>
      </c>
      <c r="AP184">
        <f ca="1">IF(ISERROR(IF(MEDIAN($AP$185:$AP$192) = 0, "", MEDIAN($AP$185:$AP$192))), "", (IF(MEDIAN($AP$185:$AP$192) = 0, "", MEDIAN($AP$185:$AP$192))))</f>
        <v>42.399000000000001</v>
      </c>
      <c r="AQ184">
        <f ca="1">IF(ISERROR(IF(MEDIAN($AQ$185:$AQ$192) = 0, "", MEDIAN($AQ$185:$AQ$192))), "", (IF(MEDIAN($AQ$185:$AQ$192) = 0, "", MEDIAN($AQ$185:$AQ$192))))</f>
        <v>19.170000000000002</v>
      </c>
      <c r="AR184">
        <f ca="1">IF(ISERROR(IF(MEDIAN($AR$185:$AR$192) = 0, "", MEDIAN($AR$185:$AR$192))), "", (IF(MEDIAN($AR$185:$AR$192) = 0, "", MEDIAN($AR$185:$AR$192))))</f>
        <v>35.352000000000004</v>
      </c>
      <c r="AS184">
        <f ca="1">IF(ISERROR(IF(MEDIAN($AS$185:$AS$192) = 0, "", MEDIAN($AS$185:$AS$192))), "", (IF(MEDIAN($AS$185:$AS$192) = 0, "", MEDIAN($AS$185:$AS$192))))</f>
        <v>15.486000000000001</v>
      </c>
      <c r="AT184">
        <f ca="1">IF(ISERROR(IF(MEDIAN($AT$185:$AT$192) = 0, "", MEDIAN($AT$185:$AT$192))), "", (IF(MEDIAN($AT$185:$AT$192) = 0, "", MEDIAN($AT$185:$AT$192))))</f>
        <v>11.698</v>
      </c>
      <c r="AU184">
        <f ca="1">IF(ISERROR(IF(MEDIAN($AU$185:$AU$192) = 0, "", MEDIAN($AU$185:$AU$192))), "", (IF(MEDIAN($AU$185:$AU$192) = 0, "", MEDIAN($AU$185:$AU$192))))</f>
        <v>11.0145</v>
      </c>
      <c r="AV184">
        <f ca="1">IF(ISERROR(IF(MEDIAN($AV$185:$AV$192) = 0, "", MEDIAN($AV$185:$AV$192))), "", (IF(MEDIAN($AV$185:$AV$192) = 0, "", MEDIAN($AV$185:$AV$192))))</f>
        <v>7.1400000000000006</v>
      </c>
      <c r="AW184">
        <f ca="1">IF(ISERROR(IF(MEDIAN($AW$185:$AW$192) = 0, "", MEDIAN($AW$185:$AW$192))), "", (IF(MEDIAN($AW$185:$AW$192) = 0, "", MEDIAN($AW$185:$AW$192))))</f>
        <v>6.6260000000000003</v>
      </c>
      <c r="AX184">
        <f ca="1">IF(ISERROR(IF(MEDIAN($AX$185:$AX$192) = 0, "", MEDIAN($AX$185:$AX$192))), "", (IF(MEDIAN($AX$185:$AX$192) = 0, "", MEDIAN($AX$185:$AX$192))))</f>
        <v>11.309000000000001</v>
      </c>
      <c r="AY184">
        <f ca="1">IF(ISERROR(IF(MEDIAN($AY$185:$AY$192) = 0, "", MEDIAN($AY$185:$AY$192))), "", (IF(MEDIAN($AY$185:$AY$192) = 0, "", MEDIAN($AY$185:$AY$192))))</f>
        <v>7.3555000000000001</v>
      </c>
      <c r="AZ184">
        <f ca="1">IF(ISERROR(IF(MEDIAN($AZ$185:$AZ$192) = 0, "", MEDIAN($AZ$185:$AZ$192))), "", (IF(MEDIAN($AZ$185:$AZ$192) = 0, "", MEDIAN($AZ$185:$AZ$192))))</f>
        <v>29.445</v>
      </c>
      <c r="BA184">
        <f ca="1">IF(ISERROR(IF(MEDIAN($BA$185:$BA$192) = 0, "", MEDIAN($BA$185:$BA$192))), "", (IF(MEDIAN($BA$185:$BA$192) = 0, "", MEDIAN($BA$185:$BA$192))))</f>
        <v>10.423999999999999</v>
      </c>
      <c r="BB184">
        <f ca="1">IF(ISERROR(IF(MEDIAN($BB$185:$BB$192) = 0, "", MEDIAN($BB$185:$BB$192))), "", (IF(MEDIAN($BB$185:$BB$192) = 0, "", MEDIAN($BB$185:$BB$192))))</f>
        <v>11.048999999999999</v>
      </c>
      <c r="BC184">
        <f ca="1">IF(ISERROR(IF(MEDIAN($BC$185:$BC$192) = 0, "", MEDIAN($BC$185:$BC$192))), "", (IF(MEDIAN($BC$185:$BC$192) = 0, "", MEDIAN($BC$185:$BC$192))))</f>
        <v>14.94</v>
      </c>
      <c r="BD184">
        <f ca="1">IF(ISERROR(IF(MEDIAN($BD$185:$BD$192) = 0, "", MEDIAN($BD$185:$BD$192))), "", (IF(MEDIAN($BD$185:$BD$192) = 0, "", MEDIAN($BD$185:$BD$192))))</f>
        <v>7.9859999999999998</v>
      </c>
      <c r="BE184">
        <f ca="1">IF(ISERROR(IF(MEDIAN($BE$185:$BE$192) = 0, "", MEDIAN($BE$185:$BE$192))), "", (IF(MEDIAN($BE$185:$BE$192) = 0, "", MEDIAN($BE$185:$BE$192))))</f>
        <v>6.524</v>
      </c>
      <c r="BF184">
        <f ca="1">IF(ISERROR(IF(MEDIAN($BF$185:$BF$192) = 0, "", MEDIAN($BF$185:$BF$192))), "", (IF(MEDIAN($BF$185:$BF$192) = 0, "", MEDIAN($BF$185:$BF$192))))</f>
        <v>6.3879999999999999</v>
      </c>
      <c r="BG184">
        <f ca="1">IF(ISERROR(IF(MEDIAN($BG$185:$BG$192) = 0, "", MEDIAN($BG$185:$BG$192))), "", (IF(MEDIAN($BG$185:$BG$192) = 0, "", MEDIAN($BG$185:$BG$192))))</f>
        <v>7.9039999999999999</v>
      </c>
      <c r="BH184">
        <f ca="1">IF(ISERROR(IF(MEDIAN($BH$185:$BH$192) = 0, "", MEDIAN($BH$185:$BH$192))), "", (IF(MEDIAN($BH$185:$BH$192) = 0, "", MEDIAN($BH$185:$BH$192))))</f>
        <v>9.4060000000000006</v>
      </c>
      <c r="BI184">
        <f ca="1">IF(ISERROR(IF(MEDIAN($BI$185:$BI$192) = 0, "", MEDIAN($BI$185:$BI$192))), "", (IF(MEDIAN($BI$185:$BI$192) = 0, "", MEDIAN($BI$185:$BI$192))))</f>
        <v>5.0349998469999999</v>
      </c>
      <c r="BJ184">
        <f ca="1">IF(ISERROR(IF(MEDIAN($BJ$185:$BJ$192) = 0, "", MEDIAN($BJ$185:$BJ$192))), "", (IF(MEDIAN($BJ$185:$BJ$192) = 0, "", MEDIAN($BJ$185:$BJ$192))))</f>
        <v>4.2550001139999996</v>
      </c>
      <c r="BK184">
        <f ca="1">IF(ISERROR(IF(MEDIAN($BK$185:$BK$192) = 0, "", MEDIAN($BK$185:$BK$192))), "", (IF(MEDIAN($BK$185:$BK$192) = 0, "", MEDIAN($BK$185:$BK$192))))</f>
        <v>8.6740002645000001</v>
      </c>
      <c r="BL184">
        <f ca="1">IF(ISERROR(IF(MEDIAN($BL$185:$BL$192) = 0, "", MEDIAN($BL$185:$BL$192))), "", (IF(MEDIAN($BL$185:$BL$192) = 0, "", MEDIAN($BL$185:$BL$192))))</f>
        <v>8.5854999999999997</v>
      </c>
      <c r="BM184">
        <f ca="1">IF(ISERROR(IF(MEDIAN($BM$185:$BM$192) = 0, "", MEDIAN($BM$185:$BM$192))), "", (IF(MEDIAN($BM$185:$BM$192) = 0, "", MEDIAN($BM$185:$BM$192))))</f>
        <v>13.310499999999999</v>
      </c>
      <c r="BN184" t="str">
        <f>""</f>
        <v/>
      </c>
      <c r="BO184">
        <f>42.901</f>
        <v>42.901000000000003</v>
      </c>
      <c r="BP184">
        <f>46.536</f>
        <v>46.536000000000001</v>
      </c>
      <c r="BQ184">
        <f>35.6075</f>
        <v>35.607500000000002</v>
      </c>
      <c r="BR184">
        <f>38.5305</f>
        <v>38.530500000000004</v>
      </c>
      <c r="BS184">
        <f>49.698</f>
        <v>49.698</v>
      </c>
      <c r="BT184">
        <f>90.6925</f>
        <v>90.692499999999995</v>
      </c>
      <c r="BU184">
        <f>194.6265</f>
        <v>194.62649999999999</v>
      </c>
      <c r="BV184">
        <f>72.8525</f>
        <v>72.852500000000006</v>
      </c>
      <c r="BW184">
        <f>31.7125</f>
        <v>31.712499999999999</v>
      </c>
      <c r="BX184">
        <f>36.517</f>
        <v>36.517000000000003</v>
      </c>
      <c r="BY184">
        <f>23.556</f>
        <v>23.556000000000001</v>
      </c>
      <c r="BZ184">
        <f>36.529</f>
        <v>36.529000000000003</v>
      </c>
      <c r="CA184">
        <f>26.1315</f>
        <v>26.131499999999999</v>
      </c>
      <c r="CB184">
        <f>25.445</f>
        <v>25.445</v>
      </c>
      <c r="CC184">
        <f>26.567</f>
        <v>26.567</v>
      </c>
      <c r="CD184">
        <f>25.5645</f>
        <v>25.564499999999999</v>
      </c>
      <c r="CE184">
        <f>34.5</f>
        <v>34.5</v>
      </c>
      <c r="CF184">
        <f>20.801</f>
        <v>20.800999999999998</v>
      </c>
      <c r="CG184">
        <f>15.5905</f>
        <v>15.5905</v>
      </c>
      <c r="CH184">
        <f>22.9385</f>
        <v>22.938500000000001</v>
      </c>
      <c r="CI184">
        <f>20.03</f>
        <v>20.03</v>
      </c>
      <c r="CJ184">
        <f>31.817</f>
        <v>31.817</v>
      </c>
      <c r="CK184">
        <f>33.463</f>
        <v>33.463000000000001</v>
      </c>
      <c r="CL184">
        <f>37.209</f>
        <v>37.209000000000003</v>
      </c>
      <c r="CM184">
        <f>56.238</f>
        <v>56.238</v>
      </c>
      <c r="CN184">
        <f>37.2425</f>
        <v>37.2425</v>
      </c>
      <c r="CO184">
        <f>55.7055</f>
        <v>55.705500000000001</v>
      </c>
      <c r="CP184">
        <f>86.646</f>
        <v>86.646000000000001</v>
      </c>
      <c r="CQ184">
        <f>79.7245</f>
        <v>79.724500000000006</v>
      </c>
      <c r="CR184">
        <f>67.3655</f>
        <v>67.365499999999997</v>
      </c>
      <c r="CS184">
        <f>24.2965</f>
        <v>24.296500000000002</v>
      </c>
      <c r="CT184">
        <f>28.4685</f>
        <v>28.468499999999999</v>
      </c>
      <c r="CU184">
        <f>47.6625</f>
        <v>47.662500000000001</v>
      </c>
      <c r="CV184">
        <f>82.941</f>
        <v>82.941000000000003</v>
      </c>
      <c r="CW184">
        <f>61.309</f>
        <v>61.308999999999997</v>
      </c>
      <c r="CX184">
        <f>42.399</f>
        <v>42.399000000000001</v>
      </c>
      <c r="CY184">
        <f>19.17</f>
        <v>19.170000000000002</v>
      </c>
      <c r="CZ184">
        <f>35.352</f>
        <v>35.351999999999997</v>
      </c>
      <c r="DA184">
        <f>15.486</f>
        <v>15.486000000000001</v>
      </c>
      <c r="DB184">
        <f>11.698</f>
        <v>11.698</v>
      </c>
      <c r="DC184">
        <f>11.0145</f>
        <v>11.0145</v>
      </c>
      <c r="DD184">
        <f>7.14</f>
        <v>7.14</v>
      </c>
      <c r="DE184">
        <f>6.626</f>
        <v>6.6260000000000003</v>
      </c>
      <c r="DF184">
        <f>11.309</f>
        <v>11.308999999999999</v>
      </c>
      <c r="DG184">
        <f>7.3555</f>
        <v>7.3555000000000001</v>
      </c>
      <c r="DH184">
        <f>29.445</f>
        <v>29.445</v>
      </c>
      <c r="DI184">
        <f>10.424</f>
        <v>10.423999999999999</v>
      </c>
      <c r="DJ184">
        <f>11.049</f>
        <v>11.048999999999999</v>
      </c>
      <c r="DK184">
        <f>14.94</f>
        <v>14.94</v>
      </c>
      <c r="DL184">
        <f>7.986</f>
        <v>7.9859999999999998</v>
      </c>
      <c r="DM184">
        <f>6.524</f>
        <v>6.524</v>
      </c>
      <c r="DN184">
        <f>6.388</f>
        <v>6.3879999999999999</v>
      </c>
      <c r="DO184">
        <f>7.904</f>
        <v>7.9039999999999999</v>
      </c>
      <c r="DP184">
        <f>9.406</f>
        <v>9.4060000000000006</v>
      </c>
      <c r="DQ184">
        <f>5.034999847</f>
        <v>5.0349998469999999</v>
      </c>
      <c r="DR184">
        <f>4.255000114</f>
        <v>4.2550001139999996</v>
      </c>
      <c r="DS184">
        <f>8.674000263</f>
        <v>8.6740002629999999</v>
      </c>
      <c r="DT184">
        <f>8.5855</f>
        <v>8.5854999999999997</v>
      </c>
      <c r="DU184">
        <f>13.3105</f>
        <v>13.310499999999999</v>
      </c>
    </row>
    <row r="185" spans="1:125">
      <c r="A185" t="str">
        <f>"    American Campus Communities In"</f>
        <v xml:space="preserve">    American Campus Communities In</v>
      </c>
      <c r="B185" t="str">
        <f>"ACC US Equity"</f>
        <v>ACC US Equity</v>
      </c>
      <c r="C185" t="str">
        <f t="shared" ref="C185:C192" si="60">"RR253"</f>
        <v>RR253</v>
      </c>
      <c r="D185" t="str">
        <f t="shared" ref="D185:D192" si="61">"CASH_AND_MARKETABLE_SECURITIES"</f>
        <v>CASH_AND_MARKETABLE_SECURITIES</v>
      </c>
      <c r="E185" t="str">
        <f t="shared" ref="E185:E192" si="62">"动态"</f>
        <v>动态</v>
      </c>
      <c r="F185" t="str">
        <f ca="1">IF(AND(ISNUMBER($F$388),$B$226=1),$F$388,HLOOKUP(INDIRECT(ADDRESS(2,COLUMN())),OFFSET($BN$2,0,0,ROW()-1,60),ROW()-1,FALSE))</f>
        <v/>
      </c>
      <c r="G185">
        <f ca="1">IF(AND(ISNUMBER($G$388),$B$226=1),$G$388,HLOOKUP(INDIRECT(ADDRESS(2,COLUMN())),OFFSET($BN$2,0,0,ROW()-1,60),ROW()-1,FALSE))</f>
        <v>41.182000000000002</v>
      </c>
      <c r="H185">
        <f ca="1">IF(AND(ISNUMBER($H$388),$B$226=1),$H$388,HLOOKUP(INDIRECT(ADDRESS(2,COLUMN())),OFFSET($BN$2,0,0,ROW()-1,60),ROW()-1,FALSE))</f>
        <v>16.341000000000001</v>
      </c>
      <c r="I185">
        <f ca="1">IF(AND(ISNUMBER($I$388),$B$226=1),$I$388,HLOOKUP(INDIRECT(ADDRESS(2,COLUMN())),OFFSET($BN$2,0,0,ROW()-1,60),ROW()-1,FALSE))</f>
        <v>25.475999999999999</v>
      </c>
      <c r="J185">
        <f ca="1">IF(AND(ISNUMBER($J$388),$B$226=1),$J$388,HLOOKUP(INDIRECT(ADDRESS(2,COLUMN())),OFFSET($BN$2,0,0,ROW()-1,60),ROW()-1,FALSE))</f>
        <v>34.130000000000003</v>
      </c>
      <c r="K185">
        <f ca="1">IF(AND(ISNUMBER($K$388),$B$226=1),$K$388,HLOOKUP(INDIRECT(ADDRESS(2,COLUMN())),OFFSET($BN$2,0,0,ROW()-1,60),ROW()-1,FALSE))</f>
        <v>22.14</v>
      </c>
      <c r="L185">
        <f ca="1">IF(AND(ISNUMBER($L$388),$B$226=1),$L$388,HLOOKUP(INDIRECT(ADDRESS(2,COLUMN())),OFFSET($BN$2,0,0,ROW()-1,60),ROW()-1,FALSE))</f>
        <v>32.393000000000001</v>
      </c>
      <c r="M185">
        <f ca="1">IF(AND(ISNUMBER($M$388),$B$226=1),$M$388,HLOOKUP(INDIRECT(ADDRESS(2,COLUMN())),OFFSET($BN$2,0,0,ROW()-1,60),ROW()-1,FALSE))</f>
        <v>206.738</v>
      </c>
      <c r="N185">
        <f ca="1">IF(AND(ISNUMBER($N$388),$B$226=1),$N$388,HLOOKUP(INDIRECT(ADDRESS(2,COLUMN())),OFFSET($BN$2,0,0,ROW()-1,60),ROW()-1,FALSE))</f>
        <v>387.27300000000002</v>
      </c>
      <c r="O185">
        <f ca="1">IF(AND(ISNUMBER($O$388),$B$226=1),$O$388,HLOOKUP(INDIRECT(ADDRESS(2,COLUMN())),OFFSET($BN$2,0,0,ROW()-1,60),ROW()-1,FALSE))</f>
        <v>16.658999999999999</v>
      </c>
      <c r="P185">
        <f ca="1">IF(AND(ISNUMBER($P$388),$B$226=1),$P$388,HLOOKUP(INDIRECT(ADDRESS(2,COLUMN())),OFFSET($BN$2,0,0,ROW()-1,60),ROW()-1,FALSE))</f>
        <v>45.23</v>
      </c>
      <c r="Q185">
        <f ca="1">IF(AND(ISNUMBER($Q$388),$B$226=1),$Q$388,HLOOKUP(INDIRECT(ADDRESS(2,COLUMN())),OFFSET($BN$2,0,0,ROW()-1,60),ROW()-1,FALSE))</f>
        <v>8.7650000000000006</v>
      </c>
      <c r="R185">
        <f ca="1">IF(AND(ISNUMBER($R$388),$B$226=1),$R$388,HLOOKUP(INDIRECT(ADDRESS(2,COLUMN())),OFFSET($BN$2,0,0,ROW()-1,60),ROW()-1,FALSE))</f>
        <v>17.812000000000001</v>
      </c>
      <c r="S185">
        <f ca="1">IF(AND(ISNUMBER($S$388),$B$226=1),$S$388,HLOOKUP(INDIRECT(ADDRESS(2,COLUMN())),OFFSET($BN$2,0,0,ROW()-1,60),ROW()-1,FALSE))</f>
        <v>25.062000000000001</v>
      </c>
      <c r="T185">
        <f ca="1">IF(AND(ISNUMBER($T$388),$B$226=1),$T$388,HLOOKUP(INDIRECT(ADDRESS(2,COLUMN())),OFFSET($BN$2,0,0,ROW()-1,60),ROW()-1,FALSE))</f>
        <v>19.411999999999999</v>
      </c>
      <c r="U185">
        <f ca="1">IF(AND(ISNUMBER($U$388),$B$226=1),$U$388,HLOOKUP(INDIRECT(ADDRESS(2,COLUMN())),OFFSET($BN$2,0,0,ROW()-1,60),ROW()-1,FALSE))</f>
        <v>64.323999999999998</v>
      </c>
      <c r="V185">
        <f ca="1">IF(AND(ISNUMBER($V$388),$B$226=1),$V$388,HLOOKUP(INDIRECT(ADDRESS(2,COLUMN())),OFFSET($BN$2,0,0,ROW()-1,60),ROW()-1,FALSE))</f>
        <v>31.210999999999999</v>
      </c>
      <c r="W185">
        <f ca="1">IF(AND(ISNUMBER($W$388),$B$226=1),$W$388,HLOOKUP(INDIRECT(ADDRESS(2,COLUMN())),OFFSET($BN$2,0,0,ROW()-1,60),ROW()-1,FALSE))</f>
        <v>38.750999999999998</v>
      </c>
      <c r="X185">
        <f ca="1">IF(AND(ISNUMBER($X$388),$B$226=1),$X$388,HLOOKUP(INDIRECT(ADDRESS(2,COLUMN())),OFFSET($BN$2,0,0,ROW()-1,60),ROW()-1,FALSE))</f>
        <v>25.266999999999999</v>
      </c>
      <c r="Y185">
        <f ca="1">IF(AND(ISNUMBER($Y$388),$B$226=1),$Y$388,HLOOKUP(INDIRECT(ADDRESS(2,COLUMN())),OFFSET($BN$2,0,0,ROW()-1,60),ROW()-1,FALSE))</f>
        <v>25.541</v>
      </c>
      <c r="Z185">
        <f ca="1">IF(AND(ISNUMBER($Z$388),$B$226=1),$Z$388,HLOOKUP(INDIRECT(ADDRESS(2,COLUMN())),OFFSET($BN$2,0,0,ROW()-1,60),ROW()-1,FALSE))</f>
        <v>15.032999999999999</v>
      </c>
      <c r="AA185">
        <f ca="1">IF(AND(ISNUMBER($AA$388),$B$226=1),$AA$388,HLOOKUP(INDIRECT(ADDRESS(2,COLUMN())),OFFSET($BN$2,0,0,ROW()-1,60),ROW()-1,FALSE))</f>
        <v>21.454000000000001</v>
      </c>
      <c r="AB185">
        <f ca="1">IF(AND(ISNUMBER($AB$388),$B$226=1),$AB$388,HLOOKUP(INDIRECT(ADDRESS(2,COLUMN())),OFFSET($BN$2,0,0,ROW()-1,60),ROW()-1,FALSE))</f>
        <v>18.010999999999999</v>
      </c>
      <c r="AC185">
        <f ca="1">IF(AND(ISNUMBER($AC$388),$B$226=1),$AC$388,HLOOKUP(INDIRECT(ADDRESS(2,COLUMN())),OFFSET($BN$2,0,0,ROW()-1,60),ROW()-1,FALSE))</f>
        <v>17.606000000000002</v>
      </c>
      <c r="AD185">
        <f ca="1">IF(AND(ISNUMBER($AD$388),$B$226=1),$AD$388,HLOOKUP(INDIRECT(ADDRESS(2,COLUMN())),OFFSET($BN$2,0,0,ROW()-1,60),ROW()-1,FALSE))</f>
        <v>32.591999999999999</v>
      </c>
      <c r="AE185">
        <f ca="1">IF(AND(ISNUMBER($AE$388),$B$226=1),$AE$388,HLOOKUP(INDIRECT(ADDRESS(2,COLUMN())),OFFSET($BN$2,0,0,ROW()-1,60),ROW()-1,FALSE))</f>
        <v>22.399000000000001</v>
      </c>
      <c r="AF185">
        <f ca="1">IF(AND(ISNUMBER($AF$388),$B$226=1),$AF$388,HLOOKUP(INDIRECT(ADDRESS(2,COLUMN())),OFFSET($BN$2,0,0,ROW()-1,60),ROW()-1,FALSE))</f>
        <v>28.498999999999999</v>
      </c>
      <c r="AG185">
        <f ca="1">IF(AND(ISNUMBER($AG$388),$B$226=1),$AG$388,HLOOKUP(INDIRECT(ADDRESS(2,COLUMN())),OFFSET($BN$2,0,0,ROW()-1,60),ROW()-1,FALSE))</f>
        <v>48.262999999999998</v>
      </c>
      <c r="AH185">
        <f ca="1">IF(AND(ISNUMBER($AH$388),$B$226=1),$AH$388,HLOOKUP(INDIRECT(ADDRESS(2,COLUMN())),OFFSET($BN$2,0,0,ROW()-1,60),ROW()-1,FALSE))</f>
        <v>31.922000000000001</v>
      </c>
      <c r="AI185">
        <f ca="1">IF(AND(ISNUMBER($AI$388),$B$226=1),$AI$388,HLOOKUP(INDIRECT(ADDRESS(2,COLUMN())),OFFSET($BN$2,0,0,ROW()-1,60),ROW()-1,FALSE))</f>
        <v>113.50700000000001</v>
      </c>
      <c r="AJ185">
        <f ca="1">IF(AND(ISNUMBER($AJ$388),$B$226=1),$AJ$388,HLOOKUP(INDIRECT(ADDRESS(2,COLUMN())),OFFSET($BN$2,0,0,ROW()-1,60),ROW()-1,FALSE))</f>
        <v>203.66499999999999</v>
      </c>
      <c r="AK185">
        <f ca="1">IF(AND(ISNUMBER($AK$388),$B$226=1),$AK$388,HLOOKUP(INDIRECT(ADDRESS(2,COLUMN())),OFFSET($BN$2,0,0,ROW()-1,60),ROW()-1,FALSE))</f>
        <v>20.931999999999999</v>
      </c>
      <c r="AL185">
        <f ca="1">IF(AND(ISNUMBER($AL$388),$B$226=1),$AL$388,HLOOKUP(INDIRECT(ADDRESS(2,COLUMN())),OFFSET($BN$2,0,0,ROW()-1,60),ROW()-1,FALSE))</f>
        <v>21.55</v>
      </c>
      <c r="AM185">
        <f ca="1">IF(AND(ISNUMBER($AM$388),$B$226=1),$AM$388,HLOOKUP(INDIRECT(ADDRESS(2,COLUMN())),OFFSET($BN$2,0,0,ROW()-1,60),ROW()-1,FALSE))</f>
        <v>66.093000000000004</v>
      </c>
      <c r="AN185">
        <f ca="1">IF(AND(ISNUMBER($AN$388),$B$226=1),$AN$388,HLOOKUP(INDIRECT(ADDRESS(2,COLUMN())),OFFSET($BN$2,0,0,ROW()-1,60),ROW()-1,FALSE))</f>
        <v>86.753</v>
      </c>
      <c r="AO185">
        <f ca="1">IF(AND(ISNUMBER($AO$388),$B$226=1),$AO$388,HLOOKUP(INDIRECT(ADDRESS(2,COLUMN())),OFFSET($BN$2,0,0,ROW()-1,60),ROW()-1,FALSE))</f>
        <v>57.183</v>
      </c>
      <c r="AP185">
        <f ca="1">IF(AND(ISNUMBER($AP$388),$B$226=1),$AP$388,HLOOKUP(INDIRECT(ADDRESS(2,COLUMN())),OFFSET($BN$2,0,0,ROW()-1,60),ROW()-1,FALSE))</f>
        <v>26.196000000000002</v>
      </c>
      <c r="AQ185">
        <f ca="1">IF(AND(ISNUMBER($AQ$388),$B$226=1),$AQ$388,HLOOKUP(INDIRECT(ADDRESS(2,COLUMN())),OFFSET($BN$2,0,0,ROW()-1,60),ROW()-1,FALSE))</f>
        <v>25.6</v>
      </c>
      <c r="AR185">
        <f ca="1">IF(AND(ISNUMBER($AR$388),$B$226=1),$AR$388,HLOOKUP(INDIRECT(ADDRESS(2,COLUMN())),OFFSET($BN$2,0,0,ROW()-1,60),ROW()-1,FALSE))</f>
        <v>37.299999999999997</v>
      </c>
      <c r="AS185">
        <f ca="1">IF(AND(ISNUMBER($AS$388),$B$226=1),$AS$388,HLOOKUP(INDIRECT(ADDRESS(2,COLUMN())),OFFSET($BN$2,0,0,ROW()-1,60),ROW()-1,FALSE))</f>
        <v>63.47</v>
      </c>
      <c r="AT185">
        <f ca="1">IF(AND(ISNUMBER($AT$388),$B$226=1),$AT$388,HLOOKUP(INDIRECT(ADDRESS(2,COLUMN())),OFFSET($BN$2,0,0,ROW()-1,60),ROW()-1,FALSE))</f>
        <v>13.039</v>
      </c>
      <c r="AU185">
        <f ca="1">IF(AND(ISNUMBER($AU$388),$B$226=1),$AU$388,HLOOKUP(INDIRECT(ADDRESS(2,COLUMN())),OFFSET($BN$2,0,0,ROW()-1,60),ROW()-1,FALSE))</f>
        <v>12.073</v>
      </c>
      <c r="AV185">
        <f ca="1">IF(AND(ISNUMBER($AV$388),$B$226=1),$AV$388,HLOOKUP(INDIRECT(ADDRESS(2,COLUMN())),OFFSET($BN$2,0,0,ROW()-1,60),ROW()-1,FALSE))</f>
        <v>10.852</v>
      </c>
      <c r="AW185">
        <f ca="1">IF(AND(ISNUMBER($AW$388),$B$226=1),$AW$388,HLOOKUP(INDIRECT(ADDRESS(2,COLUMN())),OFFSET($BN$2,0,0,ROW()-1,60),ROW()-1,FALSE))</f>
        <v>8.9600000000000009</v>
      </c>
      <c r="AX185">
        <f ca="1">IF(AND(ISNUMBER($AX$388),$B$226=1),$AX$388,HLOOKUP(INDIRECT(ADDRESS(2,COLUMN())),OFFSET($BN$2,0,0,ROW()-1,60),ROW()-1,FALSE))</f>
        <v>25.036999999999999</v>
      </c>
      <c r="AY185">
        <f ca="1">IF(AND(ISNUMBER($AY$388),$B$226=1),$AY$388,HLOOKUP(INDIRECT(ADDRESS(2,COLUMN())),OFFSET($BN$2,0,0,ROW()-1,60),ROW()-1,FALSE))</f>
        <v>79.106999999999999</v>
      </c>
      <c r="AZ185">
        <f ca="1">IF(AND(ISNUMBER($AZ$388),$B$226=1),$AZ$388,HLOOKUP(INDIRECT(ADDRESS(2,COLUMN())),OFFSET($BN$2,0,0,ROW()-1,60),ROW()-1,FALSE))</f>
        <v>32.244999999999997</v>
      </c>
      <c r="BA185">
        <f ca="1">IF(AND(ISNUMBER($BA$388),$B$226=1),$BA$388,HLOOKUP(INDIRECT(ADDRESS(2,COLUMN())),OFFSET($BN$2,0,0,ROW()-1,60),ROW()-1,FALSE))</f>
        <v>9.4819999999999993</v>
      </c>
      <c r="BB185">
        <f ca="1">IF(AND(ISNUMBER($BB$388),$B$226=1),$BB$388,HLOOKUP(INDIRECT(ADDRESS(2,COLUMN())),OFFSET($BN$2,0,0,ROW()-1,60),ROW()-1,FALSE))</f>
        <v>11.025</v>
      </c>
      <c r="BC185">
        <f ca="1">IF(AND(ISNUMBER($BC$388),$B$226=1),$BC$388,HLOOKUP(INDIRECT(ADDRESS(2,COLUMN())),OFFSET($BN$2,0,0,ROW()-1,60),ROW()-1,FALSE))</f>
        <v>24.640999999999998</v>
      </c>
      <c r="BD185">
        <f ca="1">IF(AND(ISNUMBER($BD$388),$B$226=1),$BD$388,HLOOKUP(INDIRECT(ADDRESS(2,COLUMN())),OFFSET($BN$2,0,0,ROW()-1,60),ROW()-1,FALSE))</f>
        <v>5.8789999999999996</v>
      </c>
      <c r="BE185">
        <f ca="1">IF(AND(ISNUMBER($BE$388),$B$226=1),$BE$388,HLOOKUP(INDIRECT(ADDRESS(2,COLUMN())),OFFSET($BN$2,0,0,ROW()-1,60),ROW()-1,FALSE))</f>
        <v>3.8639999999999999</v>
      </c>
      <c r="BF185">
        <f ca="1">IF(AND(ISNUMBER($BF$388),$B$226=1),$BF$388,HLOOKUP(INDIRECT(ADDRESS(2,COLUMN())),OFFSET($BN$2,0,0,ROW()-1,60),ROW()-1,FALSE))</f>
        <v>6.4249999999999998</v>
      </c>
      <c r="BG185">
        <f ca="1">IF(AND(ISNUMBER($BG$388),$B$226=1),$BG$388,HLOOKUP(INDIRECT(ADDRESS(2,COLUMN())),OFFSET($BN$2,0,0,ROW()-1,60),ROW()-1,FALSE))</f>
        <v>4.05</v>
      </c>
      <c r="BH185">
        <f ca="1">IF(AND(ISNUMBER($BH$388),$B$226=1),$BH$388,HLOOKUP(INDIRECT(ADDRESS(2,COLUMN())),OFFSET($BN$2,0,0,ROW()-1,60),ROW()-1,FALSE))</f>
        <v>5.4909999999999997</v>
      </c>
      <c r="BI185">
        <f ca="1">IF(AND(ISNUMBER($BI$388),$B$226=1),$BI$388,HLOOKUP(INDIRECT(ADDRESS(2,COLUMN())),OFFSET($BN$2,0,0,ROW()-1,60),ROW()-1,FALSE))</f>
        <v>5.0349998469999999</v>
      </c>
      <c r="BJ185">
        <f ca="1">IF(AND(ISNUMBER($BJ$388),$B$226=1),$BJ$388,HLOOKUP(INDIRECT(ADDRESS(2,COLUMN())),OFFSET($BN$2,0,0,ROW()-1,60),ROW()-1,FALSE))</f>
        <v>4.2550001139999996</v>
      </c>
      <c r="BK185" t="str">
        <f ca="1">IF(AND(ISNUMBER($BK$388),$B$226=1),$BK$388,HLOOKUP(INDIRECT(ADDRESS(2,COLUMN())),OFFSET($BN$2,0,0,ROW()-1,60),ROW()-1,FALSE))</f>
        <v/>
      </c>
      <c r="BL185" t="str">
        <f ca="1">IF(AND(ISNUMBER($BL$388),$B$226=1),$BL$388,HLOOKUP(INDIRECT(ADDRESS(2,COLUMN())),OFFSET($BN$2,0,0,ROW()-1,60),ROW()-1,FALSE))</f>
        <v/>
      </c>
      <c r="BM185" t="str">
        <f ca="1">IF(AND(ISNUMBER($BM$388),$B$226=1),$BM$388,HLOOKUP(INDIRECT(ADDRESS(2,COLUMN())),OFFSET($BN$2,0,0,ROW()-1,60),ROW()-1,FALSE))</f>
        <v/>
      </c>
      <c r="BN185" t="str">
        <f>""</f>
        <v/>
      </c>
      <c r="BO185">
        <f>41.182</f>
        <v>41.182000000000002</v>
      </c>
      <c r="BP185">
        <f>16.341</f>
        <v>16.341000000000001</v>
      </c>
      <c r="BQ185">
        <f>25.476</f>
        <v>25.475999999999999</v>
      </c>
      <c r="BR185">
        <f>34.13</f>
        <v>34.130000000000003</v>
      </c>
      <c r="BS185">
        <f>22.14</f>
        <v>22.14</v>
      </c>
      <c r="BT185">
        <f>32.393</f>
        <v>32.393000000000001</v>
      </c>
      <c r="BU185">
        <f>206.738</f>
        <v>206.738</v>
      </c>
      <c r="BV185">
        <f>387.273</f>
        <v>387.27300000000002</v>
      </c>
      <c r="BW185">
        <f>16.659</f>
        <v>16.658999999999999</v>
      </c>
      <c r="BX185">
        <f>45.23</f>
        <v>45.23</v>
      </c>
      <c r="BY185">
        <f>8.765</f>
        <v>8.7650000000000006</v>
      </c>
      <c r="BZ185">
        <f>17.812</f>
        <v>17.812000000000001</v>
      </c>
      <c r="CA185">
        <f>25.062</f>
        <v>25.062000000000001</v>
      </c>
      <c r="CB185">
        <f>19.412</f>
        <v>19.411999999999999</v>
      </c>
      <c r="CC185">
        <f>64.324</f>
        <v>64.323999999999998</v>
      </c>
      <c r="CD185">
        <f>31.211</f>
        <v>31.210999999999999</v>
      </c>
      <c r="CE185">
        <f>38.751</f>
        <v>38.750999999999998</v>
      </c>
      <c r="CF185">
        <f>25.267</f>
        <v>25.266999999999999</v>
      </c>
      <c r="CG185">
        <f>25.541</f>
        <v>25.541</v>
      </c>
      <c r="CH185">
        <f>15.033</f>
        <v>15.032999999999999</v>
      </c>
      <c r="CI185">
        <f>21.454</f>
        <v>21.454000000000001</v>
      </c>
      <c r="CJ185">
        <f>18.011</f>
        <v>18.010999999999999</v>
      </c>
      <c r="CK185">
        <f>17.606</f>
        <v>17.606000000000002</v>
      </c>
      <c r="CL185">
        <f>32.592</f>
        <v>32.591999999999999</v>
      </c>
      <c r="CM185">
        <f>22.399</f>
        <v>22.399000000000001</v>
      </c>
      <c r="CN185">
        <f>28.499</f>
        <v>28.498999999999999</v>
      </c>
      <c r="CO185">
        <f>48.263</f>
        <v>48.262999999999998</v>
      </c>
      <c r="CP185">
        <f>31.922</f>
        <v>31.922000000000001</v>
      </c>
      <c r="CQ185">
        <f>113.507</f>
        <v>113.50700000000001</v>
      </c>
      <c r="CR185">
        <f>203.665</f>
        <v>203.66499999999999</v>
      </c>
      <c r="CS185">
        <f>20.932</f>
        <v>20.931999999999999</v>
      </c>
      <c r="CT185">
        <f>21.55</f>
        <v>21.55</v>
      </c>
      <c r="CU185">
        <f>66.093</f>
        <v>66.093000000000004</v>
      </c>
      <c r="CV185">
        <f>86.753</f>
        <v>86.753</v>
      </c>
      <c r="CW185">
        <f>57.183</f>
        <v>57.183</v>
      </c>
      <c r="CX185">
        <f>26.196</f>
        <v>26.196000000000002</v>
      </c>
      <c r="CY185">
        <f>25.6</f>
        <v>25.6</v>
      </c>
      <c r="CZ185">
        <f>37.3</f>
        <v>37.299999999999997</v>
      </c>
      <c r="DA185">
        <f>63.47</f>
        <v>63.47</v>
      </c>
      <c r="DB185">
        <f>13.039</f>
        <v>13.039</v>
      </c>
      <c r="DC185">
        <f>12.073</f>
        <v>12.073</v>
      </c>
      <c r="DD185">
        <f>10.852</f>
        <v>10.852</v>
      </c>
      <c r="DE185">
        <f>8.96</f>
        <v>8.9600000000000009</v>
      </c>
      <c r="DF185">
        <f>25.037</f>
        <v>25.036999999999999</v>
      </c>
      <c r="DG185">
        <f>79.107</f>
        <v>79.106999999999999</v>
      </c>
      <c r="DH185">
        <f>32.245</f>
        <v>32.244999999999997</v>
      </c>
      <c r="DI185">
        <f>9.482</f>
        <v>9.4819999999999993</v>
      </c>
      <c r="DJ185">
        <f>11.025</f>
        <v>11.025</v>
      </c>
      <c r="DK185">
        <f>24.641</f>
        <v>24.640999999999998</v>
      </c>
      <c r="DL185">
        <f>5.879</f>
        <v>5.8789999999999996</v>
      </c>
      <c r="DM185">
        <f>3.864</f>
        <v>3.8639999999999999</v>
      </c>
      <c r="DN185">
        <f>6.425</f>
        <v>6.4249999999999998</v>
      </c>
      <c r="DO185">
        <f>4.05</f>
        <v>4.05</v>
      </c>
      <c r="DP185">
        <f>5.491</f>
        <v>5.4909999999999997</v>
      </c>
      <c r="DQ185">
        <f>5.034999847</f>
        <v>5.0349998469999999</v>
      </c>
      <c r="DR185">
        <f>4.255000114</f>
        <v>4.2550001139999996</v>
      </c>
      <c r="DS185" t="str">
        <f>""</f>
        <v/>
      </c>
      <c r="DT185" t="str">
        <f>""</f>
        <v/>
      </c>
      <c r="DU185" t="str">
        <f>""</f>
        <v/>
      </c>
    </row>
    <row r="186" spans="1:125">
      <c r="A186" t="str">
        <f>"    AvalonBay Communities Inc"</f>
        <v xml:space="preserve">    AvalonBay Communities Inc</v>
      </c>
      <c r="B186" t="str">
        <f>"AVB US Equity"</f>
        <v>AVB US Equity</v>
      </c>
      <c r="C186" t="str">
        <f t="shared" si="60"/>
        <v>RR253</v>
      </c>
      <c r="D186" t="str">
        <f t="shared" si="61"/>
        <v>CASH_AND_MARKETABLE_SECURITIES</v>
      </c>
      <c r="E186" t="str">
        <f t="shared" si="62"/>
        <v>动态</v>
      </c>
      <c r="F186" t="str">
        <f ca="1">IF(AND(ISNUMBER($F$389),$B$226=1),$F$389,HLOOKUP(INDIRECT(ADDRESS(2,COLUMN())),OFFSET($BN$2,0,0,ROW()-1,60),ROW()-1,FALSE))</f>
        <v/>
      </c>
      <c r="G186">
        <f ca="1">IF(AND(ISNUMBER($G$389),$B$226=1),$G$389,HLOOKUP(INDIRECT(ADDRESS(2,COLUMN())),OFFSET($BN$2,0,0,ROW()-1,60),ROW()-1,FALSE))</f>
        <v>67.087999999999994</v>
      </c>
      <c r="H186">
        <f ca="1">IF(AND(ISNUMBER($H$389),$B$226=1),$H$389,HLOOKUP(INDIRECT(ADDRESS(2,COLUMN())),OFFSET($BN$2,0,0,ROW()-1,60),ROW()-1,FALSE))</f>
        <v>36.042000000000002</v>
      </c>
      <c r="I186">
        <f ca="1">IF(AND(ISNUMBER($I$389),$B$226=1),$I$389,HLOOKUP(INDIRECT(ADDRESS(2,COLUMN())),OFFSET($BN$2,0,0,ROW()-1,60),ROW()-1,FALSE))</f>
        <v>53.476999999999997</v>
      </c>
      <c r="J186">
        <f ca="1">IF(AND(ISNUMBER($J$389),$B$226=1),$J$389,HLOOKUP(INDIRECT(ADDRESS(2,COLUMN())),OFFSET($BN$2,0,0,ROW()-1,60),ROW()-1,FALSE))</f>
        <v>121.705</v>
      </c>
      <c r="K186">
        <f ca="1">IF(AND(ISNUMBER($K$389),$B$226=1),$K$389,HLOOKUP(INDIRECT(ADDRESS(2,COLUMN())),OFFSET($BN$2,0,0,ROW()-1,60),ROW()-1,FALSE))</f>
        <v>214.994</v>
      </c>
      <c r="L186">
        <f ca="1">IF(AND(ISNUMBER($L$389),$B$226=1),$L$389,HLOOKUP(INDIRECT(ADDRESS(2,COLUMN())),OFFSET($BN$2,0,0,ROW()-1,60),ROW()-1,FALSE))</f>
        <v>65.899000000000001</v>
      </c>
      <c r="M186">
        <f ca="1">IF(AND(ISNUMBER($M$389),$B$226=1),$M$389,HLOOKUP(INDIRECT(ADDRESS(2,COLUMN())),OFFSET($BN$2,0,0,ROW()-1,60),ROW()-1,FALSE))</f>
        <v>182.30600000000001</v>
      </c>
      <c r="N186">
        <f ca="1">IF(AND(ISNUMBER($N$389),$B$226=1),$N$389,HLOOKUP(INDIRECT(ADDRESS(2,COLUMN())),OFFSET($BN$2,0,0,ROW()-1,60),ROW()-1,FALSE))</f>
        <v>97.540999999999997</v>
      </c>
      <c r="O186">
        <f ca="1">IF(AND(ISNUMBER($O$389),$B$226=1),$O$389,HLOOKUP(INDIRECT(ADDRESS(2,COLUMN())),OFFSET($BN$2,0,0,ROW()-1,60),ROW()-1,FALSE))</f>
        <v>400.50700000000001</v>
      </c>
      <c r="P186">
        <f ca="1">IF(AND(ISNUMBER($P$389),$B$226=1),$P$389,HLOOKUP(INDIRECT(ADDRESS(2,COLUMN())),OFFSET($BN$2,0,0,ROW()-1,60),ROW()-1,FALSE))</f>
        <v>318.55700000000002</v>
      </c>
      <c r="Q186">
        <f ca="1">IF(AND(ISNUMBER($Q$389),$B$226=1),$Q$389,HLOOKUP(INDIRECT(ADDRESS(2,COLUMN())),OFFSET($BN$2,0,0,ROW()-1,60),ROW()-1,FALSE))</f>
        <v>65.126000000000005</v>
      </c>
      <c r="R186">
        <f ca="1">IF(AND(ISNUMBER($R$389),$B$226=1),$R$389,HLOOKUP(INDIRECT(ADDRESS(2,COLUMN())),OFFSET($BN$2,0,0,ROW()-1,60),ROW()-1,FALSE))</f>
        <v>194.928</v>
      </c>
      <c r="S186">
        <f ca="1">IF(AND(ISNUMBER($S$389),$B$226=1),$S$389,HLOOKUP(INDIRECT(ADDRESS(2,COLUMN())),OFFSET($BN$2,0,0,ROW()-1,60),ROW()-1,FALSE))</f>
        <v>509.46</v>
      </c>
      <c r="T186">
        <f ca="1">IF(AND(ISNUMBER($T$389),$B$226=1),$T$389,HLOOKUP(INDIRECT(ADDRESS(2,COLUMN())),OFFSET($BN$2,0,0,ROW()-1,60),ROW()-1,FALSE))</f>
        <v>440.02800000000002</v>
      </c>
      <c r="U186">
        <f ca="1">IF(AND(ISNUMBER($U$389),$B$226=1),$U$389,HLOOKUP(INDIRECT(ADDRESS(2,COLUMN())),OFFSET($BN$2,0,0,ROW()-1,60),ROW()-1,FALSE))</f>
        <v>425.74099999999999</v>
      </c>
      <c r="V186">
        <f ca="1">IF(AND(ISNUMBER($V$389),$B$226=1),$V$389,HLOOKUP(INDIRECT(ADDRESS(2,COLUMN())),OFFSET($BN$2,0,0,ROW()-1,60),ROW()-1,FALSE))</f>
        <v>386.19</v>
      </c>
      <c r="W186">
        <f ca="1">IF(AND(ISNUMBER($W$389),$B$226=1),$W$389,HLOOKUP(INDIRECT(ADDRESS(2,COLUMN())),OFFSET($BN$2,0,0,ROW()-1,60),ROW()-1,FALSE))</f>
        <v>281.35500000000002</v>
      </c>
      <c r="X186">
        <f ca="1">IF(AND(ISNUMBER($X$389),$B$226=1),$X$389,HLOOKUP(INDIRECT(ADDRESS(2,COLUMN())),OFFSET($BN$2,0,0,ROW()-1,60),ROW()-1,FALSE))</f>
        <v>112.91</v>
      </c>
      <c r="Y186">
        <f ca="1">IF(AND(ISNUMBER($Y$389),$B$226=1),$Y$389,HLOOKUP(INDIRECT(ADDRESS(2,COLUMN())),OFFSET($BN$2,0,0,ROW()-1,60),ROW()-1,FALSE))</f>
        <v>111.14700000000001</v>
      </c>
      <c r="Z186">
        <f ca="1">IF(AND(ISNUMBER($Z$389),$B$226=1),$Z$389,HLOOKUP(INDIRECT(ADDRESS(2,COLUMN())),OFFSET($BN$2,0,0,ROW()-1,60),ROW()-1,FALSE))</f>
        <v>447.45600000000002</v>
      </c>
      <c r="AA186">
        <f ca="1">IF(AND(ISNUMBER($AA$389),$B$226=1),$AA$389,HLOOKUP(INDIRECT(ADDRESS(2,COLUMN())),OFFSET($BN$2,0,0,ROW()-1,60),ROW()-1,FALSE))</f>
        <v>2733.6179999999999</v>
      </c>
      <c r="AB186">
        <f ca="1">IF(AND(ISNUMBER($AB$389),$B$226=1),$AB$389,HLOOKUP(INDIRECT(ADDRESS(2,COLUMN())),OFFSET($BN$2,0,0,ROW()-1,60),ROW()-1,FALSE))</f>
        <v>664.13300000000004</v>
      </c>
      <c r="AC186">
        <f ca="1">IF(AND(ISNUMBER($AC$389),$B$226=1),$AC$389,HLOOKUP(INDIRECT(ADDRESS(2,COLUMN())),OFFSET($BN$2,0,0,ROW()-1,60),ROW()-1,FALSE))</f>
        <v>358.26299999999998</v>
      </c>
      <c r="AD186">
        <f ca="1">IF(AND(ISNUMBER($AD$389),$B$226=1),$AD$389,HLOOKUP(INDIRECT(ADDRESS(2,COLUMN())),OFFSET($BN$2,0,0,ROW()-1,60),ROW()-1,FALSE))</f>
        <v>248.24199999999999</v>
      </c>
      <c r="AE186">
        <f ca="1">IF(AND(ISNUMBER($AE$389),$B$226=1),$AE$389,HLOOKUP(INDIRECT(ADDRESS(2,COLUMN())),OFFSET($BN$2,0,0,ROW()-1,60),ROW()-1,FALSE))</f>
        <v>616.85299999999995</v>
      </c>
      <c r="AF186">
        <f ca="1">IF(AND(ISNUMBER($AF$389),$B$226=1),$AF$389,HLOOKUP(INDIRECT(ADDRESS(2,COLUMN())),OFFSET($BN$2,0,0,ROW()-1,60),ROW()-1,FALSE))</f>
        <v>690.04899999999998</v>
      </c>
      <c r="AG186">
        <f ca="1">IF(AND(ISNUMBER($AG$389),$B$226=1),$AG$389,HLOOKUP(INDIRECT(ADDRESS(2,COLUMN())),OFFSET($BN$2,0,0,ROW()-1,60),ROW()-1,FALSE))</f>
        <v>290.10399999999998</v>
      </c>
      <c r="AH186">
        <f ca="1">IF(AND(ISNUMBER($AH$389),$B$226=1),$AH$389,HLOOKUP(INDIRECT(ADDRESS(2,COLUMN())),OFFSET($BN$2,0,0,ROW()-1,60),ROW()-1,FALSE))</f>
        <v>291.8</v>
      </c>
      <c r="AI186">
        <f ca="1">IF(AND(ISNUMBER($AI$389),$B$226=1),$AI$389,HLOOKUP(INDIRECT(ADDRESS(2,COLUMN())),OFFSET($BN$2,0,0,ROW()-1,60),ROW()-1,FALSE))</f>
        <v>304.40699999999998</v>
      </c>
      <c r="AJ186">
        <f ca="1">IF(AND(ISNUMBER($AJ$389),$B$226=1),$AJ$389,HLOOKUP(INDIRECT(ADDRESS(2,COLUMN())),OFFSET($BN$2,0,0,ROW()-1,60),ROW()-1,FALSE))</f>
        <v>229.11099999999999</v>
      </c>
      <c r="AK186">
        <f ca="1">IF(AND(ISNUMBER($AK$389),$B$226=1),$AK$389,HLOOKUP(INDIRECT(ADDRESS(2,COLUMN())),OFFSET($BN$2,0,0,ROW()-1,60),ROW()-1,FALSE))</f>
        <v>373.721</v>
      </c>
      <c r="AL186">
        <f ca="1">IF(AND(ISNUMBER($AL$389),$B$226=1),$AL$389,HLOOKUP(INDIRECT(ADDRESS(2,COLUMN())),OFFSET($BN$2,0,0,ROW()-1,60),ROW()-1,FALSE))</f>
        <v>123.297</v>
      </c>
      <c r="AM186">
        <f ca="1">IF(AND(ISNUMBER($AM$389),$B$226=1),$AM$389,HLOOKUP(INDIRECT(ADDRESS(2,COLUMN())),OFFSET($BN$2,0,0,ROW()-1,60),ROW()-1,FALSE))</f>
        <v>105.691</v>
      </c>
      <c r="AN186">
        <f ca="1">IF(AND(ISNUMBER($AN$389),$B$226=1),$AN$389,HLOOKUP(INDIRECT(ADDRESS(2,COLUMN())),OFFSET($BN$2,0,0,ROW()-1,60),ROW()-1,FALSE))</f>
        <v>554.33500000000004</v>
      </c>
      <c r="AO186">
        <f ca="1">IF(AND(ISNUMBER($AO$389),$B$226=1),$AO$389,HLOOKUP(INDIRECT(ADDRESS(2,COLUMN())),OFFSET($BN$2,0,0,ROW()-1,60),ROW()-1,FALSE))</f>
        <v>215.78800000000001</v>
      </c>
      <c r="AP186">
        <f ca="1">IF(AND(ISNUMBER($AP$389),$B$226=1),$AP$389,HLOOKUP(INDIRECT(ADDRESS(2,COLUMN())),OFFSET($BN$2,0,0,ROW()-1,60),ROW()-1,FALSE))</f>
        <v>90.334999999999994</v>
      </c>
      <c r="AQ186">
        <f ca="1">IF(AND(ISNUMBER($AQ$389),$B$226=1),$AQ$389,HLOOKUP(INDIRECT(ADDRESS(2,COLUMN())),OFFSET($BN$2,0,0,ROW()-1,60),ROW()-1,FALSE))</f>
        <v>64.935000000000002</v>
      </c>
      <c r="AR186">
        <f ca="1">IF(AND(ISNUMBER($AR$389),$B$226=1),$AR$389,HLOOKUP(INDIRECT(ADDRESS(2,COLUMN())),OFFSET($BN$2,0,0,ROW()-1,60),ROW()-1,FALSE))</f>
        <v>79.019000000000005</v>
      </c>
      <c r="AS186">
        <f ca="1">IF(AND(ISNUMBER($AS$389),$B$226=1),$AS$389,HLOOKUP(INDIRECT(ADDRESS(2,COLUMN())),OFFSET($BN$2,0,0,ROW()-1,60),ROW()-1,FALSE))</f>
        <v>7.3470000000000004</v>
      </c>
      <c r="AT186">
        <f ca="1">IF(AND(ISNUMBER($AT$389),$B$226=1),$AT$389,HLOOKUP(INDIRECT(ADDRESS(2,COLUMN())),OFFSET($BN$2,0,0,ROW()-1,60),ROW()-1,FALSE))</f>
        <v>270.32</v>
      </c>
      <c r="AU186">
        <f ca="1">IF(AND(ISNUMBER($AU$389),$B$226=1),$AU$389,HLOOKUP(INDIRECT(ADDRESS(2,COLUMN())),OFFSET($BN$2,0,0,ROW()-1,60),ROW()-1,FALSE))</f>
        <v>21.222000000000001</v>
      </c>
      <c r="AV186">
        <f ca="1">IF(AND(ISNUMBER($AV$389),$B$226=1),$AV$389,HLOOKUP(INDIRECT(ADDRESS(2,COLUMN())),OFFSET($BN$2,0,0,ROW()-1,60),ROW()-1,FALSE))</f>
        <v>39.042000000000002</v>
      </c>
      <c r="AW186">
        <f ca="1">IF(AND(ISNUMBER($AW$389),$B$226=1),$AW$389,HLOOKUP(INDIRECT(ADDRESS(2,COLUMN())),OFFSET($BN$2,0,0,ROW()-1,60),ROW()-1,FALSE))</f>
        <v>137.77000000000001</v>
      </c>
      <c r="AX186">
        <f ca="1">IF(AND(ISNUMBER($AX$389),$B$226=1),$AX$389,HLOOKUP(INDIRECT(ADDRESS(2,COLUMN())),OFFSET($BN$2,0,0,ROW()-1,60),ROW()-1,FALSE))</f>
        <v>356.435</v>
      </c>
      <c r="AY186">
        <f ca="1">IF(AND(ISNUMBER($AY$389),$B$226=1),$AY$389,HLOOKUP(INDIRECT(ADDRESS(2,COLUMN())),OFFSET($BN$2,0,0,ROW()-1,60),ROW()-1,FALSE))</f>
        <v>8.2840000000000007</v>
      </c>
      <c r="AZ186">
        <f ca="1">IF(AND(ISNUMBER($AZ$389),$B$226=1),$AZ$389,HLOOKUP(INDIRECT(ADDRESS(2,COLUMN())),OFFSET($BN$2,0,0,ROW()-1,60),ROW()-1,FALSE))</f>
        <v>186.88200000000001</v>
      </c>
      <c r="BA186">
        <f ca="1">IF(AND(ISNUMBER($BA$389),$B$226=1),$BA$389,HLOOKUP(INDIRECT(ADDRESS(2,COLUMN())),OFFSET($BN$2,0,0,ROW()-1,60),ROW()-1,FALSE))</f>
        <v>12.78</v>
      </c>
      <c r="BB186">
        <f ca="1">IF(AND(ISNUMBER($BB$389),$B$226=1),$BB$389,HLOOKUP(INDIRECT(ADDRESS(2,COLUMN())),OFFSET($BN$2,0,0,ROW()-1,60),ROW()-1,FALSE))</f>
        <v>55.901000000000003</v>
      </c>
      <c r="BC186">
        <f ca="1">IF(AND(ISNUMBER($BC$389),$B$226=1),$BC$389,HLOOKUP(INDIRECT(ADDRESS(2,COLUMN())),OFFSET($BN$2,0,0,ROW()-1,60),ROW()-1,FALSE))</f>
        <v>6.1059999999999999</v>
      </c>
      <c r="BD186">
        <f ca="1">IF(AND(ISNUMBER($BD$389),$B$226=1),$BD$389,HLOOKUP(INDIRECT(ADDRESS(2,COLUMN())),OFFSET($BN$2,0,0,ROW()-1,60),ROW()-1,FALSE))</f>
        <v>2.2679999999999998</v>
      </c>
      <c r="BE186">
        <f ca="1">IF(AND(ISNUMBER($BE$389),$B$226=1),$BE$389,HLOOKUP(INDIRECT(ADDRESS(2,COLUMN())),OFFSET($BN$2,0,0,ROW()-1,60),ROW()-1,FALSE))</f>
        <v>2.8769999999999998</v>
      </c>
      <c r="BF186">
        <f ca="1">IF(AND(ISNUMBER($BF$389),$B$226=1),$BF$389,HLOOKUP(INDIRECT(ADDRESS(2,COLUMN())),OFFSET($BN$2,0,0,ROW()-1,60),ROW()-1,FALSE))</f>
        <v>3.4969999999999999</v>
      </c>
      <c r="BG186">
        <f ca="1">IF(AND(ISNUMBER($BG$389),$B$226=1),$BG$389,HLOOKUP(INDIRECT(ADDRESS(2,COLUMN())),OFFSET($BN$2,0,0,ROW()-1,60),ROW()-1,FALSE))</f>
        <v>1.5209999999999999</v>
      </c>
      <c r="BH186">
        <f ca="1">IF(AND(ISNUMBER($BH$389),$B$226=1),$BH$389,HLOOKUP(INDIRECT(ADDRESS(2,COLUMN())),OFFSET($BN$2,0,0,ROW()-1,60),ROW()-1,FALSE))</f>
        <v>33.576999999999998</v>
      </c>
      <c r="BI186">
        <f ca="1">IF(AND(ISNUMBER($BI$389),$B$226=1),$BI$389,HLOOKUP(INDIRECT(ADDRESS(2,COLUMN())),OFFSET($BN$2,0,0,ROW()-1,60),ROW()-1,FALSE))</f>
        <v>2.5009999999999999</v>
      </c>
      <c r="BJ186">
        <f ca="1">IF(AND(ISNUMBER($BJ$389),$B$226=1),$BJ$389,HLOOKUP(INDIRECT(ADDRESS(2,COLUMN())),OFFSET($BN$2,0,0,ROW()-1,60),ROW()-1,FALSE))</f>
        <v>0.34599999999999997</v>
      </c>
      <c r="BK186">
        <f ca="1">IF(AND(ISNUMBER($BK$389),$B$226=1),$BK$389,HLOOKUP(INDIRECT(ADDRESS(2,COLUMN())),OFFSET($BN$2,0,0,ROW()-1,60),ROW()-1,FALSE))</f>
        <v>7.1960000989999999</v>
      </c>
      <c r="BL186">
        <f ca="1">IF(AND(ISNUMBER($BL$389),$B$226=1),$BL$389,HLOOKUP(INDIRECT(ADDRESS(2,COLUMN())),OFFSET($BN$2,0,0,ROW()-1,60),ROW()-1,FALSE))</f>
        <v>6.7709999999999999</v>
      </c>
      <c r="BM186">
        <f ca="1">IF(AND(ISNUMBER($BM$389),$B$226=1),$BM$389,HLOOKUP(INDIRECT(ADDRESS(2,COLUMN())),OFFSET($BN$2,0,0,ROW()-1,60),ROW()-1,FALSE))</f>
        <v>21.466999999999999</v>
      </c>
      <c r="BN186" t="str">
        <f>""</f>
        <v/>
      </c>
      <c r="BO186">
        <f>67.088</f>
        <v>67.087999999999994</v>
      </c>
      <c r="BP186">
        <f>36.042</f>
        <v>36.042000000000002</v>
      </c>
      <c r="BQ186">
        <f>53.477</f>
        <v>53.476999999999997</v>
      </c>
      <c r="BR186">
        <f>121.705</f>
        <v>121.705</v>
      </c>
      <c r="BS186">
        <f>214.994</f>
        <v>214.994</v>
      </c>
      <c r="BT186">
        <f>65.899</f>
        <v>65.899000000000001</v>
      </c>
      <c r="BU186">
        <f>182.306</f>
        <v>182.30600000000001</v>
      </c>
      <c r="BV186">
        <f>97.541</f>
        <v>97.540999999999997</v>
      </c>
      <c r="BW186">
        <f>400.507</f>
        <v>400.50700000000001</v>
      </c>
      <c r="BX186">
        <f>318.557</f>
        <v>318.55700000000002</v>
      </c>
      <c r="BY186">
        <f>65.126</f>
        <v>65.126000000000005</v>
      </c>
      <c r="BZ186">
        <f>194.928</f>
        <v>194.928</v>
      </c>
      <c r="CA186">
        <f>509.46</f>
        <v>509.46</v>
      </c>
      <c r="CB186">
        <f>440.028</f>
        <v>440.02800000000002</v>
      </c>
      <c r="CC186">
        <f>425.741</f>
        <v>425.74099999999999</v>
      </c>
      <c r="CD186">
        <f>386.19</f>
        <v>386.19</v>
      </c>
      <c r="CE186">
        <f>281.355</f>
        <v>281.35500000000002</v>
      </c>
      <c r="CF186">
        <f>112.91</f>
        <v>112.91</v>
      </c>
      <c r="CG186">
        <f>111.147</f>
        <v>111.14700000000001</v>
      </c>
      <c r="CH186">
        <f>447.456</f>
        <v>447.45600000000002</v>
      </c>
      <c r="CI186">
        <f>2733.618</f>
        <v>2733.6179999999999</v>
      </c>
      <c r="CJ186">
        <f>664.133</f>
        <v>664.13300000000004</v>
      </c>
      <c r="CK186">
        <f>358.263</f>
        <v>358.26299999999998</v>
      </c>
      <c r="CL186">
        <f>248.242</f>
        <v>248.24199999999999</v>
      </c>
      <c r="CM186">
        <f>616.853</f>
        <v>616.85299999999995</v>
      </c>
      <c r="CN186">
        <f>690.049</f>
        <v>690.04899999999998</v>
      </c>
      <c r="CO186">
        <f>290.104</f>
        <v>290.10399999999998</v>
      </c>
      <c r="CP186">
        <f>291.8</f>
        <v>291.8</v>
      </c>
      <c r="CQ186">
        <f>304.407</f>
        <v>304.40699999999998</v>
      </c>
      <c r="CR186">
        <f>229.111</f>
        <v>229.11099999999999</v>
      </c>
      <c r="CS186">
        <f>373.721</f>
        <v>373.721</v>
      </c>
      <c r="CT186">
        <f>123.297</f>
        <v>123.297</v>
      </c>
      <c r="CU186">
        <f>105.691</f>
        <v>105.691</v>
      </c>
      <c r="CV186">
        <f>554.335</f>
        <v>554.33500000000004</v>
      </c>
      <c r="CW186">
        <f>215.788</f>
        <v>215.78800000000001</v>
      </c>
      <c r="CX186">
        <f>90.335</f>
        <v>90.334999999999994</v>
      </c>
      <c r="CY186">
        <f>64.935</f>
        <v>64.935000000000002</v>
      </c>
      <c r="CZ186">
        <f>79.019</f>
        <v>79.019000000000005</v>
      </c>
      <c r="DA186">
        <f>7.347</f>
        <v>7.3470000000000004</v>
      </c>
      <c r="DB186">
        <f>270.32</f>
        <v>270.32</v>
      </c>
      <c r="DC186">
        <f>21.222</f>
        <v>21.222000000000001</v>
      </c>
      <c r="DD186">
        <f>39.042</f>
        <v>39.042000000000002</v>
      </c>
      <c r="DE186">
        <f>137.77</f>
        <v>137.77000000000001</v>
      </c>
      <c r="DF186">
        <f>356.435</f>
        <v>356.435</v>
      </c>
      <c r="DG186">
        <f>8.284</f>
        <v>8.2840000000000007</v>
      </c>
      <c r="DH186">
        <f>186.882</f>
        <v>186.88200000000001</v>
      </c>
      <c r="DI186">
        <f>12.78</f>
        <v>12.78</v>
      </c>
      <c r="DJ186">
        <f>55.901</f>
        <v>55.901000000000003</v>
      </c>
      <c r="DK186">
        <f>6.106</f>
        <v>6.1059999999999999</v>
      </c>
      <c r="DL186">
        <f>2.268</f>
        <v>2.2679999999999998</v>
      </c>
      <c r="DM186">
        <f>2.877</f>
        <v>2.8769999999999998</v>
      </c>
      <c r="DN186">
        <f>3.497</f>
        <v>3.4969999999999999</v>
      </c>
      <c r="DO186">
        <f>1.521</f>
        <v>1.5209999999999999</v>
      </c>
      <c r="DP186">
        <f>33.577</f>
        <v>33.576999999999998</v>
      </c>
      <c r="DQ186">
        <f>2.501</f>
        <v>2.5009999999999999</v>
      </c>
      <c r="DR186">
        <f>0.346</f>
        <v>0.34599999999999997</v>
      </c>
      <c r="DS186">
        <f>7.196000099</f>
        <v>7.1960000989999999</v>
      </c>
      <c r="DT186">
        <f>6.771</f>
        <v>6.7709999999999999</v>
      </c>
      <c r="DU186">
        <f>21.467</f>
        <v>21.466999999999999</v>
      </c>
    </row>
    <row r="187" spans="1:125">
      <c r="A187" t="str">
        <f>"    Camden Property Trust"</f>
        <v xml:space="preserve">    Camden Property Trust</v>
      </c>
      <c r="B187" t="str">
        <f>"CPT US Equity"</f>
        <v>CPT US Equity</v>
      </c>
      <c r="C187" t="str">
        <f t="shared" si="60"/>
        <v>RR253</v>
      </c>
      <c r="D187" t="str">
        <f t="shared" si="61"/>
        <v>CASH_AND_MARKETABLE_SECURITIES</v>
      </c>
      <c r="E187" t="str">
        <f t="shared" si="62"/>
        <v>动态</v>
      </c>
      <c r="F187" t="str">
        <f ca="1">IF(AND(ISNUMBER($F$390),$B$226=1),$F$390,HLOOKUP(INDIRECT(ADDRESS(2,COLUMN())),OFFSET($BN$2,0,0,ROW()-1,60),ROW()-1,FALSE))</f>
        <v/>
      </c>
      <c r="G187">
        <f ca="1">IF(AND(ISNUMBER($G$390),$B$226=1),$G$390,HLOOKUP(INDIRECT(ADDRESS(2,COLUMN())),OFFSET($BN$2,0,0,ROW()-1,60),ROW()-1,FALSE))</f>
        <v>368.49200000000002</v>
      </c>
      <c r="H187">
        <f ca="1">IF(AND(ISNUMBER($H$390),$B$226=1),$H$390,HLOOKUP(INDIRECT(ADDRESS(2,COLUMN())),OFFSET($BN$2,0,0,ROW()-1,60),ROW()-1,FALSE))</f>
        <v>350.274</v>
      </c>
      <c r="I187">
        <f ca="1">IF(AND(ISNUMBER($I$390),$B$226=1),$I$390,HLOOKUP(INDIRECT(ADDRESS(2,COLUMN())),OFFSET($BN$2,0,0,ROW()-1,60),ROW()-1,FALSE))</f>
        <v>16.318000000000001</v>
      </c>
      <c r="J187">
        <f ca="1">IF(AND(ISNUMBER($J$390),$B$226=1),$J$390,HLOOKUP(INDIRECT(ADDRESS(2,COLUMN())),OFFSET($BN$2,0,0,ROW()-1,60),ROW()-1,FALSE))</f>
        <v>245.529</v>
      </c>
      <c r="K187">
        <f ca="1">IF(AND(ISNUMBER($K$390),$B$226=1),$K$390,HLOOKUP(INDIRECT(ADDRESS(2,COLUMN())),OFFSET($BN$2,0,0,ROW()-1,60),ROW()-1,FALSE))</f>
        <v>237.364</v>
      </c>
      <c r="L187">
        <f ca="1">IF(AND(ISNUMBER($L$390),$B$226=1),$L$390,HLOOKUP(INDIRECT(ADDRESS(2,COLUMN())),OFFSET($BN$2,0,0,ROW()-1,60),ROW()-1,FALSE))</f>
        <v>313.74200000000002</v>
      </c>
      <c r="M187">
        <f ca="1">IF(AND(ISNUMBER($M$390),$B$226=1),$M$390,HLOOKUP(INDIRECT(ADDRESS(2,COLUMN())),OFFSET($BN$2,0,0,ROW()-1,60),ROW()-1,FALSE))</f>
        <v>341.726</v>
      </c>
      <c r="N187">
        <f ca="1">IF(AND(ISNUMBER($N$390),$B$226=1),$N$390,HLOOKUP(INDIRECT(ADDRESS(2,COLUMN())),OFFSET($BN$2,0,0,ROW()-1,60),ROW()-1,FALSE))</f>
        <v>6.9349999999999996</v>
      </c>
      <c r="O187">
        <f ca="1">IF(AND(ISNUMBER($O$390),$B$226=1),$O$390,HLOOKUP(INDIRECT(ADDRESS(2,COLUMN())),OFFSET($BN$2,0,0,ROW()-1,60),ROW()-1,FALSE))</f>
        <v>10.617000000000001</v>
      </c>
      <c r="P187">
        <f ca="1">IF(AND(ISNUMBER($P$390),$B$226=1),$P$390,HLOOKUP(INDIRECT(ADDRESS(2,COLUMN())),OFFSET($BN$2,0,0,ROW()-1,60),ROW()-1,FALSE))</f>
        <v>10.375</v>
      </c>
      <c r="Q187">
        <f ca="1">IF(AND(ISNUMBER($Q$390),$B$226=1),$Q$390,HLOOKUP(INDIRECT(ADDRESS(2,COLUMN())),OFFSET($BN$2,0,0,ROW()-1,60),ROW()-1,FALSE))</f>
        <v>16.507999999999999</v>
      </c>
      <c r="R187">
        <f ca="1">IF(AND(ISNUMBER($R$390),$B$226=1),$R$390,HLOOKUP(INDIRECT(ADDRESS(2,COLUMN())),OFFSET($BN$2,0,0,ROW()-1,60),ROW()-1,FALSE))</f>
        <v>174.35300000000001</v>
      </c>
      <c r="S187">
        <f ca="1">IF(AND(ISNUMBER($S$390),$B$226=1),$S$390,HLOOKUP(INDIRECT(ADDRESS(2,COLUMN())),OFFSET($BN$2,0,0,ROW()-1,60),ROW()-1,FALSE))</f>
        <v>153.91800000000001</v>
      </c>
      <c r="T187">
        <f ca="1">IF(AND(ISNUMBER($T$390),$B$226=1),$T$390,HLOOKUP(INDIRECT(ADDRESS(2,COLUMN())),OFFSET($BN$2,0,0,ROW()-1,60),ROW()-1,FALSE))</f>
        <v>66.126999999999995</v>
      </c>
      <c r="U187">
        <f ca="1">IF(AND(ISNUMBER($U$390),$B$226=1),$U$390,HLOOKUP(INDIRECT(ADDRESS(2,COLUMN())),OFFSET($BN$2,0,0,ROW()-1,60),ROW()-1,FALSE))</f>
        <v>16.068999999999999</v>
      </c>
      <c r="V187">
        <f ca="1">IF(AND(ISNUMBER($V$390),$B$226=1),$V$390,HLOOKUP(INDIRECT(ADDRESS(2,COLUMN())),OFFSET($BN$2,0,0,ROW()-1,60),ROW()-1,FALSE))</f>
        <v>16.768000000000001</v>
      </c>
      <c r="W187">
        <f ca="1">IF(AND(ISNUMBER($W$390),$B$226=1),$W$390,HLOOKUP(INDIRECT(ADDRESS(2,COLUMN())),OFFSET($BN$2,0,0,ROW()-1,60),ROW()-1,FALSE))</f>
        <v>17.794</v>
      </c>
      <c r="X187">
        <f ca="1">IF(AND(ISNUMBER($X$390),$B$226=1),$X$390,HLOOKUP(INDIRECT(ADDRESS(2,COLUMN())),OFFSET($BN$2,0,0,ROW()-1,60),ROW()-1,FALSE))</f>
        <v>4.7069999999999999</v>
      </c>
      <c r="Y187">
        <f ca="1">IF(AND(ISNUMBER($Y$390),$B$226=1),$Y$390,HLOOKUP(INDIRECT(ADDRESS(2,COLUMN())),OFFSET($BN$2,0,0,ROW()-1,60),ROW()-1,FALSE))</f>
        <v>6.5060000000000002</v>
      </c>
      <c r="Z187">
        <f ca="1">IF(AND(ISNUMBER($Z$390),$B$226=1),$Z$390,HLOOKUP(INDIRECT(ADDRESS(2,COLUMN())),OFFSET($BN$2,0,0,ROW()-1,60),ROW()-1,FALSE))</f>
        <v>59.642000000000003</v>
      </c>
      <c r="AA187">
        <f ca="1">IF(AND(ISNUMBER($AA$390),$B$226=1),$AA$390,HLOOKUP(INDIRECT(ADDRESS(2,COLUMN())),OFFSET($BN$2,0,0,ROW()-1,60),ROW()-1,FALSE))</f>
        <v>26.669</v>
      </c>
      <c r="AB187">
        <f ca="1">IF(AND(ISNUMBER($AB$390),$B$226=1),$AB$390,HLOOKUP(INDIRECT(ADDRESS(2,COLUMN())),OFFSET($BN$2,0,0,ROW()-1,60),ROW()-1,FALSE))</f>
        <v>5.59</v>
      </c>
      <c r="AC187">
        <f ca="1">IF(AND(ISNUMBER($AC$390),$B$226=1),$AC$390,HLOOKUP(INDIRECT(ADDRESS(2,COLUMN())),OFFSET($BN$2,0,0,ROW()-1,60),ROW()-1,FALSE))</f>
        <v>52.125999999999998</v>
      </c>
      <c r="AD187">
        <f ca="1">IF(AND(ISNUMBER($AD$390),$B$226=1),$AD$390,HLOOKUP(INDIRECT(ADDRESS(2,COLUMN())),OFFSET($BN$2,0,0,ROW()-1,60),ROW()-1,FALSE))</f>
        <v>49.701999999999998</v>
      </c>
      <c r="AE187">
        <f ca="1">IF(AND(ISNUMBER($AE$390),$B$226=1),$AE$390,HLOOKUP(INDIRECT(ADDRESS(2,COLUMN())),OFFSET($BN$2,0,0,ROW()-1,60),ROW()-1,FALSE))</f>
        <v>55.158999999999999</v>
      </c>
      <c r="AF187">
        <f ca="1">IF(AND(ISNUMBER($AF$390),$B$226=1),$AF$390,HLOOKUP(INDIRECT(ADDRESS(2,COLUMN())),OFFSET($BN$2,0,0,ROW()-1,60),ROW()-1,FALSE))</f>
        <v>56.098999999999997</v>
      </c>
      <c r="AG187">
        <f ca="1">IF(AND(ISNUMBER($AG$390),$B$226=1),$AG$390,HLOOKUP(INDIRECT(ADDRESS(2,COLUMN())),OFFSET($BN$2,0,0,ROW()-1,60),ROW()-1,FALSE))</f>
        <v>63.148000000000003</v>
      </c>
      <c r="AH187">
        <f ca="1">IF(AND(ISNUMBER($AH$390),$B$226=1),$AH$390,HLOOKUP(INDIRECT(ADDRESS(2,COLUMN())),OFFSET($BN$2,0,0,ROW()-1,60),ROW()-1,FALSE))</f>
        <v>98.771000000000001</v>
      </c>
      <c r="AI187">
        <f ca="1">IF(AND(ISNUMBER($AI$390),$B$226=1),$AI$390,HLOOKUP(INDIRECT(ADDRESS(2,COLUMN())),OFFSET($BN$2,0,0,ROW()-1,60),ROW()-1,FALSE))</f>
        <v>170.57499999999999</v>
      </c>
      <c r="AJ187">
        <f ca="1">IF(AND(ISNUMBER($AJ$390),$B$226=1),$AJ$390,HLOOKUP(INDIRECT(ADDRESS(2,COLUMN())),OFFSET($BN$2,0,0,ROW()-1,60),ROW()-1,FALSE))</f>
        <v>91.070999999999998</v>
      </c>
      <c r="AK187">
        <f ca="1">IF(AND(ISNUMBER($AK$390),$B$226=1),$AK$390,HLOOKUP(INDIRECT(ADDRESS(2,COLUMN())),OFFSET($BN$2,0,0,ROW()-1,60),ROW()-1,FALSE))</f>
        <v>128.155</v>
      </c>
      <c r="AL187">
        <f ca="1">IF(AND(ISNUMBER($AL$390),$B$226=1),$AL$390,HLOOKUP(INDIRECT(ADDRESS(2,COLUMN())),OFFSET($BN$2,0,0,ROW()-1,60),ROW()-1,FALSE))</f>
        <v>28.553000000000001</v>
      </c>
      <c r="AM187">
        <f ca="1">IF(AND(ISNUMBER($AM$390),$B$226=1),$AM$390,HLOOKUP(INDIRECT(ADDRESS(2,COLUMN())),OFFSET($BN$2,0,0,ROW()-1,60),ROW()-1,FALSE))</f>
        <v>64.156000000000006</v>
      </c>
      <c r="AN187">
        <f ca="1">IF(AND(ISNUMBER($AN$390),$B$226=1),$AN$390,HLOOKUP(INDIRECT(ADDRESS(2,COLUMN())),OFFSET($BN$2,0,0,ROW()-1,60),ROW()-1,FALSE))</f>
        <v>81.683000000000007</v>
      </c>
      <c r="AO187">
        <f ca="1">IF(AND(ISNUMBER($AO$390),$B$226=1),$AO$390,HLOOKUP(INDIRECT(ADDRESS(2,COLUMN())),OFFSET($BN$2,0,0,ROW()-1,60),ROW()-1,FALSE))</f>
        <v>157.66499999999999</v>
      </c>
      <c r="AP187">
        <f ca="1">IF(AND(ISNUMBER($AP$390),$B$226=1),$AP$390,HLOOKUP(INDIRECT(ADDRESS(2,COLUMN())),OFFSET($BN$2,0,0,ROW()-1,60),ROW()-1,FALSE))</f>
        <v>7.2560000000000002</v>
      </c>
      <c r="AQ187">
        <f ca="1">IF(AND(ISNUMBER($AQ$390),$B$226=1),$AQ$390,HLOOKUP(INDIRECT(ADDRESS(2,COLUMN())),OFFSET($BN$2,0,0,ROW()-1,60),ROW()-1,FALSE))</f>
        <v>7.407</v>
      </c>
      <c r="AR187">
        <f ca="1">IF(AND(ISNUMBER($AR$390),$B$226=1),$AR$390,HLOOKUP(INDIRECT(ADDRESS(2,COLUMN())),OFFSET($BN$2,0,0,ROW()-1,60),ROW()-1,FALSE))</f>
        <v>29.516999999999999</v>
      </c>
      <c r="AS187">
        <f ca="1">IF(AND(ISNUMBER($AS$390),$B$226=1),$AS$390,HLOOKUP(INDIRECT(ADDRESS(2,COLUMN())),OFFSET($BN$2,0,0,ROW()-1,60),ROW()-1,FALSE))</f>
        <v>1.242</v>
      </c>
      <c r="AT187">
        <f ca="1">IF(AND(ISNUMBER($AT$390),$B$226=1),$AT$390,HLOOKUP(INDIRECT(ADDRESS(2,COLUMN())),OFFSET($BN$2,0,0,ROW()-1,60),ROW()-1,FALSE))</f>
        <v>0.94699999999999995</v>
      </c>
      <c r="AU187">
        <f ca="1">IF(AND(ISNUMBER($AU$390),$B$226=1),$AU$390,HLOOKUP(INDIRECT(ADDRESS(2,COLUMN())),OFFSET($BN$2,0,0,ROW()-1,60),ROW()-1,FALSE))</f>
        <v>0.89700000000000002</v>
      </c>
      <c r="AV187">
        <f ca="1">IF(AND(ISNUMBER($AV$390),$B$226=1),$AV$390,HLOOKUP(INDIRECT(ADDRESS(2,COLUMN())),OFFSET($BN$2,0,0,ROW()-1,60),ROW()-1,FALSE))</f>
        <v>1.2070000000000001</v>
      </c>
      <c r="AW187">
        <f ca="1">IF(AND(ISNUMBER($AW$390),$B$226=1),$AW$390,HLOOKUP(INDIRECT(ADDRESS(2,COLUMN())),OFFSET($BN$2,0,0,ROW()-1,60),ROW()-1,FALSE))</f>
        <v>3.0579999999999998</v>
      </c>
      <c r="AX187">
        <f ca="1">IF(AND(ISNUMBER($AX$390),$B$226=1),$AX$390,HLOOKUP(INDIRECT(ADDRESS(2,COLUMN())),OFFSET($BN$2,0,0,ROW()-1,60),ROW()-1,FALSE))</f>
        <v>1.47</v>
      </c>
      <c r="AY187">
        <f ca="1">IF(AND(ISNUMBER($AY$390),$B$226=1),$AY$390,HLOOKUP(INDIRECT(ADDRESS(2,COLUMN())),OFFSET($BN$2,0,0,ROW()-1,60),ROW()-1,FALSE))</f>
        <v>1.034</v>
      </c>
      <c r="AZ187">
        <f ca="1">IF(AND(ISNUMBER($AZ$390),$B$226=1),$AZ$390,HLOOKUP(INDIRECT(ADDRESS(2,COLUMN())),OFFSET($BN$2,0,0,ROW()-1,60),ROW()-1,FALSE))</f>
        <v>8.0609999999999999</v>
      </c>
      <c r="BA187">
        <f ca="1">IF(AND(ISNUMBER($BA$390),$B$226=1),$BA$390,HLOOKUP(INDIRECT(ADDRESS(2,COLUMN())),OFFSET($BN$2,0,0,ROW()-1,60),ROW()-1,FALSE))</f>
        <v>49.7</v>
      </c>
      <c r="BB187">
        <f ca="1">IF(AND(ISNUMBER($BB$390),$B$226=1),$BB$390,HLOOKUP(INDIRECT(ADDRESS(2,COLUMN())),OFFSET($BN$2,0,0,ROW()-1,60),ROW()-1,FALSE))</f>
        <v>1.256</v>
      </c>
      <c r="BC187">
        <f ca="1">IF(AND(ISNUMBER($BC$390),$B$226=1),$BC$390,HLOOKUP(INDIRECT(ADDRESS(2,COLUMN())),OFFSET($BN$2,0,0,ROW()-1,60),ROW()-1,FALSE))</f>
        <v>1.5760000000000001</v>
      </c>
      <c r="BD187">
        <f ca="1">IF(AND(ISNUMBER($BD$390),$B$226=1),$BD$390,HLOOKUP(INDIRECT(ADDRESS(2,COLUMN())),OFFSET($BN$2,0,0,ROW()-1,60),ROW()-1,FALSE))</f>
        <v>1.0760000000000001</v>
      </c>
      <c r="BE187">
        <f ca="1">IF(AND(ISNUMBER($BE$390),$B$226=1),$BE$390,HLOOKUP(INDIRECT(ADDRESS(2,COLUMN())),OFFSET($BN$2,0,0,ROW()-1,60),ROW()-1,FALSE))</f>
        <v>6.4320000000000004</v>
      </c>
      <c r="BF187">
        <f ca="1">IF(AND(ISNUMBER($BF$390),$B$226=1),$BF$390,HLOOKUP(INDIRECT(ADDRESS(2,COLUMN())),OFFSET($BN$2,0,0,ROW()-1,60),ROW()-1,FALSE))</f>
        <v>6.351</v>
      </c>
      <c r="BG187">
        <f ca="1">IF(AND(ISNUMBER($BG$390),$B$226=1),$BG$390,HLOOKUP(INDIRECT(ADDRESS(2,COLUMN())),OFFSET($BN$2,0,0,ROW()-1,60),ROW()-1,FALSE))</f>
        <v>2.2530000000000001</v>
      </c>
      <c r="BH187">
        <f ca="1">IF(AND(ISNUMBER($BH$390),$B$226=1),$BH$390,HLOOKUP(INDIRECT(ADDRESS(2,COLUMN())),OFFSET($BN$2,0,0,ROW()-1,60),ROW()-1,FALSE))</f>
        <v>2.4649999999999999</v>
      </c>
      <c r="BI187">
        <f ca="1">IF(AND(ISNUMBER($BI$390),$B$226=1),$BI$390,HLOOKUP(INDIRECT(ADDRESS(2,COLUMN())),OFFSET($BN$2,0,0,ROW()-1,60),ROW()-1,FALSE))</f>
        <v>1.9219999999999999</v>
      </c>
      <c r="BJ187">
        <f ca="1">IF(AND(ISNUMBER($BJ$390),$B$226=1),$BJ$390,HLOOKUP(INDIRECT(ADDRESS(2,COLUMN())),OFFSET($BN$2,0,0,ROW()-1,60),ROW()-1,FALSE))</f>
        <v>3.8359999999999999</v>
      </c>
      <c r="BK187">
        <f ca="1">IF(AND(ISNUMBER($BK$390),$B$226=1),$BK$390,HLOOKUP(INDIRECT(ADDRESS(2,COLUMN())),OFFSET($BN$2,0,0,ROW()-1,60),ROW()-1,FALSE))</f>
        <v>3.3570001129999998</v>
      </c>
      <c r="BL187">
        <f ca="1">IF(AND(ISNUMBER($BL$390),$B$226=1),$BL$390,HLOOKUP(INDIRECT(ADDRESS(2,COLUMN())),OFFSET($BN$2,0,0,ROW()-1,60),ROW()-1,FALSE))</f>
        <v>2.3410000000000002</v>
      </c>
      <c r="BM187">
        <f ca="1">IF(AND(ISNUMBER($BM$390),$B$226=1),$BM$390,HLOOKUP(INDIRECT(ADDRESS(2,COLUMN())),OFFSET($BN$2,0,0,ROW()-1,60),ROW()-1,FALSE))</f>
        <v>1.55</v>
      </c>
      <c r="BN187" t="str">
        <f>""</f>
        <v/>
      </c>
      <c r="BO187">
        <f>368.492</f>
        <v>368.49200000000002</v>
      </c>
      <c r="BP187">
        <f>350.274</f>
        <v>350.274</v>
      </c>
      <c r="BQ187">
        <f>16.318</f>
        <v>16.318000000000001</v>
      </c>
      <c r="BR187">
        <f>245.529</f>
        <v>245.529</v>
      </c>
      <c r="BS187">
        <f>237.364</f>
        <v>237.364</v>
      </c>
      <c r="BT187">
        <f>313.742</f>
        <v>313.74200000000002</v>
      </c>
      <c r="BU187">
        <f>341.726</f>
        <v>341.726</v>
      </c>
      <c r="BV187">
        <f>6.935</f>
        <v>6.9349999999999996</v>
      </c>
      <c r="BW187">
        <f>10.617</f>
        <v>10.617000000000001</v>
      </c>
      <c r="BX187">
        <f>10.375</f>
        <v>10.375</v>
      </c>
      <c r="BY187">
        <f>16.508</f>
        <v>16.507999999999999</v>
      </c>
      <c r="BZ187">
        <f>174.353</f>
        <v>174.35300000000001</v>
      </c>
      <c r="CA187">
        <f>153.918</f>
        <v>153.91800000000001</v>
      </c>
      <c r="CB187">
        <f>66.127</f>
        <v>66.126999999999995</v>
      </c>
      <c r="CC187">
        <f>16.069</f>
        <v>16.068999999999999</v>
      </c>
      <c r="CD187">
        <f>16.768</f>
        <v>16.768000000000001</v>
      </c>
      <c r="CE187">
        <f>17.794</f>
        <v>17.794</v>
      </c>
      <c r="CF187">
        <f>4.707</f>
        <v>4.7069999999999999</v>
      </c>
      <c r="CG187">
        <f>6.506</f>
        <v>6.5060000000000002</v>
      </c>
      <c r="CH187">
        <f>59.642</f>
        <v>59.642000000000003</v>
      </c>
      <c r="CI187">
        <f>26.669</f>
        <v>26.669</v>
      </c>
      <c r="CJ187">
        <f>5.59</f>
        <v>5.59</v>
      </c>
      <c r="CK187">
        <f>52.126</f>
        <v>52.125999999999998</v>
      </c>
      <c r="CL187">
        <f>49.702</f>
        <v>49.701999999999998</v>
      </c>
      <c r="CM187">
        <f>55.159</f>
        <v>55.158999999999999</v>
      </c>
      <c r="CN187">
        <f>56.099</f>
        <v>56.098999999999997</v>
      </c>
      <c r="CO187">
        <f>63.148</f>
        <v>63.148000000000003</v>
      </c>
      <c r="CP187">
        <f>98.771</f>
        <v>98.771000000000001</v>
      </c>
      <c r="CQ187">
        <f>170.575</f>
        <v>170.57499999999999</v>
      </c>
      <c r="CR187">
        <f>91.071</f>
        <v>91.070999999999998</v>
      </c>
      <c r="CS187">
        <f>128.155</f>
        <v>128.155</v>
      </c>
      <c r="CT187">
        <f>28.553</f>
        <v>28.553000000000001</v>
      </c>
      <c r="CU187">
        <f>64.156</f>
        <v>64.156000000000006</v>
      </c>
      <c r="CV187">
        <f>81.683</f>
        <v>81.683000000000007</v>
      </c>
      <c r="CW187">
        <f>157.665</f>
        <v>157.66499999999999</v>
      </c>
      <c r="CX187">
        <f>7.256</f>
        <v>7.2560000000000002</v>
      </c>
      <c r="CY187">
        <f>7.407</f>
        <v>7.407</v>
      </c>
      <c r="CZ187">
        <f>29.517</f>
        <v>29.516999999999999</v>
      </c>
      <c r="DA187">
        <f>1.242</f>
        <v>1.242</v>
      </c>
      <c r="DB187">
        <f>0.947</f>
        <v>0.94699999999999995</v>
      </c>
      <c r="DC187">
        <f>0.897</f>
        <v>0.89700000000000002</v>
      </c>
      <c r="DD187">
        <f>1.207</f>
        <v>1.2070000000000001</v>
      </c>
      <c r="DE187">
        <f>3.058</f>
        <v>3.0579999999999998</v>
      </c>
      <c r="DF187">
        <f>1.47</f>
        <v>1.47</v>
      </c>
      <c r="DG187">
        <f>1.034</f>
        <v>1.034</v>
      </c>
      <c r="DH187">
        <f>8.061</f>
        <v>8.0609999999999999</v>
      </c>
      <c r="DI187">
        <f>49.7</f>
        <v>49.7</v>
      </c>
      <c r="DJ187">
        <f>1.256</f>
        <v>1.256</v>
      </c>
      <c r="DK187">
        <f>1.576</f>
        <v>1.5760000000000001</v>
      </c>
      <c r="DL187">
        <f>1.076</f>
        <v>1.0760000000000001</v>
      </c>
      <c r="DM187">
        <f>6.432</f>
        <v>6.4320000000000004</v>
      </c>
      <c r="DN187">
        <f>6.351</f>
        <v>6.351</v>
      </c>
      <c r="DO187">
        <f>2.253</f>
        <v>2.2530000000000001</v>
      </c>
      <c r="DP187">
        <f>2.465</f>
        <v>2.4649999999999999</v>
      </c>
      <c r="DQ187">
        <f>1.922</f>
        <v>1.9219999999999999</v>
      </c>
      <c r="DR187">
        <f>3.836</f>
        <v>3.8359999999999999</v>
      </c>
      <c r="DS187">
        <f>3.357000113</f>
        <v>3.3570001129999998</v>
      </c>
      <c r="DT187">
        <f>2.341</f>
        <v>2.3410000000000002</v>
      </c>
      <c r="DU187">
        <f>1.55</f>
        <v>1.55</v>
      </c>
    </row>
    <row r="188" spans="1:125">
      <c r="A188" t="str">
        <f>"    Education Realty Trust Inc"</f>
        <v xml:space="preserve">    Education Realty Trust Inc</v>
      </c>
      <c r="B188" t="str">
        <f>"EDR US Equity"</f>
        <v>EDR US Equity</v>
      </c>
      <c r="C188" t="str">
        <f t="shared" si="60"/>
        <v>RR253</v>
      </c>
      <c r="D188" t="str">
        <f t="shared" si="61"/>
        <v>CASH_AND_MARKETABLE_SECURITIES</v>
      </c>
      <c r="E188" t="str">
        <f t="shared" si="62"/>
        <v>动态</v>
      </c>
      <c r="F188" t="str">
        <f ca="1">IF(AND(ISNUMBER($F$391),$B$226=1),$F$391,HLOOKUP(INDIRECT(ADDRESS(2,COLUMN())),OFFSET($BN$2,0,0,ROW()-1,60),ROW()-1,FALSE))</f>
        <v/>
      </c>
      <c r="G188">
        <f ca="1">IF(AND(ISNUMBER($G$391),$B$226=1),$G$391,HLOOKUP(INDIRECT(ADDRESS(2,COLUMN())),OFFSET($BN$2,0,0,ROW()-1,60),ROW()-1,FALSE))</f>
        <v>24.786999999999999</v>
      </c>
      <c r="H188">
        <f ca="1">IF(AND(ISNUMBER($H$391),$B$226=1),$H$391,HLOOKUP(INDIRECT(ADDRESS(2,COLUMN())),OFFSET($BN$2,0,0,ROW()-1,60),ROW()-1,FALSE))</f>
        <v>47.462000000000003</v>
      </c>
      <c r="I188">
        <f ca="1">IF(AND(ISNUMBER($I$391),$B$226=1),$I$391,HLOOKUP(INDIRECT(ADDRESS(2,COLUMN())),OFFSET($BN$2,0,0,ROW()-1,60),ROW()-1,FALSE))</f>
        <v>33.496000000000002</v>
      </c>
      <c r="J188">
        <f ca="1">IF(AND(ISNUMBER($J$391),$B$226=1),$J$391,HLOOKUP(INDIRECT(ADDRESS(2,COLUMN())),OFFSET($BN$2,0,0,ROW()-1,60),ROW()-1,FALSE))</f>
        <v>34.921999999999997</v>
      </c>
      <c r="K188">
        <f ca="1">IF(AND(ISNUMBER($K$391),$B$226=1),$K$391,HLOOKUP(INDIRECT(ADDRESS(2,COLUMN())),OFFSET($BN$2,0,0,ROW()-1,60),ROW()-1,FALSE))</f>
        <v>34.475000000000001</v>
      </c>
      <c r="L188">
        <f ca="1">IF(AND(ISNUMBER($L$391),$B$226=1),$L$391,HLOOKUP(INDIRECT(ADDRESS(2,COLUMN())),OFFSET($BN$2,0,0,ROW()-1,60),ROW()-1,FALSE))</f>
        <v>115.486</v>
      </c>
      <c r="M188">
        <f ca="1">IF(AND(ISNUMBER($M$391),$B$226=1),$M$391,HLOOKUP(INDIRECT(ADDRESS(2,COLUMN())),OFFSET($BN$2,0,0,ROW()-1,60),ROW()-1,FALSE))</f>
        <v>230.40199999999999</v>
      </c>
      <c r="N188">
        <f ca="1">IF(AND(ISNUMBER($N$391),$B$226=1),$N$391,HLOOKUP(INDIRECT(ADDRESS(2,COLUMN())),OFFSET($BN$2,0,0,ROW()-1,60),ROW()-1,FALSE))</f>
        <v>195.84800000000001</v>
      </c>
      <c r="O188">
        <f ca="1">IF(AND(ISNUMBER($O$391),$B$226=1),$O$391,HLOOKUP(INDIRECT(ADDRESS(2,COLUMN())),OFFSET($BN$2,0,0,ROW()-1,60),ROW()-1,FALSE))</f>
        <v>33.741999999999997</v>
      </c>
      <c r="P188">
        <f ca="1">IF(AND(ISNUMBER($P$391),$B$226=1),$P$391,HLOOKUP(INDIRECT(ADDRESS(2,COLUMN())),OFFSET($BN$2,0,0,ROW()-1,60),ROW()-1,FALSE))</f>
        <v>14.169</v>
      </c>
      <c r="Q188">
        <f ca="1">IF(AND(ISNUMBER($Q$391),$B$226=1),$Q$391,HLOOKUP(INDIRECT(ADDRESS(2,COLUMN())),OFFSET($BN$2,0,0,ROW()-1,60),ROW()-1,FALSE))</f>
        <v>17.082000000000001</v>
      </c>
      <c r="R188">
        <f ca="1">IF(AND(ISNUMBER($R$391),$B$226=1),$R$391,HLOOKUP(INDIRECT(ADDRESS(2,COLUMN())),OFFSET($BN$2,0,0,ROW()-1,60),ROW()-1,FALSE))</f>
        <v>23.64</v>
      </c>
      <c r="S188">
        <f ca="1">IF(AND(ISNUMBER($S$391),$B$226=1),$S$391,HLOOKUP(INDIRECT(ADDRESS(2,COLUMN())),OFFSET($BN$2,0,0,ROW()-1,60),ROW()-1,FALSE))</f>
        <v>18.385000000000002</v>
      </c>
      <c r="T188">
        <f ca="1">IF(AND(ISNUMBER($T$391),$B$226=1),$T$391,HLOOKUP(INDIRECT(ADDRESS(2,COLUMN())),OFFSET($BN$2,0,0,ROW()-1,60),ROW()-1,FALSE))</f>
        <v>18.422000000000001</v>
      </c>
      <c r="U188">
        <f ca="1">IF(AND(ISNUMBER($U$391),$B$226=1),$U$391,HLOOKUP(INDIRECT(ADDRESS(2,COLUMN())),OFFSET($BN$2,0,0,ROW()-1,60),ROW()-1,FALSE))</f>
        <v>11.162000000000001</v>
      </c>
      <c r="V188">
        <f ca="1">IF(AND(ISNUMBER($V$391),$B$226=1),$V$391,HLOOKUP(INDIRECT(ADDRESS(2,COLUMN())),OFFSET($BN$2,0,0,ROW()-1,60),ROW()-1,FALSE))</f>
        <v>8.9689999999999994</v>
      </c>
      <c r="W188">
        <f ca="1">IF(AND(ISNUMBER($W$391),$B$226=1),$W$391,HLOOKUP(INDIRECT(ADDRESS(2,COLUMN())),OFFSET($BN$2,0,0,ROW()-1,60),ROW()-1,FALSE))</f>
        <v>22.073</v>
      </c>
      <c r="X188">
        <f ca="1">IF(AND(ISNUMBER($X$391),$B$226=1),$X$391,HLOOKUP(INDIRECT(ADDRESS(2,COLUMN())),OFFSET($BN$2,0,0,ROW()-1,60),ROW()-1,FALSE))</f>
        <v>16.335000000000001</v>
      </c>
      <c r="Y188">
        <f ca="1">IF(AND(ISNUMBER($Y$391),$B$226=1),$Y$391,HLOOKUP(INDIRECT(ADDRESS(2,COLUMN())),OFFSET($BN$2,0,0,ROW()-1,60),ROW()-1,FALSE))</f>
        <v>10.964</v>
      </c>
      <c r="Z188">
        <f ca="1">IF(AND(ISNUMBER($Z$391),$B$226=1),$Z$391,HLOOKUP(INDIRECT(ADDRESS(2,COLUMN())),OFFSET($BN$2,0,0,ROW()-1,60),ROW()-1,FALSE))</f>
        <v>14.507999999999999</v>
      </c>
      <c r="AA188">
        <f ca="1">IF(AND(ISNUMBER($AA$391),$B$226=1),$AA$391,HLOOKUP(INDIRECT(ADDRESS(2,COLUMN())),OFFSET($BN$2,0,0,ROW()-1,60),ROW()-1,FALSE))</f>
        <v>17.039000000000001</v>
      </c>
      <c r="AB188">
        <f ca="1">IF(AND(ISNUMBER($AB$391),$B$226=1),$AB$391,HLOOKUP(INDIRECT(ADDRESS(2,COLUMN())),OFFSET($BN$2,0,0,ROW()-1,60),ROW()-1,FALSE))</f>
        <v>127.623</v>
      </c>
      <c r="AC188">
        <f ca="1">IF(AND(ISNUMBER($AC$391),$B$226=1),$AC$391,HLOOKUP(INDIRECT(ADDRESS(2,COLUMN())),OFFSET($BN$2,0,0,ROW()-1,60),ROW()-1,FALSE))</f>
        <v>8.4139999999999997</v>
      </c>
      <c r="AD188">
        <f ca="1">IF(AND(ISNUMBER($AD$391),$B$226=1),$AD$391,HLOOKUP(INDIRECT(ADDRESS(2,COLUMN())),OFFSET($BN$2,0,0,ROW()-1,60),ROW()-1,FALSE))</f>
        <v>21.305</v>
      </c>
      <c r="AE188">
        <f ca="1">IF(AND(ISNUMBER($AE$391),$B$226=1),$AE$391,HLOOKUP(INDIRECT(ADDRESS(2,COLUMN())),OFFSET($BN$2,0,0,ROW()-1,60),ROW()-1,FALSE))</f>
        <v>75.813000000000002</v>
      </c>
      <c r="AF188">
        <f ca="1">IF(AND(ISNUMBER($AF$391),$B$226=1),$AF$391,HLOOKUP(INDIRECT(ADDRESS(2,COLUMN())),OFFSET($BN$2,0,0,ROW()-1,60),ROW()-1,FALSE))</f>
        <v>47.341999999999999</v>
      </c>
      <c r="AG188">
        <f ca="1">IF(AND(ISNUMBER($AG$391),$B$226=1),$AG$391,HLOOKUP(INDIRECT(ADDRESS(2,COLUMN())),OFFSET($BN$2,0,0,ROW()-1,60),ROW()-1,FALSE))</f>
        <v>71.289000000000001</v>
      </c>
      <c r="AH188">
        <f ca="1">IF(AND(ISNUMBER($AH$391),$B$226=1),$AH$391,HLOOKUP(INDIRECT(ADDRESS(2,COLUMN())),OFFSET($BN$2,0,0,ROW()-1,60),ROW()-1,FALSE))</f>
        <v>75.608999999999995</v>
      </c>
      <c r="AI188">
        <f ca="1">IF(AND(ISNUMBER($AI$391),$B$226=1),$AI$391,HLOOKUP(INDIRECT(ADDRESS(2,COLUMN())),OFFSET($BN$2,0,0,ROW()-1,60),ROW()-1,FALSE))</f>
        <v>6.9580000000000002</v>
      </c>
      <c r="AJ188">
        <f ca="1">IF(AND(ISNUMBER($AJ$391),$B$226=1),$AJ$391,HLOOKUP(INDIRECT(ADDRESS(2,COLUMN())),OFFSET($BN$2,0,0,ROW()-1,60),ROW()-1,FALSE))</f>
        <v>27.96</v>
      </c>
      <c r="AK188">
        <f ca="1">IF(AND(ISNUMBER($AK$391),$B$226=1),$AK$391,HLOOKUP(INDIRECT(ADDRESS(2,COLUMN())),OFFSET($BN$2,0,0,ROW()-1,60),ROW()-1,FALSE))</f>
        <v>23.347999999999999</v>
      </c>
      <c r="AL188">
        <f ca="1">IF(AND(ISNUMBER($AL$391),$B$226=1),$AL$391,HLOOKUP(INDIRECT(ADDRESS(2,COLUMN())),OFFSET($BN$2,0,0,ROW()-1,60),ROW()-1,FALSE))</f>
        <v>28.384</v>
      </c>
      <c r="AM188">
        <f ca="1">IF(AND(ISNUMBER($AM$391),$B$226=1),$AM$391,HLOOKUP(INDIRECT(ADDRESS(2,COLUMN())),OFFSET($BN$2,0,0,ROW()-1,60),ROW()-1,FALSE))</f>
        <v>31.169</v>
      </c>
      <c r="AN188">
        <f ca="1">IF(AND(ISNUMBER($AN$391),$B$226=1),$AN$391,HLOOKUP(INDIRECT(ADDRESS(2,COLUMN())),OFFSET($BN$2,0,0,ROW()-1,60),ROW()-1,FALSE))</f>
        <v>83.94</v>
      </c>
      <c r="AO188">
        <f ca="1">IF(AND(ISNUMBER($AO$391),$B$226=1),$AO$391,HLOOKUP(INDIRECT(ADDRESS(2,COLUMN())),OFFSET($BN$2,0,0,ROW()-1,60),ROW()-1,FALSE))</f>
        <v>4.07</v>
      </c>
      <c r="AP188">
        <f ca="1">IF(AND(ISNUMBER($AP$391),$B$226=1),$AP$391,HLOOKUP(INDIRECT(ADDRESS(2,COLUMN())),OFFSET($BN$2,0,0,ROW()-1,60),ROW()-1,FALSE))</f>
        <v>8.8889999999999993</v>
      </c>
      <c r="AQ188">
        <f ca="1">IF(AND(ISNUMBER($AQ$391),$B$226=1),$AQ$391,HLOOKUP(INDIRECT(ADDRESS(2,COLUMN())),OFFSET($BN$2,0,0,ROW()-1,60),ROW()-1,FALSE))</f>
        <v>9.0030000000000001</v>
      </c>
      <c r="AR188">
        <f ca="1">IF(AND(ISNUMBER($AR$391),$B$226=1),$AR$391,HLOOKUP(INDIRECT(ADDRESS(2,COLUMN())),OFFSET($BN$2,0,0,ROW()-1,60),ROW()-1,FALSE))</f>
        <v>2.7559999999999998</v>
      </c>
      <c r="AS188">
        <f ca="1">IF(AND(ISNUMBER($AS$391),$B$226=1),$AS$391,HLOOKUP(INDIRECT(ADDRESS(2,COLUMN())),OFFSET($BN$2,0,0,ROW()-1,60),ROW()-1,FALSE))</f>
        <v>27.321999999999999</v>
      </c>
      <c r="AT188">
        <f ca="1">IF(AND(ISNUMBER($AT$391),$B$226=1),$AT$391,HLOOKUP(INDIRECT(ADDRESS(2,COLUMN())),OFFSET($BN$2,0,0,ROW()-1,60),ROW()-1,FALSE))</f>
        <v>3.056</v>
      </c>
      <c r="AU188">
        <f ca="1">IF(AND(ISNUMBER($AU$391),$B$226=1),$AU$391,HLOOKUP(INDIRECT(ADDRESS(2,COLUMN())),OFFSET($BN$2,0,0,ROW()-1,60),ROW()-1,FALSE))</f>
        <v>4.0339999999999998</v>
      </c>
      <c r="AV188">
        <f ca="1">IF(AND(ISNUMBER($AV$391),$B$226=1),$AV$391,HLOOKUP(INDIRECT(ADDRESS(2,COLUMN())),OFFSET($BN$2,0,0,ROW()-1,60),ROW()-1,FALSE))</f>
        <v>3.1709999999999998</v>
      </c>
      <c r="AW188">
        <f ca="1">IF(AND(ISNUMBER($AW$391),$B$226=1),$AW$391,HLOOKUP(INDIRECT(ADDRESS(2,COLUMN())),OFFSET($BN$2,0,0,ROW()-1,60),ROW()-1,FALSE))</f>
        <v>4.0810000000000004</v>
      </c>
      <c r="AX188">
        <f ca="1">IF(AND(ISNUMBER($AX$391),$B$226=1),$AX$391,HLOOKUP(INDIRECT(ADDRESS(2,COLUMN())),OFFSET($BN$2,0,0,ROW()-1,60),ROW()-1,FALSE))</f>
        <v>7.58</v>
      </c>
      <c r="AY188">
        <f ca="1">IF(AND(ISNUMBER($AY$391),$B$226=1),$AY$391,HLOOKUP(INDIRECT(ADDRESS(2,COLUMN())),OFFSET($BN$2,0,0,ROW()-1,60),ROW()-1,FALSE))</f>
        <v>6.4269999999999996</v>
      </c>
      <c r="AZ188">
        <f ca="1">IF(AND(ISNUMBER($AZ$391),$B$226=1),$AZ$391,HLOOKUP(INDIRECT(ADDRESS(2,COLUMN())),OFFSET($BN$2,0,0,ROW()-1,60),ROW()-1,FALSE))</f>
        <v>3.9</v>
      </c>
      <c r="BA188">
        <f ca="1">IF(AND(ISNUMBER($BA$391),$B$226=1),$BA$391,HLOOKUP(INDIRECT(ADDRESS(2,COLUMN())),OFFSET($BN$2,0,0,ROW()-1,60),ROW()-1,FALSE))</f>
        <v>5.2469999999999999</v>
      </c>
      <c r="BB188">
        <f ca="1">IF(AND(ISNUMBER($BB$391),$B$226=1),$BB$391,HLOOKUP(INDIRECT(ADDRESS(2,COLUMN())),OFFSET($BN$2,0,0,ROW()-1,60),ROW()-1,FALSE))</f>
        <v>4.3109999999999999</v>
      </c>
      <c r="BC188">
        <f ca="1">IF(AND(ISNUMBER($BC$391),$B$226=1),$BC$391,HLOOKUP(INDIRECT(ADDRESS(2,COLUMN())),OFFSET($BN$2,0,0,ROW()-1,60),ROW()-1,FALSE))</f>
        <v>61.661999999999999</v>
      </c>
      <c r="BD188">
        <f ca="1">IF(AND(ISNUMBER($BD$391),$B$226=1),$BD$391,HLOOKUP(INDIRECT(ADDRESS(2,COLUMN())),OFFSET($BN$2,0,0,ROW()-1,60),ROW()-1,FALSE))</f>
        <v>72.683000000000007</v>
      </c>
      <c r="BE188">
        <f ca="1">IF(AND(ISNUMBER($BE$391),$B$226=1),$BE$391,HLOOKUP(INDIRECT(ADDRESS(2,COLUMN())),OFFSET($BN$2,0,0,ROW()-1,60),ROW()-1,FALSE))</f>
        <v>22.039000000000001</v>
      </c>
      <c r="BF188">
        <f ca="1">IF(AND(ISNUMBER($BF$391),$B$226=1),$BF$391,HLOOKUP(INDIRECT(ADDRESS(2,COLUMN())),OFFSET($BN$2,0,0,ROW()-1,60),ROW()-1,FALSE))</f>
        <v>47.567999999999998</v>
      </c>
      <c r="BG188" t="str">
        <f ca="1">IF(AND(ISNUMBER($BG$391),$B$226=1),$BG$391,HLOOKUP(INDIRECT(ADDRESS(2,COLUMN())),OFFSET($BN$2,0,0,ROW()-1,60),ROW()-1,FALSE))</f>
        <v/>
      </c>
      <c r="BH188" t="str">
        <f ca="1">IF(AND(ISNUMBER($BH$391),$B$226=1),$BH$391,HLOOKUP(INDIRECT(ADDRESS(2,COLUMN())),OFFSET($BN$2,0,0,ROW()-1,60),ROW()-1,FALSE))</f>
        <v/>
      </c>
      <c r="BI188" t="str">
        <f ca="1">IF(AND(ISNUMBER($BI$391),$B$226=1),$BI$391,HLOOKUP(INDIRECT(ADDRESS(2,COLUMN())),OFFSET($BN$2,0,0,ROW()-1,60),ROW()-1,FALSE))</f>
        <v/>
      </c>
      <c r="BJ188" t="str">
        <f ca="1">IF(AND(ISNUMBER($BJ$391),$B$226=1),$BJ$391,HLOOKUP(INDIRECT(ADDRESS(2,COLUMN())),OFFSET($BN$2,0,0,ROW()-1,60),ROW()-1,FALSE))</f>
        <v/>
      </c>
      <c r="BK188" t="str">
        <f ca="1">IF(AND(ISNUMBER($BK$391),$B$226=1),$BK$391,HLOOKUP(INDIRECT(ADDRESS(2,COLUMN())),OFFSET($BN$2,0,0,ROW()-1,60),ROW()-1,FALSE))</f>
        <v/>
      </c>
      <c r="BL188" t="str">
        <f ca="1">IF(AND(ISNUMBER($BL$391),$B$226=1),$BL$391,HLOOKUP(INDIRECT(ADDRESS(2,COLUMN())),OFFSET($BN$2,0,0,ROW()-1,60),ROW()-1,FALSE))</f>
        <v/>
      </c>
      <c r="BM188" t="str">
        <f ca="1">IF(AND(ISNUMBER($BM$391),$B$226=1),$BM$391,HLOOKUP(INDIRECT(ADDRESS(2,COLUMN())),OFFSET($BN$2,0,0,ROW()-1,60),ROW()-1,FALSE))</f>
        <v/>
      </c>
      <c r="BN188" t="str">
        <f>""</f>
        <v/>
      </c>
      <c r="BO188">
        <f>24.787</f>
        <v>24.786999999999999</v>
      </c>
      <c r="BP188">
        <f>47.462</f>
        <v>47.462000000000003</v>
      </c>
      <c r="BQ188">
        <f>33.496</f>
        <v>33.496000000000002</v>
      </c>
      <c r="BR188">
        <f>34.922</f>
        <v>34.921999999999997</v>
      </c>
      <c r="BS188">
        <f>34.475</f>
        <v>34.475000000000001</v>
      </c>
      <c r="BT188">
        <f>115.486</f>
        <v>115.486</v>
      </c>
      <c r="BU188">
        <f>230.402</f>
        <v>230.40199999999999</v>
      </c>
      <c r="BV188">
        <f>195.848</f>
        <v>195.84800000000001</v>
      </c>
      <c r="BW188">
        <f>33.742</f>
        <v>33.741999999999997</v>
      </c>
      <c r="BX188">
        <f>14.169</f>
        <v>14.169</v>
      </c>
      <c r="BY188">
        <f>17.082</f>
        <v>17.082000000000001</v>
      </c>
      <c r="BZ188">
        <f>23.64</f>
        <v>23.64</v>
      </c>
      <c r="CA188">
        <f>18.385</f>
        <v>18.385000000000002</v>
      </c>
      <c r="CB188">
        <f>18.422</f>
        <v>18.422000000000001</v>
      </c>
      <c r="CC188">
        <f>11.162</f>
        <v>11.162000000000001</v>
      </c>
      <c r="CD188">
        <f>8.969</f>
        <v>8.9689999999999994</v>
      </c>
      <c r="CE188">
        <f>22.073</f>
        <v>22.073</v>
      </c>
      <c r="CF188">
        <f>16.335</f>
        <v>16.335000000000001</v>
      </c>
      <c r="CG188">
        <f>10.964</f>
        <v>10.964</v>
      </c>
      <c r="CH188">
        <f>14.508</f>
        <v>14.507999999999999</v>
      </c>
      <c r="CI188">
        <f>17.039</f>
        <v>17.039000000000001</v>
      </c>
      <c r="CJ188">
        <f>127.623</f>
        <v>127.623</v>
      </c>
      <c r="CK188">
        <f>8.414</f>
        <v>8.4139999999999997</v>
      </c>
      <c r="CL188">
        <f>21.305</f>
        <v>21.305</v>
      </c>
      <c r="CM188">
        <f>75.813</f>
        <v>75.813000000000002</v>
      </c>
      <c r="CN188">
        <f>47.342</f>
        <v>47.341999999999999</v>
      </c>
      <c r="CO188">
        <f>71.289</f>
        <v>71.289000000000001</v>
      </c>
      <c r="CP188">
        <f>75.609</f>
        <v>75.608999999999995</v>
      </c>
      <c r="CQ188">
        <f>6.958</f>
        <v>6.9580000000000002</v>
      </c>
      <c r="CR188">
        <f>27.96</f>
        <v>27.96</v>
      </c>
      <c r="CS188">
        <f>23.348</f>
        <v>23.347999999999999</v>
      </c>
      <c r="CT188">
        <f>28.384</f>
        <v>28.384</v>
      </c>
      <c r="CU188">
        <f>31.169</f>
        <v>31.169</v>
      </c>
      <c r="CV188">
        <f>83.94</f>
        <v>83.94</v>
      </c>
      <c r="CW188">
        <f>4.07</f>
        <v>4.07</v>
      </c>
      <c r="CX188">
        <f>8.889</f>
        <v>8.8889999999999993</v>
      </c>
      <c r="CY188">
        <f>9.003</f>
        <v>9.0030000000000001</v>
      </c>
      <c r="CZ188">
        <f>2.756</f>
        <v>2.7559999999999998</v>
      </c>
      <c r="DA188">
        <f>27.322</f>
        <v>27.321999999999999</v>
      </c>
      <c r="DB188">
        <f>3.056</f>
        <v>3.056</v>
      </c>
      <c r="DC188">
        <f>4.034</f>
        <v>4.0339999999999998</v>
      </c>
      <c r="DD188">
        <f>3.171</f>
        <v>3.1709999999999998</v>
      </c>
      <c r="DE188">
        <f>4.081</f>
        <v>4.0810000000000004</v>
      </c>
      <c r="DF188">
        <f>7.58</f>
        <v>7.58</v>
      </c>
      <c r="DG188">
        <f>6.427</f>
        <v>6.4269999999999996</v>
      </c>
      <c r="DH188">
        <f>3.9</f>
        <v>3.9</v>
      </c>
      <c r="DI188">
        <f>5.247</f>
        <v>5.2469999999999999</v>
      </c>
      <c r="DJ188">
        <f>4.311</f>
        <v>4.3109999999999999</v>
      </c>
      <c r="DK188">
        <f>61.662</f>
        <v>61.661999999999999</v>
      </c>
      <c r="DL188">
        <f>72.683</f>
        <v>72.683000000000007</v>
      </c>
      <c r="DM188">
        <f>22.039</f>
        <v>22.039000000000001</v>
      </c>
      <c r="DN188">
        <f>47.568</f>
        <v>47.567999999999998</v>
      </c>
      <c r="DO188" t="str">
        <f>""</f>
        <v/>
      </c>
      <c r="DP188" t="str">
        <f>""</f>
        <v/>
      </c>
      <c r="DQ188" t="str">
        <f>""</f>
        <v/>
      </c>
      <c r="DR188" t="str">
        <f>""</f>
        <v/>
      </c>
      <c r="DS188" t="str">
        <f>""</f>
        <v/>
      </c>
      <c r="DT188" t="str">
        <f>""</f>
        <v/>
      </c>
      <c r="DU188" t="str">
        <f>""</f>
        <v/>
      </c>
    </row>
    <row r="189" spans="1:125">
      <c r="A189" t="str">
        <f>"    Equity Residential"</f>
        <v xml:space="preserve">    Equity Residential</v>
      </c>
      <c r="B189" t="str">
        <f>"EQR US Equity"</f>
        <v>EQR US Equity</v>
      </c>
      <c r="C189" t="str">
        <f t="shared" si="60"/>
        <v>RR253</v>
      </c>
      <c r="D189" t="str">
        <f t="shared" si="61"/>
        <v>CASH_AND_MARKETABLE_SECURITIES</v>
      </c>
      <c r="E189" t="str">
        <f t="shared" si="62"/>
        <v>动态</v>
      </c>
      <c r="F189" t="str">
        <f ca="1">IF(AND(ISNUMBER($F$392),$B$226=1),$F$392,HLOOKUP(INDIRECT(ADDRESS(2,COLUMN())),OFFSET($BN$2,0,0,ROW()-1,60),ROW()-1,FALSE))</f>
        <v/>
      </c>
      <c r="G189">
        <f ca="1">IF(AND(ISNUMBER($G$392),$B$226=1),$G$392,HLOOKUP(INDIRECT(ADDRESS(2,COLUMN())),OFFSET($BN$2,0,0,ROW()-1,60),ROW()-1,FALSE))</f>
        <v>50.646999999999998</v>
      </c>
      <c r="H189">
        <f ca="1">IF(AND(ISNUMBER($H$392),$B$226=1),$H$392,HLOOKUP(INDIRECT(ADDRESS(2,COLUMN())),OFFSET($BN$2,0,0,ROW()-1,60),ROW()-1,FALSE))</f>
        <v>46.564999999999998</v>
      </c>
      <c r="I189">
        <f ca="1">IF(AND(ISNUMBER($I$392),$B$226=1),$I$392,HLOOKUP(INDIRECT(ADDRESS(2,COLUMN())),OFFSET($BN$2,0,0,ROW()-1,60),ROW()-1,FALSE))</f>
        <v>37.719000000000001</v>
      </c>
      <c r="J189">
        <f ca="1">IF(AND(ISNUMBER($J$392),$B$226=1),$J$392,HLOOKUP(INDIRECT(ADDRESS(2,COLUMN())),OFFSET($BN$2,0,0,ROW()-1,60),ROW()-1,FALSE))</f>
        <v>42.139000000000003</v>
      </c>
      <c r="K189">
        <f ca="1">IF(AND(ISNUMBER($K$392),$B$226=1),$K$392,HLOOKUP(INDIRECT(ADDRESS(2,COLUMN())),OFFSET($BN$2,0,0,ROW()-1,60),ROW()-1,FALSE))</f>
        <v>77.206999999999994</v>
      </c>
      <c r="L189">
        <f ca="1">IF(AND(ISNUMBER($L$392),$B$226=1),$L$392,HLOOKUP(INDIRECT(ADDRESS(2,COLUMN())),OFFSET($BN$2,0,0,ROW()-1,60),ROW()-1,FALSE))</f>
        <v>517.58600000000001</v>
      </c>
      <c r="M189">
        <f ca="1">IF(AND(ISNUMBER($M$392),$B$226=1),$M$392,HLOOKUP(INDIRECT(ADDRESS(2,COLUMN())),OFFSET($BN$2,0,0,ROW()-1,60),ROW()-1,FALSE))</f>
        <v>497.84300000000002</v>
      </c>
      <c r="N189">
        <f ca="1">IF(AND(ISNUMBER($N$392),$B$226=1),$N$392,HLOOKUP(INDIRECT(ADDRESS(2,COLUMN())),OFFSET($BN$2,0,0,ROW()-1,60),ROW()-1,FALSE))</f>
        <v>368.04899999999998</v>
      </c>
      <c r="O189">
        <f ca="1">IF(AND(ISNUMBER($O$392),$B$226=1),$O$392,HLOOKUP(INDIRECT(ADDRESS(2,COLUMN())),OFFSET($BN$2,0,0,ROW()-1,60),ROW()-1,FALSE))</f>
        <v>42.276000000000003</v>
      </c>
      <c r="P189">
        <f ca="1">IF(AND(ISNUMBER($P$392),$B$226=1),$P$392,HLOOKUP(INDIRECT(ADDRESS(2,COLUMN())),OFFSET($BN$2,0,0,ROW()-1,60),ROW()-1,FALSE))</f>
        <v>37.366</v>
      </c>
      <c r="Q189">
        <f ca="1">IF(AND(ISNUMBER($Q$392),$B$226=1),$Q$392,HLOOKUP(INDIRECT(ADDRESS(2,COLUMN())),OFFSET($BN$2,0,0,ROW()-1,60),ROW()-1,FALSE))</f>
        <v>92.108999999999995</v>
      </c>
      <c r="R189">
        <f ca="1">IF(AND(ISNUMBER($R$392),$B$226=1),$R$392,HLOOKUP(INDIRECT(ADDRESS(2,COLUMN())),OFFSET($BN$2,0,0,ROW()-1,60),ROW()-1,FALSE))</f>
        <v>49.417999999999999</v>
      </c>
      <c r="S189">
        <f ca="1">IF(AND(ISNUMBER($S$392),$B$226=1),$S$392,HLOOKUP(INDIRECT(ADDRESS(2,COLUMN())),OFFSET($BN$2,0,0,ROW()-1,60),ROW()-1,FALSE))</f>
        <v>40.08</v>
      </c>
      <c r="T189">
        <f ca="1">IF(AND(ISNUMBER($T$392),$B$226=1),$T$392,HLOOKUP(INDIRECT(ADDRESS(2,COLUMN())),OFFSET($BN$2,0,0,ROW()-1,60),ROW()-1,FALSE))</f>
        <v>31.478000000000002</v>
      </c>
      <c r="U189">
        <f ca="1">IF(AND(ISNUMBER($U$392),$B$226=1),$U$392,HLOOKUP(INDIRECT(ADDRESS(2,COLUMN())),OFFSET($BN$2,0,0,ROW()-1,60),ROW()-1,FALSE))</f>
        <v>76.132000000000005</v>
      </c>
      <c r="V189">
        <f ca="1">IF(AND(ISNUMBER($V$392),$B$226=1),$V$392,HLOOKUP(INDIRECT(ADDRESS(2,COLUMN())),OFFSET($BN$2,0,0,ROW()-1,60),ROW()-1,FALSE))</f>
        <v>37.209000000000003</v>
      </c>
      <c r="W189">
        <f ca="1">IF(AND(ISNUMBER($W$392),$B$226=1),$W$392,HLOOKUP(INDIRECT(ADDRESS(2,COLUMN())),OFFSET($BN$2,0,0,ROW()-1,60),ROW()-1,FALSE))</f>
        <v>53.533999999999999</v>
      </c>
      <c r="X189">
        <f ca="1">IF(AND(ISNUMBER($X$392),$B$226=1),$X$392,HLOOKUP(INDIRECT(ADDRESS(2,COLUMN())),OFFSET($BN$2,0,0,ROW()-1,60),ROW()-1,FALSE))</f>
        <v>972.76099999999997</v>
      </c>
      <c r="Y189">
        <f ca="1">IF(AND(ISNUMBER($Y$392),$B$226=1),$Y$392,HLOOKUP(INDIRECT(ADDRESS(2,COLUMN())),OFFSET($BN$2,0,0,ROW()-1,60),ROW()-1,FALSE))</f>
        <v>152.56399999999999</v>
      </c>
      <c r="Z189">
        <f ca="1">IF(AND(ISNUMBER($Z$392),$B$226=1),$Z$392,HLOOKUP(INDIRECT(ADDRESS(2,COLUMN())),OFFSET($BN$2,0,0,ROW()-1,60),ROW()-1,FALSE))</f>
        <v>56.087000000000003</v>
      </c>
      <c r="AA189">
        <f ca="1">IF(AND(ISNUMBER($AA$392),$B$226=1),$AA$392,HLOOKUP(INDIRECT(ADDRESS(2,COLUMN())),OFFSET($BN$2,0,0,ROW()-1,60),ROW()-1,FALSE))</f>
        <v>612.59</v>
      </c>
      <c r="AB189">
        <f ca="1">IF(AND(ISNUMBER($AB$392),$B$226=1),$AB$392,HLOOKUP(INDIRECT(ADDRESS(2,COLUMN())),OFFSET($BN$2,0,0,ROW()-1,60),ROW()-1,FALSE))</f>
        <v>45.622999999999998</v>
      </c>
      <c r="AC189">
        <f ca="1">IF(AND(ISNUMBER($AC$392),$B$226=1),$AC$392,HLOOKUP(INDIRECT(ADDRESS(2,COLUMN())),OFFSET($BN$2,0,0,ROW()-1,60),ROW()-1,FALSE))</f>
        <v>44.585000000000001</v>
      </c>
      <c r="AD189">
        <f ca="1">IF(AND(ISNUMBER($AD$392),$B$226=1),$AD$392,HLOOKUP(INDIRECT(ADDRESS(2,COLUMN())),OFFSET($BN$2,0,0,ROW()-1,60),ROW()-1,FALSE))</f>
        <v>219.62799999999999</v>
      </c>
      <c r="AE189">
        <f ca="1">IF(AND(ISNUMBER($AE$392),$B$226=1),$AE$392,HLOOKUP(INDIRECT(ADDRESS(2,COLUMN())),OFFSET($BN$2,0,0,ROW()-1,60),ROW()-1,FALSE))</f>
        <v>383.92099999999999</v>
      </c>
      <c r="AF189">
        <f ca="1">IF(AND(ISNUMBER($AF$392),$B$226=1),$AF$392,HLOOKUP(INDIRECT(ADDRESS(2,COLUMN())),OFFSET($BN$2,0,0,ROW()-1,60),ROW()-1,FALSE))</f>
        <v>45.985999999999997</v>
      </c>
      <c r="AG189">
        <f ca="1">IF(AND(ISNUMBER($AG$392),$B$226=1),$AG$392,HLOOKUP(INDIRECT(ADDRESS(2,COLUMN())),OFFSET($BN$2,0,0,ROW()-1,60),ROW()-1,FALSE))</f>
        <v>604.76400000000001</v>
      </c>
      <c r="AH189">
        <f ca="1">IF(AND(ISNUMBER($AH$392),$B$226=1),$AH$392,HLOOKUP(INDIRECT(ADDRESS(2,COLUMN())),OFFSET($BN$2,0,0,ROW()-1,60),ROW()-1,FALSE))</f>
        <v>306.072</v>
      </c>
      <c r="AI189">
        <f ca="1">IF(AND(ISNUMBER($AI$392),$B$226=1),$AI$392,HLOOKUP(INDIRECT(ADDRESS(2,COLUMN())),OFFSET($BN$2,0,0,ROW()-1,60),ROW()-1,FALSE))</f>
        <v>431.40800000000002</v>
      </c>
      <c r="AJ189">
        <f ca="1">IF(AND(ISNUMBER($AJ$392),$B$226=1),$AJ$392,HLOOKUP(INDIRECT(ADDRESS(2,COLUMN())),OFFSET($BN$2,0,0,ROW()-1,60),ROW()-1,FALSE))</f>
        <v>43.66</v>
      </c>
      <c r="AK189">
        <f ca="1">IF(AND(ISNUMBER($AK$392),$B$226=1),$AK$392,HLOOKUP(INDIRECT(ADDRESS(2,COLUMN())),OFFSET($BN$2,0,0,ROW()-1,60),ROW()-1,FALSE))</f>
        <v>47.981999999999999</v>
      </c>
      <c r="AL189">
        <f ca="1">IF(AND(ISNUMBER($AL$392),$B$226=1),$AL$392,HLOOKUP(INDIRECT(ADDRESS(2,COLUMN())),OFFSET($BN$2,0,0,ROW()-1,60),ROW()-1,FALSE))</f>
        <v>60.186</v>
      </c>
      <c r="AM189">
        <f ca="1">IF(AND(ISNUMBER($AM$392),$B$226=1),$AM$392,HLOOKUP(INDIRECT(ADDRESS(2,COLUMN())),OFFSET($BN$2,0,0,ROW()-1,60),ROW()-1,FALSE))</f>
        <v>193.28800000000001</v>
      </c>
      <c r="AN189">
        <f ca="1">IF(AND(ISNUMBER($AN$392),$B$226=1),$AN$392,HLOOKUP(INDIRECT(ADDRESS(2,COLUMN())),OFFSET($BN$2,0,0,ROW()-1,60),ROW()-1,FALSE))</f>
        <v>637.58799999999997</v>
      </c>
      <c r="AO189">
        <f ca="1">IF(AND(ISNUMBER($AO$392),$B$226=1),$AO$392,HLOOKUP(INDIRECT(ADDRESS(2,COLUMN())),OFFSET($BN$2,0,0,ROW()-1,60),ROW()-1,FALSE))</f>
        <v>667.495</v>
      </c>
      <c r="AP189">
        <f ca="1">IF(AND(ISNUMBER($AP$392),$B$226=1),$AP$392,HLOOKUP(INDIRECT(ADDRESS(2,COLUMN())),OFFSET($BN$2,0,0,ROW()-1,60),ROW()-1,FALSE))</f>
        <v>428.596</v>
      </c>
      <c r="AQ189">
        <f ca="1">IF(AND(ISNUMBER($AQ$392),$B$226=1),$AQ$392,HLOOKUP(INDIRECT(ADDRESS(2,COLUMN())),OFFSET($BN$2,0,0,ROW()-1,60),ROW()-1,FALSE))</f>
        <v>890.79399999999998</v>
      </c>
      <c r="AR189">
        <f ca="1">IF(AND(ISNUMBER($AR$392),$B$226=1),$AR$392,HLOOKUP(INDIRECT(ADDRESS(2,COLUMN())),OFFSET($BN$2,0,0,ROW()-1,60),ROW()-1,FALSE))</f>
        <v>530.04999999999995</v>
      </c>
      <c r="AS189">
        <f ca="1">IF(AND(ISNUMBER($AS$392),$B$226=1),$AS$392,HLOOKUP(INDIRECT(ADDRESS(2,COLUMN())),OFFSET($BN$2,0,0,ROW()-1,60),ROW()-1,FALSE))</f>
        <v>273.60000000000002</v>
      </c>
      <c r="AT189">
        <f ca="1">IF(AND(ISNUMBER($AT$392),$B$226=1),$AT$392,HLOOKUP(INDIRECT(ADDRESS(2,COLUMN())),OFFSET($BN$2,0,0,ROW()-1,60),ROW()-1,FALSE))</f>
        <v>502.649</v>
      </c>
      <c r="AU189">
        <f ca="1">IF(AND(ISNUMBER($AU$392),$B$226=1),$AU$392,HLOOKUP(INDIRECT(ADDRESS(2,COLUMN())),OFFSET($BN$2,0,0,ROW()-1,60),ROW()-1,FALSE))</f>
        <v>50.831000000000003</v>
      </c>
      <c r="AV189">
        <f ca="1">IF(AND(ISNUMBER($AV$392),$B$226=1),$AV$392,HLOOKUP(INDIRECT(ADDRESS(2,COLUMN())),OFFSET($BN$2,0,0,ROW()-1,60),ROW()-1,FALSE))</f>
        <v>62.734000000000002</v>
      </c>
      <c r="AW189">
        <f ca="1">IF(AND(ISNUMBER($AW$392),$B$226=1),$AW$392,HLOOKUP(INDIRECT(ADDRESS(2,COLUMN())),OFFSET($BN$2,0,0,ROW()-1,60),ROW()-1,FALSE))</f>
        <v>66.266000000000005</v>
      </c>
      <c r="AX189">
        <f ca="1">IF(AND(ISNUMBER($AX$392),$B$226=1),$AX$392,HLOOKUP(INDIRECT(ADDRESS(2,COLUMN())),OFFSET($BN$2,0,0,ROW()-1,60),ROW()-1,FALSE))</f>
        <v>171.74199999999999</v>
      </c>
      <c r="AY189">
        <f ca="1">IF(AND(ISNUMBER($AY$392),$B$226=1),$AY$392,HLOOKUP(INDIRECT(ADDRESS(2,COLUMN())),OFFSET($BN$2,0,0,ROW()-1,60),ROW()-1,FALSE))</f>
        <v>260.27699999999999</v>
      </c>
      <c r="AZ189">
        <f ca="1">IF(AND(ISNUMBER($AZ$392),$B$226=1),$AZ$392,HLOOKUP(INDIRECT(ADDRESS(2,COLUMN())),OFFSET($BN$2,0,0,ROW()-1,60),ROW()-1,FALSE))</f>
        <v>76.323999999999998</v>
      </c>
      <c r="BA189">
        <f ca="1">IF(AND(ISNUMBER($BA$392),$B$226=1),$BA$392,HLOOKUP(INDIRECT(ADDRESS(2,COLUMN())),OFFSET($BN$2,0,0,ROW()-1,60),ROW()-1,FALSE))</f>
        <v>72.171999999999997</v>
      </c>
      <c r="BB189">
        <f ca="1">IF(AND(ISNUMBER($BB$392),$B$226=1),$BB$392,HLOOKUP(INDIRECT(ADDRESS(2,COLUMN())),OFFSET($BN$2,0,0,ROW()-1,60),ROW()-1,FALSE))</f>
        <v>86.777000000000001</v>
      </c>
      <c r="BC189">
        <f ca="1">IF(AND(ISNUMBER($BC$392),$B$226=1),$BC$392,HLOOKUP(INDIRECT(ADDRESS(2,COLUMN())),OFFSET($BN$2,0,0,ROW()-1,60),ROW()-1,FALSE))</f>
        <v>88.828000000000003</v>
      </c>
      <c r="BD189">
        <f ca="1">IF(AND(ISNUMBER($BD$392),$B$226=1),$BD$392,HLOOKUP(INDIRECT(ADDRESS(2,COLUMN())),OFFSET($BN$2,0,0,ROW()-1,60),ROW()-1,FALSE))</f>
        <v>306.93299999999999</v>
      </c>
      <c r="BE189">
        <f ca="1">IF(AND(ISNUMBER($BE$392),$B$226=1),$BE$392,HLOOKUP(INDIRECT(ADDRESS(2,COLUMN())),OFFSET($BN$2,0,0,ROW()-1,60),ROW()-1,FALSE))</f>
        <v>102.752</v>
      </c>
      <c r="BF189">
        <f ca="1">IF(AND(ISNUMBER($BF$392),$B$226=1),$BF$392,HLOOKUP(INDIRECT(ADDRESS(2,COLUMN())),OFFSET($BN$2,0,0,ROW()-1,60),ROW()-1,FALSE))</f>
        <v>91.067999999999998</v>
      </c>
      <c r="BG189">
        <f ca="1">IF(AND(ISNUMBER($BG$392),$B$226=1),$BG$392,HLOOKUP(INDIRECT(ADDRESS(2,COLUMN())),OFFSET($BN$2,0,0,ROW()-1,60),ROW()-1,FALSE))</f>
        <v>83.504999999999995</v>
      </c>
      <c r="BH189">
        <f ca="1">IF(AND(ISNUMBER($BH$392),$B$226=1),$BH$392,HLOOKUP(INDIRECT(ADDRESS(2,COLUMN())),OFFSET($BN$2,0,0,ROW()-1,60),ROW()-1,FALSE))</f>
        <v>64.992996000000005</v>
      </c>
      <c r="BI189">
        <f ca="1">IF(AND(ISNUMBER($BI$392),$B$226=1),$BI$392,HLOOKUP(INDIRECT(ADDRESS(2,COLUMN())),OFFSET($BN$2,0,0,ROW()-1,60),ROW()-1,FALSE))</f>
        <v>143.25199900000001</v>
      </c>
      <c r="BJ189">
        <f ca="1">IF(AND(ISNUMBER($BJ$392),$B$226=1),$BJ$392,HLOOKUP(INDIRECT(ADDRESS(2,COLUMN())),OFFSET($BN$2,0,0,ROW()-1,60),ROW()-1,FALSE))</f>
        <v>71.527000000000001</v>
      </c>
      <c r="BK189">
        <f ca="1">IF(AND(ISNUMBER($BK$392),$B$226=1),$BK$392,HLOOKUP(INDIRECT(ADDRESS(2,COLUMN())),OFFSET($BN$2,0,0,ROW()-1,60),ROW()-1,FALSE))</f>
        <v>49.578999000000003</v>
      </c>
      <c r="BL189">
        <f ca="1">IF(AND(ISNUMBER($BL$392),$B$226=1),$BL$392,HLOOKUP(INDIRECT(ADDRESS(2,COLUMN())),OFFSET($BN$2,0,0,ROW()-1,60),ROW()-1,FALSE))</f>
        <v>372.58599900000002</v>
      </c>
      <c r="BM189">
        <f ca="1">IF(AND(ISNUMBER($BM$392),$B$226=1),$BM$392,HLOOKUP(INDIRECT(ADDRESS(2,COLUMN())),OFFSET($BN$2,0,0,ROW()-1,60),ROW()-1,FALSE))</f>
        <v>243.83799999999999</v>
      </c>
      <c r="BN189" t="str">
        <f>""</f>
        <v/>
      </c>
      <c r="BO189">
        <f>50.647</f>
        <v>50.646999999999998</v>
      </c>
      <c r="BP189">
        <f>46.565</f>
        <v>46.564999999999998</v>
      </c>
      <c r="BQ189">
        <f>37.719</f>
        <v>37.719000000000001</v>
      </c>
      <c r="BR189">
        <f>42.139</f>
        <v>42.139000000000003</v>
      </c>
      <c r="BS189">
        <f>77.207</f>
        <v>77.206999999999994</v>
      </c>
      <c r="BT189">
        <f>517.586</f>
        <v>517.58600000000001</v>
      </c>
      <c r="BU189">
        <f>497.843</f>
        <v>497.84300000000002</v>
      </c>
      <c r="BV189">
        <f>368.049</f>
        <v>368.04899999999998</v>
      </c>
      <c r="BW189">
        <f>42.276</f>
        <v>42.276000000000003</v>
      </c>
      <c r="BX189">
        <f>37.366</f>
        <v>37.366</v>
      </c>
      <c r="BY189">
        <f>92.109</f>
        <v>92.108999999999995</v>
      </c>
      <c r="BZ189">
        <f>49.418</f>
        <v>49.417999999999999</v>
      </c>
      <c r="CA189">
        <f>40.08</f>
        <v>40.08</v>
      </c>
      <c r="CB189">
        <f>31.478</f>
        <v>31.478000000000002</v>
      </c>
      <c r="CC189">
        <f>76.132</f>
        <v>76.132000000000005</v>
      </c>
      <c r="CD189">
        <f>37.209</f>
        <v>37.209000000000003</v>
      </c>
      <c r="CE189">
        <f>53.534</f>
        <v>53.533999999999999</v>
      </c>
      <c r="CF189">
        <f>972.761</f>
        <v>972.76099999999997</v>
      </c>
      <c r="CG189">
        <f>152.564</f>
        <v>152.56399999999999</v>
      </c>
      <c r="CH189">
        <f>56.087</f>
        <v>56.087000000000003</v>
      </c>
      <c r="CI189">
        <f>612.59</f>
        <v>612.59</v>
      </c>
      <c r="CJ189">
        <f>45.623</f>
        <v>45.622999999999998</v>
      </c>
      <c r="CK189">
        <f>44.585</f>
        <v>44.585000000000001</v>
      </c>
      <c r="CL189">
        <f>219.628</f>
        <v>219.62799999999999</v>
      </c>
      <c r="CM189">
        <f>383.921</f>
        <v>383.92099999999999</v>
      </c>
      <c r="CN189">
        <f>45.986</f>
        <v>45.985999999999997</v>
      </c>
      <c r="CO189">
        <f>604.764</f>
        <v>604.76400000000001</v>
      </c>
      <c r="CP189">
        <f>306.072</f>
        <v>306.072</v>
      </c>
      <c r="CQ189">
        <f>431.408</f>
        <v>431.40800000000002</v>
      </c>
      <c r="CR189">
        <f>43.66</f>
        <v>43.66</v>
      </c>
      <c r="CS189">
        <f>47.982</f>
        <v>47.981999999999999</v>
      </c>
      <c r="CT189">
        <f>60.186</f>
        <v>60.186</v>
      </c>
      <c r="CU189">
        <f>193.288</f>
        <v>193.28800000000001</v>
      </c>
      <c r="CV189">
        <f>637.588</f>
        <v>637.58799999999997</v>
      </c>
      <c r="CW189">
        <f>667.495</f>
        <v>667.495</v>
      </c>
      <c r="CX189">
        <f>428.596</f>
        <v>428.596</v>
      </c>
      <c r="CY189">
        <f>890.794</f>
        <v>890.79399999999998</v>
      </c>
      <c r="CZ189">
        <f>530.05</f>
        <v>530.04999999999995</v>
      </c>
      <c r="DA189">
        <f>273.6</f>
        <v>273.60000000000002</v>
      </c>
      <c r="DB189">
        <f>502.649</f>
        <v>502.649</v>
      </c>
      <c r="DC189">
        <f>50.831</f>
        <v>50.831000000000003</v>
      </c>
      <c r="DD189">
        <f>62.734</f>
        <v>62.734000000000002</v>
      </c>
      <c r="DE189">
        <f>66.266</f>
        <v>66.266000000000005</v>
      </c>
      <c r="DF189">
        <f>171.742</f>
        <v>171.74199999999999</v>
      </c>
      <c r="DG189">
        <f>260.277</f>
        <v>260.27699999999999</v>
      </c>
      <c r="DH189">
        <f>76.324</f>
        <v>76.323999999999998</v>
      </c>
      <c r="DI189">
        <f>72.172</f>
        <v>72.171999999999997</v>
      </c>
      <c r="DJ189">
        <f>86.777</f>
        <v>86.777000000000001</v>
      </c>
      <c r="DK189">
        <f>88.828</f>
        <v>88.828000000000003</v>
      </c>
      <c r="DL189">
        <f>306.933</f>
        <v>306.93299999999999</v>
      </c>
      <c r="DM189">
        <f>102.752</f>
        <v>102.752</v>
      </c>
      <c r="DN189">
        <f>91.068</f>
        <v>91.067999999999998</v>
      </c>
      <c r="DO189">
        <f>83.505</f>
        <v>83.504999999999995</v>
      </c>
      <c r="DP189">
        <f>64.992996</f>
        <v>64.992996000000005</v>
      </c>
      <c r="DQ189">
        <f>143.251999</f>
        <v>143.25199900000001</v>
      </c>
      <c r="DR189">
        <f>71.527</f>
        <v>71.527000000000001</v>
      </c>
      <c r="DS189">
        <f>49.578999</f>
        <v>49.578999000000003</v>
      </c>
      <c r="DT189">
        <f>372.585999</f>
        <v>372.58599900000002</v>
      </c>
      <c r="DU189">
        <f>243.838</f>
        <v>243.83799999999999</v>
      </c>
    </row>
    <row r="190" spans="1:125">
      <c r="A190" t="str">
        <f>"    Essex Property Trust Inc"</f>
        <v xml:space="preserve">    Essex Property Trust Inc</v>
      </c>
      <c r="B190" t="str">
        <f>"ESS US Equity"</f>
        <v>ESS US Equity</v>
      </c>
      <c r="C190" t="str">
        <f t="shared" si="60"/>
        <v>RR253</v>
      </c>
      <c r="D190" t="str">
        <f t="shared" si="61"/>
        <v>CASH_AND_MARKETABLE_SECURITIES</v>
      </c>
      <c r="E190" t="str">
        <f t="shared" si="62"/>
        <v>动态</v>
      </c>
      <c r="F190" t="str">
        <f ca="1">IF(AND(ISNUMBER($F$393),$B$226=1),$F$393,HLOOKUP(INDIRECT(ADDRESS(2,COLUMN())),OFFSET($BN$2,0,0,ROW()-1,60),ROW()-1,FALSE))</f>
        <v/>
      </c>
      <c r="G190">
        <f ca="1">IF(AND(ISNUMBER($G$393),$B$226=1),$G$393,HLOOKUP(INDIRECT(ADDRESS(2,COLUMN())),OFFSET($BN$2,0,0,ROW()-1,60),ROW()-1,FALSE))</f>
        <v>44.62</v>
      </c>
      <c r="H190">
        <f ca="1">IF(AND(ISNUMBER($H$393),$B$226=1),$H$393,HLOOKUP(INDIRECT(ADDRESS(2,COLUMN())),OFFSET($BN$2,0,0,ROW()-1,60),ROW()-1,FALSE))</f>
        <v>46.506999999999998</v>
      </c>
      <c r="I190">
        <f ca="1">IF(AND(ISNUMBER($I$393),$B$226=1),$I$393,HLOOKUP(INDIRECT(ADDRESS(2,COLUMN())),OFFSET($BN$2,0,0,ROW()-1,60),ROW()-1,FALSE))</f>
        <v>183.88499999999999</v>
      </c>
      <c r="J190">
        <f ca="1">IF(AND(ISNUMBER($J$393),$B$226=1),$J$393,HLOOKUP(INDIRECT(ADDRESS(2,COLUMN())),OFFSET($BN$2,0,0,ROW()-1,60),ROW()-1,FALSE))</f>
        <v>84.343999999999994</v>
      </c>
      <c r="K190">
        <f ca="1">IF(AND(ISNUMBER($K$393),$B$226=1),$K$393,HLOOKUP(INDIRECT(ADDRESS(2,COLUMN())),OFFSET($BN$2,0,0,ROW()-1,60),ROW()-1,FALSE))</f>
        <v>64.921000000000006</v>
      </c>
      <c r="L190">
        <f ca="1">IF(AND(ISNUMBER($L$393),$B$226=1),$L$393,HLOOKUP(INDIRECT(ADDRESS(2,COLUMN())),OFFSET($BN$2,0,0,ROW()-1,60),ROW()-1,FALSE))</f>
        <v>195.167</v>
      </c>
      <c r="M190">
        <f ca="1">IF(AND(ISNUMBER($M$393),$B$226=1),$M$393,HLOOKUP(INDIRECT(ADDRESS(2,COLUMN())),OFFSET($BN$2,0,0,ROW()-1,60),ROW()-1,FALSE))</f>
        <v>182.51499999999999</v>
      </c>
      <c r="N190">
        <f ca="1">IF(AND(ISNUMBER($N$393),$B$226=1),$N$393,HLOOKUP(INDIRECT(ADDRESS(2,COLUMN())),OFFSET($BN$2,0,0,ROW()-1,60),ROW()-1,FALSE))</f>
        <v>48.164000000000001</v>
      </c>
      <c r="O190">
        <f ca="1">IF(AND(ISNUMBER($O$393),$B$226=1),$O$393,HLOOKUP(INDIRECT(ADDRESS(2,COLUMN())),OFFSET($BN$2,0,0,ROW()-1,60),ROW()-1,FALSE))</f>
        <v>29.683</v>
      </c>
      <c r="P190">
        <f ca="1">IF(AND(ISNUMBER($P$393),$B$226=1),$P$393,HLOOKUP(INDIRECT(ADDRESS(2,COLUMN())),OFFSET($BN$2,0,0,ROW()-1,60),ROW()-1,FALSE))</f>
        <v>35.667999999999999</v>
      </c>
      <c r="Q190">
        <f ca="1">IF(AND(ISNUMBER($Q$393),$B$226=1),$Q$393,HLOOKUP(INDIRECT(ADDRESS(2,COLUMN())),OFFSET($BN$2,0,0,ROW()-1,60),ROW()-1,FALSE))</f>
        <v>30.242000000000001</v>
      </c>
      <c r="R190">
        <f ca="1">IF(AND(ISNUMBER($R$393),$B$226=1),$R$393,HLOOKUP(INDIRECT(ADDRESS(2,COLUMN())),OFFSET($BN$2,0,0,ROW()-1,60),ROW()-1,FALSE))</f>
        <v>219.2</v>
      </c>
      <c r="S190">
        <f ca="1">IF(AND(ISNUMBER($S$393),$B$226=1),$S$393,HLOOKUP(INDIRECT(ADDRESS(2,COLUMN())),OFFSET($BN$2,0,0,ROW()-1,60),ROW()-1,FALSE))</f>
        <v>25.61</v>
      </c>
      <c r="T190">
        <f ca="1">IF(AND(ISNUMBER($T$393),$B$226=1),$T$393,HLOOKUP(INDIRECT(ADDRESS(2,COLUMN())),OFFSET($BN$2,0,0,ROW()-1,60),ROW()-1,FALSE))</f>
        <v>17.876999999999999</v>
      </c>
      <c r="U190">
        <f ca="1">IF(AND(ISNUMBER($U$393),$B$226=1),$U$393,HLOOKUP(INDIRECT(ADDRESS(2,COLUMN())),OFFSET($BN$2,0,0,ROW()-1,60),ROW()-1,FALSE))</f>
        <v>17.946000000000002</v>
      </c>
      <c r="V190">
        <f ca="1">IF(AND(ISNUMBER($V$393),$B$226=1),$V$393,HLOOKUP(INDIRECT(ADDRESS(2,COLUMN())),OFFSET($BN$2,0,0,ROW()-1,60),ROW()-1,FALSE))</f>
        <v>19.917999999999999</v>
      </c>
      <c r="W190">
        <f ca="1">IF(AND(ISNUMBER($W$393),$B$226=1),$W$393,HLOOKUP(INDIRECT(ADDRESS(2,COLUMN())),OFFSET($BN$2,0,0,ROW()-1,60),ROW()-1,FALSE))</f>
        <v>18.491</v>
      </c>
      <c r="X190">
        <f ca="1">IF(AND(ISNUMBER($X$393),$B$226=1),$X$393,HLOOKUP(INDIRECT(ADDRESS(2,COLUMN())),OFFSET($BN$2,0,0,ROW()-1,60),ROW()-1,FALSE))</f>
        <v>9.5090000000000003</v>
      </c>
      <c r="Y190">
        <f ca="1">IF(AND(ISNUMBER($Y$393),$B$226=1),$Y$393,HLOOKUP(INDIRECT(ADDRESS(2,COLUMN())),OFFSET($BN$2,0,0,ROW()-1,60),ROW()-1,FALSE))</f>
        <v>20.216999999999999</v>
      </c>
      <c r="Z190">
        <f ca="1">IF(AND(ISNUMBER($Z$393),$B$226=1),$Z$393,HLOOKUP(INDIRECT(ADDRESS(2,COLUMN())),OFFSET($BN$2,0,0,ROW()-1,60),ROW()-1,FALSE))</f>
        <v>30.844000000000001</v>
      </c>
      <c r="AA190">
        <f ca="1">IF(AND(ISNUMBER($AA$393),$B$226=1),$AA$393,HLOOKUP(INDIRECT(ADDRESS(2,COLUMN())),OFFSET($BN$2,0,0,ROW()-1,60),ROW()-1,FALSE))</f>
        <v>18.606000000000002</v>
      </c>
      <c r="AB190">
        <f ca="1">IF(AND(ISNUMBER($AB$393),$B$226=1),$AB$393,HLOOKUP(INDIRECT(ADDRESS(2,COLUMN())),OFFSET($BN$2,0,0,ROW()-1,60),ROW()-1,FALSE))</f>
        <v>1.9430000000000001</v>
      </c>
      <c r="AC190">
        <f ca="1">IF(AND(ISNUMBER($AC$393),$B$226=1),$AC$393,HLOOKUP(INDIRECT(ADDRESS(2,COLUMN())),OFFSET($BN$2,0,0,ROW()-1,60),ROW()-1,FALSE))</f>
        <v>4.1319999999999997</v>
      </c>
      <c r="AD190">
        <f ca="1">IF(AND(ISNUMBER($AD$393),$B$226=1),$AD$393,HLOOKUP(INDIRECT(ADDRESS(2,COLUMN())),OFFSET($BN$2,0,0,ROW()-1,60),ROW()-1,FALSE))</f>
        <v>13.744</v>
      </c>
      <c r="AE190">
        <f ca="1">IF(AND(ISNUMBER($AE$393),$B$226=1),$AE$393,HLOOKUP(INDIRECT(ADDRESS(2,COLUMN())),OFFSET($BN$2,0,0,ROW()-1,60),ROW()-1,FALSE))</f>
        <v>12.888999999999999</v>
      </c>
      <c r="AF190">
        <f ca="1">IF(AND(ISNUMBER($AF$393),$B$226=1),$AF$393,HLOOKUP(INDIRECT(ADDRESS(2,COLUMN())),OFFSET($BN$2,0,0,ROW()-1,60),ROW()-1,FALSE))</f>
        <v>9.02</v>
      </c>
      <c r="AG190">
        <f ca="1">IF(AND(ISNUMBER($AG$393),$B$226=1),$AG$393,HLOOKUP(INDIRECT(ADDRESS(2,COLUMN())),OFFSET($BN$2,0,0,ROW()-1,60),ROW()-1,FALSE))</f>
        <v>8.8089999999999993</v>
      </c>
      <c r="AH190">
        <f ca="1">IF(AND(ISNUMBER($AH$393),$B$226=1),$AH$393,HLOOKUP(INDIRECT(ADDRESS(2,COLUMN())),OFFSET($BN$2,0,0,ROW()-1,60),ROW()-1,FALSE))</f>
        <v>97.683000000000007</v>
      </c>
      <c r="AI190">
        <f ca="1">IF(AND(ISNUMBER($AI$393),$B$226=1),$AI$393,HLOOKUP(INDIRECT(ADDRESS(2,COLUMN())),OFFSET($BN$2,0,0,ROW()-1,60),ROW()-1,FALSE))</f>
        <v>13.753</v>
      </c>
      <c r="AJ190">
        <f ca="1">IF(AND(ISNUMBER($AJ$393),$B$226=1),$AJ$393,HLOOKUP(INDIRECT(ADDRESS(2,COLUMN())),OFFSET($BN$2,0,0,ROW()-1,60),ROW()-1,FALSE))</f>
        <v>14.667999999999999</v>
      </c>
      <c r="AK190">
        <f ca="1">IF(AND(ISNUMBER($AK$393),$B$226=1),$AK$393,HLOOKUP(INDIRECT(ADDRESS(2,COLUMN())),OFFSET($BN$2,0,0,ROW()-1,60),ROW()-1,FALSE))</f>
        <v>8.3670000000000009</v>
      </c>
      <c r="AL190">
        <f ca="1">IF(AND(ISNUMBER($AL$393),$B$226=1),$AL$393,HLOOKUP(INDIRECT(ADDRESS(2,COLUMN())),OFFSET($BN$2,0,0,ROW()-1,60),ROW()-1,FALSE))</f>
        <v>22.312000000000001</v>
      </c>
      <c r="AM190">
        <f ca="1">IF(AND(ISNUMBER($AM$393),$B$226=1),$AM$393,HLOOKUP(INDIRECT(ADDRESS(2,COLUMN())),OFFSET($BN$2,0,0,ROW()-1,60),ROW()-1,FALSE))</f>
        <v>20.66</v>
      </c>
      <c r="AN190">
        <f ca="1">IF(AND(ISNUMBER($AN$393),$B$226=1),$AN$393,HLOOKUP(INDIRECT(ADDRESS(2,COLUMN())),OFFSET($BN$2,0,0,ROW()-1,60),ROW()-1,FALSE))</f>
        <v>81.941999999999993</v>
      </c>
      <c r="AO190">
        <f ca="1">IF(AND(ISNUMBER($AO$393),$B$226=1),$AO$393,HLOOKUP(INDIRECT(ADDRESS(2,COLUMN())),OFFSET($BN$2,0,0,ROW()-1,60),ROW()-1,FALSE))</f>
        <v>65.435000000000002</v>
      </c>
      <c r="AP190">
        <f ca="1">IF(AND(ISNUMBER($AP$393),$B$226=1),$AP$393,HLOOKUP(INDIRECT(ADDRESS(2,COLUMN())),OFFSET($BN$2,0,0,ROW()-1,60),ROW()-1,FALSE))</f>
        <v>65.212000000000003</v>
      </c>
      <c r="AQ190">
        <f ca="1">IF(AND(ISNUMBER($AQ$393),$B$226=1),$AQ$393,HLOOKUP(INDIRECT(ADDRESS(2,COLUMN())),OFFSET($BN$2,0,0,ROW()-1,60),ROW()-1,FALSE))</f>
        <v>41.908999999999999</v>
      </c>
      <c r="AR190">
        <f ca="1">IF(AND(ISNUMBER($AR$393),$B$226=1),$AR$393,HLOOKUP(INDIRECT(ADDRESS(2,COLUMN())),OFFSET($BN$2,0,0,ROW()-1,60),ROW()-1,FALSE))</f>
        <v>33.404000000000003</v>
      </c>
      <c r="AS190">
        <f ca="1">IF(AND(ISNUMBER($AS$393),$B$226=1),$AS$393,HLOOKUP(INDIRECT(ADDRESS(2,COLUMN())),OFFSET($BN$2,0,0,ROW()-1,60),ROW()-1,FALSE))</f>
        <v>20.995000000000001</v>
      </c>
      <c r="AT190">
        <f ca="1">IF(AND(ISNUMBER($AT$393),$B$226=1),$AT$393,HLOOKUP(INDIRECT(ADDRESS(2,COLUMN())),OFFSET($BN$2,0,0,ROW()-1,60),ROW()-1,FALSE))</f>
        <v>10.356999999999999</v>
      </c>
      <c r="AU190">
        <f ca="1">IF(AND(ISNUMBER($AU$393),$B$226=1),$AU$393,HLOOKUP(INDIRECT(ADDRESS(2,COLUMN())),OFFSET($BN$2,0,0,ROW()-1,60),ROW()-1,FALSE))</f>
        <v>9.9559999999999995</v>
      </c>
      <c r="AV190">
        <f ca="1">IF(AND(ISNUMBER($AV$393),$B$226=1),$AV$393,HLOOKUP(INDIRECT(ADDRESS(2,COLUMN())),OFFSET($BN$2,0,0,ROW()-1,60),ROW()-1,FALSE))</f>
        <v>10.239000000000001</v>
      </c>
      <c r="AW190">
        <f ca="1">IF(AND(ISNUMBER($AW$393),$B$226=1),$AW$393,HLOOKUP(INDIRECT(ADDRESS(2,COLUMN())),OFFSET($BN$2,0,0,ROW()-1,60),ROW()-1,FALSE))</f>
        <v>12.587</v>
      </c>
      <c r="AX190">
        <f ca="1">IF(AND(ISNUMBER($AX$393),$B$226=1),$AX$393,HLOOKUP(INDIRECT(ADDRESS(2,COLUMN())),OFFSET($BN$2,0,0,ROW()-1,60),ROW()-1,FALSE))</f>
        <v>15.038</v>
      </c>
      <c r="AY190">
        <f ca="1">IF(AND(ISNUMBER($AY$393),$B$226=1),$AY$393,HLOOKUP(INDIRECT(ADDRESS(2,COLUMN())),OFFSET($BN$2,0,0,ROW()-1,60),ROW()-1,FALSE))</f>
        <v>9.6620000000000008</v>
      </c>
      <c r="AZ190">
        <f ca="1">IF(AND(ISNUMBER($AZ$393),$B$226=1),$AZ$393,HLOOKUP(INDIRECT(ADDRESS(2,COLUMN())),OFFSET($BN$2,0,0,ROW()-1,60),ROW()-1,FALSE))</f>
        <v>30.141999999999999</v>
      </c>
      <c r="BA190">
        <f ca="1">IF(AND(ISNUMBER($BA$393),$B$226=1),$BA$393,HLOOKUP(INDIRECT(ADDRESS(2,COLUMN())),OFFSET($BN$2,0,0,ROW()-1,60),ROW()-1,FALSE))</f>
        <v>9.0220000000000002</v>
      </c>
      <c r="BB190">
        <f ca="1">IF(AND(ISNUMBER($BB$393),$B$226=1),$BB$393,HLOOKUP(INDIRECT(ADDRESS(2,COLUMN())),OFFSET($BN$2,0,0,ROW()-1,60),ROW()-1,FALSE))</f>
        <v>9.4090000000000007</v>
      </c>
      <c r="BC190">
        <f ca="1">IF(AND(ISNUMBER($BC$393),$B$226=1),$BC$393,HLOOKUP(INDIRECT(ADDRESS(2,COLUMN())),OFFSET($BN$2,0,0,ROW()-1,60),ROW()-1,FALSE))</f>
        <v>14.337</v>
      </c>
      <c r="BD190">
        <f ca="1">IF(AND(ISNUMBER($BD$393),$B$226=1),$BD$393,HLOOKUP(INDIRECT(ADDRESS(2,COLUMN())),OFFSET($BN$2,0,0,ROW()-1,60),ROW()-1,FALSE))</f>
        <v>19.364999999999998</v>
      </c>
      <c r="BE190">
        <f ca="1">IF(AND(ISNUMBER($BE$393),$B$226=1),$BE$393,HLOOKUP(INDIRECT(ADDRESS(2,COLUMN())),OFFSET($BN$2,0,0,ROW()-1,60),ROW()-1,FALSE))</f>
        <v>33.076000000000001</v>
      </c>
      <c r="BF190">
        <f ca="1">IF(AND(ISNUMBER($BF$393),$B$226=1),$BF$393,HLOOKUP(INDIRECT(ADDRESS(2,COLUMN())),OFFSET($BN$2,0,0,ROW()-1,60),ROW()-1,FALSE))</f>
        <v>12.516999999999999</v>
      </c>
      <c r="BG190">
        <f ca="1">IF(AND(ISNUMBER($BG$393),$B$226=1),$BG$393,HLOOKUP(INDIRECT(ADDRESS(2,COLUMN())),OFFSET($BN$2,0,0,ROW()-1,60),ROW()-1,FALSE))</f>
        <v>10.644</v>
      </c>
      <c r="BH190">
        <f ca="1">IF(AND(ISNUMBER($BH$393),$B$226=1),$BH$393,HLOOKUP(INDIRECT(ADDRESS(2,COLUMN())),OFFSET($BN$2,0,0,ROW()-1,60),ROW()-1,FALSE))</f>
        <v>16.224</v>
      </c>
      <c r="BI190">
        <f ca="1">IF(AND(ISNUMBER($BI$393),$B$226=1),$BI$393,HLOOKUP(INDIRECT(ADDRESS(2,COLUMN())),OFFSET($BN$2,0,0,ROW()-1,60),ROW()-1,FALSE))</f>
        <v>11.625999999999999</v>
      </c>
      <c r="BJ190">
        <f ca="1">IF(AND(ISNUMBER($BJ$393),$B$226=1),$BJ$393,HLOOKUP(INDIRECT(ADDRESS(2,COLUMN())),OFFSET($BN$2,0,0,ROW()-1,60),ROW()-1,FALSE))</f>
        <v>17.709</v>
      </c>
      <c r="BK190">
        <f ca="1">IF(AND(ISNUMBER($BK$393),$B$226=1),$BK$393,HLOOKUP(INDIRECT(ADDRESS(2,COLUMN())),OFFSET($BN$2,0,0,ROW()-1,60),ROW()-1,FALSE))</f>
        <v>14.768000000000001</v>
      </c>
      <c r="BL190">
        <f ca="1">IF(AND(ISNUMBER($BL$393),$B$226=1),$BL$393,HLOOKUP(INDIRECT(ADDRESS(2,COLUMN())),OFFSET($BN$2,0,0,ROW()-1,60),ROW()-1,FALSE))</f>
        <v>10.4</v>
      </c>
      <c r="BM190">
        <f ca="1">IF(AND(ISNUMBER($BM$393),$B$226=1),$BM$393,HLOOKUP(INDIRECT(ADDRESS(2,COLUMN())),OFFSET($BN$2,0,0,ROW()-1,60),ROW()-1,FALSE))</f>
        <v>8.8539999999999992</v>
      </c>
      <c r="BN190" t="str">
        <f>""</f>
        <v/>
      </c>
      <c r="BO190">
        <f>44.62</f>
        <v>44.62</v>
      </c>
      <c r="BP190">
        <f>46.507</f>
        <v>46.506999999999998</v>
      </c>
      <c r="BQ190">
        <f>183.885</f>
        <v>183.88499999999999</v>
      </c>
      <c r="BR190">
        <f>84.344</f>
        <v>84.343999999999994</v>
      </c>
      <c r="BS190">
        <f>64.921</f>
        <v>64.921000000000006</v>
      </c>
      <c r="BT190">
        <f>195.167</f>
        <v>195.167</v>
      </c>
      <c r="BU190">
        <f>182.515</f>
        <v>182.51499999999999</v>
      </c>
      <c r="BV190">
        <f>48.164</f>
        <v>48.164000000000001</v>
      </c>
      <c r="BW190">
        <f>29.683</f>
        <v>29.683</v>
      </c>
      <c r="BX190">
        <f>35.668</f>
        <v>35.667999999999999</v>
      </c>
      <c r="BY190">
        <f>30.242</f>
        <v>30.242000000000001</v>
      </c>
      <c r="BZ190">
        <f>219.2</f>
        <v>219.2</v>
      </c>
      <c r="CA190">
        <f>25.61</f>
        <v>25.61</v>
      </c>
      <c r="CB190">
        <f>17.877</f>
        <v>17.876999999999999</v>
      </c>
      <c r="CC190">
        <f>17.946</f>
        <v>17.946000000000002</v>
      </c>
      <c r="CD190">
        <f>19.918</f>
        <v>19.917999999999999</v>
      </c>
      <c r="CE190">
        <f>18.491</f>
        <v>18.491</v>
      </c>
      <c r="CF190">
        <f>9.509</f>
        <v>9.5090000000000003</v>
      </c>
      <c r="CG190">
        <f>20.217</f>
        <v>20.216999999999999</v>
      </c>
      <c r="CH190">
        <f>30.844</f>
        <v>30.844000000000001</v>
      </c>
      <c r="CI190">
        <f>18.606</f>
        <v>18.606000000000002</v>
      </c>
      <c r="CJ190">
        <f>1.943</f>
        <v>1.9430000000000001</v>
      </c>
      <c r="CK190">
        <f>4.132</f>
        <v>4.1319999999999997</v>
      </c>
      <c r="CL190">
        <f>13.744</f>
        <v>13.744</v>
      </c>
      <c r="CM190">
        <f>12.889</f>
        <v>12.888999999999999</v>
      </c>
      <c r="CN190">
        <f>9.02</f>
        <v>9.02</v>
      </c>
      <c r="CO190">
        <f>8.809</f>
        <v>8.8089999999999993</v>
      </c>
      <c r="CP190">
        <f>97.683</f>
        <v>97.683000000000007</v>
      </c>
      <c r="CQ190">
        <f>13.753</f>
        <v>13.753</v>
      </c>
      <c r="CR190">
        <f>14.668</f>
        <v>14.667999999999999</v>
      </c>
      <c r="CS190">
        <f>8.367</f>
        <v>8.3670000000000009</v>
      </c>
      <c r="CT190">
        <f>22.312</f>
        <v>22.312000000000001</v>
      </c>
      <c r="CU190">
        <f>20.66</f>
        <v>20.66</v>
      </c>
      <c r="CV190">
        <f>81.942</f>
        <v>81.941999999999993</v>
      </c>
      <c r="CW190">
        <f>65.435</f>
        <v>65.435000000000002</v>
      </c>
      <c r="CX190">
        <f>65.212</f>
        <v>65.212000000000003</v>
      </c>
      <c r="CY190">
        <f>41.909</f>
        <v>41.908999999999999</v>
      </c>
      <c r="CZ190">
        <f>33.404</f>
        <v>33.404000000000003</v>
      </c>
      <c r="DA190">
        <f>20.995</f>
        <v>20.995000000000001</v>
      </c>
      <c r="DB190">
        <f>10.357</f>
        <v>10.356999999999999</v>
      </c>
      <c r="DC190">
        <f>9.956</f>
        <v>9.9559999999999995</v>
      </c>
      <c r="DD190">
        <f>10.239</f>
        <v>10.239000000000001</v>
      </c>
      <c r="DE190">
        <f>12.587</f>
        <v>12.587</v>
      </c>
      <c r="DF190">
        <f>15.038</f>
        <v>15.038</v>
      </c>
      <c r="DG190">
        <f>9.662</f>
        <v>9.6620000000000008</v>
      </c>
      <c r="DH190">
        <f>30.142</f>
        <v>30.141999999999999</v>
      </c>
      <c r="DI190">
        <f>9.022</f>
        <v>9.0220000000000002</v>
      </c>
      <c r="DJ190">
        <f>9.409</f>
        <v>9.4090000000000007</v>
      </c>
      <c r="DK190">
        <f>14.337</f>
        <v>14.337</v>
      </c>
      <c r="DL190">
        <f>19.365</f>
        <v>19.364999999999998</v>
      </c>
      <c r="DM190">
        <f>33.076</f>
        <v>33.076000000000001</v>
      </c>
      <c r="DN190">
        <f>12.517</f>
        <v>12.516999999999999</v>
      </c>
      <c r="DO190">
        <f>10.644</f>
        <v>10.644</v>
      </c>
      <c r="DP190">
        <f>16.224</f>
        <v>16.224</v>
      </c>
      <c r="DQ190">
        <f>11.626</f>
        <v>11.625999999999999</v>
      </c>
      <c r="DR190">
        <f>17.709</f>
        <v>17.709</v>
      </c>
      <c r="DS190">
        <f>14.768</f>
        <v>14.768000000000001</v>
      </c>
      <c r="DT190">
        <f>10.4</f>
        <v>10.4</v>
      </c>
      <c r="DU190">
        <f>8.854</f>
        <v>8.8539999999999992</v>
      </c>
    </row>
    <row r="191" spans="1:125">
      <c r="A191" t="str">
        <f>"    Mid-America Apartment Communit"</f>
        <v xml:space="preserve">    Mid-America Apartment Communit</v>
      </c>
      <c r="B191" t="str">
        <f>"MAA US Equity"</f>
        <v>MAA US Equity</v>
      </c>
      <c r="C191" t="str">
        <f t="shared" si="60"/>
        <v>RR253</v>
      </c>
      <c r="D191" t="str">
        <f t="shared" si="61"/>
        <v>CASH_AND_MARKETABLE_SECURITIES</v>
      </c>
      <c r="E191" t="str">
        <f t="shared" si="62"/>
        <v>动态</v>
      </c>
      <c r="F191" t="str">
        <f ca="1">IF(AND(ISNUMBER($F$394),$B$226=1),$F$394,HLOOKUP(INDIRECT(ADDRESS(2,COLUMN())),OFFSET($BN$2,0,0,ROW()-1,60),ROW()-1,FALSE))</f>
        <v/>
      </c>
      <c r="G191">
        <f ca="1">IF(AND(ISNUMBER($G$394),$B$226=1),$G$394,HLOOKUP(INDIRECT(ADDRESS(2,COLUMN())),OFFSET($BN$2,0,0,ROW()-1,60),ROW()-1,FALSE))</f>
        <v>10.75</v>
      </c>
      <c r="H191">
        <f ca="1">IF(AND(ISNUMBER($H$394),$B$226=1),$H$394,HLOOKUP(INDIRECT(ADDRESS(2,COLUMN())),OFFSET($BN$2,0,0,ROW()-1,60),ROW()-1,FALSE))</f>
        <v>47.850999999999999</v>
      </c>
      <c r="I191">
        <f ca="1">IF(AND(ISNUMBER($I$394),$B$226=1),$I$394,HLOOKUP(INDIRECT(ADDRESS(2,COLUMN())),OFFSET($BN$2,0,0,ROW()-1,60),ROW()-1,FALSE))</f>
        <v>39.658999999999999</v>
      </c>
      <c r="J191">
        <f ca="1">IF(AND(ISNUMBER($J$394),$B$226=1),$J$394,HLOOKUP(INDIRECT(ADDRESS(2,COLUMN())),OFFSET($BN$2,0,0,ROW()-1,60),ROW()-1,FALSE))</f>
        <v>33.959000000000003</v>
      </c>
      <c r="K191">
        <f ca="1">IF(AND(ISNUMBER($K$394),$B$226=1),$K$394,HLOOKUP(INDIRECT(ADDRESS(2,COLUMN())),OFFSET($BN$2,0,0,ROW()-1,60),ROW()-1,FALSE))</f>
        <v>33.536000000000001</v>
      </c>
      <c r="L191">
        <f ca="1">IF(AND(ISNUMBER($L$394),$B$226=1),$L$394,HLOOKUP(INDIRECT(ADDRESS(2,COLUMN())),OFFSET($BN$2,0,0,ROW()-1,60),ROW()-1,FALSE))</f>
        <v>27.817</v>
      </c>
      <c r="M191">
        <f ca="1">IF(AND(ISNUMBER($M$394),$B$226=1),$M$394,HLOOKUP(INDIRECT(ADDRESS(2,COLUMN())),OFFSET($BN$2,0,0,ROW()-1,60),ROW()-1,FALSE))</f>
        <v>26.279</v>
      </c>
      <c r="N191">
        <f ca="1">IF(AND(ISNUMBER($N$394),$B$226=1),$N$394,HLOOKUP(INDIRECT(ADDRESS(2,COLUMN())),OFFSET($BN$2,0,0,ROW()-1,60),ROW()-1,FALSE))</f>
        <v>28.184000000000001</v>
      </c>
      <c r="O191">
        <f ca="1">IF(AND(ISNUMBER($O$394),$B$226=1),$O$394,HLOOKUP(INDIRECT(ADDRESS(2,COLUMN())),OFFSET($BN$2,0,0,ROW()-1,60),ROW()-1,FALSE))</f>
        <v>37.558999999999997</v>
      </c>
      <c r="P191">
        <f ca="1">IF(AND(ISNUMBER($P$394),$B$226=1),$P$394,HLOOKUP(INDIRECT(ADDRESS(2,COLUMN())),OFFSET($BN$2,0,0,ROW()-1,60),ROW()-1,FALSE))</f>
        <v>44.875999999999998</v>
      </c>
      <c r="Q191">
        <f ca="1">IF(AND(ISNUMBER($Q$394),$B$226=1),$Q$394,HLOOKUP(INDIRECT(ADDRESS(2,COLUMN())),OFFSET($BN$2,0,0,ROW()-1,60),ROW()-1,FALSE))</f>
        <v>30.03</v>
      </c>
      <c r="R191">
        <f ca="1">IF(AND(ISNUMBER($R$394),$B$226=1),$R$394,HLOOKUP(INDIRECT(ADDRESS(2,COLUMN())),OFFSET($BN$2,0,0,ROW()-1,60),ROW()-1,FALSE))</f>
        <v>18.331</v>
      </c>
      <c r="S191">
        <f ca="1">IF(AND(ISNUMBER($S$394),$B$226=1),$S$394,HLOOKUP(INDIRECT(ADDRESS(2,COLUMN())),OFFSET($BN$2,0,0,ROW()-1,60),ROW()-1,FALSE))</f>
        <v>26.652999999999999</v>
      </c>
      <c r="T191">
        <f ca="1">IF(AND(ISNUMBER($T$394),$B$226=1),$T$394,HLOOKUP(INDIRECT(ADDRESS(2,COLUMN())),OFFSET($BN$2,0,0,ROW()-1,60),ROW()-1,FALSE))</f>
        <v>87.766000000000005</v>
      </c>
      <c r="U191">
        <f ca="1">IF(AND(ISNUMBER($U$394),$B$226=1),$U$394,HLOOKUP(INDIRECT(ADDRESS(2,COLUMN())),OFFSET($BN$2,0,0,ROW()-1,60),ROW()-1,FALSE))</f>
        <v>26.318000000000001</v>
      </c>
      <c r="V191">
        <f ca="1">IF(AND(ISNUMBER($V$394),$B$226=1),$V$394,HLOOKUP(INDIRECT(ADDRESS(2,COLUMN())),OFFSET($BN$2,0,0,ROW()-1,60),ROW()-1,FALSE))</f>
        <v>121.901</v>
      </c>
      <c r="W191">
        <f ca="1">IF(AND(ISNUMBER($W$394),$B$226=1),$W$394,HLOOKUP(INDIRECT(ADDRESS(2,COLUMN())),OFFSET($BN$2,0,0,ROW()-1,60),ROW()-1,FALSE))</f>
        <v>89.332999999999998</v>
      </c>
      <c r="X191">
        <f ca="1">IF(AND(ISNUMBER($X$394),$B$226=1),$X$394,HLOOKUP(INDIRECT(ADDRESS(2,COLUMN())),OFFSET($BN$2,0,0,ROW()-1,60),ROW()-1,FALSE))</f>
        <v>181.10499999999999</v>
      </c>
      <c r="Y191">
        <f ca="1">IF(AND(ISNUMBER($Y$394),$B$226=1),$Y$394,HLOOKUP(INDIRECT(ADDRESS(2,COLUMN())),OFFSET($BN$2,0,0,ROW()-1,60),ROW()-1,FALSE))</f>
        <v>8.7919999999999998</v>
      </c>
      <c r="Z191">
        <f ca="1">IF(AND(ISNUMBER($Z$394),$B$226=1),$Z$394,HLOOKUP(INDIRECT(ADDRESS(2,COLUMN())),OFFSET($BN$2,0,0,ROW()-1,60),ROW()-1,FALSE))</f>
        <v>8.2240000000000002</v>
      </c>
      <c r="AA191">
        <f ca="1">IF(AND(ISNUMBER($AA$394),$B$226=1),$AA$394,HLOOKUP(INDIRECT(ADDRESS(2,COLUMN())),OFFSET($BN$2,0,0,ROW()-1,60),ROW()-1,FALSE))</f>
        <v>9.0749999999999993</v>
      </c>
      <c r="AB191">
        <f ca="1">IF(AND(ISNUMBER($AB$394),$B$226=1),$AB$394,HLOOKUP(INDIRECT(ADDRESS(2,COLUMN())),OFFSET($BN$2,0,0,ROW()-1,60),ROW()-1,FALSE))</f>
        <v>13.422000000000001</v>
      </c>
      <c r="AC191">
        <f ca="1">IF(AND(ISNUMBER($AC$394),$B$226=1),$AC$394,HLOOKUP(INDIRECT(ADDRESS(2,COLUMN())),OFFSET($BN$2,0,0,ROW()-1,60),ROW()-1,FALSE))</f>
        <v>22.341000000000001</v>
      </c>
      <c r="AD191">
        <f ca="1">IF(AND(ISNUMBER($AD$394),$B$226=1),$AD$394,HLOOKUP(INDIRECT(ADDRESS(2,COLUMN())),OFFSET($BN$2,0,0,ROW()-1,60),ROW()-1,FALSE))</f>
        <v>41.826000000000001</v>
      </c>
      <c r="AE191">
        <f ca="1">IF(AND(ISNUMBER($AE$394),$B$226=1),$AE$394,HLOOKUP(INDIRECT(ADDRESS(2,COLUMN())),OFFSET($BN$2,0,0,ROW()-1,60),ROW()-1,FALSE))</f>
        <v>57.317</v>
      </c>
      <c r="AF191">
        <f ca="1">IF(AND(ISNUMBER($AF$394),$B$226=1),$AF$394,HLOOKUP(INDIRECT(ADDRESS(2,COLUMN())),OFFSET($BN$2,0,0,ROW()-1,60),ROW()-1,FALSE))</f>
        <v>24.254000000000001</v>
      </c>
      <c r="AG191">
        <f ca="1">IF(AND(ISNUMBER($AG$394),$B$226=1),$AG$394,HLOOKUP(INDIRECT(ADDRESS(2,COLUMN())),OFFSET($BN$2,0,0,ROW()-1,60),ROW()-1,FALSE))</f>
        <v>12.837999999999999</v>
      </c>
      <c r="AH191">
        <f ca="1">IF(AND(ISNUMBER($AH$394),$B$226=1),$AH$394,HLOOKUP(INDIRECT(ADDRESS(2,COLUMN())),OFFSET($BN$2,0,0,ROW()-1,60),ROW()-1,FALSE))</f>
        <v>47.222000000000001</v>
      </c>
      <c r="AI191">
        <f ca="1">IF(AND(ISNUMBER($AI$394),$B$226=1),$AI$394,HLOOKUP(INDIRECT(ADDRESS(2,COLUMN())),OFFSET($BN$2,0,0,ROW()-1,60),ROW()-1,FALSE))</f>
        <v>45.942</v>
      </c>
      <c r="AJ191">
        <f ca="1">IF(AND(ISNUMBER($AJ$394),$B$226=1),$AJ$394,HLOOKUP(INDIRECT(ADDRESS(2,COLUMN())),OFFSET($BN$2,0,0,ROW()-1,60),ROW()-1,FALSE))</f>
        <v>100.09099999999999</v>
      </c>
      <c r="AK191">
        <f ca="1">IF(AND(ISNUMBER($AK$394),$B$226=1),$AK$394,HLOOKUP(INDIRECT(ADDRESS(2,COLUMN())),OFFSET($BN$2,0,0,ROW()-1,60),ROW()-1,FALSE))</f>
        <v>25.245000000000001</v>
      </c>
      <c r="AL191">
        <f ca="1">IF(AND(ISNUMBER($AL$394),$B$226=1),$AL$394,HLOOKUP(INDIRECT(ADDRESS(2,COLUMN())),OFFSET($BN$2,0,0,ROW()-1,60),ROW()-1,FALSE))</f>
        <v>32.329000000000001</v>
      </c>
      <c r="AM191">
        <f ca="1">IF(AND(ISNUMBER($AM$394),$B$226=1),$AM$394,HLOOKUP(INDIRECT(ADDRESS(2,COLUMN())),OFFSET($BN$2,0,0,ROW()-1,60),ROW()-1,FALSE))</f>
        <v>13.819000000000001</v>
      </c>
      <c r="AN191">
        <f ca="1">IF(AND(ISNUMBER($AN$394),$B$226=1),$AN$394,HLOOKUP(INDIRECT(ADDRESS(2,COLUMN())),OFFSET($BN$2,0,0,ROW()-1,60),ROW()-1,FALSE))</f>
        <v>16.489000000000001</v>
      </c>
      <c r="AO191">
        <f ca="1">IF(AND(ISNUMBER($AO$394),$B$226=1),$AO$394,HLOOKUP(INDIRECT(ADDRESS(2,COLUMN())),OFFSET($BN$2,0,0,ROW()-1,60),ROW()-1,FALSE))</f>
        <v>6.08</v>
      </c>
      <c r="AP191">
        <f ca="1">IF(AND(ISNUMBER($AP$394),$B$226=1),$AP$394,HLOOKUP(INDIRECT(ADDRESS(2,COLUMN())),OFFSET($BN$2,0,0,ROW()-1,60),ROW()-1,FALSE))</f>
        <v>47.665999999999997</v>
      </c>
      <c r="AQ191">
        <f ca="1">IF(AND(ISNUMBER($AQ$394),$B$226=1),$AQ$394,HLOOKUP(INDIRECT(ADDRESS(2,COLUMN())),OFFSET($BN$2,0,0,ROW()-1,60),ROW()-1,FALSE))</f>
        <v>9.4260000000000002</v>
      </c>
      <c r="AR191">
        <f ca="1">IF(AND(ISNUMBER($AR$394),$B$226=1),$AR$394,HLOOKUP(INDIRECT(ADDRESS(2,COLUMN())),OFFSET($BN$2,0,0,ROW()-1,60),ROW()-1,FALSE))</f>
        <v>43.668999999999997</v>
      </c>
      <c r="AS191">
        <f ca="1">IF(AND(ISNUMBER($AS$394),$B$226=1),$AS$394,HLOOKUP(INDIRECT(ADDRESS(2,COLUMN())),OFFSET($BN$2,0,0,ROW()-1,60),ROW()-1,FALSE))</f>
        <v>9.9770000000000003</v>
      </c>
      <c r="AT191">
        <f ca="1">IF(AND(ISNUMBER($AT$394),$B$226=1),$AT$394,HLOOKUP(INDIRECT(ADDRESS(2,COLUMN())),OFFSET($BN$2,0,0,ROW()-1,60),ROW()-1,FALSE))</f>
        <v>7.0590000000000002</v>
      </c>
      <c r="AU191">
        <f ca="1">IF(AND(ISNUMBER($AU$394),$B$226=1),$AU$394,HLOOKUP(INDIRECT(ADDRESS(2,COLUMN())),OFFSET($BN$2,0,0,ROW()-1,60),ROW()-1,FALSE))</f>
        <v>17.192</v>
      </c>
      <c r="AV191">
        <f ca="1">IF(AND(ISNUMBER($AV$394),$B$226=1),$AV$394,HLOOKUP(INDIRECT(ADDRESS(2,COLUMN())),OFFSET($BN$2,0,0,ROW()-1,60),ROW()-1,FALSE))</f>
        <v>4.0410000000000004</v>
      </c>
      <c r="AW191">
        <f ca="1">IF(AND(ISNUMBER($AW$394),$B$226=1),$AW$394,HLOOKUP(INDIRECT(ADDRESS(2,COLUMN())),OFFSET($BN$2,0,0,ROW()-1,60),ROW()-1,FALSE))</f>
        <v>4.2919999999999998</v>
      </c>
      <c r="AX191">
        <f ca="1">IF(AND(ISNUMBER($AX$394),$B$226=1),$AX$394,HLOOKUP(INDIRECT(ADDRESS(2,COLUMN())),OFFSET($BN$2,0,0,ROW()-1,60),ROW()-1,FALSE))</f>
        <v>6.375</v>
      </c>
      <c r="AY191">
        <f ca="1">IF(AND(ISNUMBER($AY$394),$B$226=1),$AY$394,HLOOKUP(INDIRECT(ADDRESS(2,COLUMN())),OFFSET($BN$2,0,0,ROW()-1,60),ROW()-1,FALSE))</f>
        <v>5.5449999999999999</v>
      </c>
      <c r="AZ191">
        <f ca="1">IF(AND(ISNUMBER($AZ$394),$B$226=1),$AZ$394,HLOOKUP(INDIRECT(ADDRESS(2,COLUMN())),OFFSET($BN$2,0,0,ROW()-1,60),ROW()-1,FALSE))</f>
        <v>7.6890000000000001</v>
      </c>
      <c r="BA191">
        <f ca="1">IF(AND(ISNUMBER($BA$394),$B$226=1),$BA$394,HLOOKUP(INDIRECT(ADDRESS(2,COLUMN())),OFFSET($BN$2,0,0,ROW()-1,60),ROW()-1,FALSE))</f>
        <v>11.366</v>
      </c>
      <c r="BB191">
        <f ca="1">IF(AND(ISNUMBER($BB$394),$B$226=1),$BB$394,HLOOKUP(INDIRECT(ADDRESS(2,COLUMN())),OFFSET($BN$2,0,0,ROW()-1,60),ROW()-1,FALSE))</f>
        <v>11.073</v>
      </c>
      <c r="BC191">
        <f ca="1">IF(AND(ISNUMBER($BC$394),$B$226=1),$BC$394,HLOOKUP(INDIRECT(ADDRESS(2,COLUMN())),OFFSET($BN$2,0,0,ROW()-1,60),ROW()-1,FALSE))</f>
        <v>14.064</v>
      </c>
      <c r="BD191">
        <f ca="1">IF(AND(ISNUMBER($BD$394),$B$226=1),$BD$394,HLOOKUP(INDIRECT(ADDRESS(2,COLUMN())),OFFSET($BN$2,0,0,ROW()-1,60),ROW()-1,FALSE))</f>
        <v>10.093</v>
      </c>
      <c r="BE191">
        <f ca="1">IF(AND(ISNUMBER($BE$394),$B$226=1),$BE$394,HLOOKUP(INDIRECT(ADDRESS(2,COLUMN())),OFFSET($BN$2,0,0,ROW()-1,60),ROW()-1,FALSE))</f>
        <v>6.6159999999999997</v>
      </c>
      <c r="BF191">
        <f ca="1">IF(AND(ISNUMBER($BF$394),$B$226=1),$BF$394,HLOOKUP(INDIRECT(ADDRESS(2,COLUMN())),OFFSET($BN$2,0,0,ROW()-1,60),ROW()-1,FALSE))</f>
        <v>6.0090000000000003</v>
      </c>
      <c r="BG191">
        <f ca="1">IF(AND(ISNUMBER($BG$394),$B$226=1),$BG$394,HLOOKUP(INDIRECT(ADDRESS(2,COLUMN())),OFFSET($BN$2,0,0,ROW()-1,60),ROW()-1,FALSE))</f>
        <v>9.1329999999999991</v>
      </c>
      <c r="BH191">
        <f ca="1">IF(AND(ISNUMBER($BH$394),$B$226=1),$BH$394,HLOOKUP(INDIRECT(ADDRESS(2,COLUMN())),OFFSET($BN$2,0,0,ROW()-1,60),ROW()-1,FALSE))</f>
        <v>9.4060000000000006</v>
      </c>
      <c r="BI191">
        <f ca="1">IF(AND(ISNUMBER($BI$394),$B$226=1),$BI$394,HLOOKUP(INDIRECT(ADDRESS(2,COLUMN())),OFFSET($BN$2,0,0,ROW()-1,60),ROW()-1,FALSE))</f>
        <v>38.907001000000001</v>
      </c>
      <c r="BJ191">
        <f ca="1">IF(AND(ISNUMBER($BJ$394),$B$226=1),$BJ$394,HLOOKUP(INDIRECT(ADDRESS(2,COLUMN())),OFFSET($BN$2,0,0,ROW()-1,60),ROW()-1,FALSE))</f>
        <v>8.3000000000000007</v>
      </c>
      <c r="BK191">
        <f ca="1">IF(AND(ISNUMBER($BK$394),$B$226=1),$BK$394,HLOOKUP(INDIRECT(ADDRESS(2,COLUMN())),OFFSET($BN$2,0,0,ROW()-1,60),ROW()-1,FALSE))</f>
        <v>10.152000429999999</v>
      </c>
      <c r="BL191">
        <f ca="1">IF(AND(ISNUMBER($BL$394),$B$226=1),$BL$394,HLOOKUP(INDIRECT(ADDRESS(2,COLUMN())),OFFSET($BN$2,0,0,ROW()-1,60),ROW()-1,FALSE))</f>
        <v>5.5759999999999996</v>
      </c>
      <c r="BM191">
        <f ca="1">IF(AND(ISNUMBER($BM$394),$B$226=1),$BM$394,HLOOKUP(INDIRECT(ADDRESS(2,COLUMN())),OFFSET($BN$2,0,0,ROW()-1,60),ROW()-1,FALSE))</f>
        <v>17.766999999999999</v>
      </c>
      <c r="BN191" t="str">
        <f>""</f>
        <v/>
      </c>
      <c r="BO191">
        <f>10.75</f>
        <v>10.75</v>
      </c>
      <c r="BP191">
        <f>47.851</f>
        <v>47.850999999999999</v>
      </c>
      <c r="BQ191">
        <f>39.659</f>
        <v>39.658999999999999</v>
      </c>
      <c r="BR191">
        <f>33.959</f>
        <v>33.959000000000003</v>
      </c>
      <c r="BS191">
        <f>33.536</f>
        <v>33.536000000000001</v>
      </c>
      <c r="BT191">
        <f>27.817</f>
        <v>27.817</v>
      </c>
      <c r="BU191">
        <f>26.279</f>
        <v>26.279</v>
      </c>
      <c r="BV191">
        <f>28.184</f>
        <v>28.184000000000001</v>
      </c>
      <c r="BW191">
        <f>37.559</f>
        <v>37.558999999999997</v>
      </c>
      <c r="BX191">
        <f>44.876</f>
        <v>44.875999999999998</v>
      </c>
      <c r="BY191">
        <f>30.03</f>
        <v>30.03</v>
      </c>
      <c r="BZ191">
        <f>18.331</f>
        <v>18.331</v>
      </c>
      <c r="CA191">
        <f>26.653</f>
        <v>26.652999999999999</v>
      </c>
      <c r="CB191">
        <f>87.766</f>
        <v>87.766000000000005</v>
      </c>
      <c r="CC191">
        <f>26.318</f>
        <v>26.318000000000001</v>
      </c>
      <c r="CD191">
        <f>121.901</f>
        <v>121.901</v>
      </c>
      <c r="CE191">
        <f>89.333</f>
        <v>89.332999999999998</v>
      </c>
      <c r="CF191">
        <f>181.105</f>
        <v>181.10499999999999</v>
      </c>
      <c r="CG191">
        <f>8.792</f>
        <v>8.7919999999999998</v>
      </c>
      <c r="CH191">
        <f>8.224</f>
        <v>8.2240000000000002</v>
      </c>
      <c r="CI191">
        <f>9.075</f>
        <v>9.0749999999999993</v>
      </c>
      <c r="CJ191">
        <f>13.422</f>
        <v>13.422000000000001</v>
      </c>
      <c r="CK191">
        <f>22.341</f>
        <v>22.341000000000001</v>
      </c>
      <c r="CL191">
        <f>41.826</f>
        <v>41.826000000000001</v>
      </c>
      <c r="CM191">
        <f>57.317</f>
        <v>57.317</v>
      </c>
      <c r="CN191">
        <f>24.254</f>
        <v>24.254000000000001</v>
      </c>
      <c r="CO191">
        <f>12.838</f>
        <v>12.837999999999999</v>
      </c>
      <c r="CP191">
        <f>47.222</f>
        <v>47.222000000000001</v>
      </c>
      <c r="CQ191">
        <f>45.942</f>
        <v>45.942</v>
      </c>
      <c r="CR191">
        <f>100.091</f>
        <v>100.09099999999999</v>
      </c>
      <c r="CS191">
        <f>25.245</f>
        <v>25.245000000000001</v>
      </c>
      <c r="CT191">
        <f>32.329</f>
        <v>32.329000000000001</v>
      </c>
      <c r="CU191">
        <f>13.819</f>
        <v>13.819000000000001</v>
      </c>
      <c r="CV191">
        <f>16.489</f>
        <v>16.489000000000001</v>
      </c>
      <c r="CW191">
        <f>6.08</f>
        <v>6.08</v>
      </c>
      <c r="CX191">
        <f>47.666</f>
        <v>47.665999999999997</v>
      </c>
      <c r="CY191">
        <f>9.426</f>
        <v>9.4260000000000002</v>
      </c>
      <c r="CZ191">
        <f>43.669</f>
        <v>43.668999999999997</v>
      </c>
      <c r="DA191">
        <f>9.977</f>
        <v>9.9770000000000003</v>
      </c>
      <c r="DB191">
        <f>7.059</f>
        <v>7.0590000000000002</v>
      </c>
      <c r="DC191">
        <f>17.192</f>
        <v>17.192</v>
      </c>
      <c r="DD191">
        <f>4.041</f>
        <v>4.0410000000000004</v>
      </c>
      <c r="DE191">
        <f>4.292</f>
        <v>4.2919999999999998</v>
      </c>
      <c r="DF191">
        <f>6.375</f>
        <v>6.375</v>
      </c>
      <c r="DG191">
        <f>5.545</f>
        <v>5.5449999999999999</v>
      </c>
      <c r="DH191">
        <f>7.689</f>
        <v>7.6890000000000001</v>
      </c>
      <c r="DI191">
        <f>11.366</f>
        <v>11.366</v>
      </c>
      <c r="DJ191">
        <f>11.073</f>
        <v>11.073</v>
      </c>
      <c r="DK191">
        <f>14.064</f>
        <v>14.064</v>
      </c>
      <c r="DL191">
        <f>10.093</f>
        <v>10.093</v>
      </c>
      <c r="DM191">
        <f>6.616</f>
        <v>6.6159999999999997</v>
      </c>
      <c r="DN191">
        <f>6.009</f>
        <v>6.0090000000000003</v>
      </c>
      <c r="DO191">
        <f>9.133</f>
        <v>9.1329999999999991</v>
      </c>
      <c r="DP191">
        <f>9.406</f>
        <v>9.4060000000000006</v>
      </c>
      <c r="DQ191">
        <f>38.907001</f>
        <v>38.907001000000001</v>
      </c>
      <c r="DR191">
        <f>8.3</f>
        <v>8.3000000000000007</v>
      </c>
      <c r="DS191">
        <f>10.15200043</f>
        <v>10.152000429999999</v>
      </c>
      <c r="DT191">
        <f>5.576</f>
        <v>5.5759999999999996</v>
      </c>
      <c r="DU191">
        <f>17.767</f>
        <v>17.766999999999999</v>
      </c>
    </row>
    <row r="192" spans="1:125">
      <c r="A192" t="str">
        <f>"    UDR Inc"</f>
        <v xml:space="preserve">    UDR Inc</v>
      </c>
      <c r="B192" t="str">
        <f>"UDR US Equity"</f>
        <v>UDR US Equity</v>
      </c>
      <c r="C192" t="str">
        <f t="shared" si="60"/>
        <v>RR253</v>
      </c>
      <c r="D192" t="str">
        <f t="shared" si="61"/>
        <v>CASH_AND_MARKETABLE_SECURITIES</v>
      </c>
      <c r="E192" t="str">
        <f t="shared" si="62"/>
        <v>动态</v>
      </c>
      <c r="F192" t="str">
        <f ca="1">IF(AND(ISNUMBER($F$395),$B$226=1),$F$395,HLOOKUP(INDIRECT(ADDRESS(2,COLUMN())),OFFSET($BN$2,0,0,ROW()-1,60),ROW()-1,FALSE))</f>
        <v/>
      </c>
      <c r="G192">
        <f ca="1">IF(AND(ISNUMBER($G$395),$B$226=1),$G$395,HLOOKUP(INDIRECT(ADDRESS(2,COLUMN())),OFFSET($BN$2,0,0,ROW()-1,60),ROW()-1,FALSE))</f>
        <v>2.0379999999999998</v>
      </c>
      <c r="H192">
        <f ca="1">IF(AND(ISNUMBER($H$395),$B$226=1),$H$395,HLOOKUP(INDIRECT(ADDRESS(2,COLUMN())),OFFSET($BN$2,0,0,ROW()-1,60),ROW()-1,FALSE))</f>
        <v>1.788</v>
      </c>
      <c r="I192">
        <f ca="1">IF(AND(ISNUMBER($I$395),$B$226=1),$I$395,HLOOKUP(INDIRECT(ADDRESS(2,COLUMN())),OFFSET($BN$2,0,0,ROW()-1,60),ROW()-1,FALSE))</f>
        <v>1.411</v>
      </c>
      <c r="J192">
        <f ca="1">IF(AND(ISNUMBER($J$395),$B$226=1),$J$395,HLOOKUP(INDIRECT(ADDRESS(2,COLUMN())),OFFSET($BN$2,0,0,ROW()-1,60),ROW()-1,FALSE))</f>
        <v>2.46</v>
      </c>
      <c r="K192">
        <f ca="1">IF(AND(ISNUMBER($K$395),$B$226=1),$K$395,HLOOKUP(INDIRECT(ADDRESS(2,COLUMN())),OFFSET($BN$2,0,0,ROW()-1,60),ROW()-1,FALSE))</f>
        <v>2.1120000000000001</v>
      </c>
      <c r="L192">
        <f ca="1">IF(AND(ISNUMBER($L$395),$B$226=1),$L$395,HLOOKUP(INDIRECT(ADDRESS(2,COLUMN())),OFFSET($BN$2,0,0,ROW()-1,60),ROW()-1,FALSE))</f>
        <v>3.3010000000000002</v>
      </c>
      <c r="M192">
        <f ca="1">IF(AND(ISNUMBER($M$395),$B$226=1),$M$395,HLOOKUP(INDIRECT(ADDRESS(2,COLUMN())),OFFSET($BN$2,0,0,ROW()-1,60),ROW()-1,FALSE))</f>
        <v>5.1669999999999998</v>
      </c>
      <c r="N192">
        <f ca="1">IF(AND(ISNUMBER($N$395),$B$226=1),$N$395,HLOOKUP(INDIRECT(ADDRESS(2,COLUMN())),OFFSET($BN$2,0,0,ROW()-1,60),ROW()-1,FALSE))</f>
        <v>3.6680000000000001</v>
      </c>
      <c r="O192">
        <f ca="1">IF(AND(ISNUMBER($O$395),$B$226=1),$O$395,HLOOKUP(INDIRECT(ADDRESS(2,COLUMN())),OFFSET($BN$2,0,0,ROW()-1,60),ROW()-1,FALSE))</f>
        <v>6.742</v>
      </c>
      <c r="P192">
        <f ca="1">IF(AND(ISNUMBER($P$395),$B$226=1),$P$395,HLOOKUP(INDIRECT(ADDRESS(2,COLUMN())),OFFSET($BN$2,0,0,ROW()-1,60),ROW()-1,FALSE))</f>
        <v>1.321</v>
      </c>
      <c r="Q192">
        <f ca="1">IF(AND(ISNUMBER($Q$395),$B$226=1),$Q$395,HLOOKUP(INDIRECT(ADDRESS(2,COLUMN())),OFFSET($BN$2,0,0,ROW()-1,60),ROW()-1,FALSE))</f>
        <v>2.99</v>
      </c>
      <c r="R192">
        <f ca="1">IF(AND(ISNUMBER($R$395),$B$226=1),$R$395,HLOOKUP(INDIRECT(ADDRESS(2,COLUMN())),OFFSET($BN$2,0,0,ROW()-1,60),ROW()-1,FALSE))</f>
        <v>6.274</v>
      </c>
      <c r="S192">
        <f ca="1">IF(AND(ISNUMBER($S$395),$B$226=1),$S$395,HLOOKUP(INDIRECT(ADDRESS(2,COLUMN())),OFFSET($BN$2,0,0,ROW()-1,60),ROW()-1,FALSE))</f>
        <v>15.224</v>
      </c>
      <c r="T192">
        <f ca="1">IF(AND(ISNUMBER($T$395),$B$226=1),$T$395,HLOOKUP(INDIRECT(ADDRESS(2,COLUMN())),OFFSET($BN$2,0,0,ROW()-1,60),ROW()-1,FALSE))</f>
        <v>14.605</v>
      </c>
      <c r="U192">
        <f ca="1">IF(AND(ISNUMBER($U$395),$B$226=1),$U$395,HLOOKUP(INDIRECT(ADDRESS(2,COLUMN())),OFFSET($BN$2,0,0,ROW()-1,60),ROW()-1,FALSE))</f>
        <v>26.815999999999999</v>
      </c>
      <c r="V192">
        <f ca="1">IF(AND(ISNUMBER($V$395),$B$226=1),$V$395,HLOOKUP(INDIRECT(ADDRESS(2,COLUMN())),OFFSET($BN$2,0,0,ROW()-1,60),ROW()-1,FALSE))</f>
        <v>15.891</v>
      </c>
      <c r="W192">
        <f ca="1">IF(AND(ISNUMBER($W$395),$B$226=1),$W$395,HLOOKUP(INDIRECT(ADDRESS(2,COLUMN())),OFFSET($BN$2,0,0,ROW()-1,60),ROW()-1,FALSE))</f>
        <v>30.248999999999999</v>
      </c>
      <c r="X192">
        <f ca="1">IF(AND(ISNUMBER($X$395),$B$226=1),$X$395,HLOOKUP(INDIRECT(ADDRESS(2,COLUMN())),OFFSET($BN$2,0,0,ROW()-1,60),ROW()-1,FALSE))</f>
        <v>11.148999999999999</v>
      </c>
      <c r="Y192">
        <f ca="1">IF(AND(ISNUMBER($Y$395),$B$226=1),$Y$395,HLOOKUP(INDIRECT(ADDRESS(2,COLUMN())),OFFSET($BN$2,0,0,ROW()-1,60),ROW()-1,FALSE))</f>
        <v>9.0350000000000001</v>
      </c>
      <c r="Z192">
        <f ca="1">IF(AND(ISNUMBER($Z$395),$B$226=1),$Z$395,HLOOKUP(INDIRECT(ADDRESS(2,COLUMN())),OFFSET($BN$2,0,0,ROW()-1,60),ROW()-1,FALSE))</f>
        <v>7.1210000000000004</v>
      </c>
      <c r="AA192">
        <f ca="1">IF(AND(ISNUMBER($AA$395),$B$226=1),$AA$395,HLOOKUP(INDIRECT(ADDRESS(2,COLUMN())),OFFSET($BN$2,0,0,ROW()-1,60),ROW()-1,FALSE))</f>
        <v>12.115</v>
      </c>
      <c r="AB192">
        <f ca="1">IF(AND(ISNUMBER($AB$395),$B$226=1),$AB$395,HLOOKUP(INDIRECT(ADDRESS(2,COLUMN())),OFFSET($BN$2,0,0,ROW()-1,60),ROW()-1,FALSE))</f>
        <v>82.376999999999995</v>
      </c>
      <c r="AC192">
        <f ca="1">IF(AND(ISNUMBER($AC$395),$B$226=1),$AC$395,HLOOKUP(INDIRECT(ADDRESS(2,COLUMN())),OFFSET($BN$2,0,0,ROW()-1,60),ROW()-1,FALSE))</f>
        <v>184.11199999999999</v>
      </c>
      <c r="AD192">
        <f ca="1">IF(AND(ISNUMBER($AD$395),$B$226=1),$AD$395,HLOOKUP(INDIRECT(ADDRESS(2,COLUMN())),OFFSET($BN$2,0,0,ROW()-1,60),ROW()-1,FALSE))</f>
        <v>3.5579999999999998</v>
      </c>
      <c r="AE192">
        <f ca="1">IF(AND(ISNUMBER($AE$395),$B$226=1),$AE$395,HLOOKUP(INDIRECT(ADDRESS(2,COLUMN())),OFFSET($BN$2,0,0,ROW()-1,60),ROW()-1,FALSE))</f>
        <v>12.503</v>
      </c>
      <c r="AF192">
        <f ca="1">IF(AND(ISNUMBER($AF$395),$B$226=1),$AF$395,HLOOKUP(INDIRECT(ADDRESS(2,COLUMN())),OFFSET($BN$2,0,0,ROW()-1,60),ROW()-1,FALSE))</f>
        <v>13.481999999999999</v>
      </c>
      <c r="AG192">
        <f ca="1">IF(AND(ISNUMBER($AG$395),$B$226=1),$AG$395,HLOOKUP(INDIRECT(ADDRESS(2,COLUMN())),OFFSET($BN$2,0,0,ROW()-1,60),ROW()-1,FALSE))</f>
        <v>21.634</v>
      </c>
      <c r="AH192">
        <f ca="1">IF(AND(ISNUMBER($AH$395),$B$226=1),$AH$395,HLOOKUP(INDIRECT(ADDRESS(2,COLUMN())),OFFSET($BN$2,0,0,ROW()-1,60),ROW()-1,FALSE))</f>
        <v>11.692</v>
      </c>
      <c r="AI192">
        <f ca="1">IF(AND(ISNUMBER($AI$395),$B$226=1),$AI$395,HLOOKUP(INDIRECT(ADDRESS(2,COLUMN())),OFFSET($BN$2,0,0,ROW()-1,60),ROW()-1,FALSE))</f>
        <v>9.4860000000000007</v>
      </c>
      <c r="AJ192">
        <f ca="1">IF(AND(ISNUMBER($AJ$395),$B$226=1),$AJ$395,HLOOKUP(INDIRECT(ADDRESS(2,COLUMN())),OFFSET($BN$2,0,0,ROW()-1,60),ROW()-1,FALSE))</f>
        <v>10.106999999999999</v>
      </c>
      <c r="AK192">
        <f ca="1">IF(AND(ISNUMBER($AK$395),$B$226=1),$AK$395,HLOOKUP(INDIRECT(ADDRESS(2,COLUMN())),OFFSET($BN$2,0,0,ROW()-1,60),ROW()-1,FALSE))</f>
        <v>8.0739999999999998</v>
      </c>
      <c r="AL192">
        <f ca="1">IF(AND(ISNUMBER($AL$395),$B$226=1),$AL$395,HLOOKUP(INDIRECT(ADDRESS(2,COLUMN())),OFFSET($BN$2,0,0,ROW()-1,60),ROW()-1,FALSE))</f>
        <v>19.920000000000002</v>
      </c>
      <c r="AM192">
        <f ca="1">IF(AND(ISNUMBER($AM$395),$B$226=1),$AM$395,HLOOKUP(INDIRECT(ADDRESS(2,COLUMN())),OFFSET($BN$2,0,0,ROW()-1,60),ROW()-1,FALSE))</f>
        <v>5.9850000000000003</v>
      </c>
      <c r="AN192">
        <f ca="1">IF(AND(ISNUMBER($AN$395),$B$226=1),$AN$395,HLOOKUP(INDIRECT(ADDRESS(2,COLUMN())),OFFSET($BN$2,0,0,ROW()-1,60),ROW()-1,FALSE))</f>
        <v>24.954000000000001</v>
      </c>
      <c r="AO192">
        <f ca="1">IF(AND(ISNUMBER($AO$395),$B$226=1),$AO$395,HLOOKUP(INDIRECT(ADDRESS(2,COLUMN())),OFFSET($BN$2,0,0,ROW()-1,60),ROW()-1,FALSE))</f>
        <v>4.9829999999999997</v>
      </c>
      <c r="AP192">
        <f ca="1">IF(AND(ISNUMBER($AP$395),$B$226=1),$AP$395,HLOOKUP(INDIRECT(ADDRESS(2,COLUMN())),OFFSET($BN$2,0,0,ROW()-1,60),ROW()-1,FALSE))</f>
        <v>37.131999999999998</v>
      </c>
      <c r="AQ192">
        <f ca="1">IF(AND(ISNUMBER($AQ$395),$B$226=1),$AQ$395,HLOOKUP(INDIRECT(ADDRESS(2,COLUMN())),OFFSET($BN$2,0,0,ROW()-1,60),ROW()-1,FALSE))</f>
        <v>12.74</v>
      </c>
      <c r="AR192">
        <f ca="1">IF(AND(ISNUMBER($AR$395),$B$226=1),$AR$395,HLOOKUP(INDIRECT(ADDRESS(2,COLUMN())),OFFSET($BN$2,0,0,ROW()-1,60),ROW()-1,FALSE))</f>
        <v>2.8610000000000002</v>
      </c>
      <c r="AS192">
        <f ca="1">IF(AND(ISNUMBER($AS$395),$B$226=1),$AS$395,HLOOKUP(INDIRECT(ADDRESS(2,COLUMN())),OFFSET($BN$2,0,0,ROW()-1,60),ROW()-1,FALSE))</f>
        <v>1.4119999999999999</v>
      </c>
      <c r="AT192">
        <f ca="1">IF(AND(ISNUMBER($AT$395),$B$226=1),$AT$395,HLOOKUP(INDIRECT(ADDRESS(2,COLUMN())),OFFSET($BN$2,0,0,ROW()-1,60),ROW()-1,FALSE))</f>
        <v>60.186999999999998</v>
      </c>
      <c r="AU192">
        <f ca="1">IF(AND(ISNUMBER($AU$395),$B$226=1),$AU$395,HLOOKUP(INDIRECT(ADDRESS(2,COLUMN())),OFFSET($BN$2,0,0,ROW()-1,60),ROW()-1,FALSE))</f>
        <v>3.2189999999999999</v>
      </c>
      <c r="AV192">
        <f ca="1">IF(AND(ISNUMBER($AV$395),$B$226=1),$AV$395,HLOOKUP(INDIRECT(ADDRESS(2,COLUMN())),OFFSET($BN$2,0,0,ROW()-1,60),ROW()-1,FALSE))</f>
        <v>2.3530000000000002</v>
      </c>
      <c r="AW192">
        <f ca="1">IF(AND(ISNUMBER($AW$395),$B$226=1),$AW$395,HLOOKUP(INDIRECT(ADDRESS(2,COLUMN())),OFFSET($BN$2,0,0,ROW()-1,60),ROW()-1,FALSE))</f>
        <v>2.9279999999999999</v>
      </c>
      <c r="AX192">
        <f ca="1">IF(AND(ISNUMBER($AX$395),$B$226=1),$AX$395,HLOOKUP(INDIRECT(ADDRESS(2,COLUMN())),OFFSET($BN$2,0,0,ROW()-1,60),ROW()-1,FALSE))</f>
        <v>1.6759999999999999</v>
      </c>
      <c r="AY192">
        <f ca="1">IF(AND(ISNUMBER($AY$395),$B$226=1),$AY$395,HLOOKUP(INDIRECT(ADDRESS(2,COLUMN())),OFFSET($BN$2,0,0,ROW()-1,60),ROW()-1,FALSE))</f>
        <v>2.1429999999999998</v>
      </c>
      <c r="AZ192">
        <f ca="1">IF(AND(ISNUMBER($AZ$395),$B$226=1),$AZ$395,HLOOKUP(INDIRECT(ADDRESS(2,COLUMN())),OFFSET($BN$2,0,0,ROW()-1,60),ROW()-1,FALSE))</f>
        <v>28.748000000000001</v>
      </c>
      <c r="BA192">
        <f ca="1">IF(AND(ISNUMBER($BA$395),$B$226=1),$BA$395,HLOOKUP(INDIRECT(ADDRESS(2,COLUMN())),OFFSET($BN$2,0,0,ROW()-1,60),ROW()-1,FALSE))</f>
        <v>6.29</v>
      </c>
      <c r="BB192">
        <f ca="1">IF(AND(ISNUMBER($BB$395),$B$226=1),$BB$395,HLOOKUP(INDIRECT(ADDRESS(2,COLUMN())),OFFSET($BN$2,0,0,ROW()-1,60),ROW()-1,FALSE))</f>
        <v>36.335999999999999</v>
      </c>
      <c r="BC192">
        <f ca="1">IF(AND(ISNUMBER($BC$395),$B$226=1),$BC$395,HLOOKUP(INDIRECT(ADDRESS(2,COLUMN())),OFFSET($BN$2,0,0,ROW()-1,60),ROW()-1,FALSE))</f>
        <v>15.542999999999999</v>
      </c>
      <c r="BD192">
        <f ca="1">IF(AND(ISNUMBER($BD$395),$B$226=1),$BD$395,HLOOKUP(INDIRECT(ADDRESS(2,COLUMN())),OFFSET($BN$2,0,0,ROW()-1,60),ROW()-1,FALSE))</f>
        <v>5.48</v>
      </c>
      <c r="BE192">
        <f ca="1">IF(AND(ISNUMBER($BE$395),$B$226=1),$BE$395,HLOOKUP(INDIRECT(ADDRESS(2,COLUMN())),OFFSET($BN$2,0,0,ROW()-1,60),ROW()-1,FALSE))</f>
        <v>6.1669999999999998</v>
      </c>
      <c r="BF192">
        <f ca="1">IF(AND(ISNUMBER($BF$395),$B$226=1),$BF$395,HLOOKUP(INDIRECT(ADDRESS(2,COLUMN())),OFFSET($BN$2,0,0,ROW()-1,60),ROW()-1,FALSE))</f>
        <v>1.661</v>
      </c>
      <c r="BG192">
        <f ca="1">IF(AND(ISNUMBER($BG$395),$B$226=1),$BG$395,HLOOKUP(INDIRECT(ADDRESS(2,COLUMN())),OFFSET($BN$2,0,0,ROW()-1,60),ROW()-1,FALSE))</f>
        <v>7.9039999999999999</v>
      </c>
      <c r="BH192">
        <f ca="1">IF(AND(ISNUMBER($BH$395),$B$226=1),$BH$395,HLOOKUP(INDIRECT(ADDRESS(2,COLUMN())),OFFSET($BN$2,0,0,ROW()-1,60),ROW()-1,FALSE))</f>
        <v>1.988</v>
      </c>
      <c r="BI192">
        <f ca="1">IF(AND(ISNUMBER($BI$395),$B$226=1),$BI$395,HLOOKUP(INDIRECT(ADDRESS(2,COLUMN())),OFFSET($BN$2,0,0,ROW()-1,60),ROW()-1,FALSE))</f>
        <v>0.753</v>
      </c>
      <c r="BJ192">
        <f ca="1">IF(AND(ISNUMBER($BJ$395),$B$226=1),$BJ$395,HLOOKUP(INDIRECT(ADDRESS(2,COLUMN())),OFFSET($BN$2,0,0,ROW()-1,60),ROW()-1,FALSE))</f>
        <v>1.9730000000000001</v>
      </c>
      <c r="BK192">
        <f ca="1">IF(AND(ISNUMBER($BK$395),$B$226=1),$BK$395,HLOOKUP(INDIRECT(ADDRESS(2,COLUMN())),OFFSET($BN$2,0,0,ROW()-1,60),ROW()-1,FALSE))</f>
        <v>4.8239999999999998</v>
      </c>
      <c r="BL192">
        <f ca="1">IF(AND(ISNUMBER($BL$395),$B$226=1),$BL$395,HLOOKUP(INDIRECT(ADDRESS(2,COLUMN())),OFFSET($BN$2,0,0,ROW()-1,60),ROW()-1,FALSE))</f>
        <v>12.94</v>
      </c>
      <c r="BM192">
        <f ca="1">IF(AND(ISNUMBER($BM$395),$B$226=1),$BM$395,HLOOKUP(INDIRECT(ADDRESS(2,COLUMN())),OFFSET($BN$2,0,0,ROW()-1,60),ROW()-1,FALSE))</f>
        <v>1.627</v>
      </c>
      <c r="BN192" t="str">
        <f>""</f>
        <v/>
      </c>
      <c r="BO192">
        <f>2.038</f>
        <v>2.0379999999999998</v>
      </c>
      <c r="BP192">
        <f>1.788</f>
        <v>1.788</v>
      </c>
      <c r="BQ192">
        <f>1.411</f>
        <v>1.411</v>
      </c>
      <c r="BR192">
        <f>2.46</f>
        <v>2.46</v>
      </c>
      <c r="BS192">
        <f>2.112</f>
        <v>2.1120000000000001</v>
      </c>
      <c r="BT192">
        <f>3.301</f>
        <v>3.3010000000000002</v>
      </c>
      <c r="BU192">
        <f>5.167</f>
        <v>5.1669999999999998</v>
      </c>
      <c r="BV192">
        <f>3.668</f>
        <v>3.6680000000000001</v>
      </c>
      <c r="BW192">
        <f>6.742</f>
        <v>6.742</v>
      </c>
      <c r="BX192">
        <f>1.321</f>
        <v>1.321</v>
      </c>
      <c r="BY192">
        <f>2.99</f>
        <v>2.99</v>
      </c>
      <c r="BZ192">
        <f>6.274</f>
        <v>6.274</v>
      </c>
      <c r="CA192">
        <f>15.224</f>
        <v>15.224</v>
      </c>
      <c r="CB192">
        <f>14.605</f>
        <v>14.605</v>
      </c>
      <c r="CC192">
        <f>26.816</f>
        <v>26.815999999999999</v>
      </c>
      <c r="CD192">
        <f>15.891</f>
        <v>15.891</v>
      </c>
      <c r="CE192">
        <f>30.249</f>
        <v>30.248999999999999</v>
      </c>
      <c r="CF192">
        <f>11.149</f>
        <v>11.148999999999999</v>
      </c>
      <c r="CG192">
        <f>9.035</f>
        <v>9.0350000000000001</v>
      </c>
      <c r="CH192">
        <f>7.121</f>
        <v>7.1210000000000004</v>
      </c>
      <c r="CI192">
        <f>12.115</f>
        <v>12.115</v>
      </c>
      <c r="CJ192">
        <f>82.377</f>
        <v>82.376999999999995</v>
      </c>
      <c r="CK192">
        <f>184.112</f>
        <v>184.11199999999999</v>
      </c>
      <c r="CL192">
        <f>3.558</f>
        <v>3.5579999999999998</v>
      </c>
      <c r="CM192">
        <f>12.503</f>
        <v>12.503</v>
      </c>
      <c r="CN192">
        <f>13.482</f>
        <v>13.481999999999999</v>
      </c>
      <c r="CO192">
        <f>21.634</f>
        <v>21.634</v>
      </c>
      <c r="CP192">
        <f>11.692</f>
        <v>11.692</v>
      </c>
      <c r="CQ192">
        <f>9.486</f>
        <v>9.4860000000000007</v>
      </c>
      <c r="CR192">
        <f>10.107</f>
        <v>10.106999999999999</v>
      </c>
      <c r="CS192">
        <f>8.074</f>
        <v>8.0739999999999998</v>
      </c>
      <c r="CT192">
        <f>19.92</f>
        <v>19.920000000000002</v>
      </c>
      <c r="CU192">
        <f>5.985</f>
        <v>5.9850000000000003</v>
      </c>
      <c r="CV192">
        <f>24.954</f>
        <v>24.954000000000001</v>
      </c>
      <c r="CW192">
        <f>4.983</f>
        <v>4.9829999999999997</v>
      </c>
      <c r="CX192">
        <f>37.132</f>
        <v>37.131999999999998</v>
      </c>
      <c r="CY192">
        <f>12.74</f>
        <v>12.74</v>
      </c>
      <c r="CZ192">
        <f>2.861</f>
        <v>2.8610000000000002</v>
      </c>
      <c r="DA192">
        <f>1.412</f>
        <v>1.4119999999999999</v>
      </c>
      <c r="DB192">
        <f>60.187</f>
        <v>60.186999999999998</v>
      </c>
      <c r="DC192">
        <f>3.219</f>
        <v>3.2189999999999999</v>
      </c>
      <c r="DD192">
        <f>2.353</f>
        <v>2.3530000000000002</v>
      </c>
      <c r="DE192">
        <f>2.928</f>
        <v>2.9279999999999999</v>
      </c>
      <c r="DF192">
        <f>1.676</f>
        <v>1.6759999999999999</v>
      </c>
      <c r="DG192">
        <f>2.143</f>
        <v>2.1429999999999998</v>
      </c>
      <c r="DH192">
        <f>28.748</f>
        <v>28.748000000000001</v>
      </c>
      <c r="DI192">
        <f>6.29</f>
        <v>6.29</v>
      </c>
      <c r="DJ192">
        <f>36.336</f>
        <v>36.335999999999999</v>
      </c>
      <c r="DK192">
        <f>15.543</f>
        <v>15.542999999999999</v>
      </c>
      <c r="DL192">
        <f>5.48</f>
        <v>5.48</v>
      </c>
      <c r="DM192">
        <f>6.167</f>
        <v>6.1669999999999998</v>
      </c>
      <c r="DN192">
        <f>1.661</f>
        <v>1.661</v>
      </c>
      <c r="DO192">
        <f>7.904</f>
        <v>7.9039999999999999</v>
      </c>
      <c r="DP192">
        <f>1.988</f>
        <v>1.988</v>
      </c>
      <c r="DQ192">
        <f>0.753</f>
        <v>0.753</v>
      </c>
      <c r="DR192">
        <f>1.973</f>
        <v>1.9730000000000001</v>
      </c>
      <c r="DS192">
        <f>4.824</f>
        <v>4.8239999999999998</v>
      </c>
      <c r="DT192">
        <f>12.94</f>
        <v>12.94</v>
      </c>
      <c r="DU192">
        <f>1.627</f>
        <v>1.627</v>
      </c>
    </row>
    <row r="193" spans="1:125">
      <c r="A193" t="str">
        <f>"自由现金流减去资本支出"</f>
        <v>自由现金流减去资本支出</v>
      </c>
      <c r="B193" t="str">
        <f>""</f>
        <v/>
      </c>
      <c r="E193" t="str">
        <f>"Median"</f>
        <v>Median</v>
      </c>
      <c r="F193" t="str">
        <f ca="1">IF(ISERROR(IF(MEDIAN($F$194:$F$201) = 0, "", MEDIAN($F$194:$F$201))), "", (IF(MEDIAN($F$194:$F$201) = 0, "", MEDIAN($F$194:$F$201))))</f>
        <v/>
      </c>
      <c r="G193">
        <f ca="1">IF(ISERROR(IF(MEDIAN($G$194:$G$201) = 0, "", MEDIAN($G$194:$G$201))), "", (IF(MEDIAN($G$194:$G$201) = 0, "", MEDIAN($G$194:$G$201))))</f>
        <v>15.513499999999999</v>
      </c>
      <c r="H193">
        <f ca="1">IF(ISERROR(IF(MEDIAN($H$194:$H$201) = 0, "", MEDIAN($H$194:$H$201))), "", (IF(MEDIAN($H$194:$H$201) = 0, "", MEDIAN($H$194:$H$201))))</f>
        <v>-10.688999999999993</v>
      </c>
      <c r="I193">
        <f ca="1">IF(ISERROR(IF(MEDIAN($I$194:$I$201) = 0, "", MEDIAN($I$194:$I$201))), "", (IF(MEDIAN($I$194:$I$201) = 0, "", MEDIAN($I$194:$I$201))))</f>
        <v>34.576499999999996</v>
      </c>
      <c r="J193">
        <f ca="1">IF(ISERROR(IF(MEDIAN($J$194:$J$201) = 0, "", MEDIAN($J$194:$J$201))), "", (IF(MEDIAN($J$194:$J$201) = 0, "", MEDIAN($J$194:$J$201))))</f>
        <v>-13.019</v>
      </c>
      <c r="K193">
        <f ca="1">IF(ISERROR(IF(MEDIAN($K$194:$K$201) = 0, "", MEDIAN($K$194:$K$201))), "", (IF(MEDIAN($K$194:$K$201) = 0, "", MEDIAN($K$194:$K$201))))</f>
        <v>-61.790500000000002</v>
      </c>
      <c r="L193">
        <f ca="1">IF(ISERROR(IF(MEDIAN($L$194:$L$201) = 0, "", MEDIAN($L$194:$L$201))), "", (IF(MEDIAN($L$194:$L$201) = 0, "", MEDIAN($L$194:$L$201))))</f>
        <v>7.3660000000000032</v>
      </c>
      <c r="M193">
        <f ca="1">IF(ISERROR(IF(MEDIAN($M$194:$M$201) = 0, "", MEDIAN($M$194:$M$201))), "", (IF(MEDIAN($M$194:$M$201) = 0, "", MEDIAN($M$194:$M$201))))</f>
        <v>25.608499999999999</v>
      </c>
      <c r="N193">
        <f ca="1">IF(ISERROR(IF(MEDIAN($N$194:$N$201) = 0, "", MEDIAN($N$194:$N$201))), "", (IF(MEDIAN($N$194:$N$201) = 0, "", MEDIAN($N$194:$N$201))))</f>
        <v>-9.5090000000000003</v>
      </c>
      <c r="O193">
        <f ca="1">IF(ISERROR(IF(MEDIAN($O$194:$O$201) = 0, "", MEDIAN($O$194:$O$201))), "", (IF(MEDIAN($O$194:$O$201) = 0, "", MEDIAN($O$194:$O$201))))</f>
        <v>-35.662500000000001</v>
      </c>
      <c r="P193">
        <f ca="1">IF(ISERROR(IF(MEDIAN($P$194:$P$201) = 0, "", MEDIAN($P$194:$P$201))), "", (IF(MEDIAN($P$194:$P$201) = 0, "", MEDIAN($P$194:$P$201))))</f>
        <v>10.415500000000002</v>
      </c>
      <c r="Q193">
        <f ca="1">IF(ISERROR(IF(MEDIAN($Q$194:$Q$201) = 0, "", MEDIAN($Q$194:$Q$201))), "", (IF(MEDIAN($Q$194:$Q$201) = 0, "", MEDIAN($Q$194:$Q$201))))</f>
        <v>-38.652999999999999</v>
      </c>
      <c r="R193">
        <f ca="1">IF(ISERROR(IF(MEDIAN($R$194:$R$201) = 0, "", MEDIAN($R$194:$R$201))), "", (IF(MEDIAN($R$194:$R$201) = 0, "", MEDIAN($R$194:$R$201))))</f>
        <v>-18.240000000000002</v>
      </c>
      <c r="S193">
        <f ca="1">IF(ISERROR(IF(MEDIAN($S$194:$S$201) = 0, "", MEDIAN($S$194:$S$201))), "", (IF(MEDIAN($S$194:$S$201) = 0, "", MEDIAN($S$194:$S$201))))</f>
        <v>-31.512</v>
      </c>
      <c r="T193">
        <f ca="1">IF(ISERROR(IF(MEDIAN($T$194:$T$201) = 0, "", MEDIAN($T$194:$T$201))), "", (IF(MEDIAN($T$194:$T$201) = 0, "", MEDIAN($T$194:$T$201))))</f>
        <v>-33.447499999999998</v>
      </c>
      <c r="U193">
        <f ca="1">IF(ISERROR(IF(MEDIAN($U$194:$U$201) = 0, "", MEDIAN($U$194:$U$201))), "", (IF(MEDIAN($U$194:$U$201) = 0, "", MEDIAN($U$194:$U$201))))</f>
        <v>-54.951499999999996</v>
      </c>
      <c r="V193">
        <f ca="1">IF(ISERROR(IF(MEDIAN($V$194:$V$201) = 0, "", MEDIAN($V$194:$V$201))), "", (IF(MEDIAN($V$194:$V$201) = 0, "", MEDIAN($V$194:$V$201))))</f>
        <v>-19.3355</v>
      </c>
      <c r="W193">
        <f ca="1">IF(ISERROR(IF(MEDIAN($W$194:$W$201) = 0, "", MEDIAN($W$194:$W$201))), "", (IF(MEDIAN($W$194:$W$201) = 0, "", MEDIAN($W$194:$W$201))))</f>
        <v>-69.496499999999997</v>
      </c>
      <c r="X193">
        <f ca="1">IF(ISERROR(IF(MEDIAN($X$194:$X$201) = 0, "", MEDIAN($X$194:$X$201))), "", (IF(MEDIAN($X$194:$X$201) = 0, "", MEDIAN($X$194:$X$201))))</f>
        <v>2.3134999999999999</v>
      </c>
      <c r="Y193">
        <f ca="1">IF(ISERROR(IF(MEDIAN($Y$194:$Y$201) = 0, "", MEDIAN($Y$194:$Y$201))), "", (IF(MEDIAN($Y$194:$Y$201) = 0, "", MEDIAN($Y$194:$Y$201))))</f>
        <v>-28.063499999999998</v>
      </c>
      <c r="Z193">
        <f ca="1">IF(ISERROR(IF(MEDIAN($Z$194:$Z$201) = 0, "", MEDIAN($Z$194:$Z$201))), "", (IF(MEDIAN($Z$194:$Z$201) = 0, "", MEDIAN($Z$194:$Z$201))))</f>
        <v>-35.418500000000002</v>
      </c>
      <c r="AA193">
        <f ca="1">IF(ISERROR(IF(MEDIAN($AA$194:$AA$201) = 0, "", MEDIAN($AA$194:$AA$201))), "", (IF(MEDIAN($AA$194:$AA$201) = 0, "", MEDIAN($AA$194:$AA$201))))</f>
        <v>-174.26050000000001</v>
      </c>
      <c r="AB193">
        <f ca="1">IF(ISERROR(IF(MEDIAN($AB$194:$AB$201) = 0, "", MEDIAN($AB$194:$AB$201))), "", (IF(MEDIAN($AB$194:$AB$201) = 0, "", MEDIAN($AB$194:$AB$201))))</f>
        <v>-65.638999999999996</v>
      </c>
      <c r="AC193">
        <f ca="1">IF(ISERROR(IF(MEDIAN($AC$194:$AC$201) = 0, "", MEDIAN($AC$194:$AC$201))), "", (IF(MEDIAN($AC$194:$AC$201) = 0, "", MEDIAN($AC$194:$AC$201))))</f>
        <v>-25.190999999999999</v>
      </c>
      <c r="AD193">
        <f ca="1">IF(ISERROR(IF(MEDIAN($AD$194:$AD$201) = 0, "", MEDIAN($AD$194:$AD$201))), "", (IF(MEDIAN($AD$194:$AD$201) = 0, "", MEDIAN($AD$194:$AD$201))))</f>
        <v>-13.494</v>
      </c>
      <c r="AE193">
        <f ca="1">IF(ISERROR(IF(MEDIAN($AE$194:$AE$201) = 0, "", MEDIAN($AE$194:$AE$201))), "", (IF(MEDIAN($AE$194:$AE$201) = 0, "", MEDIAN($AE$194:$AE$201))))</f>
        <v>-67.525999999999996</v>
      </c>
      <c r="AF193">
        <f ca="1">IF(ISERROR(IF(MEDIAN($AF$194:$AF$201) = 0, "", MEDIAN($AF$194:$AF$201))), "", (IF(MEDIAN($AF$194:$AF$201) = 0, "", MEDIAN($AF$194:$AF$201))))</f>
        <v>-34.024000000000001</v>
      </c>
      <c r="AG193">
        <f ca="1">IF(ISERROR(IF(MEDIAN($AG$194:$AG$201) = 0, "", MEDIAN($AG$194:$AG$201))), "", (IF(MEDIAN($AG$194:$AG$201) = 0, "", MEDIAN($AG$194:$AG$201))))</f>
        <v>-77.774000000000001</v>
      </c>
      <c r="AH193">
        <f ca="1">IF(ISERROR(IF(MEDIAN($AH$194:$AH$201) = 0, "", MEDIAN($AH$194:$AH$201))), "", (IF(MEDIAN($AH$194:$AH$201) = 0, "", MEDIAN($AH$194:$AH$201))))</f>
        <v>-14.978</v>
      </c>
      <c r="AI193">
        <f ca="1">IF(ISERROR(IF(MEDIAN($AI$194:$AI$201) = 0, "", MEDIAN($AI$194:$AI$201))), "", (IF(MEDIAN($AI$194:$AI$201) = 0, "", MEDIAN($AI$194:$AI$201))))</f>
        <v>-2.7669999999999999</v>
      </c>
      <c r="AJ193">
        <f ca="1">IF(ISERROR(IF(MEDIAN($AJ$194:$AJ$201) = 0, "", MEDIAN($AJ$194:$AJ$201))), "", (IF(MEDIAN($AJ$194:$AJ$201) = 0, "", MEDIAN($AJ$194:$AJ$201))))</f>
        <v>-100.72</v>
      </c>
      <c r="AK193">
        <f ca="1">IF(ISERROR(IF(MEDIAN($AK$194:$AK$201) = 0, "", MEDIAN($AK$194:$AK$201))), "", (IF(MEDIAN($AK$194:$AK$201) = 0, "", MEDIAN($AK$194:$AK$201))))</f>
        <v>-8.3740000000000006</v>
      </c>
      <c r="AL193">
        <f ca="1">IF(ISERROR(IF(MEDIAN($AL$194:$AL$201) = 0, "", MEDIAN($AL$194:$AL$201))), "", (IF(MEDIAN($AL$194:$AL$201) = 0, "", MEDIAN($AL$194:$AL$201))))</f>
        <v>0.79300000000000004</v>
      </c>
      <c r="AM193">
        <f ca="1">IF(ISERROR(IF(MEDIAN($AM$194:$AM$201) = 0, "", MEDIAN($AM$194:$AM$201))), "", (IF(MEDIAN($AM$194:$AM$201) = 0, "", MEDIAN($AM$194:$AM$201))))</f>
        <v>-33.152999999999999</v>
      </c>
      <c r="AN193">
        <f ca="1">IF(ISERROR(IF(MEDIAN($AN$194:$AN$201) = 0, "", MEDIAN($AN$194:$AN$201))), "", (IF(MEDIAN($AN$194:$AN$201) = 0, "", MEDIAN($AN$194:$AN$201))))</f>
        <v>20.754999999999999</v>
      </c>
      <c r="AO193">
        <f ca="1">IF(ISERROR(IF(MEDIAN($AO$194:$AO$201) = 0, "", MEDIAN($AO$194:$AO$201))), "", (IF(MEDIAN($AO$194:$AO$201) = 0, "", MEDIAN($AO$194:$AO$201))))</f>
        <v>-2.2629999999999999</v>
      </c>
      <c r="AP193">
        <f ca="1">IF(ISERROR(IF(MEDIAN($AP$194:$AP$201) = 0, "", MEDIAN($AP$194:$AP$201))), "", (IF(MEDIAN($AP$194:$AP$201) = 0, "", MEDIAN($AP$194:$AP$201))))</f>
        <v>17.809999999999999</v>
      </c>
      <c r="AQ193">
        <f ca="1">IF(ISERROR(IF(MEDIAN($AQ$194:$AQ$201) = 0, "", MEDIAN($AQ$194:$AQ$201))), "", (IF(MEDIAN($AQ$194:$AQ$201) = 0, "", MEDIAN($AQ$194:$AQ$201))))</f>
        <v>-10.719999999999999</v>
      </c>
      <c r="AR193">
        <f ca="1">IF(ISERROR(IF(MEDIAN($AR$194:$AR$201) = 0, "", MEDIAN($AR$194:$AR$201))), "", (IF(MEDIAN($AR$194:$AR$201) = 0, "", MEDIAN($AR$194:$AR$201))))</f>
        <v>-17.533999999999999</v>
      </c>
      <c r="AS193">
        <f ca="1">IF(ISERROR(IF(MEDIAN($AS$194:$AS$201) = 0, "", MEDIAN($AS$194:$AS$201))), "", (IF(MEDIAN($AS$194:$AS$201) = 0, "", MEDIAN($AS$194:$AS$201))))</f>
        <v>-63.33</v>
      </c>
      <c r="AT193">
        <f ca="1">IF(ISERROR(IF(MEDIAN($AT$194:$AT$201) = 0, "", MEDIAN($AT$194:$AT$201))), "", (IF(MEDIAN($AT$194:$AT$201) = 0, "", MEDIAN($AT$194:$AT$201))))</f>
        <v>-36.652000000000001</v>
      </c>
      <c r="AU193">
        <f ca="1">IF(ISERROR(IF(MEDIAN($AU$194:$AU$201) = 0, "", MEDIAN($AU$194:$AU$201))), "", (IF(MEDIAN($AU$194:$AU$201) = 0, "", MEDIAN($AU$194:$AU$201))))</f>
        <v>-42.506999999999998</v>
      </c>
      <c r="AV193">
        <f ca="1">IF(ISERROR(IF(MEDIAN($AV$194:$AV$201) = 0, "", MEDIAN($AV$194:$AV$201))), "", (IF(MEDIAN($AV$194:$AV$201) = 0, "", MEDIAN($AV$194:$AV$201))))</f>
        <v>-61.7</v>
      </c>
      <c r="AW193">
        <f ca="1">IF(ISERROR(IF(MEDIAN($AW$194:$AW$201) = 0, "", MEDIAN($AW$194:$AW$201))), "", (IF(MEDIAN($AW$194:$AW$201) = 0, "", MEDIAN($AW$194:$AW$201))))</f>
        <v>-93.045999999999992</v>
      </c>
      <c r="AX193">
        <f ca="1">IF(ISERROR(IF(MEDIAN($AX$194:$AX$201) = 0, "", MEDIAN($AX$194:$AX$201))), "", (IF(MEDIAN($AX$194:$AX$201) = 0, "", MEDIAN($AX$194:$AX$201))))</f>
        <v>-80.176999999999992</v>
      </c>
      <c r="AY193">
        <f ca="1">IF(ISERROR(IF(MEDIAN($AY$194:$AY$201) = 0, "", MEDIAN($AY$194:$AY$201))), "", (IF(MEDIAN($AY$194:$AY$201) = 0, "", MEDIAN($AY$194:$AY$201))))</f>
        <v>-44.521999999999998</v>
      </c>
      <c r="AZ193">
        <f ca="1">IF(ISERROR(IF(MEDIAN($AZ$194:$AZ$201) = 0, "", MEDIAN($AZ$194:$AZ$201))), "", (IF(MEDIAN($AZ$194:$AZ$201) = 0, "", MEDIAN($AZ$194:$AZ$201))))</f>
        <v>-73.748999999999995</v>
      </c>
      <c r="BA193">
        <f ca="1">IF(ISERROR(IF(MEDIAN($BA$194:$BA$201) = 0, "", MEDIAN($BA$194:$BA$201))), "", (IF(MEDIAN($BA$194:$BA$201) = 0, "", MEDIAN($BA$194:$BA$201))))</f>
        <v>-51.1175</v>
      </c>
      <c r="BB193">
        <f ca="1">IF(ISERROR(IF(MEDIAN($BB$194:$BB$201) = 0, "", MEDIAN($BB$194:$BB$201))), "", (IF(MEDIAN($BB$194:$BB$201) = 0, "", MEDIAN($BB$194:$BB$201))))</f>
        <v>-62.66</v>
      </c>
      <c r="BC193">
        <f ca="1">IF(ISERROR(IF(MEDIAN($BC$194:$BC$201) = 0, "", MEDIAN($BC$194:$BC$201))), "", (IF(MEDIAN($BC$194:$BC$201) = 0, "", MEDIAN($BC$194:$BC$201))))</f>
        <v>-49.221000000000004</v>
      </c>
      <c r="BD193">
        <f ca="1">IF(ISERROR(IF(MEDIAN($BD$194:$BD$201) = 0, "", MEDIAN($BD$194:$BD$201))), "", (IF(MEDIAN($BD$194:$BD$201) = 0, "", MEDIAN($BD$194:$BD$201))))</f>
        <v>-26.035499999999999</v>
      </c>
      <c r="BE193">
        <f ca="1">IF(ISERROR(IF(MEDIAN($BE$194:$BE$201) = 0, "", MEDIAN($BE$194:$BE$201))), "", (IF(MEDIAN($BE$194:$BE$201) = 0, "", MEDIAN($BE$194:$BE$201))))</f>
        <v>-19.256</v>
      </c>
      <c r="BF193">
        <f ca="1">IF(ISERROR(IF(MEDIAN($BF$194:$BF$201) = 0, "", MEDIAN($BF$194:$BF$201))), "", (IF(MEDIAN($BF$194:$BF$201) = 0, "", MEDIAN($BF$194:$BF$201))))</f>
        <v>-75.5505</v>
      </c>
      <c r="BG193">
        <f ca="1">IF(ISERROR(IF(MEDIAN($BG$194:$BG$201) = 0, "", MEDIAN($BG$194:$BG$201))), "", (IF(MEDIAN($BG$194:$BG$201) = 0, "", MEDIAN($BG$194:$BG$201))))</f>
        <v>-70.261996999999994</v>
      </c>
      <c r="BH193">
        <f ca="1">IF(ISERROR(IF(MEDIAN($BH$194:$BH$201) = 0, "", MEDIAN($BH$194:$BH$201))), "", (IF(MEDIAN($BH$194:$BH$201) = 0, "", MEDIAN($BH$194:$BH$201))))</f>
        <v>-18.295000999999999</v>
      </c>
      <c r="BI193">
        <f ca="1">IF(ISERROR(IF(MEDIAN($BI$194:$BI$201) = 0, "", MEDIAN($BI$194:$BI$201))), "", (IF(MEDIAN($BI$194:$BI$201) = 0, "", MEDIAN($BI$194:$BI$201))))</f>
        <v>-21.364000010000002</v>
      </c>
      <c r="BJ193">
        <f ca="1">IF(ISERROR(IF(MEDIAN($BJ$194:$BJ$201) = 0, "", MEDIAN($BJ$194:$BJ$201))), "", (IF(MEDIAN($BJ$194:$BJ$201) = 0, "", MEDIAN($BJ$194:$BJ$201))))</f>
        <v>-17.403998999999999</v>
      </c>
      <c r="BK193">
        <f ca="1">IF(ISERROR(IF(MEDIAN($BK$194:$BK$201) = 0, "", MEDIAN($BK$194:$BK$201))), "", (IF(MEDIAN($BK$194:$BK$201) = 0, "", MEDIAN($BK$194:$BK$201))))</f>
        <v>-36.32700062</v>
      </c>
      <c r="BL193">
        <f ca="1">IF(ISERROR(IF(MEDIAN($BL$194:$BL$201) = 0, "", MEDIAN($BL$194:$BL$201))), "", (IF(MEDIAN($BL$194:$BL$201) = 0, "", MEDIAN($BL$194:$BL$201))))</f>
        <v>11.9460005</v>
      </c>
      <c r="BM193">
        <f ca="1">IF(ISERROR(IF(MEDIAN($BM$194:$BM$201) = 0, "", MEDIAN($BM$194:$BM$201))), "", (IF(MEDIAN($BM$194:$BM$201) = 0, "", MEDIAN($BM$194:$BM$201))))</f>
        <v>-16.5034995</v>
      </c>
      <c r="BN193" t="str">
        <f>""</f>
        <v/>
      </c>
      <c r="BO193">
        <f>15.5135</f>
        <v>15.513500000000001</v>
      </c>
      <c r="BP193">
        <f>-10.689</f>
        <v>-10.689</v>
      </c>
      <c r="BQ193">
        <f>34.5765</f>
        <v>34.576500000000003</v>
      </c>
      <c r="BR193">
        <f>-13.019</f>
        <v>-13.019</v>
      </c>
      <c r="BS193">
        <f>-61.7905</f>
        <v>-61.790500000000002</v>
      </c>
      <c r="BT193">
        <f>7.366</f>
        <v>7.3659999999999997</v>
      </c>
      <c r="BU193">
        <f>25.6085</f>
        <v>25.608499999999999</v>
      </c>
      <c r="BV193">
        <f>-9.509</f>
        <v>-9.5090000000000003</v>
      </c>
      <c r="BW193">
        <f>-35.6625</f>
        <v>-35.662500000000001</v>
      </c>
      <c r="BX193">
        <f>10.4155</f>
        <v>10.4155</v>
      </c>
      <c r="BY193">
        <f>-38.653</f>
        <v>-38.652999999999999</v>
      </c>
      <c r="BZ193">
        <f>-18.24</f>
        <v>-18.239999999999998</v>
      </c>
      <c r="CA193">
        <f>-31.512</f>
        <v>-31.512</v>
      </c>
      <c r="CB193">
        <f>-33.4475</f>
        <v>-33.447499999999998</v>
      </c>
      <c r="CC193">
        <f>-54.9515</f>
        <v>-54.951500000000003</v>
      </c>
      <c r="CD193">
        <f>-19.3355</f>
        <v>-19.3355</v>
      </c>
      <c r="CE193">
        <f>-69.4965</f>
        <v>-69.496499999999997</v>
      </c>
      <c r="CF193">
        <f>2.3135</f>
        <v>2.3134999999999999</v>
      </c>
      <c r="CG193">
        <f>-28.0635</f>
        <v>-28.063500000000001</v>
      </c>
      <c r="CH193">
        <f>-35.4185</f>
        <v>-35.418500000000002</v>
      </c>
      <c r="CI193">
        <f>-174.2605</f>
        <v>-174.26050000000001</v>
      </c>
      <c r="CJ193">
        <f>-65.639</f>
        <v>-65.638999999999996</v>
      </c>
      <c r="CK193">
        <f>-25.191</f>
        <v>-25.190999999999999</v>
      </c>
      <c r="CL193">
        <f>-13.494</f>
        <v>-13.494</v>
      </c>
      <c r="CM193">
        <f>-67.526</f>
        <v>-67.525999999999996</v>
      </c>
      <c r="CN193">
        <f>-34.024</f>
        <v>-34.024000000000001</v>
      </c>
      <c r="CO193">
        <f>-77.774</f>
        <v>-77.774000000000001</v>
      </c>
      <c r="CP193">
        <f>-14.978</f>
        <v>-14.978</v>
      </c>
      <c r="CQ193">
        <f>-2.767</f>
        <v>-2.7669999999999999</v>
      </c>
      <c r="CR193">
        <f>-100.72</f>
        <v>-100.72</v>
      </c>
      <c r="CS193">
        <f>-8.374</f>
        <v>-8.3740000000000006</v>
      </c>
      <c r="CT193">
        <f>0.793</f>
        <v>0.79300000000000004</v>
      </c>
      <c r="CU193">
        <f>-33.153</f>
        <v>-33.152999999999999</v>
      </c>
      <c r="CV193">
        <f>20.755</f>
        <v>20.754999999999999</v>
      </c>
      <c r="CW193">
        <f>-2.263</f>
        <v>-2.2629999999999999</v>
      </c>
      <c r="CX193">
        <f>17.81</f>
        <v>17.809999999999999</v>
      </c>
      <c r="CY193">
        <f>-10.72</f>
        <v>-10.72</v>
      </c>
      <c r="CZ193">
        <f>-17.534</f>
        <v>-17.533999999999999</v>
      </c>
      <c r="DA193">
        <f>-63.33</f>
        <v>-63.33</v>
      </c>
      <c r="DB193">
        <f>-36.652</f>
        <v>-36.652000000000001</v>
      </c>
      <c r="DC193">
        <f>-42.507</f>
        <v>-42.506999999999998</v>
      </c>
      <c r="DD193">
        <f>-61.7</f>
        <v>-61.7</v>
      </c>
      <c r="DE193">
        <f>-93.046</f>
        <v>-93.046000000000006</v>
      </c>
      <c r="DF193">
        <f>-80.177</f>
        <v>-80.177000000000007</v>
      </c>
      <c r="DG193">
        <f>-44.522</f>
        <v>-44.521999999999998</v>
      </c>
      <c r="DH193">
        <f>-73.749</f>
        <v>-73.748999999999995</v>
      </c>
      <c r="DI193">
        <f>-51.1175</f>
        <v>-51.1175</v>
      </c>
      <c r="DJ193">
        <f>-62.66</f>
        <v>-62.66</v>
      </c>
      <c r="DK193">
        <f>-49.221</f>
        <v>-49.220999999999997</v>
      </c>
      <c r="DL193">
        <f>-26.0355</f>
        <v>-26.035499999999999</v>
      </c>
      <c r="DM193">
        <f>-19.256</f>
        <v>-19.256</v>
      </c>
      <c r="DN193">
        <f>-75.5505</f>
        <v>-75.5505</v>
      </c>
      <c r="DO193">
        <f>-70.261997</f>
        <v>-70.261996999999994</v>
      </c>
      <c r="DP193">
        <f>-18.295001</f>
        <v>-18.295000999999999</v>
      </c>
      <c r="DQ193">
        <f>-21.36400001</f>
        <v>-21.364000010000002</v>
      </c>
      <c r="DR193">
        <f>-17.403999</f>
        <v>-17.403998999999999</v>
      </c>
      <c r="DS193">
        <f>-36.32700062</f>
        <v>-36.32700062</v>
      </c>
      <c r="DT193">
        <f>11.9460005</f>
        <v>11.9460005</v>
      </c>
      <c r="DU193">
        <f>-16.5034995</f>
        <v>-16.5034995</v>
      </c>
    </row>
    <row r="194" spans="1:125">
      <c r="A194" t="str">
        <f>"    American Campus Communities In"</f>
        <v xml:space="preserve">    American Campus Communities In</v>
      </c>
      <c r="B194" t="str">
        <f>"ACC US Equity"</f>
        <v>ACC US Equity</v>
      </c>
      <c r="C194" t="str">
        <f t="shared" ref="C194:C201" si="63">"RR008"</f>
        <v>RR008</v>
      </c>
      <c r="D194" t="str">
        <f t="shared" ref="D194:D201" si="64">"CF_FREE_CASH_FLOW"</f>
        <v>CF_FREE_CASH_FLOW</v>
      </c>
      <c r="E194" t="str">
        <f t="shared" ref="E194:E201" si="65">"动态"</f>
        <v>动态</v>
      </c>
      <c r="F194" t="str">
        <f ca="1">IF(AND(ISNUMBER($F$396),$B$226=1),$F$396,HLOOKUP(INDIRECT(ADDRESS(2,COLUMN())),OFFSET($BN$2,0,0,ROW()-1,60),ROW()-1,FALSE))</f>
        <v/>
      </c>
      <c r="G194">
        <f ca="1">IF(AND(ISNUMBER($G$396),$B$226=1),$G$396,HLOOKUP(INDIRECT(ADDRESS(2,COLUMN())),OFFSET($BN$2,0,0,ROW()-1,60),ROW()-1,FALSE))</f>
        <v>-138.90600000000001</v>
      </c>
      <c r="H194">
        <f ca="1">IF(AND(ISNUMBER($H$396),$B$226=1),$H$396,HLOOKUP(INDIRECT(ADDRESS(2,COLUMN())),OFFSET($BN$2,0,0,ROW()-1,60),ROW()-1,FALSE))</f>
        <v>-218.74600000000001</v>
      </c>
      <c r="I194">
        <f ca="1">IF(AND(ISNUMBER($I$396),$B$226=1),$I$396,HLOOKUP(INDIRECT(ADDRESS(2,COLUMN())),OFFSET($BN$2,0,0,ROW()-1,60),ROW()-1,FALSE))</f>
        <v>-247.29300000000001</v>
      </c>
      <c r="J194">
        <f ca="1">IF(AND(ISNUMBER($J$396),$B$226=1),$J$396,HLOOKUP(INDIRECT(ADDRESS(2,COLUMN())),OFFSET($BN$2,0,0,ROW()-1,60),ROW()-1,FALSE))</f>
        <v>-76.588999999999999</v>
      </c>
      <c r="K194">
        <f ca="1">IF(AND(ISNUMBER($K$396),$B$226=1),$K$396,HLOOKUP(INDIRECT(ADDRESS(2,COLUMN())),OFFSET($BN$2,0,0,ROW()-1,60),ROW()-1,FALSE))</f>
        <v>-96.15</v>
      </c>
      <c r="L194">
        <f ca="1">IF(AND(ISNUMBER($L$396),$B$226=1),$L$396,HLOOKUP(INDIRECT(ADDRESS(2,COLUMN())),OFFSET($BN$2,0,0,ROW()-1,60),ROW()-1,FALSE))</f>
        <v>-73.646000000000001</v>
      </c>
      <c r="M194">
        <f ca="1">IF(AND(ISNUMBER($M$396),$B$226=1),$M$396,HLOOKUP(INDIRECT(ADDRESS(2,COLUMN())),OFFSET($BN$2,0,0,ROW()-1,60),ROW()-1,FALSE))</f>
        <v>-93.828999999999994</v>
      </c>
      <c r="N194">
        <f ca="1">IF(AND(ISNUMBER($N$396),$B$226=1),$N$396,HLOOKUP(INDIRECT(ADDRESS(2,COLUMN())),OFFSET($BN$2,0,0,ROW()-1,60),ROW()-1,FALSE))</f>
        <v>-24.271000000000001</v>
      </c>
      <c r="O194">
        <f ca="1">IF(AND(ISNUMBER($O$396),$B$226=1),$O$396,HLOOKUP(INDIRECT(ADDRESS(2,COLUMN())),OFFSET($BN$2,0,0,ROW()-1,60),ROW()-1,FALSE))</f>
        <v>-19.690000000000001</v>
      </c>
      <c r="P194">
        <f ca="1">IF(AND(ISNUMBER($P$396),$B$226=1),$P$396,HLOOKUP(INDIRECT(ADDRESS(2,COLUMN())),OFFSET($BN$2,0,0,ROW()-1,60),ROW()-1,FALSE))</f>
        <v>-87.966999999999999</v>
      </c>
      <c r="Q194">
        <f ca="1">IF(AND(ISNUMBER($Q$396),$B$226=1),$Q$396,HLOOKUP(INDIRECT(ADDRESS(2,COLUMN())),OFFSET($BN$2,0,0,ROW()-1,60),ROW()-1,FALSE))</f>
        <v>-132.386</v>
      </c>
      <c r="R194">
        <f ca="1">IF(AND(ISNUMBER($R$396),$B$226=1),$R$396,HLOOKUP(INDIRECT(ADDRESS(2,COLUMN())),OFFSET($BN$2,0,0,ROW()-1,60),ROW()-1,FALSE))</f>
        <v>-160.482</v>
      </c>
      <c r="S194">
        <f ca="1">IF(AND(ISNUMBER($S$396),$B$226=1),$S$396,HLOOKUP(INDIRECT(ADDRESS(2,COLUMN())),OFFSET($BN$2,0,0,ROW()-1,60),ROW()-1,FALSE))</f>
        <v>-85.954999999999998</v>
      </c>
      <c r="T194">
        <f ca="1">IF(AND(ISNUMBER($T$396),$B$226=1),$T$396,HLOOKUP(INDIRECT(ADDRESS(2,COLUMN())),OFFSET($BN$2,0,0,ROW()-1,60),ROW()-1,FALSE))</f>
        <v>-48.436999999999998</v>
      </c>
      <c r="U194">
        <f ca="1">IF(AND(ISNUMBER($U$396),$B$226=1),$U$396,HLOOKUP(INDIRECT(ADDRESS(2,COLUMN())),OFFSET($BN$2,0,0,ROW()-1,60),ROW()-1,FALSE))</f>
        <v>-30.286000000000001</v>
      </c>
      <c r="V194">
        <f ca="1">IF(AND(ISNUMBER($V$396),$B$226=1),$V$396,HLOOKUP(INDIRECT(ADDRESS(2,COLUMN())),OFFSET($BN$2,0,0,ROW()-1,60),ROW()-1,FALSE))</f>
        <v>-21.018999999999998</v>
      </c>
      <c r="W194">
        <f ca="1">IF(AND(ISNUMBER($W$396),$B$226=1),$W$396,HLOOKUP(INDIRECT(ADDRESS(2,COLUMN())),OFFSET($BN$2,0,0,ROW()-1,60),ROW()-1,FALSE))</f>
        <v>-175.48599999999999</v>
      </c>
      <c r="X194">
        <f ca="1">IF(AND(ISNUMBER($X$396),$B$226=1),$X$396,HLOOKUP(INDIRECT(ADDRESS(2,COLUMN())),OFFSET($BN$2,0,0,ROW()-1,60),ROW()-1,FALSE))</f>
        <v>-105.63500000000001</v>
      </c>
      <c r="Y194">
        <f ca="1">IF(AND(ISNUMBER($Y$396),$B$226=1),$Y$396,HLOOKUP(INDIRECT(ADDRESS(2,COLUMN())),OFFSET($BN$2,0,0,ROW()-1,60),ROW()-1,FALSE))</f>
        <v>-44.292000000000002</v>
      </c>
      <c r="Z194">
        <f ca="1">IF(AND(ISNUMBER($Z$396),$B$226=1),$Z$396,HLOOKUP(INDIRECT(ADDRESS(2,COLUMN())),OFFSET($BN$2,0,0,ROW()-1,60),ROW()-1,FALSE))</f>
        <v>-27.207000000000001</v>
      </c>
      <c r="AA194">
        <f ca="1">IF(AND(ISNUMBER($AA$396),$B$226=1),$AA$396,HLOOKUP(INDIRECT(ADDRESS(2,COLUMN())),OFFSET($BN$2,0,0,ROW()-1,60),ROW()-1,FALSE))</f>
        <v>-482.803</v>
      </c>
      <c r="AB194">
        <f ca="1">IF(AND(ISNUMBER($AB$396),$B$226=1),$AB$396,HLOOKUP(INDIRECT(ADDRESS(2,COLUMN())),OFFSET($BN$2,0,0,ROW()-1,60),ROW()-1,FALSE))</f>
        <v>-622.08299999999997</v>
      </c>
      <c r="AC194" t="str">
        <f ca="1">IF(AND(ISNUMBER($AC$396),$B$226=1),$AC$396,HLOOKUP(INDIRECT(ADDRESS(2,COLUMN())),OFFSET($BN$2,0,0,ROW()-1,60),ROW()-1,FALSE))</f>
        <v/>
      </c>
      <c r="AD194" t="str">
        <f ca="1">IF(AND(ISNUMBER($AD$396),$B$226=1),$AD$396,HLOOKUP(INDIRECT(ADDRESS(2,COLUMN())),OFFSET($BN$2,0,0,ROW()-1,60),ROW()-1,FALSE))</f>
        <v/>
      </c>
      <c r="AE194">
        <f ca="1">IF(AND(ISNUMBER($AE$396),$B$226=1),$AE$396,HLOOKUP(INDIRECT(ADDRESS(2,COLUMN())),OFFSET($BN$2,0,0,ROW()-1,60),ROW()-1,FALSE))</f>
        <v>-58.198</v>
      </c>
      <c r="AF194">
        <f ca="1">IF(AND(ISNUMBER($AF$396),$B$226=1),$AF$396,HLOOKUP(INDIRECT(ADDRESS(2,COLUMN())),OFFSET($BN$2,0,0,ROW()-1,60),ROW()-1,FALSE))</f>
        <v>-18.292000000000002</v>
      </c>
      <c r="AG194" t="str">
        <f ca="1">IF(AND(ISNUMBER($AG$396),$B$226=1),$AG$396,HLOOKUP(INDIRECT(ADDRESS(2,COLUMN())),OFFSET($BN$2,0,0,ROW()-1,60),ROW()-1,FALSE))</f>
        <v/>
      </c>
      <c r="AH194" t="str">
        <f ca="1">IF(AND(ISNUMBER($AH$396),$B$226=1),$AH$396,HLOOKUP(INDIRECT(ADDRESS(2,COLUMN())),OFFSET($BN$2,0,0,ROW()-1,60),ROW()-1,FALSE))</f>
        <v/>
      </c>
      <c r="AI194">
        <f ca="1">IF(AND(ISNUMBER($AI$396),$B$226=1),$AI$396,HLOOKUP(INDIRECT(ADDRESS(2,COLUMN())),OFFSET($BN$2,0,0,ROW()-1,60),ROW()-1,FALSE))</f>
        <v>-42.119</v>
      </c>
      <c r="AJ194" t="str">
        <f ca="1">IF(AND(ISNUMBER($AJ$396),$B$226=1),$AJ$396,HLOOKUP(INDIRECT(ADDRESS(2,COLUMN())),OFFSET($BN$2,0,0,ROW()-1,60),ROW()-1,FALSE))</f>
        <v/>
      </c>
      <c r="AK194" t="str">
        <f ca="1">IF(AND(ISNUMBER($AK$396),$B$226=1),$AK$396,HLOOKUP(INDIRECT(ADDRESS(2,COLUMN())),OFFSET($BN$2,0,0,ROW()-1,60),ROW()-1,FALSE))</f>
        <v/>
      </c>
      <c r="AL194" t="str">
        <f ca="1">IF(AND(ISNUMBER($AL$396),$B$226=1),$AL$396,HLOOKUP(INDIRECT(ADDRESS(2,COLUMN())),OFFSET($BN$2,0,0,ROW()-1,60),ROW()-1,FALSE))</f>
        <v/>
      </c>
      <c r="AM194" t="str">
        <f ca="1">IF(AND(ISNUMBER($AM$396),$B$226=1),$AM$396,HLOOKUP(INDIRECT(ADDRESS(2,COLUMN())),OFFSET($BN$2,0,0,ROW()-1,60),ROW()-1,FALSE))</f>
        <v/>
      </c>
      <c r="AN194" t="str">
        <f ca="1">IF(AND(ISNUMBER($AN$396),$B$226=1),$AN$396,HLOOKUP(INDIRECT(ADDRESS(2,COLUMN())),OFFSET($BN$2,0,0,ROW()-1,60),ROW()-1,FALSE))</f>
        <v/>
      </c>
      <c r="AO194" t="str">
        <f ca="1">IF(AND(ISNUMBER($AO$396),$B$226=1),$AO$396,HLOOKUP(INDIRECT(ADDRESS(2,COLUMN())),OFFSET($BN$2,0,0,ROW()-1,60),ROW()-1,FALSE))</f>
        <v/>
      </c>
      <c r="AP194" t="str">
        <f ca="1">IF(AND(ISNUMBER($AP$396),$B$226=1),$AP$396,HLOOKUP(INDIRECT(ADDRESS(2,COLUMN())),OFFSET($BN$2,0,0,ROW()-1,60),ROW()-1,FALSE))</f>
        <v/>
      </c>
      <c r="AQ194">
        <f ca="1">IF(AND(ISNUMBER($AQ$396),$B$226=1),$AQ$396,HLOOKUP(INDIRECT(ADDRESS(2,COLUMN())),OFFSET($BN$2,0,0,ROW()-1,60),ROW()-1,FALSE))</f>
        <v>9.6240000000000006</v>
      </c>
      <c r="AR194">
        <f ca="1">IF(AND(ISNUMBER($AR$396),$B$226=1),$AR$396,HLOOKUP(INDIRECT(ADDRESS(2,COLUMN())),OFFSET($BN$2,0,0,ROW()-1,60),ROW()-1,FALSE))</f>
        <v>-31.669</v>
      </c>
      <c r="AS194">
        <f ca="1">IF(AND(ISNUMBER($AS$396),$B$226=1),$AS$396,HLOOKUP(INDIRECT(ADDRESS(2,COLUMN())),OFFSET($BN$2,0,0,ROW()-1,60),ROW()-1,FALSE))</f>
        <v>-310.964</v>
      </c>
      <c r="AT194">
        <f ca="1">IF(AND(ISNUMBER($AT$396),$B$226=1),$AT$396,HLOOKUP(INDIRECT(ADDRESS(2,COLUMN())),OFFSET($BN$2,0,0,ROW()-1,60),ROW()-1,FALSE))</f>
        <v>-42.046999999999997</v>
      </c>
      <c r="AU194">
        <f ca="1">IF(AND(ISNUMBER($AU$396),$B$226=1),$AU$396,HLOOKUP(INDIRECT(ADDRESS(2,COLUMN())),OFFSET($BN$2,0,0,ROW()-1,60),ROW()-1,FALSE))</f>
        <v>-31.850999999999999</v>
      </c>
      <c r="AV194">
        <f ca="1">IF(AND(ISNUMBER($AV$396),$B$226=1),$AV$396,HLOOKUP(INDIRECT(ADDRESS(2,COLUMN())),OFFSET($BN$2,0,0,ROW()-1,60),ROW()-1,FALSE))</f>
        <v>-51.798000000000002</v>
      </c>
      <c r="AW194">
        <f ca="1">IF(AND(ISNUMBER($AW$396),$B$226=1),$AW$396,HLOOKUP(INDIRECT(ADDRESS(2,COLUMN())),OFFSET($BN$2,0,0,ROW()-1,60),ROW()-1,FALSE))</f>
        <v>-20.771999999999998</v>
      </c>
      <c r="AX194">
        <f ca="1">IF(AND(ISNUMBER($AX$396),$B$226=1),$AX$396,HLOOKUP(INDIRECT(ADDRESS(2,COLUMN())),OFFSET($BN$2,0,0,ROW()-1,60),ROW()-1,FALSE))</f>
        <v>-52.523000000000003</v>
      </c>
      <c r="AY194">
        <f ca="1">IF(AND(ISNUMBER($AY$396),$B$226=1),$AY$396,HLOOKUP(INDIRECT(ADDRESS(2,COLUMN())),OFFSET($BN$2,0,0,ROW()-1,60),ROW()-1,FALSE))</f>
        <v>-0.188</v>
      </c>
      <c r="AZ194">
        <f ca="1">IF(AND(ISNUMBER($AZ$396),$B$226=1),$AZ$396,HLOOKUP(INDIRECT(ADDRESS(2,COLUMN())),OFFSET($BN$2,0,0,ROW()-1,60),ROW()-1,FALSE))</f>
        <v>-19.059999999999999</v>
      </c>
      <c r="BA194">
        <f ca="1">IF(AND(ISNUMBER($BA$396),$B$226=1),$BA$396,HLOOKUP(INDIRECT(ADDRESS(2,COLUMN())),OFFSET($BN$2,0,0,ROW()-1,60),ROW()-1,FALSE))</f>
        <v>-20.245000000000001</v>
      </c>
      <c r="BB194">
        <f ca="1">IF(AND(ISNUMBER($BB$396),$B$226=1),$BB$396,HLOOKUP(INDIRECT(ADDRESS(2,COLUMN())),OFFSET($BN$2,0,0,ROW()-1,60),ROW()-1,FALSE))</f>
        <v>-78.033000000000001</v>
      </c>
      <c r="BC194">
        <f ca="1">IF(AND(ISNUMBER($BC$396),$B$226=1),$BC$396,HLOOKUP(INDIRECT(ADDRESS(2,COLUMN())),OFFSET($BN$2,0,0,ROW()-1,60),ROW()-1,FALSE))</f>
        <v>-7.351</v>
      </c>
      <c r="BD194">
        <f ca="1">IF(AND(ISNUMBER($BD$396),$B$226=1),$BD$396,HLOOKUP(INDIRECT(ADDRESS(2,COLUMN())),OFFSET($BN$2,0,0,ROW()-1,60),ROW()-1,FALSE))</f>
        <v>-9.1159999999999997</v>
      </c>
      <c r="BE194">
        <f ca="1">IF(AND(ISNUMBER($BE$396),$B$226=1),$BE$396,HLOOKUP(INDIRECT(ADDRESS(2,COLUMN())),OFFSET($BN$2,0,0,ROW()-1,60),ROW()-1,FALSE))</f>
        <v>-22.37</v>
      </c>
      <c r="BF194">
        <f ca="1">IF(AND(ISNUMBER($BF$396),$B$226=1),$BF$396,HLOOKUP(INDIRECT(ADDRESS(2,COLUMN())),OFFSET($BN$2,0,0,ROW()-1,60),ROW()-1,FALSE))</f>
        <v>-81.162999999999997</v>
      </c>
      <c r="BG194">
        <f ca="1">IF(AND(ISNUMBER($BG$396),$B$226=1),$BG$396,HLOOKUP(INDIRECT(ADDRESS(2,COLUMN())),OFFSET($BN$2,0,0,ROW()-1,60),ROW()-1,FALSE))</f>
        <v>-3.9060000000000001</v>
      </c>
      <c r="BH194">
        <f ca="1">IF(AND(ISNUMBER($BH$396),$B$226=1),$BH$396,HLOOKUP(INDIRECT(ADDRESS(2,COLUMN())),OFFSET($BN$2,0,0,ROW()-1,60),ROW()-1,FALSE))</f>
        <v>-6.8579999999999997</v>
      </c>
      <c r="BI194">
        <f ca="1">IF(AND(ISNUMBER($BI$396),$B$226=1),$BI$396,HLOOKUP(INDIRECT(ADDRESS(2,COLUMN())),OFFSET($BN$2,0,0,ROW()-1,60),ROW()-1,FALSE))</f>
        <v>-21.364000010000002</v>
      </c>
      <c r="BJ194">
        <f ca="1">IF(AND(ISNUMBER($BJ$396),$B$226=1),$BJ$396,HLOOKUP(INDIRECT(ADDRESS(2,COLUMN())),OFFSET($BN$2,0,0,ROW()-1,60),ROW()-1,FALSE))</f>
        <v>-13.71500026</v>
      </c>
      <c r="BK194" t="str">
        <f ca="1">IF(AND(ISNUMBER($BK$396),$B$226=1),$BK$396,HLOOKUP(INDIRECT(ADDRESS(2,COLUMN())),OFFSET($BN$2,0,0,ROW()-1,60),ROW()-1,FALSE))</f>
        <v/>
      </c>
      <c r="BL194" t="str">
        <f ca="1">IF(AND(ISNUMBER($BL$396),$B$226=1),$BL$396,HLOOKUP(INDIRECT(ADDRESS(2,COLUMN())),OFFSET($BN$2,0,0,ROW()-1,60),ROW()-1,FALSE))</f>
        <v/>
      </c>
      <c r="BM194" t="str">
        <f ca="1">IF(AND(ISNUMBER($BM$396),$B$226=1),$BM$396,HLOOKUP(INDIRECT(ADDRESS(2,COLUMN())),OFFSET($BN$2,0,0,ROW()-1,60),ROW()-1,FALSE))</f>
        <v/>
      </c>
      <c r="BN194" t="str">
        <f>""</f>
        <v/>
      </c>
      <c r="BO194">
        <f>-138.906</f>
        <v>-138.90600000000001</v>
      </c>
      <c r="BP194">
        <f>-218.746</f>
        <v>-218.74600000000001</v>
      </c>
      <c r="BQ194">
        <f>-247.293</f>
        <v>-247.29300000000001</v>
      </c>
      <c r="BR194">
        <f>-76.589</f>
        <v>-76.588999999999999</v>
      </c>
      <c r="BS194">
        <f>-96.15</f>
        <v>-96.15</v>
      </c>
      <c r="BT194">
        <f>-73.646</f>
        <v>-73.646000000000001</v>
      </c>
      <c r="BU194">
        <f>-93.829</f>
        <v>-93.828999999999994</v>
      </c>
      <c r="BV194">
        <f>-24.271</f>
        <v>-24.271000000000001</v>
      </c>
      <c r="BW194">
        <f>-19.69</f>
        <v>-19.690000000000001</v>
      </c>
      <c r="BX194">
        <f>-87.967</f>
        <v>-87.966999999999999</v>
      </c>
      <c r="BY194">
        <f>-132.386</f>
        <v>-132.386</v>
      </c>
      <c r="BZ194">
        <f>-160.482</f>
        <v>-160.482</v>
      </c>
      <c r="CA194">
        <f>-85.955</f>
        <v>-85.954999999999998</v>
      </c>
      <c r="CB194">
        <f>-48.437</f>
        <v>-48.436999999999998</v>
      </c>
      <c r="CC194">
        <f>-30.286</f>
        <v>-30.286000000000001</v>
      </c>
      <c r="CD194">
        <f>-21.019</f>
        <v>-21.018999999999998</v>
      </c>
      <c r="CE194">
        <f>-175.486</f>
        <v>-175.48599999999999</v>
      </c>
      <c r="CF194">
        <f>-105.635</f>
        <v>-105.63500000000001</v>
      </c>
      <c r="CG194">
        <f>-44.292</f>
        <v>-44.292000000000002</v>
      </c>
      <c r="CH194">
        <f>-27.207</f>
        <v>-27.207000000000001</v>
      </c>
      <c r="CI194">
        <f>-482.803</f>
        <v>-482.803</v>
      </c>
      <c r="CJ194">
        <f>-622.083</f>
        <v>-622.08299999999997</v>
      </c>
      <c r="CK194" t="str">
        <f>""</f>
        <v/>
      </c>
      <c r="CL194" t="str">
        <f>""</f>
        <v/>
      </c>
      <c r="CM194">
        <f>-58.198</f>
        <v>-58.198</v>
      </c>
      <c r="CN194">
        <f>-18.292</f>
        <v>-18.292000000000002</v>
      </c>
      <c r="CO194" t="str">
        <f>""</f>
        <v/>
      </c>
      <c r="CP194" t="str">
        <f>""</f>
        <v/>
      </c>
      <c r="CQ194">
        <f>-42.119</f>
        <v>-42.119</v>
      </c>
      <c r="CR194" t="str">
        <f>""</f>
        <v/>
      </c>
      <c r="CS194" t="str">
        <f>""</f>
        <v/>
      </c>
      <c r="CT194" t="str">
        <f>""</f>
        <v/>
      </c>
      <c r="CU194" t="str">
        <f>""</f>
        <v/>
      </c>
      <c r="CV194" t="str">
        <f>""</f>
        <v/>
      </c>
      <c r="CW194" t="str">
        <f>""</f>
        <v/>
      </c>
      <c r="CX194" t="str">
        <f>""</f>
        <v/>
      </c>
      <c r="CY194">
        <f>9.624</f>
        <v>9.6240000000000006</v>
      </c>
      <c r="CZ194">
        <f>-31.669</f>
        <v>-31.669</v>
      </c>
      <c r="DA194">
        <f>-310.964</f>
        <v>-310.964</v>
      </c>
      <c r="DB194">
        <f>-42.047</f>
        <v>-42.046999999999997</v>
      </c>
      <c r="DC194">
        <f>-31.851</f>
        <v>-31.850999999999999</v>
      </c>
      <c r="DD194">
        <f>-51.798</f>
        <v>-51.798000000000002</v>
      </c>
      <c r="DE194">
        <f>-20.772</f>
        <v>-20.771999999999998</v>
      </c>
      <c r="DF194">
        <f>-52.523</f>
        <v>-52.523000000000003</v>
      </c>
      <c r="DG194">
        <f>-0.188</f>
        <v>-0.188</v>
      </c>
      <c r="DH194">
        <f>-19.06</f>
        <v>-19.059999999999999</v>
      </c>
      <c r="DI194">
        <f>-20.245</f>
        <v>-20.245000000000001</v>
      </c>
      <c r="DJ194">
        <f>-78.033</f>
        <v>-78.033000000000001</v>
      </c>
      <c r="DK194">
        <f>-7.351</f>
        <v>-7.351</v>
      </c>
      <c r="DL194">
        <f>-9.116</f>
        <v>-9.1159999999999997</v>
      </c>
      <c r="DM194">
        <f>-22.37</f>
        <v>-22.37</v>
      </c>
      <c r="DN194">
        <f>-81.163</f>
        <v>-81.162999999999997</v>
      </c>
      <c r="DO194">
        <f>-3.906</f>
        <v>-3.9060000000000001</v>
      </c>
      <c r="DP194">
        <f>-6.858</f>
        <v>-6.8579999999999997</v>
      </c>
      <c r="DQ194">
        <f>-21.36400001</f>
        <v>-21.364000010000002</v>
      </c>
      <c r="DR194">
        <f>-13.71500026</f>
        <v>-13.71500026</v>
      </c>
      <c r="DS194" t="str">
        <f>""</f>
        <v/>
      </c>
      <c r="DT194" t="str">
        <f>""</f>
        <v/>
      </c>
      <c r="DU194" t="str">
        <f>""</f>
        <v/>
      </c>
    </row>
    <row r="195" spans="1:125">
      <c r="A195" t="str">
        <f>"    AvalonBay Communities Inc"</f>
        <v xml:space="preserve">    AvalonBay Communities Inc</v>
      </c>
      <c r="B195" t="str">
        <f>"AVB US Equity"</f>
        <v>AVB US Equity</v>
      </c>
      <c r="C195" t="str">
        <f t="shared" si="63"/>
        <v>RR008</v>
      </c>
      <c r="D195" t="str">
        <f t="shared" si="64"/>
        <v>CF_FREE_CASH_FLOW</v>
      </c>
      <c r="E195" t="str">
        <f t="shared" si="65"/>
        <v>动态</v>
      </c>
      <c r="F195" t="str">
        <f ca="1">IF(AND(ISNUMBER($F$397),$B$226=1),$F$397,HLOOKUP(INDIRECT(ADDRESS(2,COLUMN())),OFFSET($BN$2,0,0,ROW()-1,60),ROW()-1,FALSE))</f>
        <v/>
      </c>
      <c r="G195">
        <f ca="1">IF(AND(ISNUMBER($G$397),$B$226=1),$G$397,HLOOKUP(INDIRECT(ADDRESS(2,COLUMN())),OFFSET($BN$2,0,0,ROW()-1,60),ROW()-1,FALSE))</f>
        <v>-159.167</v>
      </c>
      <c r="H195">
        <f ca="1">IF(AND(ISNUMBER($H$397),$B$226=1),$H$397,HLOOKUP(INDIRECT(ADDRESS(2,COLUMN())),OFFSET($BN$2,0,0,ROW()-1,60),ROW()-1,FALSE))</f>
        <v>-138.57300000000001</v>
      </c>
      <c r="I195">
        <f ca="1">IF(AND(ISNUMBER($I$397),$B$226=1),$I$397,HLOOKUP(INDIRECT(ADDRESS(2,COLUMN())),OFFSET($BN$2,0,0,ROW()-1,60),ROW()-1,FALSE))</f>
        <v>14.298</v>
      </c>
      <c r="J195">
        <f ca="1">IF(AND(ISNUMBER($J$397),$B$226=1),$J$397,HLOOKUP(INDIRECT(ADDRESS(2,COLUMN())),OFFSET($BN$2,0,0,ROW()-1,60),ROW()-1,FALSE))</f>
        <v>23.445</v>
      </c>
      <c r="K195">
        <f ca="1">IF(AND(ISNUMBER($K$397),$B$226=1),$K$397,HLOOKUP(INDIRECT(ADDRESS(2,COLUMN())),OFFSET($BN$2,0,0,ROW()-1,60),ROW()-1,FALSE))</f>
        <v>-63.587000000000003</v>
      </c>
      <c r="L195">
        <f ca="1">IF(AND(ISNUMBER($L$397),$B$226=1),$L$397,HLOOKUP(INDIRECT(ADDRESS(2,COLUMN())),OFFSET($BN$2,0,0,ROW()-1,60),ROW()-1,FALSE))</f>
        <v>-219.71799999999999</v>
      </c>
      <c r="M195">
        <f ca="1">IF(AND(ISNUMBER($M$397),$B$226=1),$M$397,HLOOKUP(INDIRECT(ADDRESS(2,COLUMN())),OFFSET($BN$2,0,0,ROW()-1,60),ROW()-1,FALSE))</f>
        <v>-59.036000000000001</v>
      </c>
      <c r="N195">
        <f ca="1">IF(AND(ISNUMBER($N$397),$B$226=1),$N$397,HLOOKUP(INDIRECT(ADDRESS(2,COLUMN())),OFFSET($BN$2,0,0,ROW()-1,60),ROW()-1,FALSE))</f>
        <v>-173.71</v>
      </c>
      <c r="O195">
        <f ca="1">IF(AND(ISNUMBER($O$397),$B$226=1),$O$397,HLOOKUP(INDIRECT(ADDRESS(2,COLUMN())),OFFSET($BN$2,0,0,ROW()-1,60),ROW()-1,FALSE))</f>
        <v>-51.634999999999998</v>
      </c>
      <c r="P195">
        <f ca="1">IF(AND(ISNUMBER($P$397),$B$226=1),$P$397,HLOOKUP(INDIRECT(ADDRESS(2,COLUMN())),OFFSET($BN$2,0,0,ROW()-1,60),ROW()-1,FALSE))</f>
        <v>-91.191000000000003</v>
      </c>
      <c r="Q195">
        <f ca="1">IF(AND(ISNUMBER($Q$397),$B$226=1),$Q$397,HLOOKUP(INDIRECT(ADDRESS(2,COLUMN())),OFFSET($BN$2,0,0,ROW()-1,60),ROW()-1,FALSE))</f>
        <v>-74.680000000000007</v>
      </c>
      <c r="R195">
        <f ca="1">IF(AND(ISNUMBER($R$397),$B$226=1),$R$397,HLOOKUP(INDIRECT(ADDRESS(2,COLUMN())),OFFSET($BN$2,0,0,ROW()-1,60),ROW()-1,FALSE))</f>
        <v>-350.93099999999998</v>
      </c>
      <c r="S195">
        <f ca="1">IF(AND(ISNUMBER($S$397),$B$226=1),$S$397,HLOOKUP(INDIRECT(ADDRESS(2,COLUMN())),OFFSET($BN$2,0,0,ROW()-1,60),ROW()-1,FALSE))</f>
        <v>-222.15</v>
      </c>
      <c r="T195">
        <f ca="1">IF(AND(ISNUMBER($T$397),$B$226=1),$T$397,HLOOKUP(INDIRECT(ADDRESS(2,COLUMN())),OFFSET($BN$2,0,0,ROW()-1,60),ROW()-1,FALSE))</f>
        <v>-68.972999999999999</v>
      </c>
      <c r="U195">
        <f ca="1">IF(AND(ISNUMBER($U$397),$B$226=1),$U$397,HLOOKUP(INDIRECT(ADDRESS(2,COLUMN())),OFFSET($BN$2,0,0,ROW()-1,60),ROW()-1,FALSE))</f>
        <v>-94.271000000000001</v>
      </c>
      <c r="V195">
        <f ca="1">IF(AND(ISNUMBER($V$397),$B$226=1),$V$397,HLOOKUP(INDIRECT(ADDRESS(2,COLUMN())),OFFSET($BN$2,0,0,ROW()-1,60),ROW()-1,FALSE))</f>
        <v>-69.622</v>
      </c>
      <c r="W195">
        <f ca="1">IF(AND(ISNUMBER($W$397),$B$226=1),$W$397,HLOOKUP(INDIRECT(ADDRESS(2,COLUMN())),OFFSET($BN$2,0,0,ROW()-1,60),ROW()-1,FALSE))</f>
        <v>-222.10400000000001</v>
      </c>
      <c r="X195">
        <f ca="1">IF(AND(ISNUMBER($X$397),$B$226=1),$X$397,HLOOKUP(INDIRECT(ADDRESS(2,COLUMN())),OFFSET($BN$2,0,0,ROW()-1,60),ROW()-1,FALSE))</f>
        <v>-126.715</v>
      </c>
      <c r="Y195">
        <f ca="1">IF(AND(ISNUMBER($Y$397),$B$226=1),$Y$397,HLOOKUP(INDIRECT(ADDRESS(2,COLUMN())),OFFSET($BN$2,0,0,ROW()-1,60),ROW()-1,FALSE))</f>
        <v>-185.88800000000001</v>
      </c>
      <c r="Z195">
        <f ca="1">IF(AND(ISNUMBER($Z$397),$B$226=1),$Z$397,HLOOKUP(INDIRECT(ADDRESS(2,COLUMN())),OFFSET($BN$2,0,0,ROW()-1,60),ROW()-1,FALSE))</f>
        <v>-892.77700000000004</v>
      </c>
      <c r="AA195">
        <f ca="1">IF(AND(ISNUMBER($AA$397),$B$226=1),$AA$397,HLOOKUP(INDIRECT(ADDRESS(2,COLUMN())),OFFSET($BN$2,0,0,ROW()-1,60),ROW()-1,FALSE))</f>
        <v>-83.686000000000007</v>
      </c>
      <c r="AB195">
        <f ca="1">IF(AND(ISNUMBER($AB$397),$B$226=1),$AB$397,HLOOKUP(INDIRECT(ADDRESS(2,COLUMN())),OFFSET($BN$2,0,0,ROW()-1,60),ROW()-1,FALSE))</f>
        <v>-150.166</v>
      </c>
      <c r="AC195">
        <f ca="1">IF(AND(ISNUMBER($AC$397),$B$226=1),$AC$397,HLOOKUP(INDIRECT(ADDRESS(2,COLUMN())),OFFSET($BN$2,0,0,ROW()-1,60),ROW()-1,FALSE))</f>
        <v>-106.331</v>
      </c>
      <c r="AD195">
        <f ca="1">IF(AND(ISNUMBER($AD$397),$B$226=1),$AD$397,HLOOKUP(INDIRECT(ADDRESS(2,COLUMN())),OFFSET($BN$2,0,0,ROW()-1,60),ROW()-1,FALSE))</f>
        <v>-56.643999999999998</v>
      </c>
      <c r="AE195">
        <f ca="1">IF(AND(ISNUMBER($AE$397),$B$226=1),$AE$397,HLOOKUP(INDIRECT(ADDRESS(2,COLUMN())),OFFSET($BN$2,0,0,ROW()-1,60),ROW()-1,FALSE))</f>
        <v>-76.853999999999999</v>
      </c>
      <c r="AF195">
        <f ca="1">IF(AND(ISNUMBER($AF$397),$B$226=1),$AF$397,HLOOKUP(INDIRECT(ADDRESS(2,COLUMN())),OFFSET($BN$2,0,0,ROW()-1,60),ROW()-1,FALSE))</f>
        <v>-108.08199999999999</v>
      </c>
      <c r="AG195">
        <f ca="1">IF(AND(ISNUMBER($AG$397),$B$226=1),$AG$397,HLOOKUP(INDIRECT(ADDRESS(2,COLUMN())),OFFSET($BN$2,0,0,ROW()-1,60),ROW()-1,FALSE))</f>
        <v>-77.774000000000001</v>
      </c>
      <c r="AH195">
        <f ca="1">IF(AND(ISNUMBER($AH$397),$B$226=1),$AH$397,HLOOKUP(INDIRECT(ADDRESS(2,COLUMN())),OFFSET($BN$2,0,0,ROW()-1,60),ROW()-1,FALSE))</f>
        <v>-45.121000000000002</v>
      </c>
      <c r="AI195">
        <f ca="1">IF(AND(ISNUMBER($AI$397),$B$226=1),$AI$397,HLOOKUP(INDIRECT(ADDRESS(2,COLUMN())),OFFSET($BN$2,0,0,ROW()-1,60),ROW()-1,FALSE))</f>
        <v>-2.7669999999999999</v>
      </c>
      <c r="AJ195">
        <f ca="1">IF(AND(ISNUMBER($AJ$397),$B$226=1),$AJ$397,HLOOKUP(INDIRECT(ADDRESS(2,COLUMN())),OFFSET($BN$2,0,0,ROW()-1,60),ROW()-1,FALSE))</f>
        <v>-35.131</v>
      </c>
      <c r="AK195">
        <f ca="1">IF(AND(ISNUMBER($AK$397),$B$226=1),$AK$397,HLOOKUP(INDIRECT(ADDRESS(2,COLUMN())),OFFSET($BN$2,0,0,ROW()-1,60),ROW()-1,FALSE))</f>
        <v>-21.036000000000001</v>
      </c>
      <c r="AL195">
        <f ca="1">IF(AND(ISNUMBER($AL$397),$B$226=1),$AL$397,HLOOKUP(INDIRECT(ADDRESS(2,COLUMN())),OFFSET($BN$2,0,0,ROW()-1,60),ROW()-1,FALSE))</f>
        <v>-52.81</v>
      </c>
      <c r="AM195">
        <f ca="1">IF(AND(ISNUMBER($AM$397),$B$226=1),$AM$397,HLOOKUP(INDIRECT(ADDRESS(2,COLUMN())),OFFSET($BN$2,0,0,ROW()-1,60),ROW()-1,FALSE))</f>
        <v>-19.827000000000002</v>
      </c>
      <c r="AN195">
        <f ca="1">IF(AND(ISNUMBER($AN$397),$B$226=1),$AN$397,HLOOKUP(INDIRECT(ADDRESS(2,COLUMN())),OFFSET($BN$2,0,0,ROW()-1,60),ROW()-1,FALSE))</f>
        <v>-46.435000000000002</v>
      </c>
      <c r="AO195">
        <f ca="1">IF(AND(ISNUMBER($AO$397),$B$226=1),$AO$397,HLOOKUP(INDIRECT(ADDRESS(2,COLUMN())),OFFSET($BN$2,0,0,ROW()-1,60),ROW()-1,FALSE))</f>
        <v>-64.337000000000003</v>
      </c>
      <c r="AP195">
        <f ca="1">IF(AND(ISNUMBER($AP$397),$B$226=1),$AP$397,HLOOKUP(INDIRECT(ADDRESS(2,COLUMN())),OFFSET($BN$2,0,0,ROW()-1,60),ROW()-1,FALSE))</f>
        <v>-65.772999999999996</v>
      </c>
      <c r="AQ195">
        <f ca="1">IF(AND(ISNUMBER($AQ$397),$B$226=1),$AQ$397,HLOOKUP(INDIRECT(ADDRESS(2,COLUMN())),OFFSET($BN$2,0,0,ROW()-1,60),ROW()-1,FALSE))</f>
        <v>42.942999999999998</v>
      </c>
      <c r="AR195">
        <f ca="1">IF(AND(ISNUMBER($AR$397),$B$226=1),$AR$397,HLOOKUP(INDIRECT(ADDRESS(2,COLUMN())),OFFSET($BN$2,0,0,ROW()-1,60),ROW()-1,FALSE))</f>
        <v>-275.29300000000001</v>
      </c>
      <c r="AS195">
        <f ca="1">IF(AND(ISNUMBER($AS$397),$B$226=1),$AS$397,HLOOKUP(INDIRECT(ADDRESS(2,COLUMN())),OFFSET($BN$2,0,0,ROW()-1,60),ROW()-1,FALSE))</f>
        <v>-93.296999999999997</v>
      </c>
      <c r="AT195">
        <f ca="1">IF(AND(ISNUMBER($AT$397),$B$226=1),$AT$397,HLOOKUP(INDIRECT(ADDRESS(2,COLUMN())),OFFSET($BN$2,0,0,ROW()-1,60),ROW()-1,FALSE))</f>
        <v>-190.596</v>
      </c>
      <c r="AU195">
        <f ca="1">IF(AND(ISNUMBER($AU$397),$B$226=1),$AU$397,HLOOKUP(INDIRECT(ADDRESS(2,COLUMN())),OFFSET($BN$2,0,0,ROW()-1,60),ROW()-1,FALSE))</f>
        <v>-121.619</v>
      </c>
      <c r="AV195">
        <f ca="1">IF(AND(ISNUMBER($AV$397),$B$226=1),$AV$397,HLOOKUP(INDIRECT(ADDRESS(2,COLUMN())),OFFSET($BN$2,0,0,ROW()-1,60),ROW()-1,FALSE))</f>
        <v>-188.90299999999999</v>
      </c>
      <c r="AW195">
        <f ca="1">IF(AND(ISNUMBER($AW$397),$B$226=1),$AW$397,HLOOKUP(INDIRECT(ADDRESS(2,COLUMN())),OFFSET($BN$2,0,0,ROW()-1,60),ROW()-1,FALSE))</f>
        <v>-183.49299999999999</v>
      </c>
      <c r="AX195">
        <f ca="1">IF(AND(ISNUMBER($AX$397),$B$226=1),$AX$397,HLOOKUP(INDIRECT(ADDRESS(2,COLUMN())),OFFSET($BN$2,0,0,ROW()-1,60),ROW()-1,FALSE))</f>
        <v>-192.81700000000001</v>
      </c>
      <c r="AY195">
        <f ca="1">IF(AND(ISNUMBER($AY$397),$B$226=1),$AY$397,HLOOKUP(INDIRECT(ADDRESS(2,COLUMN())),OFFSET($BN$2,0,0,ROW()-1,60),ROW()-1,FALSE))</f>
        <v>-232.26900000000001</v>
      </c>
      <c r="AZ195">
        <f ca="1">IF(AND(ISNUMBER($AZ$397),$B$226=1),$AZ$397,HLOOKUP(INDIRECT(ADDRESS(2,COLUMN())),OFFSET($BN$2,0,0,ROW()-1,60),ROW()-1,FALSE))</f>
        <v>-117.163</v>
      </c>
      <c r="BA195">
        <f ca="1">IF(AND(ISNUMBER($BA$397),$B$226=1),$BA$397,HLOOKUP(INDIRECT(ADDRESS(2,COLUMN())),OFFSET($BN$2,0,0,ROW()-1,60),ROW()-1,FALSE))</f>
        <v>-86.206999999999994</v>
      </c>
      <c r="BB195">
        <f ca="1">IF(AND(ISNUMBER($BB$397),$B$226=1),$BB$397,HLOOKUP(INDIRECT(ADDRESS(2,COLUMN())),OFFSET($BN$2,0,0,ROW()-1,60),ROW()-1,FALSE))</f>
        <v>-45.037999999999997</v>
      </c>
      <c r="BC195">
        <f ca="1">IF(AND(ISNUMBER($BC$397),$B$226=1),$BC$397,HLOOKUP(INDIRECT(ADDRESS(2,COLUMN())),OFFSET($BN$2,0,0,ROW()-1,60),ROW()-1,FALSE))</f>
        <v>-44.593000000000004</v>
      </c>
      <c r="BD195">
        <f ca="1">IF(AND(ISNUMBER($BD$397),$B$226=1),$BD$397,HLOOKUP(INDIRECT(ADDRESS(2,COLUMN())),OFFSET($BN$2,0,0,ROW()-1,60),ROW()-1,FALSE))</f>
        <v>0.873</v>
      </c>
      <c r="BE195">
        <f ca="1">IF(AND(ISNUMBER($BE$397),$B$226=1),$BE$397,HLOOKUP(INDIRECT(ADDRESS(2,COLUMN())),OFFSET($BN$2,0,0,ROW()-1,60),ROW()-1,FALSE))</f>
        <v>-39.079000000000001</v>
      </c>
      <c r="BF195">
        <f ca="1">IF(AND(ISNUMBER($BF$397),$B$226=1),$BF$397,HLOOKUP(INDIRECT(ADDRESS(2,COLUMN())),OFFSET($BN$2,0,0,ROW()-1,60),ROW()-1,FALSE))</f>
        <v>-69.938000000000002</v>
      </c>
      <c r="BG195">
        <f ca="1">IF(AND(ISNUMBER($BG$397),$B$226=1),$BG$397,HLOOKUP(INDIRECT(ADDRESS(2,COLUMN())),OFFSET($BN$2,0,0,ROW()-1,60),ROW()-1,FALSE))</f>
        <v>-95.039000000000001</v>
      </c>
      <c r="BH195">
        <f ca="1">IF(AND(ISNUMBER($BH$397),$B$226=1),$BH$397,HLOOKUP(INDIRECT(ADDRESS(2,COLUMN())),OFFSET($BN$2,0,0,ROW()-1,60),ROW()-1,FALSE))</f>
        <v>-58.735999999999997</v>
      </c>
      <c r="BI195">
        <f ca="1">IF(AND(ISNUMBER($BI$397),$B$226=1),$BI$397,HLOOKUP(INDIRECT(ADDRESS(2,COLUMN())),OFFSET($BN$2,0,0,ROW()-1,60),ROW()-1,FALSE))</f>
        <v>-65.230999999999995</v>
      </c>
      <c r="BJ195">
        <f ca="1">IF(AND(ISNUMBER($BJ$397),$B$226=1),$BJ$397,HLOOKUP(INDIRECT(ADDRESS(2,COLUMN())),OFFSET($BN$2,0,0,ROW()-1,60),ROW()-1,FALSE))</f>
        <v>-3.3359999999999999</v>
      </c>
      <c r="BK195">
        <f ca="1">IF(AND(ISNUMBER($BK$397),$B$226=1),$BK$397,HLOOKUP(INDIRECT(ADDRESS(2,COLUMN())),OFFSET($BN$2,0,0,ROW()-1,60),ROW()-1,FALSE))</f>
        <v>-8.0799975400000008</v>
      </c>
      <c r="BL195">
        <f ca="1">IF(AND(ISNUMBER($BL$397),$B$226=1),$BL$397,HLOOKUP(INDIRECT(ADDRESS(2,COLUMN())),OFFSET($BN$2,0,0,ROW()-1,60),ROW()-1,FALSE))</f>
        <v>-49.07</v>
      </c>
      <c r="BM195">
        <f ca="1">IF(AND(ISNUMBER($BM$397),$B$226=1),$BM$397,HLOOKUP(INDIRECT(ADDRESS(2,COLUMN())),OFFSET($BN$2,0,0,ROW()-1,60),ROW()-1,FALSE))</f>
        <v>-34.93</v>
      </c>
      <c r="BN195" t="str">
        <f>""</f>
        <v/>
      </c>
      <c r="BO195">
        <f>-159.167</f>
        <v>-159.167</v>
      </c>
      <c r="BP195">
        <f>-138.573</f>
        <v>-138.57300000000001</v>
      </c>
      <c r="BQ195">
        <f>14.298</f>
        <v>14.298</v>
      </c>
      <c r="BR195">
        <f>23.445</f>
        <v>23.445</v>
      </c>
      <c r="BS195">
        <f>-63.587</f>
        <v>-63.587000000000003</v>
      </c>
      <c r="BT195">
        <f>-219.718</f>
        <v>-219.71799999999999</v>
      </c>
      <c r="BU195">
        <f>-59.036</f>
        <v>-59.036000000000001</v>
      </c>
      <c r="BV195">
        <f>-173.71</f>
        <v>-173.71</v>
      </c>
      <c r="BW195">
        <f>-51.635</f>
        <v>-51.634999999999998</v>
      </c>
      <c r="BX195">
        <f>-91.191</f>
        <v>-91.191000000000003</v>
      </c>
      <c r="BY195">
        <f>-74.68</f>
        <v>-74.680000000000007</v>
      </c>
      <c r="BZ195">
        <f>-350.931</f>
        <v>-350.93099999999998</v>
      </c>
      <c r="CA195">
        <f>-222.15</f>
        <v>-222.15</v>
      </c>
      <c r="CB195">
        <f>-68.973</f>
        <v>-68.972999999999999</v>
      </c>
      <c r="CC195">
        <f>-94.271</f>
        <v>-94.271000000000001</v>
      </c>
      <c r="CD195">
        <f>-69.622</f>
        <v>-69.622</v>
      </c>
      <c r="CE195">
        <f>-222.104</f>
        <v>-222.10400000000001</v>
      </c>
      <c r="CF195">
        <f>-126.715</f>
        <v>-126.715</v>
      </c>
      <c r="CG195">
        <f>-185.888</f>
        <v>-185.88800000000001</v>
      </c>
      <c r="CH195">
        <f>-892.777</f>
        <v>-892.77700000000004</v>
      </c>
      <c r="CI195">
        <f>-83.686</f>
        <v>-83.686000000000007</v>
      </c>
      <c r="CJ195">
        <f>-150.166</f>
        <v>-150.166</v>
      </c>
      <c r="CK195">
        <f>-106.331</f>
        <v>-106.331</v>
      </c>
      <c r="CL195">
        <f>-56.644</f>
        <v>-56.643999999999998</v>
      </c>
      <c r="CM195">
        <f>-76.854</f>
        <v>-76.853999999999999</v>
      </c>
      <c r="CN195">
        <f>-108.082</f>
        <v>-108.08199999999999</v>
      </c>
      <c r="CO195">
        <f>-77.774</f>
        <v>-77.774000000000001</v>
      </c>
      <c r="CP195">
        <f>-45.121</f>
        <v>-45.121000000000002</v>
      </c>
      <c r="CQ195">
        <f>-2.767</f>
        <v>-2.7669999999999999</v>
      </c>
      <c r="CR195">
        <f>-35.131</f>
        <v>-35.131</v>
      </c>
      <c r="CS195">
        <f>-21.036</f>
        <v>-21.036000000000001</v>
      </c>
      <c r="CT195">
        <f>-52.81</f>
        <v>-52.81</v>
      </c>
      <c r="CU195">
        <f>-19.827</f>
        <v>-19.827000000000002</v>
      </c>
      <c r="CV195">
        <f>-46.435</f>
        <v>-46.435000000000002</v>
      </c>
      <c r="CW195">
        <f>-64.337</f>
        <v>-64.337000000000003</v>
      </c>
      <c r="CX195">
        <f>-65.773</f>
        <v>-65.772999999999996</v>
      </c>
      <c r="CY195">
        <f>42.943</f>
        <v>42.942999999999998</v>
      </c>
      <c r="CZ195">
        <f>-275.293</f>
        <v>-275.29300000000001</v>
      </c>
      <c r="DA195">
        <f>-93.297</f>
        <v>-93.296999999999997</v>
      </c>
      <c r="DB195">
        <f>-190.596</f>
        <v>-190.596</v>
      </c>
      <c r="DC195">
        <f>-121.619</f>
        <v>-121.619</v>
      </c>
      <c r="DD195">
        <f>-188.903</f>
        <v>-188.90299999999999</v>
      </c>
      <c r="DE195">
        <f>-183.493</f>
        <v>-183.49299999999999</v>
      </c>
      <c r="DF195">
        <f>-192.817</f>
        <v>-192.81700000000001</v>
      </c>
      <c r="DG195">
        <f>-232.269</f>
        <v>-232.26900000000001</v>
      </c>
      <c r="DH195">
        <f>-117.163</f>
        <v>-117.163</v>
      </c>
      <c r="DI195">
        <f>-86.207</f>
        <v>-86.206999999999994</v>
      </c>
      <c r="DJ195">
        <f>-45.038</f>
        <v>-45.037999999999997</v>
      </c>
      <c r="DK195">
        <f>-44.593</f>
        <v>-44.593000000000004</v>
      </c>
      <c r="DL195">
        <f>0.873</f>
        <v>0.873</v>
      </c>
      <c r="DM195">
        <f>-39.079</f>
        <v>-39.079000000000001</v>
      </c>
      <c r="DN195">
        <f>-69.938</f>
        <v>-69.938000000000002</v>
      </c>
      <c r="DO195">
        <f>-95.039</f>
        <v>-95.039000000000001</v>
      </c>
      <c r="DP195">
        <f>-58.736</f>
        <v>-58.735999999999997</v>
      </c>
      <c r="DQ195">
        <f>-65.231</f>
        <v>-65.230999999999995</v>
      </c>
      <c r="DR195">
        <f>-3.336</f>
        <v>-3.3359999999999999</v>
      </c>
      <c r="DS195">
        <f>-8.07999754</f>
        <v>-8.0799975400000008</v>
      </c>
      <c r="DT195">
        <f>-49.07</f>
        <v>-49.07</v>
      </c>
      <c r="DU195">
        <f>-34.93</f>
        <v>-34.93</v>
      </c>
    </row>
    <row r="196" spans="1:125">
      <c r="A196" t="str">
        <f>"    Camden Property Trust"</f>
        <v xml:space="preserve">    Camden Property Trust</v>
      </c>
      <c r="B196" t="str">
        <f>"CPT US Equity"</f>
        <v>CPT US Equity</v>
      </c>
      <c r="C196" t="str">
        <f t="shared" si="63"/>
        <v>RR008</v>
      </c>
      <c r="D196" t="str">
        <f t="shared" si="64"/>
        <v>CF_FREE_CASH_FLOW</v>
      </c>
      <c r="E196" t="str">
        <f t="shared" si="65"/>
        <v>动态</v>
      </c>
      <c r="F196" t="str">
        <f ca="1">IF(AND(ISNUMBER($F$398),$B$226=1),$F$398,HLOOKUP(INDIRECT(ADDRESS(2,COLUMN())),OFFSET($BN$2,0,0,ROW()-1,60),ROW()-1,FALSE))</f>
        <v/>
      </c>
      <c r="G196">
        <f ca="1">IF(AND(ISNUMBER($G$398),$B$226=1),$G$398,HLOOKUP(INDIRECT(ADDRESS(2,COLUMN())),OFFSET($BN$2,0,0,ROW()-1,60),ROW()-1,FALSE))</f>
        <v>21.515999999999998</v>
      </c>
      <c r="H196">
        <f ca="1">IF(AND(ISNUMBER($H$398),$B$226=1),$H$398,HLOOKUP(INDIRECT(ADDRESS(2,COLUMN())),OFFSET($BN$2,0,0,ROW()-1,60),ROW()-1,FALSE))</f>
        <v>58.634999999999998</v>
      </c>
      <c r="I196">
        <f ca="1">IF(AND(ISNUMBER($I$398),$B$226=1),$I$398,HLOOKUP(INDIRECT(ADDRESS(2,COLUMN())),OFFSET($BN$2,0,0,ROW()-1,60),ROW()-1,FALSE))</f>
        <v>45.216999999999999</v>
      </c>
      <c r="J196">
        <f ca="1">IF(AND(ISNUMBER($J$398),$B$226=1),$J$398,HLOOKUP(INDIRECT(ADDRESS(2,COLUMN())),OFFSET($BN$2,0,0,ROW()-1,60),ROW()-1,FALSE))</f>
        <v>10.202</v>
      </c>
      <c r="K196">
        <f ca="1">IF(AND(ISNUMBER($K$398),$B$226=1),$K$398,HLOOKUP(INDIRECT(ADDRESS(2,COLUMN())),OFFSET($BN$2,0,0,ROW()-1,60),ROW()-1,FALSE))</f>
        <v>5.2690000000000001</v>
      </c>
      <c r="L196">
        <f ca="1">IF(AND(ISNUMBER($L$398),$B$226=1),$L$398,HLOOKUP(INDIRECT(ADDRESS(2,COLUMN())),OFFSET($BN$2,0,0,ROW()-1,60),ROW()-1,FALSE))</f>
        <v>41.621000000000002</v>
      </c>
      <c r="M196">
        <f ca="1">IF(AND(ISNUMBER($M$398),$B$226=1),$M$398,HLOOKUP(INDIRECT(ADDRESS(2,COLUMN())),OFFSET($BN$2,0,0,ROW()-1,60),ROW()-1,FALSE))</f>
        <v>40.143000000000001</v>
      </c>
      <c r="N196">
        <f ca="1">IF(AND(ISNUMBER($N$398),$B$226=1),$N$398,HLOOKUP(INDIRECT(ADDRESS(2,COLUMN())),OFFSET($BN$2,0,0,ROW()-1,60),ROW()-1,FALSE))</f>
        <v>23.445</v>
      </c>
      <c r="O196">
        <f ca="1">IF(AND(ISNUMBER($O$398),$B$226=1),$O$398,HLOOKUP(INDIRECT(ADDRESS(2,COLUMN())),OFFSET($BN$2,0,0,ROW()-1,60),ROW()-1,FALSE))</f>
        <v>30.184000000000001</v>
      </c>
      <c r="P196">
        <f ca="1">IF(AND(ISNUMBER($P$398),$B$226=1),$P$398,HLOOKUP(INDIRECT(ADDRESS(2,COLUMN())),OFFSET($BN$2,0,0,ROW()-1,60),ROW()-1,FALSE))</f>
        <v>19.463000000000001</v>
      </c>
      <c r="Q196">
        <f ca="1">IF(AND(ISNUMBER($Q$398),$B$226=1),$Q$398,HLOOKUP(INDIRECT(ADDRESS(2,COLUMN())),OFFSET($BN$2,0,0,ROW()-1,60),ROW()-1,FALSE))</f>
        <v>-16.989999999999998</v>
      </c>
      <c r="R196">
        <f ca="1">IF(AND(ISNUMBER($R$398),$B$226=1),$R$398,HLOOKUP(INDIRECT(ADDRESS(2,COLUMN())),OFFSET($BN$2,0,0,ROW()-1,60),ROW()-1,FALSE))</f>
        <v>-21.218</v>
      </c>
      <c r="S196">
        <f ca="1">IF(AND(ISNUMBER($S$398),$B$226=1),$S$398,HLOOKUP(INDIRECT(ADDRESS(2,COLUMN())),OFFSET($BN$2,0,0,ROW()-1,60),ROW()-1,FALSE))</f>
        <v>-22.259</v>
      </c>
      <c r="T196">
        <f ca="1">IF(AND(ISNUMBER($T$398),$B$226=1),$T$398,HLOOKUP(INDIRECT(ADDRESS(2,COLUMN())),OFFSET($BN$2,0,0,ROW()-1,60),ROW()-1,FALSE))</f>
        <v>9.5960000000000001</v>
      </c>
      <c r="U196">
        <f ca="1">IF(AND(ISNUMBER($U$398),$B$226=1),$U$398,HLOOKUP(INDIRECT(ADDRESS(2,COLUMN())),OFFSET($BN$2,0,0,ROW()-1,60),ROW()-1,FALSE))</f>
        <v>-59.18</v>
      </c>
      <c r="V196">
        <f ca="1">IF(AND(ISNUMBER($V$398),$B$226=1),$V$398,HLOOKUP(INDIRECT(ADDRESS(2,COLUMN())),OFFSET($BN$2,0,0,ROW()-1,60),ROW()-1,FALSE))</f>
        <v>-17.652000000000001</v>
      </c>
      <c r="W196">
        <f ca="1">IF(AND(ISNUMBER($W$398),$B$226=1),$W$398,HLOOKUP(INDIRECT(ADDRESS(2,COLUMN())),OFFSET($BN$2,0,0,ROW()-1,60),ROW()-1,FALSE))</f>
        <v>-19.186</v>
      </c>
      <c r="X196">
        <f ca="1">IF(AND(ISNUMBER($X$398),$B$226=1),$X$398,HLOOKUP(INDIRECT(ADDRESS(2,COLUMN())),OFFSET($BN$2,0,0,ROW()-1,60),ROW()-1,FALSE))</f>
        <v>29.92</v>
      </c>
      <c r="Y196">
        <f ca="1">IF(AND(ISNUMBER($Y$398),$B$226=1),$Y$398,HLOOKUP(INDIRECT(ADDRESS(2,COLUMN())),OFFSET($BN$2,0,0,ROW()-1,60),ROW()-1,FALSE))</f>
        <v>-6.15</v>
      </c>
      <c r="Z196">
        <f ca="1">IF(AND(ISNUMBER($Z$398),$B$226=1),$Z$398,HLOOKUP(INDIRECT(ADDRESS(2,COLUMN())),OFFSET($BN$2,0,0,ROW()-1,60),ROW()-1,FALSE))</f>
        <v>25.395</v>
      </c>
      <c r="AA196">
        <f ca="1">IF(AND(ISNUMBER($AA$398),$B$226=1),$AA$398,HLOOKUP(INDIRECT(ADDRESS(2,COLUMN())),OFFSET($BN$2,0,0,ROW()-1,60),ROW()-1,FALSE))</f>
        <v>-24.236000000000001</v>
      </c>
      <c r="AB196">
        <f ca="1">IF(AND(ISNUMBER($AB$398),$B$226=1),$AB$398,HLOOKUP(INDIRECT(ADDRESS(2,COLUMN())),OFFSET($BN$2,0,0,ROW()-1,60),ROW()-1,FALSE))</f>
        <v>47.362000000000002</v>
      </c>
      <c r="AC196">
        <f ca="1">IF(AND(ISNUMBER($AC$398),$B$226=1),$AC$398,HLOOKUP(INDIRECT(ADDRESS(2,COLUMN())),OFFSET($BN$2,0,0,ROW()-1,60),ROW()-1,FALSE))</f>
        <v>-15.606999999999999</v>
      </c>
      <c r="AD196">
        <f ca="1">IF(AND(ISNUMBER($AD$398),$B$226=1),$AD$398,HLOOKUP(INDIRECT(ADDRESS(2,COLUMN())),OFFSET($BN$2,0,0,ROW()-1,60),ROW()-1,FALSE))</f>
        <v>15.51</v>
      </c>
      <c r="AE196">
        <f ca="1">IF(AND(ISNUMBER($AE$398),$B$226=1),$AE$398,HLOOKUP(INDIRECT(ADDRESS(2,COLUMN())),OFFSET($BN$2,0,0,ROW()-1,60),ROW()-1,FALSE))</f>
        <v>-28.640999999999998</v>
      </c>
      <c r="AF196">
        <f ca="1">IF(AND(ISNUMBER($AF$398),$B$226=1),$AF$398,HLOOKUP(INDIRECT(ADDRESS(2,COLUMN())),OFFSET($BN$2,0,0,ROW()-1,60),ROW()-1,FALSE))</f>
        <v>-1.448</v>
      </c>
      <c r="AG196">
        <f ca="1">IF(AND(ISNUMBER($AG$398),$B$226=1),$AG$398,HLOOKUP(INDIRECT(ADDRESS(2,COLUMN())),OFFSET($BN$2,0,0,ROW()-1,60),ROW()-1,FALSE))</f>
        <v>15.901999999999999</v>
      </c>
      <c r="AH196">
        <f ca="1">IF(AND(ISNUMBER($AH$398),$B$226=1),$AH$398,HLOOKUP(INDIRECT(ADDRESS(2,COLUMN())),OFFSET($BN$2,0,0,ROW()-1,60),ROW()-1,FALSE))</f>
        <v>31.265999999999998</v>
      </c>
      <c r="AI196">
        <f ca="1">IF(AND(ISNUMBER($AI$398),$B$226=1),$AI$398,HLOOKUP(INDIRECT(ADDRESS(2,COLUMN())),OFFSET($BN$2,0,0,ROW()-1,60),ROW()-1,FALSE))</f>
        <v>25.763000000000002</v>
      </c>
      <c r="AJ196">
        <f ca="1">IF(AND(ISNUMBER($AJ$398),$B$226=1),$AJ$398,HLOOKUP(INDIRECT(ADDRESS(2,COLUMN())),OFFSET($BN$2,0,0,ROW()-1,60),ROW()-1,FALSE))</f>
        <v>62.451000000000001</v>
      </c>
      <c r="AK196">
        <f ca="1">IF(AND(ISNUMBER($AK$398),$B$226=1),$AK$398,HLOOKUP(INDIRECT(ADDRESS(2,COLUMN())),OFFSET($BN$2,0,0,ROW()-1,60),ROW()-1,FALSE))</f>
        <v>41.393999999999998</v>
      </c>
      <c r="AL196">
        <f ca="1">IF(AND(ISNUMBER($AL$398),$B$226=1),$AL$398,HLOOKUP(INDIRECT(ADDRESS(2,COLUMN())),OFFSET($BN$2,0,0,ROW()-1,60),ROW()-1,FALSE))</f>
        <v>30.689</v>
      </c>
      <c r="AM196">
        <f ca="1">IF(AND(ISNUMBER($AM$398),$B$226=1),$AM$398,HLOOKUP(INDIRECT(ADDRESS(2,COLUMN())),OFFSET($BN$2,0,0,ROW()-1,60),ROW()-1,FALSE))</f>
        <v>14.582000000000001</v>
      </c>
      <c r="AN196">
        <f ca="1">IF(AND(ISNUMBER($AN$398),$B$226=1),$AN$398,HLOOKUP(INDIRECT(ADDRESS(2,COLUMN())),OFFSET($BN$2,0,0,ROW()-1,60),ROW()-1,FALSE))</f>
        <v>57.746000000000002</v>
      </c>
      <c r="AO196">
        <f ca="1">IF(AND(ISNUMBER($AO$398),$B$226=1),$AO$398,HLOOKUP(INDIRECT(ADDRESS(2,COLUMN())),OFFSET($BN$2,0,0,ROW()-1,60),ROW()-1,FALSE))</f>
        <v>40.03</v>
      </c>
      <c r="AP196">
        <f ca="1">IF(AND(ISNUMBER($AP$398),$B$226=1),$AP$398,HLOOKUP(INDIRECT(ADDRESS(2,COLUMN())),OFFSET($BN$2,0,0,ROW()-1,60),ROW()-1,FALSE))</f>
        <v>32.551000000000002</v>
      </c>
      <c r="AQ196">
        <f ca="1">IF(AND(ISNUMBER($AQ$398),$B$226=1),$AQ$398,HLOOKUP(INDIRECT(ADDRESS(2,COLUMN())),OFFSET($BN$2,0,0,ROW()-1,60),ROW()-1,FALSE))</f>
        <v>8.6479999999999997</v>
      </c>
      <c r="AR196">
        <f ca="1">IF(AND(ISNUMBER($AR$398),$B$226=1),$AR$398,HLOOKUP(INDIRECT(ADDRESS(2,COLUMN())),OFFSET($BN$2,0,0,ROW()-1,60),ROW()-1,FALSE))</f>
        <v>38.061999999999998</v>
      </c>
      <c r="AS196">
        <f ca="1">IF(AND(ISNUMBER($AS$398),$B$226=1),$AS$398,HLOOKUP(INDIRECT(ADDRESS(2,COLUMN())),OFFSET($BN$2,0,0,ROW()-1,60),ROW()-1,FALSE))</f>
        <v>2.9670000000000001</v>
      </c>
      <c r="AT196">
        <f ca="1">IF(AND(ISNUMBER($AT$398),$B$226=1),$AT$398,HLOOKUP(INDIRECT(ADDRESS(2,COLUMN())),OFFSET($BN$2,0,0,ROW()-1,60),ROW()-1,FALSE))</f>
        <v>-31.257000000000001</v>
      </c>
      <c r="AU196" t="str">
        <f ca="1">IF(AND(ISNUMBER($AU$398),$B$226=1),$AU$398,HLOOKUP(INDIRECT(ADDRESS(2,COLUMN())),OFFSET($BN$2,0,0,ROW()-1,60),ROW()-1,FALSE))</f>
        <v/>
      </c>
      <c r="AV196">
        <f ca="1">IF(AND(ISNUMBER($AV$398),$B$226=1),$AV$398,HLOOKUP(INDIRECT(ADDRESS(2,COLUMN())),OFFSET($BN$2,0,0,ROW()-1,60),ROW()-1,FALSE))</f>
        <v>-36.832999999999998</v>
      </c>
      <c r="AW196">
        <f ca="1">IF(AND(ISNUMBER($AW$398),$B$226=1),$AW$398,HLOOKUP(INDIRECT(ADDRESS(2,COLUMN())),OFFSET($BN$2,0,0,ROW()-1,60),ROW()-1,FALSE))</f>
        <v>-122.628</v>
      </c>
      <c r="AX196">
        <f ca="1">IF(AND(ISNUMBER($AX$398),$B$226=1),$AX$398,HLOOKUP(INDIRECT(ADDRESS(2,COLUMN())),OFFSET($BN$2,0,0,ROW()-1,60),ROW()-1,FALSE))</f>
        <v>-83.106999999999999</v>
      </c>
      <c r="AY196">
        <f ca="1">IF(AND(ISNUMBER($AY$398),$B$226=1),$AY$398,HLOOKUP(INDIRECT(ADDRESS(2,COLUMN())),OFFSET($BN$2,0,0,ROW()-1,60),ROW()-1,FALSE))</f>
        <v>-34.357999999999997</v>
      </c>
      <c r="AZ196">
        <f ca="1">IF(AND(ISNUMBER($AZ$398),$B$226=1),$AZ$398,HLOOKUP(INDIRECT(ADDRESS(2,COLUMN())),OFFSET($BN$2,0,0,ROW()-1,60),ROW()-1,FALSE))</f>
        <v>-45.182000000000002</v>
      </c>
      <c r="BA196">
        <f ca="1">IF(AND(ISNUMBER($BA$398),$B$226=1),$BA$398,HLOOKUP(INDIRECT(ADDRESS(2,COLUMN())),OFFSET($BN$2,0,0,ROW()-1,60),ROW()-1,FALSE))</f>
        <v>-46.323999999999998</v>
      </c>
      <c r="BB196">
        <f ca="1">IF(AND(ISNUMBER($BB$398),$B$226=1),$BB$398,HLOOKUP(INDIRECT(ADDRESS(2,COLUMN())),OFFSET($BN$2,0,0,ROW()-1,60),ROW()-1,FALSE))</f>
        <v>-90.066000000000003</v>
      </c>
      <c r="BC196">
        <f ca="1">IF(AND(ISNUMBER($BC$398),$B$226=1),$BC$398,HLOOKUP(INDIRECT(ADDRESS(2,COLUMN())),OFFSET($BN$2,0,0,ROW()-1,60),ROW()-1,FALSE))</f>
        <v>-60.118000000000002</v>
      </c>
      <c r="BD196">
        <f ca="1">IF(AND(ISNUMBER($BD$398),$B$226=1),$BD$398,HLOOKUP(INDIRECT(ADDRESS(2,COLUMN())),OFFSET($BN$2,0,0,ROW()-1,60),ROW()-1,FALSE))</f>
        <v>-54.286000000000001</v>
      </c>
      <c r="BE196">
        <f ca="1">IF(AND(ISNUMBER($BE$398),$B$226=1),$BE$398,HLOOKUP(INDIRECT(ADDRESS(2,COLUMN())),OFFSET($BN$2,0,0,ROW()-1,60),ROW()-1,FALSE))</f>
        <v>-0.23599999999999999</v>
      </c>
      <c r="BF196">
        <f ca="1">IF(AND(ISNUMBER($BF$398),$B$226=1),$BF$398,HLOOKUP(INDIRECT(ADDRESS(2,COLUMN())),OFFSET($BN$2,0,0,ROW()-1,60),ROW()-1,FALSE))</f>
        <v>14.598000000000001</v>
      </c>
      <c r="BG196">
        <f ca="1">IF(AND(ISNUMBER($BG$398),$B$226=1),$BG$398,HLOOKUP(INDIRECT(ADDRESS(2,COLUMN())),OFFSET($BN$2,0,0,ROW()-1,60),ROW()-1,FALSE))</f>
        <v>9.6120000000000001</v>
      </c>
      <c r="BH196">
        <f ca="1">IF(AND(ISNUMBER($BH$398),$B$226=1),$BH$398,HLOOKUP(INDIRECT(ADDRESS(2,COLUMN())),OFFSET($BN$2,0,0,ROW()-1,60),ROW()-1,FALSE))</f>
        <v>25.59</v>
      </c>
      <c r="BI196">
        <f ca="1">IF(AND(ISNUMBER($BI$398),$B$226=1),$BI$398,HLOOKUP(INDIRECT(ADDRESS(2,COLUMN())),OFFSET($BN$2,0,0,ROW()-1,60),ROW()-1,FALSE))</f>
        <v>-4.6790010000000004</v>
      </c>
      <c r="BJ196">
        <f ca="1">IF(AND(ISNUMBER($BJ$398),$B$226=1),$BJ$398,HLOOKUP(INDIRECT(ADDRESS(2,COLUMN())),OFFSET($BN$2,0,0,ROW()-1,60),ROW()-1,FALSE))</f>
        <v>15.045</v>
      </c>
      <c r="BK196">
        <f ca="1">IF(AND(ISNUMBER($BK$398),$B$226=1),$BK$398,HLOOKUP(INDIRECT(ADDRESS(2,COLUMN())),OFFSET($BN$2,0,0,ROW()-1,60),ROW()-1,FALSE))</f>
        <v>15.997998750000001</v>
      </c>
      <c r="BL196">
        <f ca="1">IF(AND(ISNUMBER($BL$398),$B$226=1),$BL$398,HLOOKUP(INDIRECT(ADDRESS(2,COLUMN())),OFFSET($BN$2,0,0,ROW()-1,60),ROW()-1,FALSE))</f>
        <v>22.638999999999999</v>
      </c>
      <c r="BM196">
        <f ca="1">IF(AND(ISNUMBER($BM$398),$B$226=1),$BM$398,HLOOKUP(INDIRECT(ADDRESS(2,COLUMN())),OFFSET($BN$2,0,0,ROW()-1,60),ROW()-1,FALSE))</f>
        <v>5.0209979999999996</v>
      </c>
      <c r="BN196" t="str">
        <f>""</f>
        <v/>
      </c>
      <c r="BO196">
        <f>21.516</f>
        <v>21.515999999999998</v>
      </c>
      <c r="BP196">
        <f>58.635</f>
        <v>58.634999999999998</v>
      </c>
      <c r="BQ196">
        <f>45.217</f>
        <v>45.216999999999999</v>
      </c>
      <c r="BR196">
        <f>10.202</f>
        <v>10.202</v>
      </c>
      <c r="BS196">
        <f>5.269</f>
        <v>5.2690000000000001</v>
      </c>
      <c r="BT196">
        <f>41.621</f>
        <v>41.621000000000002</v>
      </c>
      <c r="BU196">
        <f>40.143</f>
        <v>40.143000000000001</v>
      </c>
      <c r="BV196">
        <f>23.445</f>
        <v>23.445</v>
      </c>
      <c r="BW196">
        <f>30.184</f>
        <v>30.184000000000001</v>
      </c>
      <c r="BX196">
        <f>19.463</f>
        <v>19.463000000000001</v>
      </c>
      <c r="BY196">
        <f>-16.99</f>
        <v>-16.989999999999998</v>
      </c>
      <c r="BZ196">
        <f>-21.218</f>
        <v>-21.218</v>
      </c>
      <c r="CA196">
        <f>-22.259</f>
        <v>-22.259</v>
      </c>
      <c r="CB196">
        <f>9.596</f>
        <v>9.5960000000000001</v>
      </c>
      <c r="CC196">
        <f>-59.18</f>
        <v>-59.18</v>
      </c>
      <c r="CD196">
        <f>-17.652</f>
        <v>-17.652000000000001</v>
      </c>
      <c r="CE196">
        <f>-19.186</f>
        <v>-19.186</v>
      </c>
      <c r="CF196">
        <f>29.92</f>
        <v>29.92</v>
      </c>
      <c r="CG196">
        <f>-6.15</f>
        <v>-6.15</v>
      </c>
      <c r="CH196">
        <f>25.395</f>
        <v>25.395</v>
      </c>
      <c r="CI196">
        <f>-24.236</f>
        <v>-24.236000000000001</v>
      </c>
      <c r="CJ196">
        <f>47.362</f>
        <v>47.362000000000002</v>
      </c>
      <c r="CK196">
        <f>-15.607</f>
        <v>-15.606999999999999</v>
      </c>
      <c r="CL196">
        <f>15.51</f>
        <v>15.51</v>
      </c>
      <c r="CM196">
        <f>-28.641</f>
        <v>-28.640999999999998</v>
      </c>
      <c r="CN196">
        <f>-1.448</f>
        <v>-1.448</v>
      </c>
      <c r="CO196">
        <f>15.902</f>
        <v>15.901999999999999</v>
      </c>
      <c r="CP196">
        <f>31.266</f>
        <v>31.265999999999998</v>
      </c>
      <c r="CQ196">
        <f>25.763</f>
        <v>25.763000000000002</v>
      </c>
      <c r="CR196">
        <f>62.451</f>
        <v>62.451000000000001</v>
      </c>
      <c r="CS196">
        <f>41.394</f>
        <v>41.393999999999998</v>
      </c>
      <c r="CT196">
        <f>30.689</f>
        <v>30.689</v>
      </c>
      <c r="CU196">
        <f>14.582</f>
        <v>14.582000000000001</v>
      </c>
      <c r="CV196">
        <f>57.746</f>
        <v>57.746000000000002</v>
      </c>
      <c r="CW196">
        <f>40.03</f>
        <v>40.03</v>
      </c>
      <c r="CX196">
        <f>32.551</f>
        <v>32.551000000000002</v>
      </c>
      <c r="CY196">
        <f>8.648</f>
        <v>8.6479999999999997</v>
      </c>
      <c r="CZ196">
        <f>38.062</f>
        <v>38.061999999999998</v>
      </c>
      <c r="DA196">
        <f>2.967</f>
        <v>2.9670000000000001</v>
      </c>
      <c r="DB196">
        <f>-31.257</f>
        <v>-31.257000000000001</v>
      </c>
      <c r="DC196" t="str">
        <f>""</f>
        <v/>
      </c>
      <c r="DD196">
        <f>-36.833</f>
        <v>-36.832999999999998</v>
      </c>
      <c r="DE196">
        <f>-122.628</f>
        <v>-122.628</v>
      </c>
      <c r="DF196">
        <f>-83.107</f>
        <v>-83.106999999999999</v>
      </c>
      <c r="DG196">
        <f>-34.358</f>
        <v>-34.357999999999997</v>
      </c>
      <c r="DH196">
        <f>-45.182</f>
        <v>-45.182000000000002</v>
      </c>
      <c r="DI196">
        <f>-46.324</f>
        <v>-46.323999999999998</v>
      </c>
      <c r="DJ196">
        <f>-90.066</f>
        <v>-90.066000000000003</v>
      </c>
      <c r="DK196">
        <f>-60.118</f>
        <v>-60.118000000000002</v>
      </c>
      <c r="DL196">
        <f>-54.286</f>
        <v>-54.286000000000001</v>
      </c>
      <c r="DM196">
        <f>-0.236</f>
        <v>-0.23599999999999999</v>
      </c>
      <c r="DN196">
        <f>14.598</f>
        <v>14.598000000000001</v>
      </c>
      <c r="DO196">
        <f>9.612</f>
        <v>9.6120000000000001</v>
      </c>
      <c r="DP196">
        <f>25.59</f>
        <v>25.59</v>
      </c>
      <c r="DQ196">
        <f>-4.679001</f>
        <v>-4.6790010000000004</v>
      </c>
      <c r="DR196">
        <f>15.045</f>
        <v>15.045</v>
      </c>
      <c r="DS196">
        <f>15.99799875</f>
        <v>15.997998750000001</v>
      </c>
      <c r="DT196">
        <f>22.639</f>
        <v>22.638999999999999</v>
      </c>
      <c r="DU196">
        <f>5.020998</f>
        <v>5.0209979999999996</v>
      </c>
    </row>
    <row r="197" spans="1:125">
      <c r="A197" t="str">
        <f>"    Education Realty Trust Inc"</f>
        <v xml:space="preserve">    Education Realty Trust Inc</v>
      </c>
      <c r="B197" t="str">
        <f>"EDR US Equity"</f>
        <v>EDR US Equity</v>
      </c>
      <c r="C197" t="str">
        <f t="shared" si="63"/>
        <v>RR008</v>
      </c>
      <c r="D197" t="str">
        <f t="shared" si="64"/>
        <v>CF_FREE_CASH_FLOW</v>
      </c>
      <c r="E197" t="str">
        <f t="shared" si="65"/>
        <v>动态</v>
      </c>
      <c r="F197" t="str">
        <f ca="1">IF(AND(ISNUMBER($F$399),$B$226=1),$F$399,HLOOKUP(INDIRECT(ADDRESS(2,COLUMN())),OFFSET($BN$2,0,0,ROW()-1,60),ROW()-1,FALSE))</f>
        <v/>
      </c>
      <c r="G197">
        <f ca="1">IF(AND(ISNUMBER($G$399),$B$226=1),$G$399,HLOOKUP(INDIRECT(ADDRESS(2,COLUMN())),OFFSET($BN$2,0,0,ROW()-1,60),ROW()-1,FALSE))</f>
        <v>-116.33</v>
      </c>
      <c r="H197">
        <f ca="1">IF(AND(ISNUMBER($H$399),$B$226=1),$H$399,HLOOKUP(INDIRECT(ADDRESS(2,COLUMN())),OFFSET($BN$2,0,0,ROW()-1,60),ROW()-1,FALSE))</f>
        <v>-66.691999999999993</v>
      </c>
      <c r="I197">
        <f ca="1">IF(AND(ISNUMBER($I$399),$B$226=1),$I$399,HLOOKUP(INDIRECT(ADDRESS(2,COLUMN())),OFFSET($BN$2,0,0,ROW()-1,60),ROW()-1,FALSE))</f>
        <v>-74.242000000000004</v>
      </c>
      <c r="J197">
        <f ca="1">IF(AND(ISNUMBER($J$399),$B$226=1),$J$399,HLOOKUP(INDIRECT(ADDRESS(2,COLUMN())),OFFSET($BN$2,0,0,ROW()-1,60),ROW()-1,FALSE))</f>
        <v>-179.70599999999999</v>
      </c>
      <c r="K197">
        <f ca="1">IF(AND(ISNUMBER($K$399),$B$226=1),$K$399,HLOOKUP(INDIRECT(ADDRESS(2,COLUMN())),OFFSET($BN$2,0,0,ROW()-1,60),ROW()-1,FALSE))</f>
        <v>-85.629000000000005</v>
      </c>
      <c r="L197">
        <f ca="1">IF(AND(ISNUMBER($L$399),$B$226=1),$L$399,HLOOKUP(INDIRECT(ADDRESS(2,COLUMN())),OFFSET($BN$2,0,0,ROW()-1,60),ROW()-1,FALSE))</f>
        <v>-97.972999999999999</v>
      </c>
      <c r="M197">
        <f ca="1">IF(AND(ISNUMBER($M$399),$B$226=1),$M$399,HLOOKUP(INDIRECT(ADDRESS(2,COLUMN())),OFFSET($BN$2,0,0,ROW()-1,60),ROW()-1,FALSE))</f>
        <v>-232.33199999999999</v>
      </c>
      <c r="N197">
        <f ca="1">IF(AND(ISNUMBER($N$399),$B$226=1),$N$399,HLOOKUP(INDIRECT(ADDRESS(2,COLUMN())),OFFSET($BN$2,0,0,ROW()-1,60),ROW()-1,FALSE))</f>
        <v>-52.045000000000002</v>
      </c>
      <c r="O197">
        <f ca="1">IF(AND(ISNUMBER($O$399),$B$226=1),$O$399,HLOOKUP(INDIRECT(ADDRESS(2,COLUMN())),OFFSET($BN$2,0,0,ROW()-1,60),ROW()-1,FALSE))</f>
        <v>-13.378</v>
      </c>
      <c r="P197">
        <f ca="1">IF(AND(ISNUMBER($P$399),$B$226=1),$P$399,HLOOKUP(INDIRECT(ADDRESS(2,COLUMN())),OFFSET($BN$2,0,0,ROW()-1,60),ROW()-1,FALSE))</f>
        <v>-76.082999999999998</v>
      </c>
      <c r="Q197">
        <f ca="1">IF(AND(ISNUMBER($Q$399),$B$226=1),$Q$399,HLOOKUP(INDIRECT(ADDRESS(2,COLUMN())),OFFSET($BN$2,0,0,ROW()-1,60),ROW()-1,FALSE))</f>
        <v>-39.186999999999998</v>
      </c>
      <c r="R197">
        <f ca="1">IF(AND(ISNUMBER($R$399),$B$226=1),$R$399,HLOOKUP(INDIRECT(ADDRESS(2,COLUMN())),OFFSET($BN$2,0,0,ROW()-1,60),ROW()-1,FALSE))</f>
        <v>-15.262</v>
      </c>
      <c r="S197">
        <f ca="1">IF(AND(ISNUMBER($S$399),$B$226=1),$S$399,HLOOKUP(INDIRECT(ADDRESS(2,COLUMN())),OFFSET($BN$2,0,0,ROW()-1,60),ROW()-1,FALSE))</f>
        <v>-37.191000000000003</v>
      </c>
      <c r="T197">
        <f ca="1">IF(AND(ISNUMBER($T$399),$B$226=1),$T$399,HLOOKUP(INDIRECT(ADDRESS(2,COLUMN())),OFFSET($BN$2,0,0,ROW()-1,60),ROW()-1,FALSE))</f>
        <v>-160.89699999999999</v>
      </c>
      <c r="U197">
        <f ca="1">IF(AND(ISNUMBER($U$399),$B$226=1),$U$399,HLOOKUP(INDIRECT(ADDRESS(2,COLUMN())),OFFSET($BN$2,0,0,ROW()-1,60),ROW()-1,FALSE))</f>
        <v>-50.722999999999999</v>
      </c>
      <c r="V197">
        <f ca="1">IF(AND(ISNUMBER($V$399),$B$226=1),$V$399,HLOOKUP(INDIRECT(ADDRESS(2,COLUMN())),OFFSET($BN$2,0,0,ROW()-1,60),ROW()-1,FALSE))</f>
        <v>-36.25</v>
      </c>
      <c r="W197">
        <f ca="1">IF(AND(ISNUMBER($W$399),$B$226=1),$W$399,HLOOKUP(INDIRECT(ADDRESS(2,COLUMN())),OFFSET($BN$2,0,0,ROW()-1,60),ROW()-1,FALSE))</f>
        <v>-42.887999999999998</v>
      </c>
      <c r="X197">
        <f ca="1">IF(AND(ISNUMBER($X$399),$B$226=1),$X$399,HLOOKUP(INDIRECT(ADDRESS(2,COLUMN())),OFFSET($BN$2,0,0,ROW()-1,60),ROW()-1,FALSE))</f>
        <v>-126.726</v>
      </c>
      <c r="Y197">
        <f ca="1">IF(AND(ISNUMBER($Y$399),$B$226=1),$Y$399,HLOOKUP(INDIRECT(ADDRESS(2,COLUMN())),OFFSET($BN$2,0,0,ROW()-1,60),ROW()-1,FALSE))</f>
        <v>-44.496000000000002</v>
      </c>
      <c r="Z197">
        <f ca="1">IF(AND(ISNUMBER($Z$399),$B$226=1),$Z$399,HLOOKUP(INDIRECT(ADDRESS(2,COLUMN())),OFFSET($BN$2,0,0,ROW()-1,60),ROW()-1,FALSE))</f>
        <v>-43.63</v>
      </c>
      <c r="AA197">
        <f ca="1">IF(AND(ISNUMBER($AA$399),$B$226=1),$AA$399,HLOOKUP(INDIRECT(ADDRESS(2,COLUMN())),OFFSET($BN$2,0,0,ROW()-1,60),ROW()-1,FALSE))</f>
        <v>-216.30500000000001</v>
      </c>
      <c r="AB197">
        <f ca="1">IF(AND(ISNUMBER($AB$399),$B$226=1),$AB$399,HLOOKUP(INDIRECT(ADDRESS(2,COLUMN())),OFFSET($BN$2,0,0,ROW()-1,60),ROW()-1,FALSE))</f>
        <v>-77.573999999999998</v>
      </c>
      <c r="AC197">
        <f ca="1">IF(AND(ISNUMBER($AC$399),$B$226=1),$AC$399,HLOOKUP(INDIRECT(ADDRESS(2,COLUMN())),OFFSET($BN$2,0,0,ROW()-1,60),ROW()-1,FALSE))</f>
        <v>-25.190999999999999</v>
      </c>
      <c r="AD197">
        <f ca="1">IF(AND(ISNUMBER($AD$399),$B$226=1),$AD$399,HLOOKUP(INDIRECT(ADDRESS(2,COLUMN())),OFFSET($BN$2,0,0,ROW()-1,60),ROW()-1,FALSE))</f>
        <v>-41.118000000000002</v>
      </c>
      <c r="AE197">
        <f ca="1">IF(AND(ISNUMBER($AE$399),$B$226=1),$AE$399,HLOOKUP(INDIRECT(ADDRESS(2,COLUMN())),OFFSET($BN$2,0,0,ROW()-1,60),ROW()-1,FALSE))</f>
        <v>-121.959</v>
      </c>
      <c r="AF197">
        <f ca="1">IF(AND(ISNUMBER($AF$399),$B$226=1),$AF$399,HLOOKUP(INDIRECT(ADDRESS(2,COLUMN())),OFFSET($BN$2,0,0,ROW()-1,60),ROW()-1,FALSE))</f>
        <v>-49.756</v>
      </c>
      <c r="AG197">
        <f ca="1">IF(AND(ISNUMBER($AG$399),$B$226=1),$AG$399,HLOOKUP(INDIRECT(ADDRESS(2,COLUMN())),OFFSET($BN$2,0,0,ROW()-1,60),ROW()-1,FALSE))</f>
        <v>-14.129</v>
      </c>
      <c r="AH197">
        <f ca="1">IF(AND(ISNUMBER($AH$399),$B$226=1),$AH$399,HLOOKUP(INDIRECT(ADDRESS(2,COLUMN())),OFFSET($BN$2,0,0,ROW()-1,60),ROW()-1,FALSE))</f>
        <v>-20.390999999999998</v>
      </c>
      <c r="AI197">
        <f ca="1">IF(AND(ISNUMBER($AI$399),$B$226=1),$AI$399,HLOOKUP(INDIRECT(ADDRESS(2,COLUMN())),OFFSET($BN$2,0,0,ROW()-1,60),ROW()-1,FALSE))</f>
        <v>-31.518000000000001</v>
      </c>
      <c r="AJ197">
        <f ca="1">IF(AND(ISNUMBER($AJ$399),$B$226=1),$AJ$399,HLOOKUP(INDIRECT(ADDRESS(2,COLUMN())),OFFSET($BN$2,0,0,ROW()-1,60),ROW()-1,FALSE))</f>
        <v>13.654999999999999</v>
      </c>
      <c r="AK197">
        <f ca="1">IF(AND(ISNUMBER($AK$399),$B$226=1),$AK$399,HLOOKUP(INDIRECT(ADDRESS(2,COLUMN())),OFFSET($BN$2,0,0,ROW()-1,60),ROW()-1,FALSE))</f>
        <v>3.1989999999999998</v>
      </c>
      <c r="AL197">
        <f ca="1">IF(AND(ISNUMBER($AL$399),$B$226=1),$AL$399,HLOOKUP(INDIRECT(ADDRESS(2,COLUMN())),OFFSET($BN$2,0,0,ROW()-1,60),ROW()-1,FALSE))</f>
        <v>0.79300000000000004</v>
      </c>
      <c r="AM197">
        <f ca="1">IF(AND(ISNUMBER($AM$399),$B$226=1),$AM$399,HLOOKUP(INDIRECT(ADDRESS(2,COLUMN())),OFFSET($BN$2,0,0,ROW()-1,60),ROW()-1,FALSE))</f>
        <v>-11.553000000000001</v>
      </c>
      <c r="AN197">
        <f ca="1">IF(AND(ISNUMBER($AN$399),$B$226=1),$AN$399,HLOOKUP(INDIRECT(ADDRESS(2,COLUMN())),OFFSET($BN$2,0,0,ROW()-1,60),ROW()-1,FALSE))</f>
        <v>-6.0469999999999997</v>
      </c>
      <c r="AO197">
        <f ca="1">IF(AND(ISNUMBER($AO$399),$B$226=1),$AO$399,HLOOKUP(INDIRECT(ADDRESS(2,COLUMN())),OFFSET($BN$2,0,0,ROW()-1,60),ROW()-1,FALSE))</f>
        <v>-3.79</v>
      </c>
      <c r="AP197">
        <f ca="1">IF(AND(ISNUMBER($AP$399),$B$226=1),$AP$399,HLOOKUP(INDIRECT(ADDRESS(2,COLUMN())),OFFSET($BN$2,0,0,ROW()-1,60),ROW()-1,FALSE))</f>
        <v>0.434</v>
      </c>
      <c r="AQ197">
        <f ca="1">IF(AND(ISNUMBER($AQ$399),$B$226=1),$AQ$399,HLOOKUP(INDIRECT(ADDRESS(2,COLUMN())),OFFSET($BN$2,0,0,ROW()-1,60),ROW()-1,FALSE))</f>
        <v>-43.756999999999998</v>
      </c>
      <c r="AR197">
        <f ca="1">IF(AND(ISNUMBER($AR$399),$B$226=1),$AR$399,HLOOKUP(INDIRECT(ADDRESS(2,COLUMN())),OFFSET($BN$2,0,0,ROW()-1,60),ROW()-1,FALSE))</f>
        <v>-3.399</v>
      </c>
      <c r="AS197">
        <f ca="1">IF(AND(ISNUMBER($AS$399),$B$226=1),$AS$399,HLOOKUP(INDIRECT(ADDRESS(2,COLUMN())),OFFSET($BN$2,0,0,ROW()-1,60),ROW()-1,FALSE))</f>
        <v>3.4060000000000001</v>
      </c>
      <c r="AT197">
        <f ca="1">IF(AND(ISNUMBER($AT$399),$B$226=1),$AT$399,HLOOKUP(INDIRECT(ADDRESS(2,COLUMN())),OFFSET($BN$2,0,0,ROW()-1,60),ROW()-1,FALSE))</f>
        <v>2.5880000000000001</v>
      </c>
      <c r="AU197">
        <f ca="1">IF(AND(ISNUMBER($AU$399),$B$226=1),$AU$399,HLOOKUP(INDIRECT(ADDRESS(2,COLUMN())),OFFSET($BN$2,0,0,ROW()-1,60),ROW()-1,FALSE))</f>
        <v>-3.6230000000000002</v>
      </c>
      <c r="AV197">
        <f ca="1">IF(AND(ISNUMBER($AV$399),$B$226=1),$AV$399,HLOOKUP(INDIRECT(ADDRESS(2,COLUMN())),OFFSET($BN$2,0,0,ROW()-1,60),ROW()-1,FALSE))</f>
        <v>5.6</v>
      </c>
      <c r="AW197">
        <f ca="1">IF(AND(ISNUMBER($AW$399),$B$226=1),$AW$399,HLOOKUP(INDIRECT(ADDRESS(2,COLUMN())),OFFSET($BN$2,0,0,ROW()-1,60),ROW()-1,FALSE))</f>
        <v>4.7110000000000003</v>
      </c>
      <c r="AX197">
        <f ca="1">IF(AND(ISNUMBER($AX$399),$B$226=1),$AX$399,HLOOKUP(INDIRECT(ADDRESS(2,COLUMN())),OFFSET($BN$2,0,0,ROW()-1,60),ROW()-1,FALSE))</f>
        <v>2.8340000000000001</v>
      </c>
      <c r="AY197">
        <f ca="1">IF(AND(ISNUMBER($AY$399),$B$226=1),$AY$399,HLOOKUP(INDIRECT(ADDRESS(2,COLUMN())),OFFSET($BN$2,0,0,ROW()-1,60),ROW()-1,FALSE))</f>
        <v>4.1950000000000003</v>
      </c>
      <c r="AZ197">
        <f ca="1">IF(AND(ISNUMBER($AZ$399),$B$226=1),$AZ$399,HLOOKUP(INDIRECT(ADDRESS(2,COLUMN())),OFFSET($BN$2,0,0,ROW()-1,60),ROW()-1,FALSE))</f>
        <v>3.145</v>
      </c>
      <c r="BA197">
        <f ca="1">IF(AND(ISNUMBER($BA$399),$B$226=1),$BA$399,HLOOKUP(INDIRECT(ADDRESS(2,COLUMN())),OFFSET($BN$2,0,0,ROW()-1,60),ROW()-1,FALSE))</f>
        <v>-5.335</v>
      </c>
      <c r="BB197">
        <f ca="1">IF(AND(ISNUMBER($BB$399),$B$226=1),$BB$399,HLOOKUP(INDIRECT(ADDRESS(2,COLUMN())),OFFSET($BN$2,0,0,ROW()-1,60),ROW()-1,FALSE))</f>
        <v>-96.144000000000005</v>
      </c>
      <c r="BC197">
        <f ca="1">IF(AND(ISNUMBER($BC$399),$B$226=1),$BC$399,HLOOKUP(INDIRECT(ADDRESS(2,COLUMN())),OFFSET($BN$2,0,0,ROW()-1,60),ROW()-1,FALSE))</f>
        <v>2.593</v>
      </c>
      <c r="BD197">
        <f ca="1">IF(AND(ISNUMBER($BD$399),$B$226=1),$BD$399,HLOOKUP(INDIRECT(ADDRESS(2,COLUMN())),OFFSET($BN$2,0,0,ROW()-1,60),ROW()-1,FALSE))</f>
        <v>-9.16</v>
      </c>
      <c r="BE197">
        <f ca="1">IF(AND(ISNUMBER($BE$399),$B$226=1),$BE$399,HLOOKUP(INDIRECT(ADDRESS(2,COLUMN())),OFFSET($BN$2,0,0,ROW()-1,60),ROW()-1,FALSE))</f>
        <v>-16.141999999999999</v>
      </c>
      <c r="BF197">
        <f ca="1">IF(AND(ISNUMBER($BF$399),$B$226=1),$BF$399,HLOOKUP(INDIRECT(ADDRESS(2,COLUMN())),OFFSET($BN$2,0,0,ROW()-1,60),ROW()-1,FALSE))</f>
        <v>-152.80699999999999</v>
      </c>
      <c r="BG197" t="str">
        <f ca="1">IF(AND(ISNUMBER($BG$399),$B$226=1),$BG$399,HLOOKUP(INDIRECT(ADDRESS(2,COLUMN())),OFFSET($BN$2,0,0,ROW()-1,60),ROW()-1,FALSE))</f>
        <v/>
      </c>
      <c r="BH197" t="str">
        <f ca="1">IF(AND(ISNUMBER($BH$399),$B$226=1),$BH$399,HLOOKUP(INDIRECT(ADDRESS(2,COLUMN())),OFFSET($BN$2,0,0,ROW()-1,60),ROW()-1,FALSE))</f>
        <v/>
      </c>
      <c r="BI197" t="str">
        <f ca="1">IF(AND(ISNUMBER($BI$399),$B$226=1),$BI$399,HLOOKUP(INDIRECT(ADDRESS(2,COLUMN())),OFFSET($BN$2,0,0,ROW()-1,60),ROW()-1,FALSE))</f>
        <v/>
      </c>
      <c r="BJ197" t="str">
        <f ca="1">IF(AND(ISNUMBER($BJ$399),$B$226=1),$BJ$399,HLOOKUP(INDIRECT(ADDRESS(2,COLUMN())),OFFSET($BN$2,0,0,ROW()-1,60),ROW()-1,FALSE))</f>
        <v/>
      </c>
      <c r="BK197" t="str">
        <f ca="1">IF(AND(ISNUMBER($BK$399),$B$226=1),$BK$399,HLOOKUP(INDIRECT(ADDRESS(2,COLUMN())),OFFSET($BN$2,0,0,ROW()-1,60),ROW()-1,FALSE))</f>
        <v/>
      </c>
      <c r="BL197" t="str">
        <f ca="1">IF(AND(ISNUMBER($BL$399),$B$226=1),$BL$399,HLOOKUP(INDIRECT(ADDRESS(2,COLUMN())),OFFSET($BN$2,0,0,ROW()-1,60),ROW()-1,FALSE))</f>
        <v/>
      </c>
      <c r="BM197" t="str">
        <f ca="1">IF(AND(ISNUMBER($BM$399),$B$226=1),$BM$399,HLOOKUP(INDIRECT(ADDRESS(2,COLUMN())),OFFSET($BN$2,0,0,ROW()-1,60),ROW()-1,FALSE))</f>
        <v/>
      </c>
      <c r="BN197" t="str">
        <f>""</f>
        <v/>
      </c>
      <c r="BO197">
        <f>-116.33</f>
        <v>-116.33</v>
      </c>
      <c r="BP197">
        <f>-66.692</f>
        <v>-66.691999999999993</v>
      </c>
      <c r="BQ197">
        <f>-74.242</f>
        <v>-74.242000000000004</v>
      </c>
      <c r="BR197">
        <f>-179.706</f>
        <v>-179.70599999999999</v>
      </c>
      <c r="BS197">
        <f>-85.629</f>
        <v>-85.629000000000005</v>
      </c>
      <c r="BT197">
        <f>-97.973</f>
        <v>-97.972999999999999</v>
      </c>
      <c r="BU197">
        <f>-232.332</f>
        <v>-232.33199999999999</v>
      </c>
      <c r="BV197">
        <f>-52.045</f>
        <v>-52.045000000000002</v>
      </c>
      <c r="BW197">
        <f>-13.378</f>
        <v>-13.378</v>
      </c>
      <c r="BX197">
        <f>-76.083</f>
        <v>-76.082999999999998</v>
      </c>
      <c r="BY197">
        <f>-39.187</f>
        <v>-39.186999999999998</v>
      </c>
      <c r="BZ197">
        <f>-15.262</f>
        <v>-15.262</v>
      </c>
      <c r="CA197">
        <f>-37.191</f>
        <v>-37.191000000000003</v>
      </c>
      <c r="CB197">
        <f>-160.897</f>
        <v>-160.89699999999999</v>
      </c>
      <c r="CC197">
        <f>-50.723</f>
        <v>-50.722999999999999</v>
      </c>
      <c r="CD197">
        <f>-36.25</f>
        <v>-36.25</v>
      </c>
      <c r="CE197">
        <f>-42.888</f>
        <v>-42.887999999999998</v>
      </c>
      <c r="CF197">
        <f>-126.726</f>
        <v>-126.726</v>
      </c>
      <c r="CG197">
        <f>-44.496</f>
        <v>-44.496000000000002</v>
      </c>
      <c r="CH197">
        <f>-43.63</f>
        <v>-43.63</v>
      </c>
      <c r="CI197">
        <f>-216.305</f>
        <v>-216.30500000000001</v>
      </c>
      <c r="CJ197">
        <f>-77.574</f>
        <v>-77.573999999999998</v>
      </c>
      <c r="CK197">
        <f>-25.191</f>
        <v>-25.190999999999999</v>
      </c>
      <c r="CL197">
        <f>-41.118</f>
        <v>-41.118000000000002</v>
      </c>
      <c r="CM197">
        <f>-121.959</f>
        <v>-121.959</v>
      </c>
      <c r="CN197">
        <f>-49.756</f>
        <v>-49.756</v>
      </c>
      <c r="CO197">
        <f>-14.129</f>
        <v>-14.129</v>
      </c>
      <c r="CP197">
        <f>-20.391</f>
        <v>-20.390999999999998</v>
      </c>
      <c r="CQ197">
        <f>-31.518</f>
        <v>-31.518000000000001</v>
      </c>
      <c r="CR197">
        <f>13.655</f>
        <v>13.654999999999999</v>
      </c>
      <c r="CS197">
        <f>3.199</f>
        <v>3.1989999999999998</v>
      </c>
      <c r="CT197">
        <f>0.793</f>
        <v>0.79300000000000004</v>
      </c>
      <c r="CU197">
        <f>-11.553</f>
        <v>-11.553000000000001</v>
      </c>
      <c r="CV197">
        <f>-6.047</f>
        <v>-6.0469999999999997</v>
      </c>
      <c r="CW197">
        <f>-3.79</f>
        <v>-3.79</v>
      </c>
      <c r="CX197">
        <f>0.434</f>
        <v>0.434</v>
      </c>
      <c r="CY197">
        <f>-43.757</f>
        <v>-43.756999999999998</v>
      </c>
      <c r="CZ197">
        <f>-3.399</f>
        <v>-3.399</v>
      </c>
      <c r="DA197">
        <f>3.406</f>
        <v>3.4060000000000001</v>
      </c>
      <c r="DB197">
        <f>2.588</f>
        <v>2.5880000000000001</v>
      </c>
      <c r="DC197">
        <f>-3.623</f>
        <v>-3.6230000000000002</v>
      </c>
      <c r="DD197">
        <f>5.6</f>
        <v>5.6</v>
      </c>
      <c r="DE197">
        <f>4.711</f>
        <v>4.7110000000000003</v>
      </c>
      <c r="DF197">
        <f>2.834</f>
        <v>2.8340000000000001</v>
      </c>
      <c r="DG197">
        <f>4.195</f>
        <v>4.1950000000000003</v>
      </c>
      <c r="DH197">
        <f>3.145</f>
        <v>3.145</v>
      </c>
      <c r="DI197">
        <f>-5.335</f>
        <v>-5.335</v>
      </c>
      <c r="DJ197">
        <f>-96.144</f>
        <v>-96.144000000000005</v>
      </c>
      <c r="DK197">
        <f>2.593</f>
        <v>2.593</v>
      </c>
      <c r="DL197">
        <f>-9.16</f>
        <v>-9.16</v>
      </c>
      <c r="DM197">
        <f>-16.142</f>
        <v>-16.141999999999999</v>
      </c>
      <c r="DN197">
        <f>-152.807</f>
        <v>-152.80699999999999</v>
      </c>
      <c r="DO197" t="str">
        <f>""</f>
        <v/>
      </c>
      <c r="DP197" t="str">
        <f>""</f>
        <v/>
      </c>
      <c r="DQ197" t="str">
        <f>""</f>
        <v/>
      </c>
      <c r="DR197" t="str">
        <f>""</f>
        <v/>
      </c>
      <c r="DS197" t="str">
        <f>""</f>
        <v/>
      </c>
      <c r="DT197" t="str">
        <f>""</f>
        <v/>
      </c>
      <c r="DU197" t="str">
        <f>""</f>
        <v/>
      </c>
    </row>
    <row r="198" spans="1:125">
      <c r="A198" t="str">
        <f>"    Equity Residential"</f>
        <v xml:space="preserve">    Equity Residential</v>
      </c>
      <c r="B198" t="str">
        <f>"EQR US Equity"</f>
        <v>EQR US Equity</v>
      </c>
      <c r="C198" t="str">
        <f t="shared" si="63"/>
        <v>RR008</v>
      </c>
      <c r="D198" t="str">
        <f t="shared" si="64"/>
        <v>CF_FREE_CASH_FLOW</v>
      </c>
      <c r="E198" t="str">
        <f t="shared" si="65"/>
        <v>动态</v>
      </c>
      <c r="F198" t="str">
        <f ca="1">IF(AND(ISNUMBER($F$400),$B$226=1),$F$400,HLOOKUP(INDIRECT(ADDRESS(2,COLUMN())),OFFSET($BN$2,0,0,ROW()-1,60),ROW()-1,FALSE))</f>
        <v/>
      </c>
      <c r="G198">
        <f ca="1">IF(AND(ISNUMBER($G$400),$B$226=1),$G$400,HLOOKUP(INDIRECT(ADDRESS(2,COLUMN())),OFFSET($BN$2,0,0,ROW()-1,60),ROW()-1,FALSE))</f>
        <v>193.48099999999999</v>
      </c>
      <c r="H198">
        <f ca="1">IF(AND(ISNUMBER($H$400),$B$226=1),$H$400,HLOOKUP(INDIRECT(ADDRESS(2,COLUMN())),OFFSET($BN$2,0,0,ROW()-1,60),ROW()-1,FALSE))</f>
        <v>-101.711</v>
      </c>
      <c r="I198">
        <f ca="1">IF(AND(ISNUMBER($I$400),$B$226=1),$I$400,HLOOKUP(INDIRECT(ADDRESS(2,COLUMN())),OFFSET($BN$2,0,0,ROW()-1,60),ROW()-1,FALSE))</f>
        <v>76.721999999999994</v>
      </c>
      <c r="J198">
        <f ca="1">IF(AND(ISNUMBER($J$400),$B$226=1),$J$400,HLOOKUP(INDIRECT(ADDRESS(2,COLUMN())),OFFSET($BN$2,0,0,ROW()-1,60),ROW()-1,FALSE))</f>
        <v>150.40700000000001</v>
      </c>
      <c r="K198">
        <f ca="1">IF(AND(ISNUMBER($K$400),$B$226=1),$K$400,HLOOKUP(INDIRECT(ADDRESS(2,COLUMN())),OFFSET($BN$2,0,0,ROW()-1,60),ROW()-1,FALSE))</f>
        <v>130.95599999999999</v>
      </c>
      <c r="L198">
        <f ca="1">IF(AND(ISNUMBER($L$400),$B$226=1),$L$400,HLOOKUP(INDIRECT(ADDRESS(2,COLUMN())),OFFSET($BN$2,0,0,ROW()-1,60),ROW()-1,FALSE))</f>
        <v>106.086</v>
      </c>
      <c r="M198">
        <f ca="1">IF(AND(ISNUMBER($M$400),$B$226=1),$M$400,HLOOKUP(INDIRECT(ADDRESS(2,COLUMN())),OFFSET($BN$2,0,0,ROW()-1,60),ROW()-1,FALSE))</f>
        <v>68.403000000000006</v>
      </c>
      <c r="N198">
        <f ca="1">IF(AND(ISNUMBER($N$400),$B$226=1),$N$400,HLOOKUP(INDIRECT(ADDRESS(2,COLUMN())),OFFSET($BN$2,0,0,ROW()-1,60),ROW()-1,FALSE))</f>
        <v>-144.56899999999999</v>
      </c>
      <c r="O198">
        <f ca="1">IF(AND(ISNUMBER($O$400),$B$226=1),$O$400,HLOOKUP(INDIRECT(ADDRESS(2,COLUMN())),OFFSET($BN$2,0,0,ROW()-1,60),ROW()-1,FALSE))</f>
        <v>-96.028999999999996</v>
      </c>
      <c r="P198">
        <f ca="1">IF(AND(ISNUMBER($P$400),$B$226=1),$P$400,HLOOKUP(INDIRECT(ADDRESS(2,COLUMN())),OFFSET($BN$2,0,0,ROW()-1,60),ROW()-1,FALSE))</f>
        <v>151.399</v>
      </c>
      <c r="Q198">
        <f ca="1">IF(AND(ISNUMBER($Q$400),$B$226=1),$Q$400,HLOOKUP(INDIRECT(ADDRESS(2,COLUMN())),OFFSET($BN$2,0,0,ROW()-1,60),ROW()-1,FALSE))</f>
        <v>-26.55</v>
      </c>
      <c r="R198">
        <f ca="1">IF(AND(ISNUMBER($R$400),$B$226=1),$R$400,HLOOKUP(INDIRECT(ADDRESS(2,COLUMN())),OFFSET($BN$2,0,0,ROW()-1,60),ROW()-1,FALSE))</f>
        <v>156.34200000000001</v>
      </c>
      <c r="S198">
        <f ca="1">IF(AND(ISNUMBER($S$400),$B$226=1),$S$400,HLOOKUP(INDIRECT(ADDRESS(2,COLUMN())),OFFSET($BN$2,0,0,ROW()-1,60),ROW()-1,FALSE))</f>
        <v>39.158999999999999</v>
      </c>
      <c r="T198">
        <f ca="1">IF(AND(ISNUMBER($T$400),$B$226=1),$T$400,HLOOKUP(INDIRECT(ADDRESS(2,COLUMN())),OFFSET($BN$2,0,0,ROW()-1,60),ROW()-1,FALSE))</f>
        <v>63.668999999999997</v>
      </c>
      <c r="U198">
        <f ca="1">IF(AND(ISNUMBER($U$400),$B$226=1),$U$400,HLOOKUP(INDIRECT(ADDRESS(2,COLUMN())),OFFSET($BN$2,0,0,ROW()-1,60),ROW()-1,FALSE))</f>
        <v>-4.0309999999999997</v>
      </c>
      <c r="V198">
        <f ca="1">IF(AND(ISNUMBER($V$400),$B$226=1),$V$400,HLOOKUP(INDIRECT(ADDRESS(2,COLUMN())),OFFSET($BN$2,0,0,ROW()-1,60),ROW()-1,FALSE))</f>
        <v>33.656999999999996</v>
      </c>
      <c r="W198">
        <f ca="1">IF(AND(ISNUMBER($W$400),$B$226=1),$W$400,HLOOKUP(INDIRECT(ADDRESS(2,COLUMN())),OFFSET($BN$2,0,0,ROW()-1,60),ROW()-1,FALSE))</f>
        <v>-133.119</v>
      </c>
      <c r="X198">
        <f ca="1">IF(AND(ISNUMBER($X$400),$B$226=1),$X$400,HLOOKUP(INDIRECT(ADDRESS(2,COLUMN())),OFFSET($BN$2,0,0,ROW()-1,60),ROW()-1,FALSE))</f>
        <v>206.714</v>
      </c>
      <c r="Y198">
        <f ca="1">IF(AND(ISNUMBER($Y$400),$B$226=1),$Y$400,HLOOKUP(INDIRECT(ADDRESS(2,COLUMN())),OFFSET($BN$2,0,0,ROW()-1,60),ROW()-1,FALSE))</f>
        <v>-4.8600000000000003</v>
      </c>
      <c r="Z198">
        <f ca="1">IF(AND(ISNUMBER($Z$400),$B$226=1),$Z$400,HLOOKUP(INDIRECT(ADDRESS(2,COLUMN())),OFFSET($BN$2,0,0,ROW()-1,60),ROW()-1,FALSE))</f>
        <v>99.741</v>
      </c>
      <c r="AA198">
        <f ca="1">IF(AND(ISNUMBER($AA$400),$B$226=1),$AA$400,HLOOKUP(INDIRECT(ADDRESS(2,COLUMN())),OFFSET($BN$2,0,0,ROW()-1,60),ROW()-1,FALSE))</f>
        <v>-858.55399999999997</v>
      </c>
      <c r="AB198">
        <f ca="1">IF(AND(ISNUMBER($AB$400),$B$226=1),$AB$400,HLOOKUP(INDIRECT(ADDRESS(2,COLUMN())),OFFSET($BN$2,0,0,ROW()-1,60),ROW()-1,FALSE))</f>
        <v>-53.704000000000001</v>
      </c>
      <c r="AC198">
        <f ca="1">IF(AND(ISNUMBER($AC$400),$B$226=1),$AC$400,HLOOKUP(INDIRECT(ADDRESS(2,COLUMN())),OFFSET($BN$2,0,0,ROW()-1,60),ROW()-1,FALSE))</f>
        <v>-70.662000000000006</v>
      </c>
      <c r="AD198">
        <f ca="1">IF(AND(ISNUMBER($AD$400),$B$226=1),$AD$400,HLOOKUP(INDIRECT(ADDRESS(2,COLUMN())),OFFSET($BN$2,0,0,ROW()-1,60),ROW()-1,FALSE))</f>
        <v>-16.414999999999999</v>
      </c>
      <c r="AE198">
        <f ca="1">IF(AND(ISNUMBER($AE$400),$B$226=1),$AE$400,HLOOKUP(INDIRECT(ADDRESS(2,COLUMN())),OFFSET($BN$2,0,0,ROW()-1,60),ROW()-1,FALSE))</f>
        <v>-688.19500000000005</v>
      </c>
      <c r="AF198">
        <f ca="1">IF(AND(ISNUMBER($AF$400),$B$226=1),$AF$400,HLOOKUP(INDIRECT(ADDRESS(2,COLUMN())),OFFSET($BN$2,0,0,ROW()-1,60),ROW()-1,FALSE))</f>
        <v>-9.9120000000000008</v>
      </c>
      <c r="AG198">
        <f ca="1">IF(AND(ISNUMBER($AG$400),$B$226=1),$AG$400,HLOOKUP(INDIRECT(ADDRESS(2,COLUMN())),OFFSET($BN$2,0,0,ROW()-1,60),ROW()-1,FALSE))</f>
        <v>-216.58</v>
      </c>
      <c r="AH198">
        <f ca="1">IF(AND(ISNUMBER($AH$400),$B$226=1),$AH$400,HLOOKUP(INDIRECT(ADDRESS(2,COLUMN())),OFFSET($BN$2,0,0,ROW()-1,60),ROW()-1,FALSE))</f>
        <v>1.252</v>
      </c>
      <c r="AI198">
        <f ca="1">IF(AND(ISNUMBER($AI$400),$B$226=1),$AI$400,HLOOKUP(INDIRECT(ADDRESS(2,COLUMN())),OFFSET($BN$2,0,0,ROW()-1,60),ROW()-1,FALSE))</f>
        <v>6.4109999999999996</v>
      </c>
      <c r="AJ198">
        <f ca="1">IF(AND(ISNUMBER($AJ$400),$B$226=1),$AJ$400,HLOOKUP(INDIRECT(ADDRESS(2,COLUMN())),OFFSET($BN$2,0,0,ROW()-1,60),ROW()-1,FALSE))</f>
        <v>-289.61900000000003</v>
      </c>
      <c r="AK198">
        <f ca="1">IF(AND(ISNUMBER($AK$400),$B$226=1),$AK$400,HLOOKUP(INDIRECT(ADDRESS(2,COLUMN())),OFFSET($BN$2,0,0,ROW()-1,60),ROW()-1,FALSE))</f>
        <v>-48.920999999999999</v>
      </c>
      <c r="AL198">
        <f ca="1">IF(AND(ISNUMBER($AL$400),$B$226=1),$AL$400,HLOOKUP(INDIRECT(ADDRESS(2,COLUMN())),OFFSET($BN$2,0,0,ROW()-1,60),ROW()-1,FALSE))</f>
        <v>-403.54300000000001</v>
      </c>
      <c r="AM198">
        <f ca="1">IF(AND(ISNUMBER($AM$400),$B$226=1),$AM$400,HLOOKUP(INDIRECT(ADDRESS(2,COLUMN())),OFFSET($BN$2,0,0,ROW()-1,60),ROW()-1,FALSE))</f>
        <v>-110.848</v>
      </c>
      <c r="AN198">
        <f ca="1">IF(AND(ISNUMBER($AN$400),$B$226=1),$AN$400,HLOOKUP(INDIRECT(ADDRESS(2,COLUMN())),OFFSET($BN$2,0,0,ROW()-1,60),ROW()-1,FALSE))</f>
        <v>43.17</v>
      </c>
      <c r="AO198">
        <f ca="1">IF(AND(ISNUMBER($AO$400),$B$226=1),$AO$400,HLOOKUP(INDIRECT(ADDRESS(2,COLUMN())),OFFSET($BN$2,0,0,ROW()-1,60),ROW()-1,FALSE))</f>
        <v>75.096999999999994</v>
      </c>
      <c r="AP198">
        <f ca="1">IF(AND(ISNUMBER($AP$400),$B$226=1),$AP$400,HLOOKUP(INDIRECT(ADDRESS(2,COLUMN())),OFFSET($BN$2,0,0,ROW()-1,60),ROW()-1,FALSE))</f>
        <v>32.923999999999999</v>
      </c>
      <c r="AQ198">
        <f ca="1">IF(AND(ISNUMBER($AQ$400),$B$226=1),$AQ$400,HLOOKUP(INDIRECT(ADDRESS(2,COLUMN())),OFFSET($BN$2,0,0,ROW()-1,60),ROW()-1,FALSE))</f>
        <v>-20.065999999999999</v>
      </c>
      <c r="AR198">
        <f ca="1">IF(AND(ISNUMBER($AR$400),$B$226=1),$AR$400,HLOOKUP(INDIRECT(ADDRESS(2,COLUMN())),OFFSET($BN$2,0,0,ROW()-1,60),ROW()-1,FALSE))</f>
        <v>11.496</v>
      </c>
      <c r="AS198">
        <f ca="1">IF(AND(ISNUMBER($AS$400),$B$226=1),$AS$400,HLOOKUP(INDIRECT(ADDRESS(2,COLUMN())),OFFSET($BN$2,0,0,ROW()-1,60),ROW()-1,FALSE))</f>
        <v>-274.89600000000002</v>
      </c>
      <c r="AT198">
        <f ca="1">IF(AND(ISNUMBER($AT$400),$B$226=1),$AT$400,HLOOKUP(INDIRECT(ADDRESS(2,COLUMN())),OFFSET($BN$2,0,0,ROW()-1,60),ROW()-1,FALSE))</f>
        <v>-43.076000000000001</v>
      </c>
      <c r="AU198">
        <f ca="1">IF(AND(ISNUMBER($AU$400),$B$226=1),$AU$400,HLOOKUP(INDIRECT(ADDRESS(2,COLUMN())),OFFSET($BN$2,0,0,ROW()-1,60),ROW()-1,FALSE))</f>
        <v>-121.324</v>
      </c>
      <c r="AV198">
        <f ca="1">IF(AND(ISNUMBER($AV$400),$B$226=1),$AV$400,HLOOKUP(INDIRECT(ADDRESS(2,COLUMN())),OFFSET($BN$2,0,0,ROW()-1,60),ROW()-1,FALSE))</f>
        <v>-402.14600000000002</v>
      </c>
      <c r="AW198">
        <f ca="1">IF(AND(ISNUMBER($AW$400),$B$226=1),$AW$400,HLOOKUP(INDIRECT(ADDRESS(2,COLUMN())),OFFSET($BN$2,0,0,ROW()-1,60),ROW()-1,FALSE))</f>
        <v>-455.05500000000001</v>
      </c>
      <c r="AX198">
        <f ca="1">IF(AND(ISNUMBER($AX$400),$B$226=1),$AX$400,HLOOKUP(INDIRECT(ADDRESS(2,COLUMN())),OFFSET($BN$2,0,0,ROW()-1,60),ROW()-1,FALSE))</f>
        <v>-648.976</v>
      </c>
      <c r="AY198">
        <f ca="1">IF(AND(ISNUMBER($AY$400),$B$226=1),$AY$400,HLOOKUP(INDIRECT(ADDRESS(2,COLUMN())),OFFSET($BN$2,0,0,ROW()-1,60),ROW()-1,FALSE))</f>
        <v>-320.85300000000001</v>
      </c>
      <c r="AZ198">
        <f ca="1">IF(AND(ISNUMBER($AZ$400),$B$226=1),$AZ$400,HLOOKUP(INDIRECT(ADDRESS(2,COLUMN())),OFFSET($BN$2,0,0,ROW()-1,60),ROW()-1,FALSE))</f>
        <v>-421.49799999999999</v>
      </c>
      <c r="BA198">
        <f ca="1">IF(AND(ISNUMBER($BA$400),$B$226=1),$BA$400,HLOOKUP(INDIRECT(ADDRESS(2,COLUMN())),OFFSET($BN$2,0,0,ROW()-1,60),ROW()-1,FALSE))</f>
        <v>-405.84</v>
      </c>
      <c r="BB198">
        <f ca="1">IF(AND(ISNUMBER($BB$400),$B$226=1),$BB$400,HLOOKUP(INDIRECT(ADDRESS(2,COLUMN())),OFFSET($BN$2,0,0,ROW()-1,60),ROW()-1,FALSE))</f>
        <v>-371.69</v>
      </c>
      <c r="BC198">
        <f ca="1">IF(AND(ISNUMBER($BC$400),$B$226=1),$BC$400,HLOOKUP(INDIRECT(ADDRESS(2,COLUMN())),OFFSET($BN$2,0,0,ROW()-1,60),ROW()-1,FALSE))</f>
        <v>-1101.3499999999999</v>
      </c>
      <c r="BD198">
        <f ca="1">IF(AND(ISNUMBER($BD$400),$B$226=1),$BD$400,HLOOKUP(INDIRECT(ADDRESS(2,COLUMN())),OFFSET($BN$2,0,0,ROW()-1,60),ROW()-1,FALSE))</f>
        <v>-381.05200000000002</v>
      </c>
      <c r="BE198">
        <f ca="1">IF(AND(ISNUMBER($BE$400),$B$226=1),$BE$400,HLOOKUP(INDIRECT(ADDRESS(2,COLUMN())),OFFSET($BN$2,0,0,ROW()-1,60),ROW()-1,FALSE))</f>
        <v>-282.55500000000001</v>
      </c>
      <c r="BF198">
        <f ca="1">IF(AND(ISNUMBER($BF$400),$B$226=1),$BF$400,HLOOKUP(INDIRECT(ADDRESS(2,COLUMN())),OFFSET($BN$2,0,0,ROW()-1,60),ROW()-1,FALSE))</f>
        <v>-182.69399999999999</v>
      </c>
      <c r="BG198">
        <f ca="1">IF(AND(ISNUMBER($BG$400),$B$226=1),$BG$400,HLOOKUP(INDIRECT(ADDRESS(2,COLUMN())),OFFSET($BN$2,0,0,ROW()-1,60),ROW()-1,FALSE))</f>
        <v>-217.07300000000001</v>
      </c>
      <c r="BH198">
        <f ca="1">IF(AND(ISNUMBER($BH$400),$B$226=1),$BH$400,HLOOKUP(INDIRECT(ADDRESS(2,COLUMN())),OFFSET($BN$2,0,0,ROW()-1,60),ROW()-1,FALSE))</f>
        <v>-32.485999999999997</v>
      </c>
      <c r="BI198">
        <f ca="1">IF(AND(ISNUMBER($BI$400),$B$226=1),$BI$400,HLOOKUP(INDIRECT(ADDRESS(2,COLUMN())),OFFSET($BN$2,0,0,ROW()-1,60),ROW()-1,FALSE))</f>
        <v>-135.30311399999999</v>
      </c>
      <c r="BJ198">
        <f ca="1">IF(AND(ISNUMBER($BJ$400),$B$226=1),$BJ$400,HLOOKUP(INDIRECT(ADDRESS(2,COLUMN())),OFFSET($BN$2,0,0,ROW()-1,60),ROW()-1,FALSE))</f>
        <v>-51.098004000000003</v>
      </c>
      <c r="BK198" t="str">
        <f ca="1">IF(AND(ISNUMBER($BK$400),$B$226=1),$BK$400,HLOOKUP(INDIRECT(ADDRESS(2,COLUMN())),OFFSET($BN$2,0,0,ROW()-1,60),ROW()-1,FALSE))</f>
        <v/>
      </c>
      <c r="BL198">
        <f ca="1">IF(AND(ISNUMBER($BL$400),$B$226=1),$BL$400,HLOOKUP(INDIRECT(ADDRESS(2,COLUMN())),OFFSET($BN$2,0,0,ROW()-1,60),ROW()-1,FALSE))</f>
        <v>107.28299699999999</v>
      </c>
      <c r="BM198">
        <f ca="1">IF(AND(ISNUMBER($BM$400),$B$226=1),$BM$400,HLOOKUP(INDIRECT(ADDRESS(2,COLUMN())),OFFSET($BN$2,0,0,ROW()-1,60),ROW()-1,FALSE))</f>
        <v>-36.692008999999999</v>
      </c>
      <c r="BN198" t="str">
        <f>""</f>
        <v/>
      </c>
      <c r="BO198">
        <f>193.481</f>
        <v>193.48099999999999</v>
      </c>
      <c r="BP198">
        <f>-101.711</f>
        <v>-101.711</v>
      </c>
      <c r="BQ198">
        <f>76.722</f>
        <v>76.721999999999994</v>
      </c>
      <c r="BR198">
        <f>150.407</f>
        <v>150.40700000000001</v>
      </c>
      <c r="BS198">
        <f>130.956</f>
        <v>130.95599999999999</v>
      </c>
      <c r="BT198">
        <f>106.086</f>
        <v>106.086</v>
      </c>
      <c r="BU198">
        <f>68.403</f>
        <v>68.403000000000006</v>
      </c>
      <c r="BV198">
        <f>-144.569</f>
        <v>-144.56899999999999</v>
      </c>
      <c r="BW198">
        <f>-96.029</f>
        <v>-96.028999999999996</v>
      </c>
      <c r="BX198">
        <f>151.399</f>
        <v>151.399</v>
      </c>
      <c r="BY198">
        <f>-26.55</f>
        <v>-26.55</v>
      </c>
      <c r="BZ198">
        <f>156.342</f>
        <v>156.34200000000001</v>
      </c>
      <c r="CA198">
        <f>39.159</f>
        <v>39.158999999999999</v>
      </c>
      <c r="CB198">
        <f>63.669</f>
        <v>63.668999999999997</v>
      </c>
      <c r="CC198">
        <f>-4.031</f>
        <v>-4.0309999999999997</v>
      </c>
      <c r="CD198">
        <f>33.657</f>
        <v>33.656999999999996</v>
      </c>
      <c r="CE198">
        <f>-133.119</f>
        <v>-133.119</v>
      </c>
      <c r="CF198">
        <f>206.714</f>
        <v>206.714</v>
      </c>
      <c r="CG198">
        <f>-4.86</f>
        <v>-4.8600000000000003</v>
      </c>
      <c r="CH198">
        <f>99.741</f>
        <v>99.741</v>
      </c>
      <c r="CI198">
        <f>-858.554</f>
        <v>-858.55399999999997</v>
      </c>
      <c r="CJ198">
        <f>-53.704</f>
        <v>-53.704000000000001</v>
      </c>
      <c r="CK198">
        <f>-70.662</f>
        <v>-70.662000000000006</v>
      </c>
      <c r="CL198">
        <f>-16.415</f>
        <v>-16.414999999999999</v>
      </c>
      <c r="CM198">
        <f>-688.195</f>
        <v>-688.19500000000005</v>
      </c>
      <c r="CN198">
        <f>-9.912</f>
        <v>-9.9120000000000008</v>
      </c>
      <c r="CO198">
        <f>-216.58</f>
        <v>-216.58</v>
      </c>
      <c r="CP198">
        <f>1.252</f>
        <v>1.252</v>
      </c>
      <c r="CQ198">
        <f>6.411</f>
        <v>6.4109999999999996</v>
      </c>
      <c r="CR198">
        <f>-289.619</f>
        <v>-289.61900000000003</v>
      </c>
      <c r="CS198">
        <f>-48.921</f>
        <v>-48.920999999999999</v>
      </c>
      <c r="CT198">
        <f>-403.543</f>
        <v>-403.54300000000001</v>
      </c>
      <c r="CU198">
        <f>-110.848</f>
        <v>-110.848</v>
      </c>
      <c r="CV198">
        <f>43.17</f>
        <v>43.17</v>
      </c>
      <c r="CW198">
        <f>75.097</f>
        <v>75.096999999999994</v>
      </c>
      <c r="CX198">
        <f>32.924</f>
        <v>32.923999999999999</v>
      </c>
      <c r="CY198">
        <f>-20.066</f>
        <v>-20.065999999999999</v>
      </c>
      <c r="CZ198">
        <f>11.496</f>
        <v>11.496</v>
      </c>
      <c r="DA198">
        <f>-274.896</f>
        <v>-274.89600000000002</v>
      </c>
      <c r="DB198">
        <f>-43.076</f>
        <v>-43.076000000000001</v>
      </c>
      <c r="DC198">
        <f>-121.324</f>
        <v>-121.324</v>
      </c>
      <c r="DD198">
        <f>-402.146</f>
        <v>-402.14600000000002</v>
      </c>
      <c r="DE198">
        <f>-455.055</f>
        <v>-455.05500000000001</v>
      </c>
      <c r="DF198">
        <f>-648.976</f>
        <v>-648.976</v>
      </c>
      <c r="DG198">
        <f>-320.853</f>
        <v>-320.85300000000001</v>
      </c>
      <c r="DH198">
        <f>-421.498</f>
        <v>-421.49799999999999</v>
      </c>
      <c r="DI198">
        <f>-405.84</f>
        <v>-405.84</v>
      </c>
      <c r="DJ198">
        <f>-371.69</f>
        <v>-371.69</v>
      </c>
      <c r="DK198">
        <f>-1101.35</f>
        <v>-1101.3499999999999</v>
      </c>
      <c r="DL198">
        <f>-381.052</f>
        <v>-381.05200000000002</v>
      </c>
      <c r="DM198">
        <f>-282.555</f>
        <v>-282.55500000000001</v>
      </c>
      <c r="DN198">
        <f>-182.694</f>
        <v>-182.69399999999999</v>
      </c>
      <c r="DO198">
        <f>-217.073</f>
        <v>-217.07300000000001</v>
      </c>
      <c r="DP198">
        <f>-32.486</f>
        <v>-32.485999999999997</v>
      </c>
      <c r="DQ198">
        <f>-135.303114</f>
        <v>-135.30311399999999</v>
      </c>
      <c r="DR198">
        <f>-51.098004</f>
        <v>-51.098004000000003</v>
      </c>
      <c r="DS198" t="str">
        <f>""</f>
        <v/>
      </c>
      <c r="DT198">
        <f>107.282997</f>
        <v>107.28299699999999</v>
      </c>
      <c r="DU198">
        <f>-36.692009</f>
        <v>-36.692008999999999</v>
      </c>
    </row>
    <row r="199" spans="1:125">
      <c r="A199" t="str">
        <f>"    Essex Property Trust Inc"</f>
        <v xml:space="preserve">    Essex Property Trust Inc</v>
      </c>
      <c r="B199" t="str">
        <f>"ESS US Equity"</f>
        <v>ESS US Equity</v>
      </c>
      <c r="C199" t="str">
        <f t="shared" si="63"/>
        <v>RR008</v>
      </c>
      <c r="D199" t="str">
        <f t="shared" si="64"/>
        <v>CF_FREE_CASH_FLOW</v>
      </c>
      <c r="E199" t="str">
        <f t="shared" si="65"/>
        <v>动态</v>
      </c>
      <c r="F199" t="str">
        <f ca="1">IF(AND(ISNUMBER($F$401),$B$226=1),$F$401,HLOOKUP(INDIRECT(ADDRESS(2,COLUMN())),OFFSET($BN$2,0,0,ROW()-1,60),ROW()-1,FALSE))</f>
        <v/>
      </c>
      <c r="G199">
        <f ca="1">IF(AND(ISNUMBER($G$401),$B$226=1),$G$401,HLOOKUP(INDIRECT(ADDRESS(2,COLUMN())),OFFSET($BN$2,0,0,ROW()-1,60),ROW()-1,FALSE))</f>
        <v>50.084000000000003</v>
      </c>
      <c r="H199">
        <f ca="1">IF(AND(ISNUMBER($H$401),$B$226=1),$H$401,HLOOKUP(INDIRECT(ADDRESS(2,COLUMN())),OFFSET($BN$2,0,0,ROW()-1,60),ROW()-1,FALSE))</f>
        <v>160.06700000000001</v>
      </c>
      <c r="I199">
        <f ca="1">IF(AND(ISNUMBER($I$401),$B$226=1),$I$401,HLOOKUP(INDIRECT(ADDRESS(2,COLUMN())),OFFSET($BN$2,0,0,ROW()-1,60),ROW()-1,FALSE))</f>
        <v>89.385000000000005</v>
      </c>
      <c r="J199">
        <f ca="1">IF(AND(ISNUMBER($J$401),$B$226=1),$J$401,HLOOKUP(INDIRECT(ADDRESS(2,COLUMN())),OFFSET($BN$2,0,0,ROW()-1,60),ROW()-1,FALSE))</f>
        <v>-18.225999999999999</v>
      </c>
      <c r="K199">
        <f ca="1">IF(AND(ISNUMBER($K$401),$B$226=1),$K$401,HLOOKUP(INDIRECT(ADDRESS(2,COLUMN())),OFFSET($BN$2,0,0,ROW()-1,60),ROW()-1,FALSE))</f>
        <v>-117.5</v>
      </c>
      <c r="L199">
        <f ca="1">IF(AND(ISNUMBER($L$401),$B$226=1),$L$401,HLOOKUP(INDIRECT(ADDRESS(2,COLUMN())),OFFSET($BN$2,0,0,ROW()-1,60),ROW()-1,FALSE))</f>
        <v>164.005</v>
      </c>
      <c r="M199">
        <f ca="1">IF(AND(ISNUMBER($M$401),$B$226=1),$M$401,HLOOKUP(INDIRECT(ADDRESS(2,COLUMN())),OFFSET($BN$2,0,0,ROW()-1,60),ROW()-1,FALSE))</f>
        <v>92.570999999999998</v>
      </c>
      <c r="N199">
        <f ca="1">IF(AND(ISNUMBER($N$401),$B$226=1),$N$401,HLOOKUP(INDIRECT(ADDRESS(2,COLUMN())),OFFSET($BN$2,0,0,ROW()-1,60),ROW()-1,FALSE))</f>
        <v>37.805999999999997</v>
      </c>
      <c r="O199">
        <f ca="1">IF(AND(ISNUMBER($O$401),$B$226=1),$O$401,HLOOKUP(INDIRECT(ADDRESS(2,COLUMN())),OFFSET($BN$2,0,0,ROW()-1,60),ROW()-1,FALSE))</f>
        <v>-125.255</v>
      </c>
      <c r="P199">
        <f ca="1">IF(AND(ISNUMBER($P$401),$B$226=1),$P$401,HLOOKUP(INDIRECT(ADDRESS(2,COLUMN())),OFFSET($BN$2,0,0,ROW()-1,60),ROW()-1,FALSE))</f>
        <v>129.10400000000001</v>
      </c>
      <c r="Q199">
        <f ca="1">IF(AND(ISNUMBER($Q$401),$B$226=1),$Q$401,HLOOKUP(INDIRECT(ADDRESS(2,COLUMN())),OFFSET($BN$2,0,0,ROW()-1,60),ROW()-1,FALSE))</f>
        <v>-53.786000000000001</v>
      </c>
      <c r="R199">
        <f ca="1">IF(AND(ISNUMBER($R$401),$B$226=1),$R$401,HLOOKUP(INDIRECT(ADDRESS(2,COLUMN())),OFFSET($BN$2,0,0,ROW()-1,60),ROW()-1,FALSE))</f>
        <v>-162.90199999999999</v>
      </c>
      <c r="S199">
        <f ca="1">IF(AND(ISNUMBER($S$401),$B$226=1),$S$401,HLOOKUP(INDIRECT(ADDRESS(2,COLUMN())),OFFSET($BN$2,0,0,ROW()-1,60),ROW()-1,FALSE))</f>
        <v>58.286999999999999</v>
      </c>
      <c r="T199">
        <f ca="1">IF(AND(ISNUMBER($T$401),$B$226=1),$T$401,HLOOKUP(INDIRECT(ADDRESS(2,COLUMN())),OFFSET($BN$2,0,0,ROW()-1,60),ROW()-1,FALSE))</f>
        <v>-241.672</v>
      </c>
      <c r="U199">
        <f ca="1">IF(AND(ISNUMBER($U$401),$B$226=1),$U$401,HLOOKUP(INDIRECT(ADDRESS(2,COLUMN())),OFFSET($BN$2,0,0,ROW()-1,60),ROW()-1,FALSE))</f>
        <v>-49.081000000000003</v>
      </c>
      <c r="V199">
        <f ca="1">IF(AND(ISNUMBER($V$401),$B$226=1),$V$401,HLOOKUP(INDIRECT(ADDRESS(2,COLUMN())),OFFSET($BN$2,0,0,ROW()-1,60),ROW()-1,FALSE))</f>
        <v>25.172000000000001</v>
      </c>
      <c r="W199">
        <f ca="1">IF(AND(ISNUMBER($W$401),$B$226=1),$W$401,HLOOKUP(INDIRECT(ADDRESS(2,COLUMN())),OFFSET($BN$2,0,0,ROW()-1,60),ROW()-1,FALSE))</f>
        <v>-96.105000000000004</v>
      </c>
      <c r="X199">
        <f ca="1">IF(AND(ISNUMBER($X$401),$B$226=1),$X$401,HLOOKUP(INDIRECT(ADDRESS(2,COLUMN())),OFFSET($BN$2,0,0,ROW()-1,60),ROW()-1,FALSE))</f>
        <v>5.5540000000000003</v>
      </c>
      <c r="Y199">
        <f ca="1">IF(AND(ISNUMBER($Y$401),$B$226=1),$Y$401,HLOOKUP(INDIRECT(ADDRESS(2,COLUMN())),OFFSET($BN$2,0,0,ROW()-1,60),ROW()-1,FALSE))</f>
        <v>32.649000000000001</v>
      </c>
      <c r="Z199">
        <f ca="1">IF(AND(ISNUMBER($Z$401),$B$226=1),$Z$401,HLOOKUP(INDIRECT(ADDRESS(2,COLUMN())),OFFSET($BN$2,0,0,ROW()-1,60),ROW()-1,FALSE))</f>
        <v>-107.855</v>
      </c>
      <c r="AA199">
        <f ca="1">IF(AND(ISNUMBER($AA$401),$B$226=1),$AA$401,HLOOKUP(INDIRECT(ADDRESS(2,COLUMN())),OFFSET($BN$2,0,0,ROW()-1,60),ROW()-1,FALSE))</f>
        <v>-229.18199999999999</v>
      </c>
      <c r="AB199">
        <f ca="1">IF(AND(ISNUMBER($AB$401),$B$226=1),$AB$401,HLOOKUP(INDIRECT(ADDRESS(2,COLUMN())),OFFSET($BN$2,0,0,ROW()-1,60),ROW()-1,FALSE))</f>
        <v>-20.555</v>
      </c>
      <c r="AC199">
        <f ca="1">IF(AND(ISNUMBER($AC$401),$B$226=1),$AC$401,HLOOKUP(INDIRECT(ADDRESS(2,COLUMN())),OFFSET($BN$2,0,0,ROW()-1,60),ROW()-1,FALSE))</f>
        <v>-12.102</v>
      </c>
      <c r="AD199">
        <f ca="1">IF(AND(ISNUMBER($AD$401),$B$226=1),$AD$401,HLOOKUP(INDIRECT(ADDRESS(2,COLUMN())),OFFSET($BN$2,0,0,ROW()-1,60),ROW()-1,FALSE))</f>
        <v>14.356</v>
      </c>
      <c r="AE199">
        <f ca="1">IF(AND(ISNUMBER($AE$401),$B$226=1),$AE$401,HLOOKUP(INDIRECT(ADDRESS(2,COLUMN())),OFFSET($BN$2,0,0,ROW()-1,60),ROW()-1,FALSE))</f>
        <v>6.3879999999999999</v>
      </c>
      <c r="AF199">
        <f ca="1">IF(AND(ISNUMBER($AF$401),$B$226=1),$AF$401,HLOOKUP(INDIRECT(ADDRESS(2,COLUMN())),OFFSET($BN$2,0,0,ROW()-1,60),ROW()-1,FALSE))</f>
        <v>15.561999999999999</v>
      </c>
      <c r="AG199">
        <f ca="1">IF(AND(ISNUMBER($AG$401),$B$226=1),$AG$401,HLOOKUP(INDIRECT(ADDRESS(2,COLUMN())),OFFSET($BN$2,0,0,ROW()-1,60),ROW()-1,FALSE))</f>
        <v>-15.907999999999999</v>
      </c>
      <c r="AH199">
        <f ca="1">IF(AND(ISNUMBER($AH$401),$B$226=1),$AH$401,HLOOKUP(INDIRECT(ADDRESS(2,COLUMN())),OFFSET($BN$2,0,0,ROW()-1,60),ROW()-1,FALSE))</f>
        <v>-21.425000000000001</v>
      </c>
      <c r="AI199">
        <f ca="1">IF(AND(ISNUMBER($AI$401),$B$226=1),$AI$401,HLOOKUP(INDIRECT(ADDRESS(2,COLUMN())),OFFSET($BN$2,0,0,ROW()-1,60),ROW()-1,FALSE))</f>
        <v>-325.93400000000003</v>
      </c>
      <c r="AJ199">
        <f ca="1">IF(AND(ISNUMBER($AJ$401),$B$226=1),$AJ$401,HLOOKUP(INDIRECT(ADDRESS(2,COLUMN())),OFFSET($BN$2,0,0,ROW()-1,60),ROW()-1,FALSE))</f>
        <v>-100.72</v>
      </c>
      <c r="AK199">
        <f ca="1">IF(AND(ISNUMBER($AK$401),$B$226=1),$AK$401,HLOOKUP(INDIRECT(ADDRESS(2,COLUMN())),OFFSET($BN$2,0,0,ROW()-1,60),ROW()-1,FALSE))</f>
        <v>-8.3740000000000006</v>
      </c>
      <c r="AL199">
        <f ca="1">IF(AND(ISNUMBER($AL$401),$B$226=1),$AL$401,HLOOKUP(INDIRECT(ADDRESS(2,COLUMN())),OFFSET($BN$2,0,0,ROW()-1,60),ROW()-1,FALSE))</f>
        <v>18.620999999999999</v>
      </c>
      <c r="AM199">
        <f ca="1">IF(AND(ISNUMBER($AM$401),$B$226=1),$AM$401,HLOOKUP(INDIRECT(ADDRESS(2,COLUMN())),OFFSET($BN$2,0,0,ROW()-1,60),ROW()-1,FALSE))</f>
        <v>-67.878</v>
      </c>
      <c r="AN199">
        <f ca="1">IF(AND(ISNUMBER($AN$401),$B$226=1),$AN$401,HLOOKUP(INDIRECT(ADDRESS(2,COLUMN())),OFFSET($BN$2,0,0,ROW()-1,60),ROW()-1,FALSE))</f>
        <v>25.257000000000001</v>
      </c>
      <c r="AO199">
        <f ca="1">IF(AND(ISNUMBER($AO$401),$B$226=1),$AO$401,HLOOKUP(INDIRECT(ADDRESS(2,COLUMN())),OFFSET($BN$2,0,0,ROW()-1,60),ROW()-1,FALSE))</f>
        <v>-2.2629999999999999</v>
      </c>
      <c r="AP199">
        <f ca="1">IF(AND(ISNUMBER($AP$401),$B$226=1),$AP$401,HLOOKUP(INDIRECT(ADDRESS(2,COLUMN())),OFFSET($BN$2,0,0,ROW()-1,60),ROW()-1,FALSE))</f>
        <v>17.821000000000002</v>
      </c>
      <c r="AQ199">
        <f ca="1">IF(AND(ISNUMBER($AQ$401),$B$226=1),$AQ$401,HLOOKUP(INDIRECT(ADDRESS(2,COLUMN())),OFFSET($BN$2,0,0,ROW()-1,60),ROW()-1,FALSE))</f>
        <v>-109.925</v>
      </c>
      <c r="AR199">
        <f ca="1">IF(AND(ISNUMBER($AR$401),$B$226=1),$AR$401,HLOOKUP(INDIRECT(ADDRESS(2,COLUMN())),OFFSET($BN$2,0,0,ROW()-1,60),ROW()-1,FALSE))</f>
        <v>5.875</v>
      </c>
      <c r="AS199">
        <f ca="1">IF(AND(ISNUMBER($AS$401),$B$226=1),$AS$401,HLOOKUP(INDIRECT(ADDRESS(2,COLUMN())),OFFSET($BN$2,0,0,ROW()-1,60),ROW()-1,FALSE))</f>
        <v>-33.363</v>
      </c>
      <c r="AT199">
        <f ca="1">IF(AND(ISNUMBER($AT$401),$B$226=1),$AT$401,HLOOKUP(INDIRECT(ADDRESS(2,COLUMN())),OFFSET($BN$2,0,0,ROW()-1,60),ROW()-1,FALSE))</f>
        <v>15.936999999999999</v>
      </c>
      <c r="AU199">
        <f ca="1">IF(AND(ISNUMBER($AU$401),$B$226=1),$AU$401,HLOOKUP(INDIRECT(ADDRESS(2,COLUMN())),OFFSET($BN$2,0,0,ROW()-1,60),ROW()-1,FALSE))</f>
        <v>-42.506999999999998</v>
      </c>
      <c r="AV199">
        <f ca="1">IF(AND(ISNUMBER($AV$401),$B$226=1),$AV$401,HLOOKUP(INDIRECT(ADDRESS(2,COLUMN())),OFFSET($BN$2,0,0,ROW()-1,60),ROW()-1,FALSE))</f>
        <v>-99.99</v>
      </c>
      <c r="AW199">
        <f ca="1">IF(AND(ISNUMBER($AW$401),$B$226=1),$AW$401,HLOOKUP(INDIRECT(ADDRESS(2,COLUMN())),OFFSET($BN$2,0,0,ROW()-1,60),ROW()-1,FALSE))</f>
        <v>-146.08500000000001</v>
      </c>
      <c r="AX199">
        <f ca="1">IF(AND(ISNUMBER($AX$401),$B$226=1),$AX$401,HLOOKUP(INDIRECT(ADDRESS(2,COLUMN())),OFFSET($BN$2,0,0,ROW()-1,60),ROW()-1,FALSE))</f>
        <v>-77.247</v>
      </c>
      <c r="AY199">
        <f ca="1">IF(AND(ISNUMBER($AY$401),$B$226=1),$AY$401,HLOOKUP(INDIRECT(ADDRESS(2,COLUMN())),OFFSET($BN$2,0,0,ROW()-1,60),ROW()-1,FALSE))</f>
        <v>-54.686</v>
      </c>
      <c r="AZ199">
        <f ca="1">IF(AND(ISNUMBER($AZ$401),$B$226=1),$AZ$401,HLOOKUP(INDIRECT(ADDRESS(2,COLUMN())),OFFSET($BN$2,0,0,ROW()-1,60),ROW()-1,FALSE))</f>
        <v>-76.361000000000004</v>
      </c>
      <c r="BA199">
        <f ca="1">IF(AND(ISNUMBER($BA$401),$B$226=1),$BA$401,HLOOKUP(INDIRECT(ADDRESS(2,COLUMN())),OFFSET($BN$2,0,0,ROW()-1,60),ROW()-1,FALSE))</f>
        <v>1.0609999999999999</v>
      </c>
      <c r="BB199">
        <f ca="1">IF(AND(ISNUMBER($BB$401),$B$226=1),$BB$401,HLOOKUP(INDIRECT(ADDRESS(2,COLUMN())),OFFSET($BN$2,0,0,ROW()-1,60),ROW()-1,FALSE))</f>
        <v>-32.301000000000002</v>
      </c>
      <c r="BC199">
        <f ca="1">IF(AND(ISNUMBER($BC$401),$B$226=1),$BC$401,HLOOKUP(INDIRECT(ADDRESS(2,COLUMN())),OFFSET($BN$2,0,0,ROW()-1,60),ROW()-1,FALSE))</f>
        <v>-53.848999999999997</v>
      </c>
      <c r="BD199">
        <f ca="1">IF(AND(ISNUMBER($BD$401),$B$226=1),$BD$401,HLOOKUP(INDIRECT(ADDRESS(2,COLUMN())),OFFSET($BN$2,0,0,ROW()-1,60),ROW()-1,FALSE))</f>
        <v>8.0679999999999996</v>
      </c>
      <c r="BE199">
        <f ca="1">IF(AND(ISNUMBER($BE$401),$B$226=1),$BE$401,HLOOKUP(INDIRECT(ADDRESS(2,COLUMN())),OFFSET($BN$2,0,0,ROW()-1,60),ROW()-1,FALSE))</f>
        <v>2.9279999999999999</v>
      </c>
      <c r="BF199">
        <f ca="1">IF(AND(ISNUMBER($BF$401),$B$226=1),$BF$401,HLOOKUP(INDIRECT(ADDRESS(2,COLUMN())),OFFSET($BN$2,0,0,ROW()-1,60),ROW()-1,FALSE))</f>
        <v>30.242999999999999</v>
      </c>
      <c r="BG199">
        <f ca="1">IF(AND(ISNUMBER($BG$401),$B$226=1),$BG$401,HLOOKUP(INDIRECT(ADDRESS(2,COLUMN())),OFFSET($BN$2,0,0,ROW()-1,60),ROW()-1,FALSE))</f>
        <v>-50.141002999999998</v>
      </c>
      <c r="BH199">
        <f ca="1">IF(AND(ISNUMBER($BH$401),$B$226=1),$BH$401,HLOOKUP(INDIRECT(ADDRESS(2,COLUMN())),OFFSET($BN$2,0,0,ROW()-1,60),ROW()-1,FALSE))</f>
        <v>5.8730000000000002</v>
      </c>
      <c r="BI199">
        <f ca="1">IF(AND(ISNUMBER($BI$401),$B$226=1),$BI$401,HLOOKUP(INDIRECT(ADDRESS(2,COLUMN())),OFFSET($BN$2,0,0,ROW()-1,60),ROW()-1,FALSE))</f>
        <v>-19.008997999999998</v>
      </c>
      <c r="BJ199">
        <f ca="1">IF(AND(ISNUMBER($BJ$401),$B$226=1),$BJ$401,HLOOKUP(INDIRECT(ADDRESS(2,COLUMN())),OFFSET($BN$2,0,0,ROW()-1,60),ROW()-1,FALSE))</f>
        <v>-61.258997999999998</v>
      </c>
      <c r="BK199">
        <f ca="1">IF(AND(ISNUMBER($BK$401),$B$226=1),$BK$401,HLOOKUP(INDIRECT(ADDRESS(2,COLUMN())),OFFSET($BN$2,0,0,ROW()-1,60),ROW()-1,FALSE))</f>
        <v>-52.512003</v>
      </c>
      <c r="BL199">
        <f ca="1">IF(AND(ISNUMBER($BL$401),$B$226=1),$BL$401,HLOOKUP(INDIRECT(ADDRESS(2,COLUMN())),OFFSET($BN$2,0,0,ROW()-1,60),ROW()-1,FALSE))</f>
        <v>9.8070009999999996</v>
      </c>
      <c r="BM199">
        <f ca="1">IF(AND(ISNUMBER($BM$401),$B$226=1),$BM$401,HLOOKUP(INDIRECT(ADDRESS(2,COLUMN())),OFFSET($BN$2,0,0,ROW()-1,60),ROW()-1,FALSE))</f>
        <v>10.874000000000001</v>
      </c>
      <c r="BN199" t="str">
        <f>""</f>
        <v/>
      </c>
      <c r="BO199">
        <f>50.084</f>
        <v>50.084000000000003</v>
      </c>
      <c r="BP199">
        <f>160.067</f>
        <v>160.06700000000001</v>
      </c>
      <c r="BQ199">
        <f>89.385</f>
        <v>89.385000000000005</v>
      </c>
      <c r="BR199">
        <f>-18.226</f>
        <v>-18.225999999999999</v>
      </c>
      <c r="BS199">
        <f>-117.5</f>
        <v>-117.5</v>
      </c>
      <c r="BT199">
        <f>164.005</f>
        <v>164.005</v>
      </c>
      <c r="BU199">
        <f>92.571</f>
        <v>92.570999999999998</v>
      </c>
      <c r="BV199">
        <f>37.806</f>
        <v>37.805999999999997</v>
      </c>
      <c r="BW199">
        <f>-125.255</f>
        <v>-125.255</v>
      </c>
      <c r="BX199">
        <f>129.104</f>
        <v>129.10400000000001</v>
      </c>
      <c r="BY199">
        <f>-53.786</f>
        <v>-53.786000000000001</v>
      </c>
      <c r="BZ199">
        <f>-162.902</f>
        <v>-162.90199999999999</v>
      </c>
      <c r="CA199">
        <f>58.287</f>
        <v>58.286999999999999</v>
      </c>
      <c r="CB199">
        <f>-241.672</f>
        <v>-241.672</v>
      </c>
      <c r="CC199">
        <f>-49.081</f>
        <v>-49.081000000000003</v>
      </c>
      <c r="CD199">
        <f>25.172</f>
        <v>25.172000000000001</v>
      </c>
      <c r="CE199">
        <f>-96.105</f>
        <v>-96.105000000000004</v>
      </c>
      <c r="CF199">
        <f>5.554</f>
        <v>5.5540000000000003</v>
      </c>
      <c r="CG199">
        <f>32.649</f>
        <v>32.649000000000001</v>
      </c>
      <c r="CH199">
        <f>-107.855</f>
        <v>-107.855</v>
      </c>
      <c r="CI199">
        <f>-229.182</f>
        <v>-229.18199999999999</v>
      </c>
      <c r="CJ199">
        <f>-20.555</f>
        <v>-20.555</v>
      </c>
      <c r="CK199">
        <f>-12.102</f>
        <v>-12.102</v>
      </c>
      <c r="CL199">
        <f>14.356</f>
        <v>14.356</v>
      </c>
      <c r="CM199">
        <f>6.388</f>
        <v>6.3879999999999999</v>
      </c>
      <c r="CN199">
        <f>15.562</f>
        <v>15.561999999999999</v>
      </c>
      <c r="CO199">
        <f>-15.908</f>
        <v>-15.907999999999999</v>
      </c>
      <c r="CP199">
        <f>-21.425</f>
        <v>-21.425000000000001</v>
      </c>
      <c r="CQ199">
        <f>-325.934</f>
        <v>-325.93400000000003</v>
      </c>
      <c r="CR199">
        <f>-100.72</f>
        <v>-100.72</v>
      </c>
      <c r="CS199">
        <f>-8.374</f>
        <v>-8.3740000000000006</v>
      </c>
      <c r="CT199">
        <f>18.621</f>
        <v>18.620999999999999</v>
      </c>
      <c r="CU199">
        <f>-67.878</f>
        <v>-67.878</v>
      </c>
      <c r="CV199">
        <f>25.257</f>
        <v>25.257000000000001</v>
      </c>
      <c r="CW199">
        <f>-2.263</f>
        <v>-2.2629999999999999</v>
      </c>
      <c r="CX199">
        <f>17.821</f>
        <v>17.821000000000002</v>
      </c>
      <c r="CY199">
        <f>-109.925</f>
        <v>-109.925</v>
      </c>
      <c r="CZ199">
        <f>5.875</f>
        <v>5.875</v>
      </c>
      <c r="DA199">
        <f>-33.363</f>
        <v>-33.363</v>
      </c>
      <c r="DB199">
        <f>15.937</f>
        <v>15.936999999999999</v>
      </c>
      <c r="DC199">
        <f>-42.507</f>
        <v>-42.506999999999998</v>
      </c>
      <c r="DD199">
        <f>-99.99</f>
        <v>-99.99</v>
      </c>
      <c r="DE199">
        <f>-146.085</f>
        <v>-146.08500000000001</v>
      </c>
      <c r="DF199">
        <f>-77.247</f>
        <v>-77.247</v>
      </c>
      <c r="DG199">
        <f>-54.686</f>
        <v>-54.686</v>
      </c>
      <c r="DH199">
        <f>-76.361</f>
        <v>-76.361000000000004</v>
      </c>
      <c r="DI199">
        <f>1.061</f>
        <v>1.0609999999999999</v>
      </c>
      <c r="DJ199">
        <f>-32.301</f>
        <v>-32.301000000000002</v>
      </c>
      <c r="DK199">
        <f>-53.849</f>
        <v>-53.848999999999997</v>
      </c>
      <c r="DL199">
        <f>8.068</f>
        <v>8.0679999999999996</v>
      </c>
      <c r="DM199">
        <f>2.928</f>
        <v>2.9279999999999999</v>
      </c>
      <c r="DN199">
        <f>30.243</f>
        <v>30.242999999999999</v>
      </c>
      <c r="DO199">
        <f>-50.141003</f>
        <v>-50.141002999999998</v>
      </c>
      <c r="DP199">
        <f>5.873</f>
        <v>5.8730000000000002</v>
      </c>
      <c r="DQ199">
        <f>-19.008998</f>
        <v>-19.008997999999998</v>
      </c>
      <c r="DR199">
        <f>-61.258998</f>
        <v>-61.258997999999998</v>
      </c>
      <c r="DS199">
        <f>-52.512003</f>
        <v>-52.512003</v>
      </c>
      <c r="DT199">
        <f>9.807001</f>
        <v>9.8070009999999996</v>
      </c>
      <c r="DU199">
        <f>10.874</f>
        <v>10.874000000000001</v>
      </c>
    </row>
    <row r="200" spans="1:125">
      <c r="A200" t="str">
        <f>"    Mid-America Apartment Communit"</f>
        <v xml:space="preserve">    Mid-America Apartment Communit</v>
      </c>
      <c r="B200" t="str">
        <f>"MAA US Equity"</f>
        <v>MAA US Equity</v>
      </c>
      <c r="C200" t="str">
        <f t="shared" si="63"/>
        <v>RR008</v>
      </c>
      <c r="D200" t="str">
        <f t="shared" si="64"/>
        <v>CF_FREE_CASH_FLOW</v>
      </c>
      <c r="E200" t="str">
        <f t="shared" si="65"/>
        <v>动态</v>
      </c>
      <c r="F200" t="str">
        <f ca="1">IF(AND(ISNUMBER($F$402),$B$226=1),$F$402,HLOOKUP(INDIRECT(ADDRESS(2,COLUMN())),OFFSET($BN$2,0,0,ROW()-1,60),ROW()-1,FALSE))</f>
        <v/>
      </c>
      <c r="G200">
        <f ca="1">IF(AND(ISNUMBER($G$402),$B$226=1),$G$402,HLOOKUP(INDIRECT(ADDRESS(2,COLUMN())),OFFSET($BN$2,0,0,ROW()-1,60),ROW()-1,FALSE))</f>
        <v>105.405</v>
      </c>
      <c r="H200">
        <f ca="1">IF(AND(ISNUMBER($H$402),$B$226=1),$H$402,HLOOKUP(INDIRECT(ADDRESS(2,COLUMN())),OFFSET($BN$2,0,0,ROW()-1,60),ROW()-1,FALSE))</f>
        <v>150.03</v>
      </c>
      <c r="I200">
        <f ca="1">IF(AND(ISNUMBER($I$402),$B$226=1),$I$402,HLOOKUP(INDIRECT(ADDRESS(2,COLUMN())),OFFSET($BN$2,0,0,ROW()-1,60),ROW()-1,FALSE))</f>
        <v>85.864000000000004</v>
      </c>
      <c r="J200">
        <f ca="1">IF(AND(ISNUMBER($J$402),$B$226=1),$J$402,HLOOKUP(INDIRECT(ADDRESS(2,COLUMN())),OFFSET($BN$2,0,0,ROW()-1,60),ROW()-1,FALSE))</f>
        <v>-7.8120000000000003</v>
      </c>
      <c r="K200">
        <f ca="1">IF(AND(ISNUMBER($K$402),$B$226=1),$K$402,HLOOKUP(INDIRECT(ADDRESS(2,COLUMN())),OFFSET($BN$2,0,0,ROW()-1,60),ROW()-1,FALSE))</f>
        <v>83.25</v>
      </c>
      <c r="L200">
        <f ca="1">IF(AND(ISNUMBER($L$402),$B$226=1),$L$402,HLOOKUP(INDIRECT(ADDRESS(2,COLUMN())),OFFSET($BN$2,0,0,ROW()-1,60),ROW()-1,FALSE))</f>
        <v>-26.888999999999999</v>
      </c>
      <c r="M200">
        <f ca="1">IF(AND(ISNUMBER($M$402),$B$226=1),$M$402,HLOOKUP(INDIRECT(ADDRESS(2,COLUMN())),OFFSET($BN$2,0,0,ROW()-1,60),ROW()-1,FALSE))</f>
        <v>11.074</v>
      </c>
      <c r="N200">
        <f ca="1">IF(AND(ISNUMBER($N$402),$B$226=1),$N$402,HLOOKUP(INDIRECT(ADDRESS(2,COLUMN())),OFFSET($BN$2,0,0,ROW()-1,60),ROW()-1,FALSE))</f>
        <v>5.2530000000000001</v>
      </c>
      <c r="O200">
        <f ca="1">IF(AND(ISNUMBER($O$402),$B$226=1),$O$402,HLOOKUP(INDIRECT(ADDRESS(2,COLUMN())),OFFSET($BN$2,0,0,ROW()-1,60),ROW()-1,FALSE))</f>
        <v>-17.388999999999999</v>
      </c>
      <c r="P200">
        <f ca="1">IF(AND(ISNUMBER($P$402),$B$226=1),$P$402,HLOOKUP(INDIRECT(ADDRESS(2,COLUMN())),OFFSET($BN$2,0,0,ROW()-1,60),ROW()-1,FALSE))</f>
        <v>1.3680000000000001</v>
      </c>
      <c r="Q200">
        <f ca="1">IF(AND(ISNUMBER($Q$402),$B$226=1),$Q$402,HLOOKUP(INDIRECT(ADDRESS(2,COLUMN())),OFFSET($BN$2,0,0,ROW()-1,60),ROW()-1,FALSE))</f>
        <v>-38.119</v>
      </c>
      <c r="R200">
        <f ca="1">IF(AND(ISNUMBER($R$402),$B$226=1),$R$402,HLOOKUP(INDIRECT(ADDRESS(2,COLUMN())),OFFSET($BN$2,0,0,ROW()-1,60),ROW()-1,FALSE))</f>
        <v>27.491</v>
      </c>
      <c r="S200">
        <f ca="1">IF(AND(ISNUMBER($S$402),$B$226=1),$S$402,HLOOKUP(INDIRECT(ADDRESS(2,COLUMN())),OFFSET($BN$2,0,0,ROW()-1,60),ROW()-1,FALSE))</f>
        <v>-102.301</v>
      </c>
      <c r="T200">
        <f ca="1">IF(AND(ISNUMBER($T$402),$B$226=1),$T$402,HLOOKUP(INDIRECT(ADDRESS(2,COLUMN())),OFFSET($BN$2,0,0,ROW()-1,60),ROW()-1,FALSE))</f>
        <v>49.704000000000001</v>
      </c>
      <c r="U200">
        <f ca="1">IF(AND(ISNUMBER($U$402),$B$226=1),$U$402,HLOOKUP(INDIRECT(ADDRESS(2,COLUMN())),OFFSET($BN$2,0,0,ROW()-1,60),ROW()-1,FALSE))</f>
        <v>-74.799000000000007</v>
      </c>
      <c r="V200">
        <f ca="1">IF(AND(ISNUMBER($V$402),$B$226=1),$V$402,HLOOKUP(INDIRECT(ADDRESS(2,COLUMN())),OFFSET($BN$2,0,0,ROW()-1,60),ROW()-1,FALSE))</f>
        <v>21.521999999999998</v>
      </c>
      <c r="W200">
        <f ca="1">IF(AND(ISNUMBER($W$402),$B$226=1),$W$402,HLOOKUP(INDIRECT(ADDRESS(2,COLUMN())),OFFSET($BN$2,0,0,ROW()-1,60),ROW()-1,FALSE))</f>
        <v>-7.0620000000000003</v>
      </c>
      <c r="X200">
        <f ca="1">IF(AND(ISNUMBER($X$402),$B$226=1),$X$402,HLOOKUP(INDIRECT(ADDRESS(2,COLUMN())),OFFSET($BN$2,0,0,ROW()-1,60),ROW()-1,FALSE))</f>
        <v>37.664999999999999</v>
      </c>
      <c r="Y200">
        <f ca="1">IF(AND(ISNUMBER($Y$402),$B$226=1),$Y$402,HLOOKUP(INDIRECT(ADDRESS(2,COLUMN())),OFFSET($BN$2,0,0,ROW()-1,60),ROW()-1,FALSE))</f>
        <v>-15.339</v>
      </c>
      <c r="Z200">
        <f ca="1">IF(AND(ISNUMBER($Z$402),$B$226=1),$Z$402,HLOOKUP(INDIRECT(ADDRESS(2,COLUMN())),OFFSET($BN$2,0,0,ROW()-1,60),ROW()-1,FALSE))</f>
        <v>-13.571999999999999</v>
      </c>
      <c r="AA200">
        <f ca="1">IF(AND(ISNUMBER($AA$402),$B$226=1),$AA$402,HLOOKUP(INDIRECT(ADDRESS(2,COLUMN())),OFFSET($BN$2,0,0,ROW()-1,60),ROW()-1,FALSE))</f>
        <v>22.521999999999998</v>
      </c>
      <c r="AB200">
        <f ca="1">IF(AND(ISNUMBER($AB$402),$B$226=1),$AB$402,HLOOKUP(INDIRECT(ADDRESS(2,COLUMN())),OFFSET($BN$2,0,0,ROW()-1,60),ROW()-1,FALSE))</f>
        <v>-187.279</v>
      </c>
      <c r="AC200">
        <f ca="1">IF(AND(ISNUMBER($AC$402),$B$226=1),$AC$402,HLOOKUP(INDIRECT(ADDRESS(2,COLUMN())),OFFSET($BN$2,0,0,ROW()-1,60),ROW()-1,FALSE))</f>
        <v>-68.715999999999994</v>
      </c>
      <c r="AD200">
        <f ca="1">IF(AND(ISNUMBER($AD$402),$B$226=1),$AD$402,HLOOKUP(INDIRECT(ADDRESS(2,COLUMN())),OFFSET($BN$2,0,0,ROW()-1,60),ROW()-1,FALSE))</f>
        <v>-3.194</v>
      </c>
      <c r="AE200">
        <f ca="1">IF(AND(ISNUMBER($AE$402),$B$226=1),$AE$402,HLOOKUP(INDIRECT(ADDRESS(2,COLUMN())),OFFSET($BN$2,0,0,ROW()-1,60),ROW()-1,FALSE))</f>
        <v>-85.558000000000007</v>
      </c>
      <c r="AF200">
        <f ca="1">IF(AND(ISNUMBER($AF$402),$B$226=1),$AF$402,HLOOKUP(INDIRECT(ADDRESS(2,COLUMN())),OFFSET($BN$2,0,0,ROW()-1,60),ROW()-1,FALSE))</f>
        <v>-59.884999999999998</v>
      </c>
      <c r="AG200">
        <f ca="1">IF(AND(ISNUMBER($AG$402),$B$226=1),$AG$402,HLOOKUP(INDIRECT(ADDRESS(2,COLUMN())),OFFSET($BN$2,0,0,ROW()-1,60),ROW()-1,FALSE))</f>
        <v>-127.816</v>
      </c>
      <c r="AH200">
        <f ca="1">IF(AND(ISNUMBER($AH$402),$B$226=1),$AH$402,HLOOKUP(INDIRECT(ADDRESS(2,COLUMN())),OFFSET($BN$2,0,0,ROW()-1,60),ROW()-1,FALSE))</f>
        <v>-14.978</v>
      </c>
      <c r="AI200" t="str">
        <f ca="1">IF(AND(ISNUMBER($AI$402),$B$226=1),$AI$402,HLOOKUP(INDIRECT(ADDRESS(2,COLUMN())),OFFSET($BN$2,0,0,ROW()-1,60),ROW()-1,FALSE))</f>
        <v/>
      </c>
      <c r="AJ200">
        <f ca="1">IF(AND(ISNUMBER($AJ$402),$B$226=1),$AJ$402,HLOOKUP(INDIRECT(ADDRESS(2,COLUMN())),OFFSET($BN$2,0,0,ROW()-1,60),ROW()-1,FALSE))</f>
        <v>-116.63</v>
      </c>
      <c r="AK200">
        <f ca="1">IF(AND(ISNUMBER($AK$402),$B$226=1),$AK$402,HLOOKUP(INDIRECT(ADDRESS(2,COLUMN())),OFFSET($BN$2,0,0,ROW()-1,60),ROW()-1,FALSE))</f>
        <v>-43.616</v>
      </c>
      <c r="AL200">
        <f ca="1">IF(AND(ISNUMBER($AL$402),$B$226=1),$AL$402,HLOOKUP(INDIRECT(ADDRESS(2,COLUMN())),OFFSET($BN$2,0,0,ROW()-1,60),ROW()-1,FALSE))</f>
        <v>15.361000000000001</v>
      </c>
      <c r="AM200">
        <f ca="1">IF(AND(ISNUMBER($AM$402),$B$226=1),$AM$402,HLOOKUP(INDIRECT(ADDRESS(2,COLUMN())),OFFSET($BN$2,0,0,ROW()-1,60),ROW()-1,FALSE))</f>
        <v>-113.69499999999999</v>
      </c>
      <c r="AN200">
        <f ca="1">IF(AND(ISNUMBER($AN$402),$B$226=1),$AN$402,HLOOKUP(INDIRECT(ADDRESS(2,COLUMN())),OFFSET($BN$2,0,0,ROW()-1,60),ROW()-1,FALSE))</f>
        <v>20.754999999999999</v>
      </c>
      <c r="AO200">
        <f ca="1">IF(AND(ISNUMBER($AO$402),$B$226=1),$AO$402,HLOOKUP(INDIRECT(ADDRESS(2,COLUMN())),OFFSET($BN$2,0,0,ROW()-1,60),ROW()-1,FALSE))</f>
        <v>8.5289999999999999</v>
      </c>
      <c r="AP200">
        <f ca="1">IF(AND(ISNUMBER($AP$402),$B$226=1),$AP$402,HLOOKUP(INDIRECT(ADDRESS(2,COLUMN())),OFFSET($BN$2,0,0,ROW()-1,60),ROW()-1,FALSE))</f>
        <v>17.809999999999999</v>
      </c>
      <c r="AQ200">
        <f ca="1">IF(AND(ISNUMBER($AQ$402),$B$226=1),$AQ$402,HLOOKUP(INDIRECT(ADDRESS(2,COLUMN())),OFFSET($BN$2,0,0,ROW()-1,60),ROW()-1,FALSE))</f>
        <v>-1.3740000000000001</v>
      </c>
      <c r="AR200">
        <f ca="1">IF(AND(ISNUMBER($AR$402),$B$226=1),$AR$402,HLOOKUP(INDIRECT(ADDRESS(2,COLUMN())),OFFSET($BN$2,0,0,ROW()-1,60),ROW()-1,FALSE))</f>
        <v>-84.998000000000005</v>
      </c>
      <c r="AS200">
        <f ca="1">IF(AND(ISNUMBER($AS$402),$B$226=1),$AS$402,HLOOKUP(INDIRECT(ADDRESS(2,COLUMN())),OFFSET($BN$2,0,0,ROW()-1,60),ROW()-1,FALSE))</f>
        <v>-19.247</v>
      </c>
      <c r="AT200">
        <f ca="1">IF(AND(ISNUMBER($AT$402),$B$226=1),$AT$402,HLOOKUP(INDIRECT(ADDRESS(2,COLUMN())),OFFSET($BN$2,0,0,ROW()-1,60),ROW()-1,FALSE))</f>
        <v>-8.298</v>
      </c>
      <c r="AU200">
        <f ca="1">IF(AND(ISNUMBER($AU$402),$B$226=1),$AU$402,HLOOKUP(INDIRECT(ADDRESS(2,COLUMN())),OFFSET($BN$2,0,0,ROW()-1,60),ROW()-1,FALSE))</f>
        <v>4.1260000000000003</v>
      </c>
      <c r="AV200">
        <f ca="1">IF(AND(ISNUMBER($AV$402),$B$226=1),$AV$402,HLOOKUP(INDIRECT(ADDRESS(2,COLUMN())),OFFSET($BN$2,0,0,ROW()-1,60),ROW()-1,FALSE))</f>
        <v>-28.335999999999999</v>
      </c>
      <c r="AW200">
        <f ca="1">IF(AND(ISNUMBER($AW$402),$B$226=1),$AW$402,HLOOKUP(INDIRECT(ADDRESS(2,COLUMN())),OFFSET($BN$2,0,0,ROW()-1,60),ROW()-1,FALSE))</f>
        <v>-13.616</v>
      </c>
      <c r="AX200">
        <f ca="1">IF(AND(ISNUMBER($AX$402),$B$226=1),$AX$402,HLOOKUP(INDIRECT(ADDRESS(2,COLUMN())),OFFSET($BN$2,0,0,ROW()-1,60),ROW()-1,FALSE))</f>
        <v>8.6630000000000003</v>
      </c>
      <c r="AY200">
        <f ca="1">IF(AND(ISNUMBER($AY$402),$B$226=1),$AY$402,HLOOKUP(INDIRECT(ADDRESS(2,COLUMN())),OFFSET($BN$2,0,0,ROW()-1,60),ROW()-1,FALSE))</f>
        <v>-31.023</v>
      </c>
      <c r="AZ200">
        <f ca="1">IF(AND(ISNUMBER($AZ$402),$B$226=1),$AZ$402,HLOOKUP(INDIRECT(ADDRESS(2,COLUMN())),OFFSET($BN$2,0,0,ROW()-1,60),ROW()-1,FALSE))</f>
        <v>-71.137</v>
      </c>
      <c r="BA200">
        <f ca="1">IF(AND(ISNUMBER($BA$402),$B$226=1),$BA$402,HLOOKUP(INDIRECT(ADDRESS(2,COLUMN())),OFFSET($BN$2,0,0,ROW()-1,60),ROW()-1,FALSE))</f>
        <v>-55.911000000000001</v>
      </c>
      <c r="BB200">
        <f ca="1">IF(AND(ISNUMBER($BB$402),$B$226=1),$BB$402,HLOOKUP(INDIRECT(ADDRESS(2,COLUMN())),OFFSET($BN$2,0,0,ROW()-1,60),ROW()-1,FALSE))</f>
        <v>17.004000000000001</v>
      </c>
      <c r="BC200">
        <f ca="1">IF(AND(ISNUMBER($BC$402),$B$226=1),$BC$402,HLOOKUP(INDIRECT(ADDRESS(2,COLUMN())),OFFSET($BN$2,0,0,ROW()-1,60),ROW()-1,FALSE))</f>
        <v>13.103999999999999</v>
      </c>
      <c r="BD200">
        <f ca="1">IF(AND(ISNUMBER($BD$402),$B$226=1),$BD$402,HLOOKUP(INDIRECT(ADDRESS(2,COLUMN())),OFFSET($BN$2,0,0,ROW()-1,60),ROW()-1,FALSE))</f>
        <v>-42.911000000000001</v>
      </c>
      <c r="BE200">
        <f ca="1">IF(AND(ISNUMBER($BE$402),$B$226=1),$BE$402,HLOOKUP(INDIRECT(ADDRESS(2,COLUMN())),OFFSET($BN$2,0,0,ROW()-1,60),ROW()-1,FALSE))</f>
        <v>28.748000000000001</v>
      </c>
      <c r="BF200">
        <f ca="1">IF(AND(ISNUMBER($BF$402),$B$226=1),$BF$402,HLOOKUP(INDIRECT(ADDRESS(2,COLUMN())),OFFSET($BN$2,0,0,ROW()-1,60),ROW()-1,FALSE))</f>
        <v>-31.599</v>
      </c>
      <c r="BG200">
        <f ca="1">IF(AND(ISNUMBER($BG$402),$B$226=1),$BG$402,HLOOKUP(INDIRECT(ADDRESS(2,COLUMN())),OFFSET($BN$2,0,0,ROW()-1,60),ROW()-1,FALSE))</f>
        <v>-70.261996999999994</v>
      </c>
      <c r="BH200">
        <f ca="1">IF(AND(ISNUMBER($BH$402),$B$226=1),$BH$402,HLOOKUP(INDIRECT(ADDRESS(2,COLUMN())),OFFSET($BN$2,0,0,ROW()-1,60),ROW()-1,FALSE))</f>
        <v>-18.295000999999999</v>
      </c>
      <c r="BI200">
        <f ca="1">IF(AND(ISNUMBER($BI$402),$B$226=1),$BI$402,HLOOKUP(INDIRECT(ADDRESS(2,COLUMN())),OFFSET($BN$2,0,0,ROW()-1,60),ROW()-1,FALSE))</f>
        <v>8.6890009999999993</v>
      </c>
      <c r="BJ200">
        <f ca="1">IF(AND(ISNUMBER($BJ$402),$B$226=1),$BJ$402,HLOOKUP(INDIRECT(ADDRESS(2,COLUMN())),OFFSET($BN$2,0,0,ROW()-1,60),ROW()-1,FALSE))</f>
        <v>-17.403998999999999</v>
      </c>
      <c r="BK200">
        <f ca="1">IF(AND(ISNUMBER($BK$402),$B$226=1),$BK$402,HLOOKUP(INDIRECT(ADDRESS(2,COLUMN())),OFFSET($BN$2,0,0,ROW()-1,60),ROW()-1,FALSE))</f>
        <v>-36.32700062</v>
      </c>
      <c r="BL200">
        <f ca="1">IF(AND(ISNUMBER($BL$402),$B$226=1),$BL$402,HLOOKUP(INDIRECT(ADDRESS(2,COLUMN())),OFFSET($BN$2,0,0,ROW()-1,60),ROW()-1,FALSE))</f>
        <v>-21.918001</v>
      </c>
      <c r="BM200">
        <f ca="1">IF(AND(ISNUMBER($BM$402),$B$226=1),$BM$402,HLOOKUP(INDIRECT(ADDRESS(2,COLUMN())),OFFSET($BN$2,0,0,ROW()-1,60),ROW()-1,FALSE))</f>
        <v>1.923001</v>
      </c>
      <c r="BN200" t="str">
        <f>""</f>
        <v/>
      </c>
      <c r="BO200">
        <f>105.405</f>
        <v>105.405</v>
      </c>
      <c r="BP200">
        <f>150.03</f>
        <v>150.03</v>
      </c>
      <c r="BQ200">
        <f>85.864</f>
        <v>85.864000000000004</v>
      </c>
      <c r="BR200">
        <f>-7.812</f>
        <v>-7.8120000000000003</v>
      </c>
      <c r="BS200">
        <f>83.25</f>
        <v>83.25</v>
      </c>
      <c r="BT200">
        <f>-26.889</f>
        <v>-26.888999999999999</v>
      </c>
      <c r="BU200">
        <f>11.074</f>
        <v>11.074</v>
      </c>
      <c r="BV200">
        <f>5.253</f>
        <v>5.2530000000000001</v>
      </c>
      <c r="BW200">
        <f>-17.389</f>
        <v>-17.388999999999999</v>
      </c>
      <c r="BX200">
        <f>1.368</f>
        <v>1.3680000000000001</v>
      </c>
      <c r="BY200">
        <f>-38.119</f>
        <v>-38.119</v>
      </c>
      <c r="BZ200">
        <f>27.491</f>
        <v>27.491</v>
      </c>
      <c r="CA200">
        <f>-102.301</f>
        <v>-102.301</v>
      </c>
      <c r="CB200">
        <f>49.704</f>
        <v>49.704000000000001</v>
      </c>
      <c r="CC200">
        <f>-74.799</f>
        <v>-74.799000000000007</v>
      </c>
      <c r="CD200">
        <f>21.522</f>
        <v>21.521999999999998</v>
      </c>
      <c r="CE200">
        <f>-7.062</f>
        <v>-7.0620000000000003</v>
      </c>
      <c r="CF200">
        <f>37.665</f>
        <v>37.664999999999999</v>
      </c>
      <c r="CG200">
        <f>-15.339</f>
        <v>-15.339</v>
      </c>
      <c r="CH200">
        <f>-13.572</f>
        <v>-13.571999999999999</v>
      </c>
      <c r="CI200">
        <f>22.522</f>
        <v>22.521999999999998</v>
      </c>
      <c r="CJ200">
        <f>-187.279</f>
        <v>-187.279</v>
      </c>
      <c r="CK200">
        <f>-68.716</f>
        <v>-68.715999999999994</v>
      </c>
      <c r="CL200">
        <f>-3.194</f>
        <v>-3.194</v>
      </c>
      <c r="CM200">
        <f>-85.558</f>
        <v>-85.558000000000007</v>
      </c>
      <c r="CN200">
        <f>-59.885</f>
        <v>-59.884999999999998</v>
      </c>
      <c r="CO200">
        <f>-127.816</f>
        <v>-127.816</v>
      </c>
      <c r="CP200">
        <f>-14.978</f>
        <v>-14.978</v>
      </c>
      <c r="CQ200" t="str">
        <f>""</f>
        <v/>
      </c>
      <c r="CR200">
        <f>-116.63</f>
        <v>-116.63</v>
      </c>
      <c r="CS200">
        <f>-43.616</f>
        <v>-43.616</v>
      </c>
      <c r="CT200">
        <f>15.361</f>
        <v>15.361000000000001</v>
      </c>
      <c r="CU200">
        <f>-113.695</f>
        <v>-113.69499999999999</v>
      </c>
      <c r="CV200">
        <f>20.755</f>
        <v>20.754999999999999</v>
      </c>
      <c r="CW200">
        <f>8.529</f>
        <v>8.5289999999999999</v>
      </c>
      <c r="CX200">
        <f>17.81</f>
        <v>17.809999999999999</v>
      </c>
      <c r="CY200">
        <f>-1.374</f>
        <v>-1.3740000000000001</v>
      </c>
      <c r="CZ200">
        <f>-84.998</f>
        <v>-84.998000000000005</v>
      </c>
      <c r="DA200">
        <f>-19.247</f>
        <v>-19.247</v>
      </c>
      <c r="DB200">
        <f>-8.298</f>
        <v>-8.298</v>
      </c>
      <c r="DC200">
        <f>4.126</f>
        <v>4.1260000000000003</v>
      </c>
      <c r="DD200">
        <f>-28.336</f>
        <v>-28.335999999999999</v>
      </c>
      <c r="DE200">
        <f>-13.616</f>
        <v>-13.616</v>
      </c>
      <c r="DF200">
        <f>8.663</f>
        <v>8.6630000000000003</v>
      </c>
      <c r="DG200">
        <f>-31.023</f>
        <v>-31.023</v>
      </c>
      <c r="DH200">
        <f>-71.137</f>
        <v>-71.137</v>
      </c>
      <c r="DI200">
        <f>-55.911</f>
        <v>-55.911000000000001</v>
      </c>
      <c r="DJ200">
        <f>17.004</f>
        <v>17.004000000000001</v>
      </c>
      <c r="DK200">
        <f>13.104</f>
        <v>13.103999999999999</v>
      </c>
      <c r="DL200">
        <f>-42.911</f>
        <v>-42.911000000000001</v>
      </c>
      <c r="DM200">
        <f>28.748</f>
        <v>28.748000000000001</v>
      </c>
      <c r="DN200">
        <f>-31.599</f>
        <v>-31.599</v>
      </c>
      <c r="DO200">
        <f>-70.261997</f>
        <v>-70.261996999999994</v>
      </c>
      <c r="DP200">
        <f>-18.295001</f>
        <v>-18.295000999999999</v>
      </c>
      <c r="DQ200">
        <f>8.689001</f>
        <v>8.6890009999999993</v>
      </c>
      <c r="DR200">
        <f>-17.403999</f>
        <v>-17.403998999999999</v>
      </c>
      <c r="DS200">
        <f>-36.32700062</f>
        <v>-36.32700062</v>
      </c>
      <c r="DT200">
        <f>-21.918001</f>
        <v>-21.918001</v>
      </c>
      <c r="DU200">
        <f>1.923001</f>
        <v>1.923001</v>
      </c>
    </row>
    <row r="201" spans="1:125">
      <c r="A201" t="str">
        <f>"    UDR Inc"</f>
        <v xml:space="preserve">    UDR Inc</v>
      </c>
      <c r="B201" t="str">
        <f>"UDR US Equity"</f>
        <v>UDR US Equity</v>
      </c>
      <c r="C201" t="str">
        <f t="shared" si="63"/>
        <v>RR008</v>
      </c>
      <c r="D201" t="str">
        <f t="shared" si="64"/>
        <v>CF_FREE_CASH_FLOW</v>
      </c>
      <c r="E201" t="str">
        <f t="shared" si="65"/>
        <v>动态</v>
      </c>
      <c r="F201" t="str">
        <f ca="1">IF(AND(ISNUMBER($F$403),$B$226=1),$F$403,HLOOKUP(INDIRECT(ADDRESS(2,COLUMN())),OFFSET($BN$2,0,0,ROW()-1,60),ROW()-1,FALSE))</f>
        <v/>
      </c>
      <c r="G201">
        <f ca="1">IF(AND(ISNUMBER($G$403),$B$226=1),$G$403,HLOOKUP(INDIRECT(ADDRESS(2,COLUMN())),OFFSET($BN$2,0,0,ROW()-1,60),ROW()-1,FALSE))</f>
        <v>9.5109999999999992</v>
      </c>
      <c r="H201">
        <f ca="1">IF(AND(ISNUMBER($H$403),$B$226=1),$H$403,HLOOKUP(INDIRECT(ADDRESS(2,COLUMN())),OFFSET($BN$2,0,0,ROW()-1,60),ROW()-1,FALSE))</f>
        <v>45.314</v>
      </c>
      <c r="I201">
        <f ca="1">IF(AND(ISNUMBER($I$403),$B$226=1),$I$403,HLOOKUP(INDIRECT(ADDRESS(2,COLUMN())),OFFSET($BN$2,0,0,ROW()-1,60),ROW()-1,FALSE))</f>
        <v>23.936</v>
      </c>
      <c r="J201">
        <f ca="1">IF(AND(ISNUMBER($J$403),$B$226=1),$J$403,HLOOKUP(INDIRECT(ADDRESS(2,COLUMN())),OFFSET($BN$2,0,0,ROW()-1,60),ROW()-1,FALSE))</f>
        <v>-31.093</v>
      </c>
      <c r="K201">
        <f ca="1">IF(AND(ISNUMBER($K$403),$B$226=1),$K$403,HLOOKUP(INDIRECT(ADDRESS(2,COLUMN())),OFFSET($BN$2,0,0,ROW()-1,60),ROW()-1,FALSE))</f>
        <v>-59.994</v>
      </c>
      <c r="L201">
        <f ca="1">IF(AND(ISNUMBER($L$403),$B$226=1),$L$403,HLOOKUP(INDIRECT(ADDRESS(2,COLUMN())),OFFSET($BN$2,0,0,ROW()-1,60),ROW()-1,FALSE))</f>
        <v>67.302000000000007</v>
      </c>
      <c r="M201">
        <f ca="1">IF(AND(ISNUMBER($M$403),$B$226=1),$M$403,HLOOKUP(INDIRECT(ADDRESS(2,COLUMN())),OFFSET($BN$2,0,0,ROW()-1,60),ROW()-1,FALSE))</f>
        <v>41.173000000000002</v>
      </c>
      <c r="N201">
        <f ca="1">IF(AND(ISNUMBER($N$403),$B$226=1),$N$403,HLOOKUP(INDIRECT(ADDRESS(2,COLUMN())),OFFSET($BN$2,0,0,ROW()-1,60),ROW()-1,FALSE))</f>
        <v>51.134999999999998</v>
      </c>
      <c r="O201">
        <f ca="1">IF(AND(ISNUMBER($O$403),$B$226=1),$O$403,HLOOKUP(INDIRECT(ADDRESS(2,COLUMN())),OFFSET($BN$2,0,0,ROW()-1,60),ROW()-1,FALSE))</f>
        <v>-138.41</v>
      </c>
      <c r="P201">
        <f ca="1">IF(AND(ISNUMBER($P$403),$B$226=1),$P$403,HLOOKUP(INDIRECT(ADDRESS(2,COLUMN())),OFFSET($BN$2,0,0,ROW()-1,60),ROW()-1,FALSE))</f>
        <v>29.802</v>
      </c>
      <c r="Q201">
        <f ca="1">IF(AND(ISNUMBER($Q$403),$B$226=1),$Q$403,HLOOKUP(INDIRECT(ADDRESS(2,COLUMN())),OFFSET($BN$2,0,0,ROW()-1,60),ROW()-1,FALSE))</f>
        <v>70.224999999999994</v>
      </c>
      <c r="R201">
        <f ca="1">IF(AND(ISNUMBER($R$403),$B$226=1),$R$403,HLOOKUP(INDIRECT(ADDRESS(2,COLUMN())),OFFSET($BN$2,0,0,ROW()-1,60),ROW()-1,FALSE))</f>
        <v>31.587</v>
      </c>
      <c r="S201">
        <f ca="1">IF(AND(ISNUMBER($S$403),$B$226=1),$S$403,HLOOKUP(INDIRECT(ADDRESS(2,COLUMN())),OFFSET($BN$2,0,0,ROW()-1,60),ROW()-1,FALSE))</f>
        <v>-25.832999999999998</v>
      </c>
      <c r="T201">
        <f ca="1">IF(AND(ISNUMBER($T$403),$B$226=1),$T$403,HLOOKUP(INDIRECT(ADDRESS(2,COLUMN())),OFFSET($BN$2,0,0,ROW()-1,60),ROW()-1,FALSE))</f>
        <v>-18.457999999999998</v>
      </c>
      <c r="U201">
        <f ca="1">IF(AND(ISNUMBER($U$403),$B$226=1),$U$403,HLOOKUP(INDIRECT(ADDRESS(2,COLUMN())),OFFSET($BN$2,0,0,ROW()-1,60),ROW()-1,FALSE))</f>
        <v>-63.067999999999998</v>
      </c>
      <c r="V201">
        <f ca="1">IF(AND(ISNUMBER($V$403),$B$226=1),$V$403,HLOOKUP(INDIRECT(ADDRESS(2,COLUMN())),OFFSET($BN$2,0,0,ROW()-1,60),ROW()-1,FALSE))</f>
        <v>-82.76</v>
      </c>
      <c r="W201">
        <f ca="1">IF(AND(ISNUMBER($W$403),$B$226=1),$W$403,HLOOKUP(INDIRECT(ADDRESS(2,COLUMN())),OFFSET($BN$2,0,0,ROW()-1,60),ROW()-1,FALSE))</f>
        <v>-14.667</v>
      </c>
      <c r="X201">
        <f ca="1">IF(AND(ISNUMBER($X$403),$B$226=1),$X$403,HLOOKUP(INDIRECT(ADDRESS(2,COLUMN())),OFFSET($BN$2,0,0,ROW()-1,60),ROW()-1,FALSE))</f>
        <v>-0.92700000000000005</v>
      </c>
      <c r="Y201">
        <f ca="1">IF(AND(ISNUMBER($Y$403),$B$226=1),$Y$403,HLOOKUP(INDIRECT(ADDRESS(2,COLUMN())),OFFSET($BN$2,0,0,ROW()-1,60),ROW()-1,FALSE))</f>
        <v>-40.787999999999997</v>
      </c>
      <c r="Z201">
        <f ca="1">IF(AND(ISNUMBER($Z$403),$B$226=1),$Z$403,HLOOKUP(INDIRECT(ADDRESS(2,COLUMN())),OFFSET($BN$2,0,0,ROW()-1,60),ROW()-1,FALSE))</f>
        <v>-45.634</v>
      </c>
      <c r="AA201">
        <f ca="1">IF(AND(ISNUMBER($AA$403),$B$226=1),$AA$403,HLOOKUP(INDIRECT(ADDRESS(2,COLUMN())),OFFSET($BN$2,0,0,ROW()-1,60),ROW()-1,FALSE))</f>
        <v>-132.21600000000001</v>
      </c>
      <c r="AB201">
        <f ca="1">IF(AND(ISNUMBER($AB$403),$B$226=1),$AB$403,HLOOKUP(INDIRECT(ADDRESS(2,COLUMN())),OFFSET($BN$2,0,0,ROW()-1,60),ROW()-1,FALSE))</f>
        <v>-14.452</v>
      </c>
      <c r="AC201">
        <f ca="1">IF(AND(ISNUMBER($AC$403),$B$226=1),$AC$403,HLOOKUP(INDIRECT(ADDRESS(2,COLUMN())),OFFSET($BN$2,0,0,ROW()-1,60),ROW()-1,FALSE))</f>
        <v>-22.126000000000001</v>
      </c>
      <c r="AD201">
        <f ca="1">IF(AND(ISNUMBER($AD$403),$B$226=1),$AD$403,HLOOKUP(INDIRECT(ADDRESS(2,COLUMN())),OFFSET($BN$2,0,0,ROW()-1,60),ROW()-1,FALSE))</f>
        <v>-13.494</v>
      </c>
      <c r="AE201">
        <f ca="1">IF(AND(ISNUMBER($AE$403),$B$226=1),$AE$403,HLOOKUP(INDIRECT(ADDRESS(2,COLUMN())),OFFSET($BN$2,0,0,ROW()-1,60),ROW()-1,FALSE))</f>
        <v>-37.136000000000003</v>
      </c>
      <c r="AF201">
        <f ca="1">IF(AND(ISNUMBER($AF$403),$B$226=1),$AF$403,HLOOKUP(INDIRECT(ADDRESS(2,COLUMN())),OFFSET($BN$2,0,0,ROW()-1,60),ROW()-1,FALSE))</f>
        <v>-832.29499999999996</v>
      </c>
      <c r="AG201">
        <f ca="1">IF(AND(ISNUMBER($AG$403),$B$226=1),$AG$403,HLOOKUP(INDIRECT(ADDRESS(2,COLUMN())),OFFSET($BN$2,0,0,ROW()-1,60),ROW()-1,FALSE))</f>
        <v>-88.864999999999995</v>
      </c>
      <c r="AH201">
        <f ca="1">IF(AND(ISNUMBER($AH$403),$B$226=1),$AH$403,HLOOKUP(INDIRECT(ADDRESS(2,COLUMN())),OFFSET($BN$2,0,0,ROW()-1,60),ROW()-1,FALSE))</f>
        <v>10.077</v>
      </c>
      <c r="AI201">
        <f ca="1">IF(AND(ISNUMBER($AI$403),$B$226=1),$AI$403,HLOOKUP(INDIRECT(ADDRESS(2,COLUMN())),OFFSET($BN$2,0,0,ROW()-1,60),ROW()-1,FALSE))</f>
        <v>19.741</v>
      </c>
      <c r="AJ201">
        <f ca="1">IF(AND(ISNUMBER($AJ$403),$B$226=1),$AJ$403,HLOOKUP(INDIRECT(ADDRESS(2,COLUMN())),OFFSET($BN$2,0,0,ROW()-1,60),ROW()-1,FALSE))</f>
        <v>-321.87</v>
      </c>
      <c r="AK201">
        <f ca="1">IF(AND(ISNUMBER($AK$403),$B$226=1),$AK$403,HLOOKUP(INDIRECT(ADDRESS(2,COLUMN())),OFFSET($BN$2,0,0,ROW()-1,60),ROW()-1,FALSE))</f>
        <v>0.82899999999999996</v>
      </c>
      <c r="AL201">
        <f ca="1">IF(AND(ISNUMBER($AL$403),$B$226=1),$AL$403,HLOOKUP(INDIRECT(ADDRESS(2,COLUMN())),OFFSET($BN$2,0,0,ROW()-1,60),ROW()-1,FALSE))</f>
        <v>0.10199999999999999</v>
      </c>
      <c r="AM201">
        <f ca="1">IF(AND(ISNUMBER($AM$403),$B$226=1),$AM$403,HLOOKUP(INDIRECT(ADDRESS(2,COLUMN())),OFFSET($BN$2,0,0,ROW()-1,60),ROW()-1,FALSE))</f>
        <v>-33.152999999999999</v>
      </c>
      <c r="AN201">
        <f ca="1">IF(AND(ISNUMBER($AN$403),$B$226=1),$AN$403,HLOOKUP(INDIRECT(ADDRESS(2,COLUMN())),OFFSET($BN$2,0,0,ROW()-1,60),ROW()-1,FALSE))</f>
        <v>-29.036000000000001</v>
      </c>
      <c r="AO201">
        <f ca="1">IF(AND(ISNUMBER($AO$403),$B$226=1),$AO$403,HLOOKUP(INDIRECT(ADDRESS(2,COLUMN())),OFFSET($BN$2,0,0,ROW()-1,60),ROW()-1,FALSE))</f>
        <v>-16.146999999999998</v>
      </c>
      <c r="AP201">
        <f ca="1">IF(AND(ISNUMBER($AP$403),$B$226=1),$AP$403,HLOOKUP(INDIRECT(ADDRESS(2,COLUMN())),OFFSET($BN$2,0,0,ROW()-1,60),ROW()-1,FALSE))</f>
        <v>4.3620000000000001</v>
      </c>
      <c r="AQ201">
        <f ca="1">IF(AND(ISNUMBER($AQ$403),$B$226=1),$AQ$403,HLOOKUP(INDIRECT(ADDRESS(2,COLUMN())),OFFSET($BN$2,0,0,ROW()-1,60),ROW()-1,FALSE))</f>
        <v>-149.56200000000001</v>
      </c>
      <c r="AR201">
        <f ca="1">IF(AND(ISNUMBER($AR$403),$B$226=1),$AR$403,HLOOKUP(INDIRECT(ADDRESS(2,COLUMN())),OFFSET($BN$2,0,0,ROW()-1,60),ROW()-1,FALSE))</f>
        <v>-382.89400000000001</v>
      </c>
      <c r="AS201">
        <f ca="1">IF(AND(ISNUMBER($AS$403),$B$226=1),$AS$403,HLOOKUP(INDIRECT(ADDRESS(2,COLUMN())),OFFSET($BN$2,0,0,ROW()-1,60),ROW()-1,FALSE))</f>
        <v>-97.3</v>
      </c>
      <c r="AT201">
        <f ca="1">IF(AND(ISNUMBER($AT$403),$B$226=1),$AT$403,HLOOKUP(INDIRECT(ADDRESS(2,COLUMN())),OFFSET($BN$2,0,0,ROW()-1,60),ROW()-1,FALSE))</f>
        <v>-546.96600000000001</v>
      </c>
      <c r="AU201">
        <f ca="1">IF(AND(ISNUMBER($AU$403),$B$226=1),$AU$403,HLOOKUP(INDIRECT(ADDRESS(2,COLUMN())),OFFSET($BN$2,0,0,ROW()-1,60),ROW()-1,FALSE))</f>
        <v>-239.827</v>
      </c>
      <c r="AV201">
        <f ca="1">IF(AND(ISNUMBER($AV$403),$B$226=1),$AV$403,HLOOKUP(INDIRECT(ADDRESS(2,COLUMN())),OFFSET($BN$2,0,0,ROW()-1,60),ROW()-1,FALSE))</f>
        <v>-71.602000000000004</v>
      </c>
      <c r="AW201">
        <f ca="1">IF(AND(ISNUMBER($AW$403),$B$226=1),$AW$403,HLOOKUP(INDIRECT(ADDRESS(2,COLUMN())),OFFSET($BN$2,0,0,ROW()-1,60),ROW()-1,FALSE))</f>
        <v>-63.463999999999999</v>
      </c>
      <c r="AX201">
        <f ca="1">IF(AND(ISNUMBER($AX$403),$B$226=1),$AX$403,HLOOKUP(INDIRECT(ADDRESS(2,COLUMN())),OFFSET($BN$2,0,0,ROW()-1,60),ROW()-1,FALSE))</f>
        <v>-92.257000000000005</v>
      </c>
      <c r="AY201">
        <f ca="1">IF(AND(ISNUMBER($AY$403),$B$226=1),$AY$403,HLOOKUP(INDIRECT(ADDRESS(2,COLUMN())),OFFSET($BN$2,0,0,ROW()-1,60),ROW()-1,FALSE))</f>
        <v>-83.512</v>
      </c>
      <c r="AZ201">
        <f ca="1">IF(AND(ISNUMBER($AZ$403),$B$226=1),$AZ$403,HLOOKUP(INDIRECT(ADDRESS(2,COLUMN())),OFFSET($BN$2,0,0,ROW()-1,60),ROW()-1,FALSE))</f>
        <v>-118.994</v>
      </c>
      <c r="BA201">
        <f ca="1">IF(AND(ISNUMBER($BA$403),$B$226=1),$BA$403,HLOOKUP(INDIRECT(ADDRESS(2,COLUMN())),OFFSET($BN$2,0,0,ROW()-1,60),ROW()-1,FALSE))</f>
        <v>-207.23500000000001</v>
      </c>
      <c r="BB201">
        <f ca="1">IF(AND(ISNUMBER($BB$403),$B$226=1),$BB$403,HLOOKUP(INDIRECT(ADDRESS(2,COLUMN())),OFFSET($BN$2,0,0,ROW()-1,60),ROW()-1,FALSE))</f>
        <v>-47.286999999999999</v>
      </c>
      <c r="BC201">
        <f ca="1">IF(AND(ISNUMBER($BC$403),$B$226=1),$BC$403,HLOOKUP(INDIRECT(ADDRESS(2,COLUMN())),OFFSET($BN$2,0,0,ROW()-1,60),ROW()-1,FALSE))</f>
        <v>-100.28700000000001</v>
      </c>
      <c r="BD201">
        <f ca="1">IF(AND(ISNUMBER($BD$403),$B$226=1),$BD$403,HLOOKUP(INDIRECT(ADDRESS(2,COLUMN())),OFFSET($BN$2,0,0,ROW()-1,60),ROW()-1,FALSE))</f>
        <v>-136.02199999999999</v>
      </c>
      <c r="BE201">
        <f ca="1">IF(AND(ISNUMBER($BE$403),$B$226=1),$BE$403,HLOOKUP(INDIRECT(ADDRESS(2,COLUMN())),OFFSET($BN$2,0,0,ROW()-1,60),ROW()-1,FALSE))</f>
        <v>-30.387</v>
      </c>
      <c r="BF201">
        <f ca="1">IF(AND(ISNUMBER($BF$403),$B$226=1),$BF$403,HLOOKUP(INDIRECT(ADDRESS(2,COLUMN())),OFFSET($BN$2,0,0,ROW()-1,60),ROW()-1,FALSE))</f>
        <v>-107.536</v>
      </c>
      <c r="BG201">
        <f ca="1">IF(AND(ISNUMBER($BG$403),$B$226=1),$BG$403,HLOOKUP(INDIRECT(ADDRESS(2,COLUMN())),OFFSET($BN$2,0,0,ROW()-1,60),ROW()-1,FALSE))</f>
        <v>-302.839</v>
      </c>
      <c r="BH201">
        <f ca="1">IF(AND(ISNUMBER($BH$403),$B$226=1),$BH$403,HLOOKUP(INDIRECT(ADDRESS(2,COLUMN())),OFFSET($BN$2,0,0,ROW()-1,60),ROW()-1,FALSE))</f>
        <v>-224.94200000000001</v>
      </c>
      <c r="BI201">
        <f ca="1">IF(AND(ISNUMBER($BI$403),$B$226=1),$BI$403,HLOOKUP(INDIRECT(ADDRESS(2,COLUMN())),OFFSET($BN$2,0,0,ROW()-1,60),ROW()-1,FALSE))</f>
        <v>-28.544</v>
      </c>
      <c r="BJ201">
        <f ca="1">IF(AND(ISNUMBER($BJ$403),$B$226=1),$BJ$403,HLOOKUP(INDIRECT(ADDRESS(2,COLUMN())),OFFSET($BN$2,0,0,ROW()-1,60),ROW()-1,FALSE))</f>
        <v>-50.481000000000002</v>
      </c>
      <c r="BK201">
        <f ca="1">IF(AND(ISNUMBER($BK$403),$B$226=1),$BK$403,HLOOKUP(INDIRECT(ADDRESS(2,COLUMN())),OFFSET($BN$2,0,0,ROW()-1,60),ROW()-1,FALSE))</f>
        <v>-100.878</v>
      </c>
      <c r="BL201">
        <f ca="1">IF(AND(ISNUMBER($BL$403),$B$226=1),$BL$403,HLOOKUP(INDIRECT(ADDRESS(2,COLUMN())),OFFSET($BN$2,0,0,ROW()-1,60),ROW()-1,FALSE))</f>
        <v>14.085000000000001</v>
      </c>
      <c r="BM201">
        <f ca="1">IF(AND(ISNUMBER($BM$403),$B$226=1),$BM$403,HLOOKUP(INDIRECT(ADDRESS(2,COLUMN())),OFFSET($BN$2,0,0,ROW()-1,60),ROW()-1,FALSE))</f>
        <v>-88.44</v>
      </c>
      <c r="BN201" t="str">
        <f>""</f>
        <v/>
      </c>
      <c r="BO201">
        <f>9.511</f>
        <v>9.5109999999999992</v>
      </c>
      <c r="BP201">
        <f>45.314</f>
        <v>45.314</v>
      </c>
      <c r="BQ201">
        <f>23.936</f>
        <v>23.936</v>
      </c>
      <c r="BR201">
        <f>-31.093</f>
        <v>-31.093</v>
      </c>
      <c r="BS201">
        <f>-59.994</f>
        <v>-59.994</v>
      </c>
      <c r="BT201">
        <f>67.302</f>
        <v>67.302000000000007</v>
      </c>
      <c r="BU201">
        <f>41.173</f>
        <v>41.173000000000002</v>
      </c>
      <c r="BV201">
        <f>51.135</f>
        <v>51.134999999999998</v>
      </c>
      <c r="BW201">
        <f>-138.41</f>
        <v>-138.41</v>
      </c>
      <c r="BX201">
        <f>29.802</f>
        <v>29.802</v>
      </c>
      <c r="BY201">
        <f>70.225</f>
        <v>70.224999999999994</v>
      </c>
      <c r="BZ201">
        <f>31.587</f>
        <v>31.587</v>
      </c>
      <c r="CA201">
        <f>-25.833</f>
        <v>-25.832999999999998</v>
      </c>
      <c r="CB201">
        <f>-18.458</f>
        <v>-18.457999999999998</v>
      </c>
      <c r="CC201">
        <f>-63.068</f>
        <v>-63.067999999999998</v>
      </c>
      <c r="CD201">
        <f>-82.76</f>
        <v>-82.76</v>
      </c>
      <c r="CE201">
        <f>-14.667</f>
        <v>-14.667</v>
      </c>
      <c r="CF201">
        <f>-0.927</f>
        <v>-0.92700000000000005</v>
      </c>
      <c r="CG201">
        <f>-40.788</f>
        <v>-40.787999999999997</v>
      </c>
      <c r="CH201">
        <f>-45.634</f>
        <v>-45.634</v>
      </c>
      <c r="CI201">
        <f>-132.216</f>
        <v>-132.21600000000001</v>
      </c>
      <c r="CJ201">
        <f>-14.452</f>
        <v>-14.452</v>
      </c>
      <c r="CK201">
        <f>-22.126</f>
        <v>-22.126000000000001</v>
      </c>
      <c r="CL201">
        <f>-13.494</f>
        <v>-13.494</v>
      </c>
      <c r="CM201">
        <f>-37.136</f>
        <v>-37.136000000000003</v>
      </c>
      <c r="CN201">
        <f>-832.295</f>
        <v>-832.29499999999996</v>
      </c>
      <c r="CO201">
        <f>-88.865</f>
        <v>-88.864999999999995</v>
      </c>
      <c r="CP201">
        <f>10.077</f>
        <v>10.077</v>
      </c>
      <c r="CQ201">
        <f>19.741</f>
        <v>19.741</v>
      </c>
      <c r="CR201">
        <f>-321.87</f>
        <v>-321.87</v>
      </c>
      <c r="CS201">
        <f>0.829</f>
        <v>0.82899999999999996</v>
      </c>
      <c r="CT201">
        <f>0.102</f>
        <v>0.10199999999999999</v>
      </c>
      <c r="CU201">
        <f>-33.153</f>
        <v>-33.152999999999999</v>
      </c>
      <c r="CV201">
        <f>-29.036</f>
        <v>-29.036000000000001</v>
      </c>
      <c r="CW201">
        <f>-16.147</f>
        <v>-16.146999999999998</v>
      </c>
      <c r="CX201">
        <f>4.362</f>
        <v>4.3620000000000001</v>
      </c>
      <c r="CY201">
        <f>-149.562</f>
        <v>-149.56200000000001</v>
      </c>
      <c r="CZ201">
        <f>-382.894</f>
        <v>-382.89400000000001</v>
      </c>
      <c r="DA201">
        <f>-97.3</f>
        <v>-97.3</v>
      </c>
      <c r="DB201">
        <f>-546.966</f>
        <v>-546.96600000000001</v>
      </c>
      <c r="DC201">
        <f>-239.827</f>
        <v>-239.827</v>
      </c>
      <c r="DD201">
        <f>-71.602</f>
        <v>-71.602000000000004</v>
      </c>
      <c r="DE201">
        <f>-63.464</f>
        <v>-63.463999999999999</v>
      </c>
      <c r="DF201">
        <f>-92.257</f>
        <v>-92.257000000000005</v>
      </c>
      <c r="DG201">
        <f>-83.512</f>
        <v>-83.512</v>
      </c>
      <c r="DH201">
        <f>-118.994</f>
        <v>-118.994</v>
      </c>
      <c r="DI201">
        <f>-207.235</f>
        <v>-207.23500000000001</v>
      </c>
      <c r="DJ201">
        <f>-47.287</f>
        <v>-47.286999999999999</v>
      </c>
      <c r="DK201">
        <f>-100.287</f>
        <v>-100.28700000000001</v>
      </c>
      <c r="DL201">
        <f>-136.022</f>
        <v>-136.02199999999999</v>
      </c>
      <c r="DM201">
        <f>-30.387</f>
        <v>-30.387</v>
      </c>
      <c r="DN201">
        <f>-107.536</f>
        <v>-107.536</v>
      </c>
      <c r="DO201">
        <f>-302.839</f>
        <v>-302.839</v>
      </c>
      <c r="DP201">
        <f>-224.942</f>
        <v>-224.94200000000001</v>
      </c>
      <c r="DQ201">
        <f>-28.544</f>
        <v>-28.544</v>
      </c>
      <c r="DR201">
        <f>-50.481</f>
        <v>-50.481000000000002</v>
      </c>
      <c r="DS201">
        <f>-100.878</f>
        <v>-100.878</v>
      </c>
      <c r="DT201">
        <f>14.085</f>
        <v>14.085000000000001</v>
      </c>
      <c r="DU201">
        <f>-88.44</f>
        <v>-88.44</v>
      </c>
    </row>
    <row r="202" spans="1:125">
      <c r="A202" t="str">
        <f>"FFO支付比率(%)"</f>
        <v>FFO支付比率(%)</v>
      </c>
      <c r="B202" t="str">
        <f>""</f>
        <v/>
      </c>
      <c r="E202" t="str">
        <f>"Median"</f>
        <v>Median</v>
      </c>
      <c r="F202" t="str">
        <f ca="1">IF(ISERROR(IF(MEDIAN($F$203:$F$210) = 0, "", MEDIAN($F$203:$F$210))), "", (IF(MEDIAN($F$203:$F$210) = 0, "", MEDIAN($F$203:$F$210))))</f>
        <v/>
      </c>
      <c r="G202">
        <f ca="1">IF(ISERROR(IF(MEDIAN($G$203:$G$210) = 0, "", MEDIAN($G$203:$G$210))), "", (IF(MEDIAN($G$203:$G$210) = 0, "", MEDIAN($G$203:$G$210))))</f>
        <v>59.878257849999997</v>
      </c>
      <c r="H202">
        <f ca="1">IF(ISERROR(IF(MEDIAN($H$203:$H$210) = 0, "", MEDIAN($H$203:$H$210))), "", (IF(MEDIAN($H$203:$H$210) = 0, "", MEDIAN($H$203:$H$210))))</f>
        <v>60.56049496</v>
      </c>
      <c r="I202">
        <f ca="1">IF(ISERROR(IF(MEDIAN($I$203:$I$210) = 0, "", MEDIAN($I$203:$I$210))), "", (IF(MEDIAN($I$203:$I$210) = 0, "", MEDIAN($I$203:$I$210))))</f>
        <v>63.328863665</v>
      </c>
      <c r="J202">
        <f ca="1">IF(ISERROR(IF(MEDIAN($J$203:$J$210) = 0, "", MEDIAN($J$203:$J$210))), "", (IF(MEDIAN($J$203:$J$210) = 0, "", MEDIAN($J$203:$J$210))))</f>
        <v>64.388561124999995</v>
      </c>
      <c r="K202">
        <f ca="1">IF(ISERROR(IF(MEDIAN($K$203:$K$210) = 0, "", MEDIAN($K$203:$K$210))), "", (IF(MEDIAN($K$203:$K$210) = 0, "", MEDIAN($K$203:$K$210))))</f>
        <v>64.064623664999999</v>
      </c>
      <c r="L202">
        <f ca="1">IF(ISERROR(IF(MEDIAN($L$203:$L$210) = 0, "", MEDIAN($L$203:$L$210))), "", (IF(MEDIAN($L$203:$L$210) = 0, "", MEDIAN($L$203:$L$210))))</f>
        <v>76.933650540000002</v>
      </c>
      <c r="M202">
        <f ca="1">IF(ISERROR(IF(MEDIAN($M$203:$M$210) = 0, "", MEDIAN($M$203:$M$210))), "", (IF(MEDIAN($M$203:$M$210) = 0, "", MEDIAN($M$203:$M$210))))</f>
        <v>61.909134225000003</v>
      </c>
      <c r="N202">
        <f ca="1">IF(ISERROR(IF(MEDIAN($N$203:$N$210) = 0, "", MEDIAN($N$203:$N$210))), "", (IF(MEDIAN($N$203:$N$210) = 0, "", MEDIAN($N$203:$N$210))))</f>
        <v>61.739505504999997</v>
      </c>
      <c r="O202">
        <f ca="1">IF(ISERROR(IF(MEDIAN($O$203:$O$210) = 0, "", MEDIAN($O$203:$O$210))), "", (IF(MEDIAN($O$203:$O$210) = 0, "", MEDIAN($O$203:$O$210))))</f>
        <v>57.070769354999996</v>
      </c>
      <c r="P202">
        <f ca="1">IF(ISERROR(IF(MEDIAN($P$203:$P$210) = 0, "", MEDIAN($P$203:$P$210))), "", (IF(MEDIAN($P$203:$P$210) = 0, "", MEDIAN($P$203:$P$210))))</f>
        <v>61.757958794999993</v>
      </c>
      <c r="Q202">
        <f ca="1">IF(ISERROR(IF(MEDIAN($Q$203:$Q$210) = 0, "", MEDIAN($Q$203:$Q$210))), "", (IF(MEDIAN($Q$203:$Q$210) = 0, "", MEDIAN($Q$203:$Q$210))))</f>
        <v>59.999016165</v>
      </c>
      <c r="R202">
        <f ca="1">IF(ISERROR(IF(MEDIAN($R$203:$R$210) = 0, "", MEDIAN($R$203:$R$210))), "", (IF(MEDIAN($R$203:$R$210) = 0, "", MEDIAN($R$203:$R$210))))</f>
        <v>62.75259758</v>
      </c>
      <c r="S202">
        <f ca="1">IF(ISERROR(IF(MEDIAN($S$203:$S$210) = 0, "", MEDIAN($S$203:$S$210))), "", (IF(MEDIAN($S$203:$S$210) = 0, "", MEDIAN($S$203:$S$210))))</f>
        <v>58.12895108</v>
      </c>
      <c r="T202">
        <f ca="1">IF(ISERROR(IF(MEDIAN($T$203:$T$210) = 0, "", MEDIAN($T$203:$T$210))), "", (IF(MEDIAN($T$203:$T$210) = 0, "", MEDIAN($T$203:$T$210))))</f>
        <v>59.09006187</v>
      </c>
      <c r="U202">
        <f ca="1">IF(ISERROR(IF(MEDIAN($U$203:$U$210) = 0, "", MEDIAN($U$203:$U$210))), "", (IF(MEDIAN($U$203:$U$210) = 0, "", MEDIAN($U$203:$U$210))))</f>
        <v>65.131867240000005</v>
      </c>
      <c r="V202">
        <f ca="1">IF(ISERROR(IF(MEDIAN($V$203:$V$210) = 0, "", MEDIAN($V$203:$V$210))), "", (IF(MEDIAN($V$203:$V$210) = 0, "", MEDIAN($V$203:$V$210))))</f>
        <v>64.855883555000005</v>
      </c>
      <c r="W202">
        <f ca="1">IF(ISERROR(IF(MEDIAN($W$203:$W$210) = 0, "", MEDIAN($W$203:$W$210))), "", (IF(MEDIAN($W$203:$W$210) = 0, "", MEDIAN($W$203:$W$210))))</f>
        <v>67.225907390000003</v>
      </c>
      <c r="X202">
        <f ca="1">IF(ISERROR(IF(MEDIAN($X$203:$X$210) = 0, "", MEDIAN($X$203:$X$210))), "", (IF(MEDIAN($X$203:$X$210) = 0, "", MEDIAN($X$203:$X$210))))</f>
        <v>60.745982069999997</v>
      </c>
      <c r="Y202">
        <f ca="1">IF(ISERROR(IF(MEDIAN($Y$203:$Y$210) = 0, "", MEDIAN($Y$203:$Y$210))), "", (IF(MEDIAN($Y$203:$Y$210) = 0, "", MEDIAN($Y$203:$Y$210))))</f>
        <v>60.753335414999995</v>
      </c>
      <c r="Z202">
        <f ca="1">IF(ISERROR(IF(MEDIAN($Z$203:$Z$210) = 0, "", MEDIAN($Z$203:$Z$210))), "", (IF(MEDIAN($Z$203:$Z$210) = 0, "", MEDIAN($Z$203:$Z$210))))</f>
        <v>61.576720960000003</v>
      </c>
      <c r="AA202">
        <f ca="1">IF(ISERROR(IF(MEDIAN($AA$203:$AA$210) = 0, "", MEDIAN($AA$203:$AA$210))), "", (IF(MEDIAN($AA$203:$AA$210) = 0, "", MEDIAN($AA$203:$AA$210))))</f>
        <v>63.825971615</v>
      </c>
      <c r="AB202">
        <f ca="1">IF(ISERROR(IF(MEDIAN($AB$203:$AB$210) = 0, "", MEDIAN($AB$203:$AB$210))), "", (IF(MEDIAN($AB$203:$AB$210) = 0, "", MEDIAN($AB$203:$AB$210))))</f>
        <v>63.844465959999994</v>
      </c>
      <c r="AC202">
        <f ca="1">IF(ISERROR(IF(MEDIAN($AC$203:$AC$210) = 0, "", MEDIAN($AC$203:$AC$210))), "", (IF(MEDIAN($AC$203:$AC$210) = 0, "", MEDIAN($AC$203:$AC$210))))</f>
        <v>62.160786174999998</v>
      </c>
      <c r="AD202">
        <f ca="1">IF(ISERROR(IF(MEDIAN($AD$203:$AD$210) = 0, "", MEDIAN($AD$203:$AD$210))), "", (IF(MEDIAN($AD$203:$AD$210) = 0, "", MEDIAN($AD$203:$AD$210))))</f>
        <v>58.976267489999998</v>
      </c>
      <c r="AE202">
        <f ca="1">IF(ISERROR(IF(MEDIAN($AE$203:$AE$210) = 0, "", MEDIAN($AE$203:$AE$210))), "", (IF(MEDIAN($AE$203:$AE$210) = 0, "", MEDIAN($AE$203:$AE$210))))</f>
        <v>59.745832874999998</v>
      </c>
      <c r="AF202">
        <f ca="1">IF(ISERROR(IF(MEDIAN($AF$203:$AF$210) = 0, "", MEDIAN($AF$203:$AF$210))), "", (IF(MEDIAN($AF$203:$AF$210) = 0, "", MEDIAN($AF$203:$AF$210))))</f>
        <v>64.603882949999999</v>
      </c>
      <c r="AG202">
        <f ca="1">IF(ISERROR(IF(MEDIAN($AG$203:$AG$210) = 0, "", MEDIAN($AG$203:$AG$210))), "", (IF(MEDIAN($AG$203:$AG$210) = 0, "", MEDIAN($AG$203:$AG$210))))</f>
        <v>71.11085611499999</v>
      </c>
      <c r="AH202">
        <f ca="1">IF(ISERROR(IF(MEDIAN($AH$203:$AH$210) = 0, "", MEDIAN($AH$203:$AH$210))), "", (IF(MEDIAN($AH$203:$AH$210) = 0, "", MEDIAN($AH$203:$AH$210))))</f>
        <v>61.222807299999999</v>
      </c>
      <c r="AI202">
        <f ca="1">IF(ISERROR(IF(MEDIAN($AI$203:$AI$210) = 0, "", MEDIAN($AI$203:$AI$210))), "", (IF(MEDIAN($AI$203:$AI$210) = 0, "", MEDIAN($AI$203:$AI$210))))</f>
        <v>63.165364019999998</v>
      </c>
      <c r="AJ202">
        <f ca="1">IF(ISERROR(IF(MEDIAN($AJ$203:$AJ$210) = 0, "", MEDIAN($AJ$203:$AJ$210))), "", (IF(MEDIAN($AJ$203:$AJ$210) = 0, "", MEDIAN($AJ$203:$AJ$210))))</f>
        <v>70.428380189999999</v>
      </c>
      <c r="AK202">
        <f ca="1">IF(ISERROR(IF(MEDIAN($AK$203:$AK$210) = 0, "", MEDIAN($AK$203:$AK$210))), "", (IF(MEDIAN($AK$203:$AK$210) = 0, "", MEDIAN($AK$203:$AK$210))))</f>
        <v>68.321380304999991</v>
      </c>
      <c r="AL202">
        <f ca="1">IF(ISERROR(IF(MEDIAN($AL$203:$AL$210) = 0, "", MEDIAN($AL$203:$AL$210))), "", (IF(MEDIAN($AL$203:$AL$210) = 0, "", MEDIAN($AL$203:$AL$210))))</f>
        <v>64.404061979999994</v>
      </c>
      <c r="AM202">
        <f ca="1">IF(ISERROR(IF(MEDIAN($AM$203:$AM$210) = 0, "", MEDIAN($AM$203:$AM$210))), "", (IF(MEDIAN($AM$203:$AM$210) = 0, "", MEDIAN($AM$203:$AM$210))))</f>
        <v>68.307030060000002</v>
      </c>
      <c r="AN202">
        <f ca="1">IF(ISERROR(IF(MEDIAN($AN$203:$AN$210) = 0, "", MEDIAN($AN$203:$AN$210))), "", (IF(MEDIAN($AN$203:$AN$210) = 0, "", MEDIAN($AN$203:$AN$210))))</f>
        <v>64.443066599999995</v>
      </c>
      <c r="AO202">
        <f ca="1">IF(ISERROR(IF(MEDIAN($AO$203:$AO$210) = 0, "", MEDIAN($AO$203:$AO$210))), "", (IF(MEDIAN($AO$203:$AO$210) = 0, "", MEDIAN($AO$203:$AO$210))))</f>
        <v>71.972970680000003</v>
      </c>
      <c r="AP202">
        <f ca="1">IF(ISERROR(IF(MEDIAN($AP$203:$AP$210) = 0, "", MEDIAN($AP$203:$AP$210))), "", (IF(MEDIAN($AP$203:$AP$210) = 0, "", MEDIAN($AP$203:$AP$210))))</f>
        <v>69.755586590000007</v>
      </c>
      <c r="AQ202">
        <f ca="1">IF(ISERROR(IF(MEDIAN($AQ$203:$AQ$210) = 0, "", MEDIAN($AQ$203:$AQ$210))), "", (IF(MEDIAN($AQ$203:$AQ$210) = 0, "", MEDIAN($AQ$203:$AQ$210))))</f>
        <v>125.21020898500001</v>
      </c>
      <c r="AR202">
        <f ca="1">IF(ISERROR(IF(MEDIAN($AR$203:$AR$210) = 0, "", MEDIAN($AR$203:$AR$210))), "", (IF(MEDIAN($AR$203:$AR$210) = 0, "", MEDIAN($AR$203:$AR$210))))</f>
        <v>69.968815039999996</v>
      </c>
      <c r="AS202">
        <f ca="1">IF(ISERROR(IF(MEDIAN($AS$203:$AS$210) = 0, "", MEDIAN($AS$203:$AS$210))), "", (IF(MEDIAN($AS$203:$AS$210) = 0, "", MEDIAN($AS$203:$AS$210))))</f>
        <v>70.198379535000001</v>
      </c>
      <c r="AT202">
        <f ca="1">IF(ISERROR(IF(MEDIAN($AT$203:$AT$210) = 0, "", MEDIAN($AT$203:$AT$210))), "", (IF(MEDIAN($AT$203:$AT$210) = 0, "", MEDIAN($AT$203:$AT$210))))</f>
        <v>70.598019454999999</v>
      </c>
      <c r="AU202">
        <f ca="1">IF(ISERROR(IF(MEDIAN($AU$203:$AU$210) = 0, "", MEDIAN($AU$203:$AU$210))), "", (IF(MEDIAN($AU$203:$AU$210) = 0, "", MEDIAN($AU$203:$AU$210))))</f>
        <v>67.154578459999996</v>
      </c>
      <c r="AV202">
        <f ca="1">IF(ISERROR(IF(MEDIAN($AV$203:$AV$210) = 0, "", MEDIAN($AV$203:$AV$210))), "", (IF(MEDIAN($AV$203:$AV$210) = 0, "", MEDIAN($AV$203:$AV$210))))</f>
        <v>70.810661690000003</v>
      </c>
      <c r="AW202">
        <f ca="1">IF(ISERROR(IF(MEDIAN($AW$203:$AW$210) = 0, "", MEDIAN($AW$203:$AW$210))), "", (IF(MEDIAN($AW$203:$AW$210) = 0, "", MEDIAN($AW$203:$AW$210))))</f>
        <v>70.772453409999997</v>
      </c>
      <c r="AX202">
        <f ca="1">IF(ISERROR(IF(MEDIAN($AX$203:$AX$210) = 0, "", MEDIAN($AX$203:$AX$210))), "", (IF(MEDIAN($AX$203:$AX$210) = 0, "", MEDIAN($AX$203:$AX$210))))</f>
        <v>73.689354255000012</v>
      </c>
      <c r="AY202">
        <f ca="1">IF(ISERROR(IF(MEDIAN($AY$203:$AY$210) = 0, "", MEDIAN($AY$203:$AY$210))), "", (IF(MEDIAN($AY$203:$AY$210) = 0, "", MEDIAN($AY$203:$AY$210))))</f>
        <v>71.460305925</v>
      </c>
      <c r="AZ202">
        <f ca="1">IF(ISERROR(IF(MEDIAN($AZ$203:$AZ$210) = 0, "", MEDIAN($AZ$203:$AZ$210))), "", (IF(MEDIAN($AZ$203:$AZ$210) = 0, "", MEDIAN($AZ$203:$AZ$210))))</f>
        <v>68.069400479999999</v>
      </c>
      <c r="BA202">
        <f ca="1">IF(ISERROR(IF(MEDIAN($BA$203:$BA$210) = 0, "", MEDIAN($BA$203:$BA$210))), "", (IF(MEDIAN($BA$203:$BA$210) = 0, "", MEDIAN($BA$203:$BA$210))))</f>
        <v>68.378854654999998</v>
      </c>
      <c r="BB202">
        <f ca="1">IF(ISERROR(IF(MEDIAN($BB$203:$BB$210) = 0, "", MEDIAN($BB$203:$BB$210))), "", (IF(MEDIAN($BB$203:$BB$210) = 0, "", MEDIAN($BB$203:$BB$210))))</f>
        <v>70.290000315</v>
      </c>
      <c r="BC202">
        <f ca="1">IF(ISERROR(IF(MEDIAN($BC$203:$BC$210) = 0, "", MEDIAN($BC$203:$BC$210))), "", (IF(MEDIAN($BC$203:$BC$210) = 0, "", MEDIAN($BC$203:$BC$210))))</f>
        <v>79.084269149999997</v>
      </c>
      <c r="BD202">
        <f ca="1">IF(ISERROR(IF(MEDIAN($BD$203:$BD$210) = 0, "", MEDIAN($BD$203:$BD$210))), "", (IF(MEDIAN($BD$203:$BD$210) = 0, "", MEDIAN($BD$203:$BD$210))))</f>
        <v>76.813860849999998</v>
      </c>
      <c r="BE202">
        <f ca="1">IF(ISERROR(IF(MEDIAN($BE$203:$BE$210) = 0, "", MEDIAN($BE$203:$BE$210))), "", (IF(MEDIAN($BE$203:$BE$210) = 0, "", MEDIAN($BE$203:$BE$210))))</f>
        <v>71.120133670000001</v>
      </c>
      <c r="BF202">
        <f ca="1">IF(ISERROR(IF(MEDIAN($BF$203:$BF$210) = 0, "", MEDIAN($BF$203:$BF$210))), "", (IF(MEDIAN($BF$203:$BF$210) = 0, "", MEDIAN($BF$203:$BF$210))))</f>
        <v>55.197599199999999</v>
      </c>
      <c r="BG202">
        <f ca="1">IF(ISERROR(IF(MEDIAN($BG$203:$BG$210) = 0, "", MEDIAN($BG$203:$BG$210))), "", (IF(MEDIAN($BG$203:$BG$210) = 0, "", MEDIAN($BG$203:$BG$210))))</f>
        <v>69.158046350000006</v>
      </c>
      <c r="BH202">
        <f ca="1">IF(ISERROR(IF(MEDIAN($BH$203:$BH$210) = 0, "", MEDIAN($BH$203:$BH$210))), "", (IF(MEDIAN($BH$203:$BH$210) = 0, "", MEDIAN($BH$203:$BH$210))))</f>
        <v>73.417673179999994</v>
      </c>
      <c r="BI202">
        <f ca="1">IF(ISERROR(IF(MEDIAN($BI$203:$BI$210) = 0, "", MEDIAN($BI$203:$BI$210))), "", (IF(MEDIAN($BI$203:$BI$210) = 0, "", MEDIAN($BI$203:$BI$210))))</f>
        <v>72.94576687</v>
      </c>
      <c r="BJ202">
        <f ca="1">IF(ISERROR(IF(MEDIAN($BJ$203:$BJ$210) = 0, "", MEDIAN($BJ$203:$BJ$210))), "", (IF(MEDIAN($BJ$203:$BJ$210) = 0, "", MEDIAN($BJ$203:$BJ$210))))</f>
        <v>69.102377779999998</v>
      </c>
      <c r="BK202">
        <f ca="1">IF(ISERROR(IF(MEDIAN($BK$203:$BK$210) = 0, "", MEDIAN($BK$203:$BK$210))), "", (IF(MEDIAN($BK$203:$BK$210) = 0, "", MEDIAN($BK$203:$BK$210))))</f>
        <v>69.452619260000006</v>
      </c>
      <c r="BL202">
        <f ca="1">IF(ISERROR(IF(MEDIAN($BL$203:$BL$210) = 0, "", MEDIAN($BL$203:$BL$210))), "", (IF(MEDIAN($BL$203:$BL$210) = 0, "", MEDIAN($BL$203:$BL$210))))</f>
        <v>73.028517614999998</v>
      </c>
      <c r="BM202">
        <f ca="1">IF(ISERROR(IF(MEDIAN($BM$203:$BM$210) = 0, "", MEDIAN($BM$203:$BM$210))), "", (IF(MEDIAN($BM$203:$BM$210) = 0, "", MEDIAN($BM$203:$BM$210))))</f>
        <v>69.112201314999993</v>
      </c>
      <c r="BN202" t="str">
        <f>""</f>
        <v/>
      </c>
      <c r="BO202">
        <f>59.87825785</f>
        <v>59.878257849999997</v>
      </c>
      <c r="BP202">
        <f>60.56049496</f>
        <v>60.56049496</v>
      </c>
      <c r="BQ202">
        <f>63.32886366</f>
        <v>63.328863660000003</v>
      </c>
      <c r="BR202">
        <f>64.38856113</f>
        <v>64.388561129999999</v>
      </c>
      <c r="BS202">
        <f>64.06462367</f>
        <v>64.064623670000003</v>
      </c>
      <c r="BT202">
        <f>76.93365054</f>
        <v>76.933650540000002</v>
      </c>
      <c r="BU202">
        <f>61.90913422</f>
        <v>61.909134219999999</v>
      </c>
      <c r="BV202">
        <f>61.7395055</f>
        <v>61.7395055</v>
      </c>
      <c r="BW202">
        <f>57.07076935</f>
        <v>57.070769349999999</v>
      </c>
      <c r="BX202">
        <f>61.75795879</f>
        <v>61.757958790000004</v>
      </c>
      <c r="BY202">
        <f>59.99901617</f>
        <v>59.999016169999997</v>
      </c>
      <c r="BZ202">
        <f>62.75259758</f>
        <v>62.75259758</v>
      </c>
      <c r="CA202">
        <f>58.12895108</f>
        <v>58.12895108</v>
      </c>
      <c r="CB202">
        <f>59.09006187</f>
        <v>59.09006187</v>
      </c>
      <c r="CC202">
        <f>65.13186724</f>
        <v>65.131867240000005</v>
      </c>
      <c r="CD202">
        <f>64.85588355</f>
        <v>64.855883550000001</v>
      </c>
      <c r="CE202">
        <f>67.22590739</f>
        <v>67.225907390000003</v>
      </c>
      <c r="CF202">
        <f>60.74598207</f>
        <v>60.745982069999997</v>
      </c>
      <c r="CG202">
        <f>60.75333541</f>
        <v>60.753335409999998</v>
      </c>
      <c r="CH202">
        <f>61.57672096</f>
        <v>61.576720960000003</v>
      </c>
      <c r="CI202">
        <f>63.82597162</f>
        <v>63.825971619999997</v>
      </c>
      <c r="CJ202">
        <f>63.84446596</f>
        <v>63.844465960000001</v>
      </c>
      <c r="CK202">
        <f>62.16078618</f>
        <v>62.160786180000002</v>
      </c>
      <c r="CL202">
        <f>58.97626749</f>
        <v>58.976267489999998</v>
      </c>
      <c r="CM202">
        <f>59.74583287</f>
        <v>59.745832870000001</v>
      </c>
      <c r="CN202">
        <f>64.60388295</f>
        <v>64.603882949999999</v>
      </c>
      <c r="CO202">
        <f>71.11085612</f>
        <v>71.110856119999994</v>
      </c>
      <c r="CP202">
        <f>61.2228073</f>
        <v>61.222807299999999</v>
      </c>
      <c r="CQ202">
        <f>63.16536402</f>
        <v>63.165364019999998</v>
      </c>
      <c r="CR202">
        <f>70.42838019</f>
        <v>70.428380189999999</v>
      </c>
      <c r="CS202">
        <f>68.3213803</f>
        <v>68.321380300000001</v>
      </c>
      <c r="CT202">
        <f>64.40406198</f>
        <v>64.404061979999994</v>
      </c>
      <c r="CU202">
        <f>68.30703006</f>
        <v>68.307030060000002</v>
      </c>
      <c r="CV202">
        <f>64.4430666</f>
        <v>64.443066599999995</v>
      </c>
      <c r="CW202">
        <f>71.97297068</f>
        <v>71.972970680000003</v>
      </c>
      <c r="CX202">
        <f>69.75558659</f>
        <v>69.755586589999993</v>
      </c>
      <c r="CY202">
        <f>125.210209</f>
        <v>125.21020900000001</v>
      </c>
      <c r="CZ202">
        <f>69.96881504</f>
        <v>69.968815039999996</v>
      </c>
      <c r="DA202">
        <f>70.19837954</f>
        <v>70.198379540000005</v>
      </c>
      <c r="DB202">
        <f>70.59801946</f>
        <v>70.598019460000003</v>
      </c>
      <c r="DC202">
        <f>67.15457846</f>
        <v>67.154578459999996</v>
      </c>
      <c r="DD202">
        <f>70.81066169</f>
        <v>70.810661690000003</v>
      </c>
      <c r="DE202">
        <f>70.77245341</f>
        <v>70.772453409999997</v>
      </c>
      <c r="DF202">
        <f>73.68935425</f>
        <v>73.689354249999994</v>
      </c>
      <c r="DG202">
        <f>71.46030593</f>
        <v>71.460305930000004</v>
      </c>
      <c r="DH202">
        <f>68.06940048</f>
        <v>68.069400479999999</v>
      </c>
      <c r="DI202">
        <f>68.37885466</f>
        <v>68.378854660000002</v>
      </c>
      <c r="DJ202">
        <f>70.29000031</f>
        <v>70.290000309999996</v>
      </c>
      <c r="DK202">
        <f>79.08426915</f>
        <v>79.084269149999997</v>
      </c>
      <c r="DL202">
        <f>76.81386085</f>
        <v>76.813860849999998</v>
      </c>
      <c r="DM202">
        <f>71.12013367</f>
        <v>71.120133670000001</v>
      </c>
      <c r="DN202">
        <f>55.1975992</f>
        <v>55.197599199999999</v>
      </c>
      <c r="DO202">
        <f>69.15804635</f>
        <v>69.158046350000006</v>
      </c>
      <c r="DP202">
        <f>73.41767318</f>
        <v>73.417673179999994</v>
      </c>
      <c r="DQ202">
        <f>72.94576687</f>
        <v>72.94576687</v>
      </c>
      <c r="DR202">
        <f>69.10237778</f>
        <v>69.102377779999998</v>
      </c>
      <c r="DS202">
        <f>69.45261926</f>
        <v>69.452619260000006</v>
      </c>
      <c r="DT202">
        <f>73.02851762</f>
        <v>73.028517620000002</v>
      </c>
      <c r="DU202">
        <f>69.11220132</f>
        <v>69.112201319999997</v>
      </c>
    </row>
    <row r="203" spans="1:125">
      <c r="A203" t="str">
        <f>"    American Campus Communities In"</f>
        <v xml:space="preserve">    American Campus Communities In</v>
      </c>
      <c r="B203" t="str">
        <f>"ACC US Equity"</f>
        <v>ACC US Equity</v>
      </c>
      <c r="C203" t="str">
        <f t="shared" ref="C203:C210" si="66">"RR106"</f>
        <v>RR106</v>
      </c>
      <c r="D203" t="str">
        <f t="shared" ref="D203:D210" si="67">"FFO_PAYOUT_RATIO"</f>
        <v>FFO_PAYOUT_RATIO</v>
      </c>
      <c r="E203" t="str">
        <f t="shared" ref="E203:E210" si="68">"动态"</f>
        <v>动态</v>
      </c>
      <c r="F203" t="str">
        <f ca="1">IF(AND(ISNUMBER($F$404),$B$226=1),$F$404,HLOOKUP(INDIRECT(ADDRESS(2,COLUMN())),OFFSET($BN$2,0,0,ROW()-1,60),ROW()-1,FALSE))</f>
        <v/>
      </c>
      <c r="G203">
        <f ca="1">IF(AND(ISNUMBER($G$404),$B$226=1),$G$404,HLOOKUP(INDIRECT(ADDRESS(2,COLUMN())),OFFSET($BN$2,0,0,ROW()-1,60),ROW()-1,FALSE))</f>
        <v>57.769454660000001</v>
      </c>
      <c r="H203">
        <f ca="1">IF(AND(ISNUMBER($H$404),$B$226=1),$H$404,HLOOKUP(INDIRECT(ADDRESS(2,COLUMN())),OFFSET($BN$2,0,0,ROW()-1,60),ROW()-1,FALSE))</f>
        <v>101.7809701</v>
      </c>
      <c r="I203">
        <f ca="1">IF(AND(ISNUMBER($I$404),$B$226=1),$I$404,HLOOKUP(INDIRECT(ADDRESS(2,COLUMN())),OFFSET($BN$2,0,0,ROW()-1,60),ROW()-1,FALSE))</f>
        <v>86.458820149999994</v>
      </c>
      <c r="J203">
        <f ca="1">IF(AND(ISNUMBER($J$404),$B$226=1),$J$404,HLOOKUP(INDIRECT(ADDRESS(2,COLUMN())),OFFSET($BN$2,0,0,ROW()-1,60),ROW()-1,FALSE))</f>
        <v>65.004043969999998</v>
      </c>
      <c r="K203">
        <f ca="1">IF(AND(ISNUMBER($K$404),$B$226=1),$K$404,HLOOKUP(INDIRECT(ADDRESS(2,COLUMN())),OFFSET($BN$2,0,0,ROW()-1,60),ROW()-1,FALSE))</f>
        <v>71.212555170000002</v>
      </c>
      <c r="L203">
        <f ca="1">IF(AND(ISNUMBER($L$404),$B$226=1),$L$404,HLOOKUP(INDIRECT(ADDRESS(2,COLUMN())),OFFSET($BN$2,0,0,ROW()-1,60),ROW()-1,FALSE))</f>
        <v>89.835040230000004</v>
      </c>
      <c r="M203">
        <f ca="1">IF(AND(ISNUMBER($M$404),$B$226=1),$M$404,HLOOKUP(INDIRECT(ADDRESS(2,COLUMN())),OFFSET($BN$2,0,0,ROW()-1,60),ROW()-1,FALSE))</f>
        <v>76.471608739999994</v>
      </c>
      <c r="N203">
        <f ca="1">IF(AND(ISNUMBER($N$404),$B$226=1),$N$404,HLOOKUP(INDIRECT(ADDRESS(2,COLUMN())),OFFSET($BN$2,0,0,ROW()-1,60),ROW()-1,FALSE))</f>
        <v>60.330857950000002</v>
      </c>
      <c r="O203">
        <f ca="1">IF(AND(ISNUMBER($O$404),$B$226=1),$O$404,HLOOKUP(INDIRECT(ADDRESS(2,COLUMN())),OFFSET($BN$2,0,0,ROW()-1,60),ROW()-1,FALSE))</f>
        <v>54.386674900000003</v>
      </c>
      <c r="P203">
        <f ca="1">IF(AND(ISNUMBER($P$404),$B$226=1),$P$404,HLOOKUP(INDIRECT(ADDRESS(2,COLUMN())),OFFSET($BN$2,0,0,ROW()-1,60),ROW()-1,FALSE))</f>
        <v>92.441635289999994</v>
      </c>
      <c r="Q203">
        <f ca="1">IF(AND(ISNUMBER($Q$404),$B$226=1),$Q$404,HLOOKUP(INDIRECT(ADDRESS(2,COLUMN())),OFFSET($BN$2,0,0,ROW()-1,60),ROW()-1,FALSE))</f>
        <v>71.179068650000005</v>
      </c>
      <c r="R203">
        <f ca="1">IF(AND(ISNUMBER($R$404),$B$226=1),$R$404,HLOOKUP(INDIRECT(ADDRESS(2,COLUMN())),OFFSET($BN$2,0,0,ROW()-1,60),ROW()-1,FALSE))</f>
        <v>54.729341789999999</v>
      </c>
      <c r="S203">
        <f ca="1">IF(AND(ISNUMBER($S$404),$B$226=1),$S$404,HLOOKUP(INDIRECT(ADDRESS(2,COLUMN())),OFFSET($BN$2,0,0,ROW()-1,60),ROW()-1,FALSE))</f>
        <v>51.266996149999997</v>
      </c>
      <c r="T203">
        <f ca="1">IF(AND(ISNUMBER($T$404),$B$226=1),$T$404,HLOOKUP(INDIRECT(ADDRESS(2,COLUMN())),OFFSET($BN$2,0,0,ROW()-1,60),ROW()-1,FALSE))</f>
        <v>87.305362630000005</v>
      </c>
      <c r="U203">
        <f ca="1">IF(AND(ISNUMBER($U$404),$B$226=1),$U$404,HLOOKUP(INDIRECT(ADDRESS(2,COLUMN())),OFFSET($BN$2,0,0,ROW()-1,60),ROW()-1,FALSE))</f>
        <v>65.131867240000005</v>
      </c>
      <c r="V203">
        <f ca="1">IF(AND(ISNUMBER($V$404),$B$226=1),$V$404,HLOOKUP(INDIRECT(ADDRESS(2,COLUMN())),OFFSET($BN$2,0,0,ROW()-1,60),ROW()-1,FALSE))</f>
        <v>51.138064890000003</v>
      </c>
      <c r="W203">
        <f ca="1">IF(AND(ISNUMBER($W$404),$B$226=1),$W$404,HLOOKUP(INDIRECT(ADDRESS(2,COLUMN())),OFFSET($BN$2,0,0,ROW()-1,60),ROW()-1,FALSE))</f>
        <v>51.804293180000002</v>
      </c>
      <c r="X203">
        <f ca="1">IF(AND(ISNUMBER($X$404),$B$226=1),$X$404,HLOOKUP(INDIRECT(ADDRESS(2,COLUMN())),OFFSET($BN$2,0,0,ROW()-1,60),ROW()-1,FALSE))</f>
        <v>94.525422640000002</v>
      </c>
      <c r="Y203">
        <f ca="1">IF(AND(ISNUMBER($Y$404),$B$226=1),$Y$404,HLOOKUP(INDIRECT(ADDRESS(2,COLUMN())),OFFSET($BN$2,0,0,ROW()-1,60),ROW()-1,FALSE))</f>
        <v>67.900018430000003</v>
      </c>
      <c r="Z203">
        <f ca="1">IF(AND(ISNUMBER($Z$404),$B$226=1),$Z$404,HLOOKUP(INDIRECT(ADDRESS(2,COLUMN())),OFFSET($BN$2,0,0,ROW()-1,60),ROW()-1,FALSE))</f>
        <v>51.582995590000003</v>
      </c>
      <c r="AA203">
        <f ca="1">IF(AND(ISNUMBER($AA$404),$B$226=1),$AA$404,HLOOKUP(INDIRECT(ADDRESS(2,COLUMN())),OFFSET($BN$2,0,0,ROW()-1,60),ROW()-1,FALSE))</f>
        <v>58.017921540000003</v>
      </c>
      <c r="AB203">
        <f ca="1">IF(AND(ISNUMBER($AB$404),$B$226=1),$AB$404,HLOOKUP(INDIRECT(ADDRESS(2,COLUMN())),OFFSET($BN$2,0,0,ROW()-1,60),ROW()-1,FALSE))</f>
        <v>104.2136936</v>
      </c>
      <c r="AC203">
        <f ca="1">IF(AND(ISNUMBER($AC$404),$B$226=1),$AC$404,HLOOKUP(INDIRECT(ADDRESS(2,COLUMN())),OFFSET($BN$2,0,0,ROW()-1,60),ROW()-1,FALSE))</f>
        <v>68.887481149999999</v>
      </c>
      <c r="AD203">
        <f ca="1">IF(AND(ISNUMBER($AD$404),$B$226=1),$AD$404,HLOOKUP(INDIRECT(ADDRESS(2,COLUMN())),OFFSET($BN$2,0,0,ROW()-1,60),ROW()-1,FALSE))</f>
        <v>56.418650419999999</v>
      </c>
      <c r="AE203">
        <f ca="1">IF(AND(ISNUMBER($AE$404),$B$226=1),$AE$404,HLOOKUP(INDIRECT(ADDRESS(2,COLUMN())),OFFSET($BN$2,0,0,ROW()-1,60),ROW()-1,FALSE))</f>
        <v>61.086003179999999</v>
      </c>
      <c r="AF203">
        <f ca="1">IF(AND(ISNUMBER($AF$404),$B$226=1),$AF$404,HLOOKUP(INDIRECT(ADDRESS(2,COLUMN())),OFFSET($BN$2,0,0,ROW()-1,60),ROW()-1,FALSE))</f>
        <v>99.590276709999998</v>
      </c>
      <c r="AG203">
        <f ca="1">IF(AND(ISNUMBER($AG$404),$B$226=1),$AG$404,HLOOKUP(INDIRECT(ADDRESS(2,COLUMN())),OFFSET($BN$2,0,0,ROW()-1,60),ROW()-1,FALSE))</f>
        <v>78.899855450000004</v>
      </c>
      <c r="AH203">
        <f ca="1">IF(AND(ISNUMBER($AH$404),$B$226=1),$AH$404,HLOOKUP(INDIRECT(ADDRESS(2,COLUMN())),OFFSET($BN$2,0,0,ROW()-1,60),ROW()-1,FALSE))</f>
        <v>56.774383460000003</v>
      </c>
      <c r="AI203">
        <f ca="1">IF(AND(ISNUMBER($AI$404),$B$226=1),$AI$404,HLOOKUP(INDIRECT(ADDRESS(2,COLUMN())),OFFSET($BN$2,0,0,ROW()-1,60),ROW()-1,FALSE))</f>
        <v>63.762981699999997</v>
      </c>
      <c r="AJ203">
        <f ca="1">IF(AND(ISNUMBER($AJ$404),$B$226=1),$AJ$404,HLOOKUP(INDIRECT(ADDRESS(2,COLUMN())),OFFSET($BN$2,0,0,ROW()-1,60),ROW()-1,FALSE))</f>
        <v>84.557894559999994</v>
      </c>
      <c r="AK203">
        <f ca="1">IF(AND(ISNUMBER($AK$404),$B$226=1),$AK$404,HLOOKUP(INDIRECT(ADDRESS(2,COLUMN())),OFFSET($BN$2,0,0,ROW()-1,60),ROW()-1,FALSE))</f>
        <v>94.557169029999997</v>
      </c>
      <c r="AL203">
        <f ca="1">IF(AND(ISNUMBER($AL$404),$B$226=1),$AL$404,HLOOKUP(INDIRECT(ADDRESS(2,COLUMN())),OFFSET($BN$2,0,0,ROW()-1,60),ROW()-1,FALSE))</f>
        <v>89.781675750000005</v>
      </c>
      <c r="AM203">
        <f ca="1">IF(AND(ISNUMBER($AM$404),$B$226=1),$AM$404,HLOOKUP(INDIRECT(ADDRESS(2,COLUMN())),OFFSET($BN$2,0,0,ROW()-1,60),ROW()-1,FALSE))</f>
        <v>68.307030060000002</v>
      </c>
      <c r="AN203">
        <f ca="1">IF(AND(ISNUMBER($AN$404),$B$226=1),$AN$404,HLOOKUP(INDIRECT(ADDRESS(2,COLUMN())),OFFSET($BN$2,0,0,ROW()-1,60),ROW()-1,FALSE))</f>
        <v>134.46382560000001</v>
      </c>
      <c r="AO203">
        <f ca="1">IF(AND(ISNUMBER($AO$404),$B$226=1),$AO$404,HLOOKUP(INDIRECT(ADDRESS(2,COLUMN())),OFFSET($BN$2,0,0,ROW()-1,60),ROW()-1,FALSE))</f>
        <v>105.1196752</v>
      </c>
      <c r="AP203">
        <f ca="1">IF(AND(ISNUMBER($AP$404),$B$226=1),$AP$404,HLOOKUP(INDIRECT(ADDRESS(2,COLUMN())),OFFSET($BN$2,0,0,ROW()-1,60),ROW()-1,FALSE))</f>
        <v>68.907558420000001</v>
      </c>
      <c r="AQ203">
        <f ca="1">IF(AND(ISNUMBER($AQ$404),$B$226=1),$AQ$404,HLOOKUP(INDIRECT(ADDRESS(2,COLUMN())),OFFSET($BN$2,0,0,ROW()-1,60),ROW()-1,FALSE))</f>
        <v>84.93930177</v>
      </c>
      <c r="AR203">
        <f ca="1">IF(AND(ISNUMBER($AR$404),$B$226=1),$AR$404,HLOOKUP(INDIRECT(ADDRESS(2,COLUMN())),OFFSET($BN$2,0,0,ROW()-1,60),ROW()-1,FALSE))</f>
        <v>279.36295109999998</v>
      </c>
      <c r="AS203">
        <f ca="1">IF(AND(ISNUMBER($AS$404),$B$226=1),$AS$404,HLOOKUP(INDIRECT(ADDRESS(2,COLUMN())),OFFSET($BN$2,0,0,ROW()-1,60),ROW()-1,FALSE))</f>
        <v>124.5221252</v>
      </c>
      <c r="AT203">
        <f ca="1">IF(AND(ISNUMBER($AT$404),$B$226=1),$AT$404,HLOOKUP(INDIRECT(ADDRESS(2,COLUMN())),OFFSET($BN$2,0,0,ROW()-1,60),ROW()-1,FALSE))</f>
        <v>70.068476259999997</v>
      </c>
      <c r="AU203">
        <f ca="1">IF(AND(ISNUMBER($AU$404),$B$226=1),$AU$404,HLOOKUP(INDIRECT(ADDRESS(2,COLUMN())),OFFSET($BN$2,0,0,ROW()-1,60),ROW()-1,FALSE))</f>
        <v>63.161701350000001</v>
      </c>
      <c r="AV203">
        <f ca="1">IF(AND(ISNUMBER($AV$404),$B$226=1),$AV$404,HLOOKUP(INDIRECT(ADDRESS(2,COLUMN())),OFFSET($BN$2,0,0,ROW()-1,60),ROW()-1,FALSE))</f>
        <v>152.0889694</v>
      </c>
      <c r="AW203">
        <f ca="1">IF(AND(ISNUMBER($AW$404),$B$226=1),$AW$404,HLOOKUP(INDIRECT(ADDRESS(2,COLUMN())),OFFSET($BN$2,0,0,ROW()-1,60),ROW()-1,FALSE))</f>
        <v>114.92592569999999</v>
      </c>
      <c r="AX203">
        <f ca="1">IF(AND(ISNUMBER($AX$404),$B$226=1),$AX$404,HLOOKUP(INDIRECT(ADDRESS(2,COLUMN())),OFFSET($BN$2,0,0,ROW()-1,60),ROW()-1,FALSE))</f>
        <v>399.13266700000003</v>
      </c>
      <c r="AY203">
        <f ca="1">IF(AND(ISNUMBER($AY$404),$B$226=1),$AY$404,HLOOKUP(INDIRECT(ADDRESS(2,COLUMN())),OFFSET($BN$2,0,0,ROW()-1,60),ROW()-1,FALSE))</f>
        <v>63.155826779999998</v>
      </c>
      <c r="AZ203">
        <f ca="1">IF(AND(ISNUMBER($AZ$404),$B$226=1),$AZ$404,HLOOKUP(INDIRECT(ADDRESS(2,COLUMN())),OFFSET($BN$2,0,0,ROW()-1,60),ROW()-1,FALSE))</f>
        <v>124.18942029999999</v>
      </c>
      <c r="BA203">
        <f ca="1">IF(AND(ISNUMBER($BA$404),$B$226=1),$BA$404,HLOOKUP(INDIRECT(ADDRESS(2,COLUMN())),OFFSET($BN$2,0,0,ROW()-1,60),ROW()-1,FALSE))</f>
        <v>121.21772470000001</v>
      </c>
      <c r="BB203">
        <f ca="1">IF(AND(ISNUMBER($BB$404),$B$226=1),$BB$404,HLOOKUP(INDIRECT(ADDRESS(2,COLUMN())),OFFSET($BN$2,0,0,ROW()-1,60),ROW()-1,FALSE))</f>
        <v>64.918971859999999</v>
      </c>
      <c r="BC203">
        <f ca="1">IF(AND(ISNUMBER($BC$404),$B$226=1),$BC$404,HLOOKUP(INDIRECT(ADDRESS(2,COLUMN())),OFFSET($BN$2,0,0,ROW()-1,60),ROW()-1,FALSE))</f>
        <v>91.160439339999996</v>
      </c>
      <c r="BD203">
        <f ca="1">IF(AND(ISNUMBER($BD$404),$B$226=1),$BD$404,HLOOKUP(INDIRECT(ADDRESS(2,COLUMN())),OFFSET($BN$2,0,0,ROW()-1,60),ROW()-1,FALSE))</f>
        <v>160.9011333</v>
      </c>
      <c r="BE203">
        <f ca="1">IF(AND(ISNUMBER($BE$404),$B$226=1),$BE$404,HLOOKUP(INDIRECT(ADDRESS(2,COLUMN())),OFFSET($BN$2,0,0,ROW()-1,60),ROW()-1,FALSE))</f>
        <v>167.76830039999999</v>
      </c>
      <c r="BF203">
        <f ca="1">IF(AND(ISNUMBER($BF$404),$B$226=1),$BF$404,HLOOKUP(INDIRECT(ADDRESS(2,COLUMN())),OFFSET($BN$2,0,0,ROW()-1,60),ROW()-1,FALSE))</f>
        <v>74.449037750000002</v>
      </c>
      <c r="BG203">
        <f ca="1">IF(AND(ISNUMBER($BG$404),$B$226=1),$BG$404,HLOOKUP(INDIRECT(ADDRESS(2,COLUMN())),OFFSET($BN$2,0,0,ROW()-1,60),ROW()-1,FALSE))</f>
        <v>69.728940109999996</v>
      </c>
      <c r="BH203">
        <f ca="1">IF(AND(ISNUMBER($BH$404),$B$226=1),$BH$404,HLOOKUP(INDIRECT(ADDRESS(2,COLUMN())),OFFSET($BN$2,0,0,ROW()-1,60),ROW()-1,FALSE))</f>
        <v>0</v>
      </c>
      <c r="BI203">
        <f ca="1">IF(AND(ISNUMBER($BI$404),$B$226=1),$BI$404,HLOOKUP(INDIRECT(ADDRESS(2,COLUMN())),OFFSET($BN$2,0,0,ROW()-1,60),ROW()-1,FALSE))</f>
        <v>0</v>
      </c>
      <c r="BJ203">
        <f ca="1">IF(AND(ISNUMBER($BJ$404),$B$226=1),$BJ$404,HLOOKUP(INDIRECT(ADDRESS(2,COLUMN())),OFFSET($BN$2,0,0,ROW()-1,60),ROW()-1,FALSE))</f>
        <v>0</v>
      </c>
      <c r="BK203" t="str">
        <f ca="1">IF(AND(ISNUMBER($BK$404),$B$226=1),$BK$404,HLOOKUP(INDIRECT(ADDRESS(2,COLUMN())),OFFSET($BN$2,0,0,ROW()-1,60),ROW()-1,FALSE))</f>
        <v/>
      </c>
      <c r="BL203" t="str">
        <f ca="1">IF(AND(ISNUMBER($BL$404),$B$226=1),$BL$404,HLOOKUP(INDIRECT(ADDRESS(2,COLUMN())),OFFSET($BN$2,0,0,ROW()-1,60),ROW()-1,FALSE))</f>
        <v/>
      </c>
      <c r="BM203" t="str">
        <f ca="1">IF(AND(ISNUMBER($BM$404),$B$226=1),$BM$404,HLOOKUP(INDIRECT(ADDRESS(2,COLUMN())),OFFSET($BN$2,0,0,ROW()-1,60),ROW()-1,FALSE))</f>
        <v/>
      </c>
      <c r="BN203" t="str">
        <f>""</f>
        <v/>
      </c>
      <c r="BO203">
        <f>57.76945466</f>
        <v>57.769454660000001</v>
      </c>
      <c r="BP203">
        <f>101.7809701</f>
        <v>101.7809701</v>
      </c>
      <c r="BQ203">
        <f>86.45882015</f>
        <v>86.458820149999994</v>
      </c>
      <c r="BR203">
        <f>65.00404397</f>
        <v>65.004043969999998</v>
      </c>
      <c r="BS203">
        <f>71.21255517</f>
        <v>71.212555170000002</v>
      </c>
      <c r="BT203">
        <f>89.83504023</f>
        <v>89.835040230000004</v>
      </c>
      <c r="BU203">
        <f>76.47160874</f>
        <v>76.471608739999994</v>
      </c>
      <c r="BV203">
        <f>60.33085795</f>
        <v>60.330857950000002</v>
      </c>
      <c r="BW203">
        <f>54.3866749</f>
        <v>54.386674900000003</v>
      </c>
      <c r="BX203">
        <f>92.44163529</f>
        <v>92.441635289999994</v>
      </c>
      <c r="BY203">
        <f>71.17906865</f>
        <v>71.179068650000005</v>
      </c>
      <c r="BZ203">
        <f>54.72934179</f>
        <v>54.729341789999999</v>
      </c>
      <c r="CA203">
        <f>51.26699615</f>
        <v>51.266996149999997</v>
      </c>
      <c r="CB203">
        <f>87.30536263</f>
        <v>87.305362630000005</v>
      </c>
      <c r="CC203">
        <f>65.13186724</f>
        <v>65.131867240000005</v>
      </c>
      <c r="CD203">
        <f>51.13806489</f>
        <v>51.138064890000003</v>
      </c>
      <c r="CE203">
        <f>51.80429318</f>
        <v>51.804293180000002</v>
      </c>
      <c r="CF203">
        <f>94.52542264</f>
        <v>94.525422640000002</v>
      </c>
      <c r="CG203">
        <f>67.90001843</f>
        <v>67.900018430000003</v>
      </c>
      <c r="CH203">
        <f>51.58299559</f>
        <v>51.582995590000003</v>
      </c>
      <c r="CI203">
        <f>58.01792154</f>
        <v>58.017921540000003</v>
      </c>
      <c r="CJ203">
        <f>104.2136936</f>
        <v>104.2136936</v>
      </c>
      <c r="CK203">
        <f>68.88748115</f>
        <v>68.887481149999999</v>
      </c>
      <c r="CL203">
        <f>56.41865042</f>
        <v>56.418650419999999</v>
      </c>
      <c r="CM203">
        <f>61.08600318</f>
        <v>61.086003179999999</v>
      </c>
      <c r="CN203">
        <f>99.59027671</f>
        <v>99.590276709999998</v>
      </c>
      <c r="CO203">
        <f>78.89985545</f>
        <v>78.899855450000004</v>
      </c>
      <c r="CP203">
        <f>56.77438346</f>
        <v>56.774383460000003</v>
      </c>
      <c r="CQ203">
        <f>63.7629817</f>
        <v>63.762981699999997</v>
      </c>
      <c r="CR203">
        <f>84.55789456</f>
        <v>84.557894559999994</v>
      </c>
      <c r="CS203">
        <f>94.55716903</f>
        <v>94.557169029999997</v>
      </c>
      <c r="CT203">
        <f>89.78167575</f>
        <v>89.781675750000005</v>
      </c>
      <c r="CU203">
        <f>68.30703006</f>
        <v>68.307030060000002</v>
      </c>
      <c r="CV203">
        <f>134.4638256</f>
        <v>134.46382560000001</v>
      </c>
      <c r="CW203">
        <f>105.1196752</f>
        <v>105.1196752</v>
      </c>
      <c r="CX203">
        <f>68.90755842</f>
        <v>68.907558420000001</v>
      </c>
      <c r="CY203">
        <f>84.93930177</f>
        <v>84.93930177</v>
      </c>
      <c r="CZ203">
        <f>279.3629511</f>
        <v>279.36295109999998</v>
      </c>
      <c r="DA203">
        <f>124.5221252</f>
        <v>124.5221252</v>
      </c>
      <c r="DB203">
        <f>70.06847626</f>
        <v>70.068476259999997</v>
      </c>
      <c r="DC203">
        <f>63.16170135</f>
        <v>63.161701350000001</v>
      </c>
      <c r="DD203">
        <f>152.0889694</f>
        <v>152.0889694</v>
      </c>
      <c r="DE203">
        <f>114.9259257</f>
        <v>114.92592569999999</v>
      </c>
      <c r="DF203">
        <f>399.132667</f>
        <v>399.13266700000003</v>
      </c>
      <c r="DG203">
        <f>63.15582678</f>
        <v>63.155826779999998</v>
      </c>
      <c r="DH203">
        <f>124.1894203</f>
        <v>124.18942029999999</v>
      </c>
      <c r="DI203">
        <f>121.2177247</f>
        <v>121.21772470000001</v>
      </c>
      <c r="DJ203">
        <f>64.91897186</f>
        <v>64.918971859999999</v>
      </c>
      <c r="DK203">
        <f>91.16043934</f>
        <v>91.160439339999996</v>
      </c>
      <c r="DL203">
        <f>160.9011333</f>
        <v>160.9011333</v>
      </c>
      <c r="DM203">
        <f>167.7683004</f>
        <v>167.76830039999999</v>
      </c>
      <c r="DN203">
        <f>74.44903775</f>
        <v>74.449037750000002</v>
      </c>
      <c r="DO203">
        <f>69.72894011</f>
        <v>69.728940109999996</v>
      </c>
      <c r="DP203">
        <f>0</f>
        <v>0</v>
      </c>
      <c r="DQ203">
        <f>0</f>
        <v>0</v>
      </c>
      <c r="DR203">
        <f>0</f>
        <v>0</v>
      </c>
      <c r="DS203" t="str">
        <f>""</f>
        <v/>
      </c>
      <c r="DT203" t="str">
        <f>""</f>
        <v/>
      </c>
      <c r="DU203" t="str">
        <f>""</f>
        <v/>
      </c>
    </row>
    <row r="204" spans="1:125">
      <c r="A204" t="str">
        <f>"    AvalonBay Communities Inc"</f>
        <v xml:space="preserve">    AvalonBay Communities Inc</v>
      </c>
      <c r="B204" t="str">
        <f>"AVB US Equity"</f>
        <v>AVB US Equity</v>
      </c>
      <c r="C204" t="str">
        <f t="shared" si="66"/>
        <v>RR106</v>
      </c>
      <c r="D204" t="str">
        <f t="shared" si="67"/>
        <v>FFO_PAYOUT_RATIO</v>
      </c>
      <c r="E204" t="str">
        <f t="shared" si="68"/>
        <v>动态</v>
      </c>
      <c r="F204" t="str">
        <f ca="1">IF(AND(ISNUMBER($F$405),$B$226=1),$F$405,HLOOKUP(INDIRECT(ADDRESS(2,COLUMN())),OFFSET($BN$2,0,0,ROW()-1,60),ROW()-1,FALSE))</f>
        <v/>
      </c>
      <c r="G204">
        <f ca="1">IF(AND(ISNUMBER($G$405),$B$226=1),$G$405,HLOOKUP(INDIRECT(ADDRESS(2,COLUMN())),OFFSET($BN$2,0,0,ROW()-1,60),ROW()-1,FALSE))</f>
        <v>65.102520519999999</v>
      </c>
      <c r="H204">
        <f ca="1">IF(AND(ISNUMBER($H$405),$B$226=1),$H$405,HLOOKUP(INDIRECT(ADDRESS(2,COLUMN())),OFFSET($BN$2,0,0,ROW()-1,60),ROW()-1,FALSE))</f>
        <v>60.610107040000003</v>
      </c>
      <c r="I204">
        <f ca="1">IF(AND(ISNUMBER($I$405),$B$226=1),$I$405,HLOOKUP(INDIRECT(ADDRESS(2,COLUMN())),OFFSET($BN$2,0,0,ROW()-1,60),ROW()-1,FALSE))</f>
        <v>74.754475859999999</v>
      </c>
      <c r="J204">
        <f ca="1">IF(AND(ISNUMBER($J$405),$B$226=1),$J$405,HLOOKUP(INDIRECT(ADDRESS(2,COLUMN())),OFFSET($BN$2,0,0,ROW()-1,60),ROW()-1,FALSE))</f>
        <v>69.828370750000005</v>
      </c>
      <c r="K204">
        <f ca="1">IF(AND(ISNUMBER($K$405),$B$226=1),$K$405,HLOOKUP(INDIRECT(ADDRESS(2,COLUMN())),OFFSET($BN$2,0,0,ROW()-1,60),ROW()-1,FALSE))</f>
        <v>64.356081639999999</v>
      </c>
      <c r="L204">
        <f ca="1">IF(AND(ISNUMBER($L$405),$B$226=1),$L$405,HLOOKUP(INDIRECT(ADDRESS(2,COLUMN())),OFFSET($BN$2,0,0,ROW()-1,60),ROW()-1,FALSE))</f>
        <v>64.03226085</v>
      </c>
      <c r="M204">
        <f ca="1">IF(AND(ISNUMBER($M$405),$B$226=1),$M$405,HLOOKUP(INDIRECT(ADDRESS(2,COLUMN())),OFFSET($BN$2,0,0,ROW()-1,60),ROW()-1,FALSE))</f>
        <v>67.755318369999998</v>
      </c>
      <c r="N204">
        <f ca="1">IF(AND(ISNUMBER($N$405),$B$226=1),$N$405,HLOOKUP(INDIRECT(ADDRESS(2,COLUMN())),OFFSET($BN$2,0,0,ROW()-1,60),ROW()-1,FALSE))</f>
        <v>65.065515989999994</v>
      </c>
      <c r="O204">
        <f ca="1">IF(AND(ISNUMBER($O$405),$B$226=1),$O$405,HLOOKUP(INDIRECT(ADDRESS(2,COLUMN())),OFFSET($BN$2,0,0,ROW()-1,60),ROW()-1,FALSE))</f>
        <v>63.390275950000003</v>
      </c>
      <c r="P204">
        <f ca="1">IF(AND(ISNUMBER($P$405),$B$226=1),$P$405,HLOOKUP(INDIRECT(ADDRESS(2,COLUMN())),OFFSET($BN$2,0,0,ROW()-1,60),ROW()-1,FALSE))</f>
        <v>62.930200569999997</v>
      </c>
      <c r="Q204">
        <f ca="1">IF(AND(ISNUMBER($Q$405),$B$226=1),$Q$405,HLOOKUP(INDIRECT(ADDRESS(2,COLUMN())),OFFSET($BN$2,0,0,ROW()-1,60),ROW()-1,FALSE))</f>
        <v>57.185496809999997</v>
      </c>
      <c r="R204">
        <f ca="1">IF(AND(ISNUMBER($R$405),$B$226=1),$R$405,HLOOKUP(INDIRECT(ADDRESS(2,COLUMN())),OFFSET($BN$2,0,0,ROW()-1,60),ROW()-1,FALSE))</f>
        <v>65.933824729999998</v>
      </c>
      <c r="S204">
        <f ca="1">IF(AND(ISNUMBER($S$405),$B$226=1),$S$405,HLOOKUP(INDIRECT(ADDRESS(2,COLUMN())),OFFSET($BN$2,0,0,ROW()-1,60),ROW()-1,FALSE))</f>
        <v>65.605351970000001</v>
      </c>
      <c r="T204">
        <f ca="1">IF(AND(ISNUMBER($T$405),$B$226=1),$T$405,HLOOKUP(INDIRECT(ADDRESS(2,COLUMN())),OFFSET($BN$2,0,0,ROW()-1,60),ROW()-1,FALSE))</f>
        <v>54.254998739999998</v>
      </c>
      <c r="U204">
        <f ca="1">IF(AND(ISNUMBER($U$405),$B$226=1),$U$405,HLOOKUP(INDIRECT(ADDRESS(2,COLUMN())),OFFSET($BN$2,0,0,ROW()-1,60),ROW()-1,FALSE))</f>
        <v>68.366998370000005</v>
      </c>
      <c r="V204">
        <f ca="1">IF(AND(ISNUMBER($V$405),$B$226=1),$V$405,HLOOKUP(INDIRECT(ADDRESS(2,COLUMN())),OFFSET($BN$2,0,0,ROW()-1,60),ROW()-1,FALSE))</f>
        <v>70.617115740000003</v>
      </c>
      <c r="W204">
        <f ca="1">IF(AND(ISNUMBER($W$405),$B$226=1),$W$405,HLOOKUP(INDIRECT(ADDRESS(2,COLUMN())),OFFSET($BN$2,0,0,ROW()-1,60),ROW()-1,FALSE))</f>
        <v>70.888279139999995</v>
      </c>
      <c r="X204">
        <f ca="1">IF(AND(ISNUMBER($X$405),$B$226=1),$X$405,HLOOKUP(INDIRECT(ADDRESS(2,COLUMN())),OFFSET($BN$2,0,0,ROW()-1,60),ROW()-1,FALSE))</f>
        <v>90.283057619999994</v>
      </c>
      <c r="Y204">
        <f ca="1">IF(AND(ISNUMBER($Y$405),$B$226=1),$Y$405,HLOOKUP(INDIRECT(ADDRESS(2,COLUMN())),OFFSET($BN$2,0,0,ROW()-1,60),ROW()-1,FALSE))</f>
        <v>69.030382799999998</v>
      </c>
      <c r="Z204">
        <f ca="1">IF(AND(ISNUMBER($Z$405),$B$226=1),$Z$405,HLOOKUP(INDIRECT(ADDRESS(2,COLUMN())),OFFSET($BN$2,0,0,ROW()-1,60),ROW()-1,FALSE))</f>
        <v>148.0061153</v>
      </c>
      <c r="AA204">
        <f ca="1">IF(AND(ISNUMBER($AA$405),$B$226=1),$AA$405,HLOOKUP(INDIRECT(ADDRESS(2,COLUMN())),OFFSET($BN$2,0,0,ROW()-1,60),ROW()-1,FALSE))</f>
        <v>84.947372450000003</v>
      </c>
      <c r="AB204">
        <f ca="1">IF(AND(ISNUMBER($AB$405),$B$226=1),$AB$405,HLOOKUP(INDIRECT(ADDRESS(2,COLUMN())),OFFSET($BN$2,0,0,ROW()-1,60),ROW()-1,FALSE))</f>
        <v>67.576721239999998</v>
      </c>
      <c r="AC204">
        <f ca="1">IF(AND(ISNUMBER($AC$405),$B$226=1),$AC$405,HLOOKUP(INDIRECT(ADDRESS(2,COLUMN())),OFFSET($BN$2,0,0,ROW()-1,60),ROW()-1,FALSE))</f>
        <v>73.084333779999994</v>
      </c>
      <c r="AD204">
        <f ca="1">IF(AND(ISNUMBER($AD$405),$B$226=1),$AD$405,HLOOKUP(INDIRECT(ADDRESS(2,COLUMN())),OFFSET($BN$2,0,0,ROW()-1,60),ROW()-1,FALSE))</f>
        <v>75.82212165</v>
      </c>
      <c r="AE204">
        <f ca="1">IF(AND(ISNUMBER($AE$405),$B$226=1),$AE$405,HLOOKUP(INDIRECT(ADDRESS(2,COLUMN())),OFFSET($BN$2,0,0,ROW()-1,60),ROW()-1,FALSE))</f>
        <v>74.899920640000005</v>
      </c>
      <c r="AF204">
        <f ca="1">IF(AND(ISNUMBER($AF$405),$B$226=1),$AF$405,HLOOKUP(INDIRECT(ADDRESS(2,COLUMN())),OFFSET($BN$2,0,0,ROW()-1,60),ROW()-1,FALSE))</f>
        <v>75.812234399999994</v>
      </c>
      <c r="AG204">
        <f ca="1">IF(AND(ISNUMBER($AG$405),$B$226=1),$AG$405,HLOOKUP(INDIRECT(ADDRESS(2,COLUMN())),OFFSET($BN$2,0,0,ROW()-1,60),ROW()-1,FALSE))</f>
        <v>79.18955425</v>
      </c>
      <c r="AH204">
        <f ca="1">IF(AND(ISNUMBER($AH$405),$B$226=1),$AH$405,HLOOKUP(INDIRECT(ADDRESS(2,COLUMN())),OFFSET($BN$2,0,0,ROW()-1,60),ROW()-1,FALSE))</f>
        <v>83.30910179</v>
      </c>
      <c r="AI204">
        <f ca="1">IF(AND(ISNUMBER($AI$405),$B$226=1),$AI$405,HLOOKUP(INDIRECT(ADDRESS(2,COLUMN())),OFFSET($BN$2,0,0,ROW()-1,60),ROW()-1,FALSE))</f>
        <v>88.294233489999996</v>
      </c>
      <c r="AJ204">
        <f ca="1">IF(AND(ISNUMBER($AJ$405),$B$226=1),$AJ$405,HLOOKUP(INDIRECT(ADDRESS(2,COLUMN())),OFFSET($BN$2,0,0,ROW()-1,60),ROW()-1,FALSE))</f>
        <v>90.1198172</v>
      </c>
      <c r="AK204">
        <f ca="1">IF(AND(ISNUMBER($AK$405),$B$226=1),$AK$405,HLOOKUP(INDIRECT(ADDRESS(2,COLUMN())),OFFSET($BN$2,0,0,ROW()-1,60),ROW()-1,FALSE))</f>
        <v>86.481099729999997</v>
      </c>
      <c r="AL204">
        <f ca="1">IF(AND(ISNUMBER($AL$405),$B$226=1),$AL$405,HLOOKUP(INDIRECT(ADDRESS(2,COLUMN())),OFFSET($BN$2,0,0,ROW()-1,60),ROW()-1,FALSE))</f>
        <v>93.11985061</v>
      </c>
      <c r="AM204">
        <f ca="1">IF(AND(ISNUMBER($AM$405),$B$226=1),$AM$405,HLOOKUP(INDIRECT(ADDRESS(2,COLUMN())),OFFSET($BN$2,0,0,ROW()-1,60),ROW()-1,FALSE))</f>
        <v>138.03471500000001</v>
      </c>
      <c r="AN204">
        <f ca="1">IF(AND(ISNUMBER($AN$405),$B$226=1),$AN$405,HLOOKUP(INDIRECT(ADDRESS(2,COLUMN())),OFFSET($BN$2,0,0,ROW()-1,60),ROW()-1,FALSE))</f>
        <v>82.732484580000005</v>
      </c>
      <c r="AO204">
        <f ca="1">IF(AND(ISNUMBER($AO$405),$B$226=1),$AO$405,HLOOKUP(INDIRECT(ADDRESS(2,COLUMN())),OFFSET($BN$2,0,0,ROW()-1,60),ROW()-1,FALSE))</f>
        <v>99.338569079999999</v>
      </c>
      <c r="AP204">
        <f ca="1">IF(AND(ISNUMBER($AP$405),$B$226=1),$AP$405,HLOOKUP(INDIRECT(ADDRESS(2,COLUMN())),OFFSET($BN$2,0,0,ROW()-1,60),ROW()-1,FALSE))</f>
        <v>70.603614759999999</v>
      </c>
      <c r="AQ204">
        <f ca="1">IF(AND(ISNUMBER($AQ$405),$B$226=1),$AQ$405,HLOOKUP(INDIRECT(ADDRESS(2,COLUMN())),OFFSET($BN$2,0,0,ROW()-1,60),ROW()-1,FALSE))</f>
        <v>0</v>
      </c>
      <c r="AR204">
        <f ca="1">IF(AND(ISNUMBER($AR$405),$B$226=1),$AR$405,HLOOKUP(INDIRECT(ADDRESS(2,COLUMN())),OFFSET($BN$2,0,0,ROW()-1,60),ROW()-1,FALSE))</f>
        <v>69.256469460000005</v>
      </c>
      <c r="AS204">
        <f ca="1">IF(AND(ISNUMBER($AS$405),$B$226=1),$AS$405,HLOOKUP(INDIRECT(ADDRESS(2,COLUMN())),OFFSET($BN$2,0,0,ROW()-1,60),ROW()-1,FALSE))</f>
        <v>70.006643980000007</v>
      </c>
      <c r="AT204">
        <f ca="1">IF(AND(ISNUMBER($AT$405),$B$226=1),$AT$405,HLOOKUP(INDIRECT(ADDRESS(2,COLUMN())),OFFSET($BN$2,0,0,ROW()-1,60),ROW()-1,FALSE))</f>
        <v>71.127562650000002</v>
      </c>
      <c r="AU204">
        <f ca="1">IF(AND(ISNUMBER($AU$405),$B$226=1),$AU$405,HLOOKUP(INDIRECT(ADDRESS(2,COLUMN())),OFFSET($BN$2,0,0,ROW()-1,60),ROW()-1,FALSE))</f>
        <v>73.900834009999997</v>
      </c>
      <c r="AV204">
        <f ca="1">IF(AND(ISNUMBER($AV$405),$B$226=1),$AV$405,HLOOKUP(INDIRECT(ADDRESS(2,COLUMN())),OFFSET($BN$2,0,0,ROW()-1,60),ROW()-1,FALSE))</f>
        <v>70.426877450000006</v>
      </c>
      <c r="AW204">
        <f ca="1">IF(AND(ISNUMBER($AW$405),$B$226=1),$AW$405,HLOOKUP(INDIRECT(ADDRESS(2,COLUMN())),OFFSET($BN$2,0,0,ROW()-1,60),ROW()-1,FALSE))</f>
        <v>71.791928630000001</v>
      </c>
      <c r="AX204">
        <f ca="1">IF(AND(ISNUMBER($AX$405),$B$226=1),$AX$405,HLOOKUP(INDIRECT(ADDRESS(2,COLUMN())),OFFSET($BN$2,0,0,ROW()-1,60),ROW()-1,FALSE))</f>
        <v>74.807721900000004</v>
      </c>
      <c r="AY204">
        <f ca="1">IF(AND(ISNUMBER($AY$405),$B$226=1),$AY$405,HLOOKUP(INDIRECT(ADDRESS(2,COLUMN())),OFFSET($BN$2,0,0,ROW()-1,60),ROW()-1,FALSE))</f>
        <v>72.603956019999998</v>
      </c>
      <c r="AZ204">
        <f ca="1">IF(AND(ISNUMBER($AZ$405),$B$226=1),$AZ$405,HLOOKUP(INDIRECT(ADDRESS(2,COLUMN())),OFFSET($BN$2,0,0,ROW()-1,60),ROW()-1,FALSE))</f>
        <v>71.248089780000001</v>
      </c>
      <c r="BA204">
        <f ca="1">IF(AND(ISNUMBER($BA$405),$B$226=1),$BA$405,HLOOKUP(INDIRECT(ADDRESS(2,COLUMN())),OFFSET($BN$2,0,0,ROW()-1,60),ROW()-1,FALSE))</f>
        <v>77.214112619999995</v>
      </c>
      <c r="BB204">
        <f ca="1">IF(AND(ISNUMBER($BB$405),$B$226=1),$BB$405,HLOOKUP(INDIRECT(ADDRESS(2,COLUMN())),OFFSET($BN$2,0,0,ROW()-1,60),ROW()-1,FALSE))</f>
        <v>71.459454320000006</v>
      </c>
      <c r="BC204">
        <f ca="1">IF(AND(ISNUMBER($BC$405),$B$226=1),$BC$405,HLOOKUP(INDIRECT(ADDRESS(2,COLUMN())),OFFSET($BN$2,0,0,ROW()-1,60),ROW()-1,FALSE))</f>
        <v>88.239187169999994</v>
      </c>
      <c r="BD204">
        <f ca="1">IF(AND(ISNUMBER($BD$405),$B$226=1),$BD$405,HLOOKUP(INDIRECT(ADDRESS(2,COLUMN())),OFFSET($BN$2,0,0,ROW()-1,60),ROW()-1,FALSE))</f>
        <v>76.321756089999994</v>
      </c>
      <c r="BE204">
        <f ca="1">IF(AND(ISNUMBER($BE$405),$B$226=1),$BE$405,HLOOKUP(INDIRECT(ADDRESS(2,COLUMN())),OFFSET($BN$2,0,0,ROW()-1,60),ROW()-1,FALSE))</f>
        <v>71.453260270000001</v>
      </c>
      <c r="BF204">
        <f ca="1">IF(AND(ISNUMBER($BF$405),$B$226=1),$BF$405,HLOOKUP(INDIRECT(ADDRESS(2,COLUMN())),OFFSET($BN$2,0,0,ROW()-1,60),ROW()-1,FALSE))</f>
        <v>72.243053560000007</v>
      </c>
      <c r="BG204">
        <f ca="1">IF(AND(ISNUMBER($BG$405),$B$226=1),$BG$405,HLOOKUP(INDIRECT(ADDRESS(2,COLUMN())),OFFSET($BN$2,0,0,ROW()-1,60),ROW()-1,FALSE))</f>
        <v>93.273718259999995</v>
      </c>
      <c r="BH204">
        <f ca="1">IF(AND(ISNUMBER($BH$405),$B$226=1),$BH$405,HLOOKUP(INDIRECT(ADDRESS(2,COLUMN())),OFFSET($BN$2,0,0,ROW()-1,60),ROW()-1,FALSE))</f>
        <v>79.00636987</v>
      </c>
      <c r="BI204">
        <f ca="1">IF(AND(ISNUMBER($BI$405),$B$226=1),$BI$405,HLOOKUP(INDIRECT(ADDRESS(2,COLUMN())),OFFSET($BN$2,0,0,ROW()-1,60),ROW()-1,FALSE))</f>
        <v>82.691480560000002</v>
      </c>
      <c r="BJ204">
        <f ca="1">IF(AND(ISNUMBER($BJ$405),$B$226=1),$BJ$405,HLOOKUP(INDIRECT(ADDRESS(2,COLUMN())),OFFSET($BN$2,0,0,ROW()-1,60),ROW()-1,FALSE))</f>
        <v>86.520966220000005</v>
      </c>
      <c r="BK204">
        <f ca="1">IF(AND(ISNUMBER($BK$405),$B$226=1),$BK$405,HLOOKUP(INDIRECT(ADDRESS(2,COLUMN())),OFFSET($BN$2,0,0,ROW()-1,60),ROW()-1,FALSE))</f>
        <v>84.516964549999997</v>
      </c>
      <c r="BL204">
        <f ca="1">IF(AND(ISNUMBER($BL$405),$B$226=1),$BL$405,HLOOKUP(INDIRECT(ADDRESS(2,COLUMN())),OFFSET($BN$2,0,0,ROW()-1,60),ROW()-1,FALSE))</f>
        <v>85.732398410000002</v>
      </c>
      <c r="BM204">
        <f ca="1">IF(AND(ISNUMBER($BM$405),$B$226=1),$BM$405,HLOOKUP(INDIRECT(ADDRESS(2,COLUMN())),OFFSET($BN$2,0,0,ROW()-1,60),ROW()-1,FALSE))</f>
        <v>82.343883959999999</v>
      </c>
      <c r="BN204" t="str">
        <f>""</f>
        <v/>
      </c>
      <c r="BO204">
        <f>65.10252052</f>
        <v>65.102520519999999</v>
      </c>
      <c r="BP204">
        <f>60.61010704</f>
        <v>60.610107040000003</v>
      </c>
      <c r="BQ204">
        <f>74.75447586</f>
        <v>74.754475859999999</v>
      </c>
      <c r="BR204">
        <f>69.82837075</f>
        <v>69.828370750000005</v>
      </c>
      <c r="BS204">
        <f>64.35608164</f>
        <v>64.356081639999999</v>
      </c>
      <c r="BT204">
        <f>64.03226085</f>
        <v>64.03226085</v>
      </c>
      <c r="BU204">
        <f>67.75531837</f>
        <v>67.755318369999998</v>
      </c>
      <c r="BV204">
        <f>65.06551599</f>
        <v>65.065515989999994</v>
      </c>
      <c r="BW204">
        <f>63.39027595</f>
        <v>63.390275950000003</v>
      </c>
      <c r="BX204">
        <f>62.93020057</f>
        <v>62.930200569999997</v>
      </c>
      <c r="BY204">
        <f>57.18549681</f>
        <v>57.185496809999997</v>
      </c>
      <c r="BZ204">
        <f>65.93382473</f>
        <v>65.933824729999998</v>
      </c>
      <c r="CA204">
        <f>65.60535197</f>
        <v>65.605351970000001</v>
      </c>
      <c r="CB204">
        <f>54.25499874</f>
        <v>54.254998739999998</v>
      </c>
      <c r="CC204">
        <f>68.36699837</f>
        <v>68.366998370000005</v>
      </c>
      <c r="CD204">
        <f>70.61711574</f>
        <v>70.617115740000003</v>
      </c>
      <c r="CE204">
        <f>70.88827914</f>
        <v>70.888279139999995</v>
      </c>
      <c r="CF204">
        <f>90.28305762</f>
        <v>90.283057619999994</v>
      </c>
      <c r="CG204">
        <f>69.0303828</f>
        <v>69.030382799999998</v>
      </c>
      <c r="CH204">
        <f>148.0061153</f>
        <v>148.0061153</v>
      </c>
      <c r="CI204">
        <f>84.94737245</f>
        <v>84.947372450000003</v>
      </c>
      <c r="CJ204">
        <f>67.57672124</f>
        <v>67.576721239999998</v>
      </c>
      <c r="CK204">
        <f>73.08433378</f>
        <v>73.084333779999994</v>
      </c>
      <c r="CL204">
        <f>75.82212165</f>
        <v>75.82212165</v>
      </c>
      <c r="CM204">
        <f>74.89992064</f>
        <v>74.899920640000005</v>
      </c>
      <c r="CN204">
        <f>75.8122344</f>
        <v>75.812234399999994</v>
      </c>
      <c r="CO204">
        <f>79.18955425</f>
        <v>79.18955425</v>
      </c>
      <c r="CP204">
        <f>83.30910179</f>
        <v>83.30910179</v>
      </c>
      <c r="CQ204">
        <f>88.29423349</f>
        <v>88.294233489999996</v>
      </c>
      <c r="CR204">
        <f>90.1198172</f>
        <v>90.1198172</v>
      </c>
      <c r="CS204">
        <f>86.48109973</f>
        <v>86.481099729999997</v>
      </c>
      <c r="CT204">
        <f>93.11985061</f>
        <v>93.11985061</v>
      </c>
      <c r="CU204">
        <f>138.034715</f>
        <v>138.03471500000001</v>
      </c>
      <c r="CV204">
        <f>82.73248458</f>
        <v>82.732484580000005</v>
      </c>
      <c r="CW204">
        <f>99.33856908</f>
        <v>99.338569079999999</v>
      </c>
      <c r="CX204">
        <f>70.60361476</f>
        <v>70.603614759999999</v>
      </c>
      <c r="CY204">
        <f>0</f>
        <v>0</v>
      </c>
      <c r="CZ204">
        <f>69.25646946</f>
        <v>69.256469460000005</v>
      </c>
      <c r="DA204">
        <f>70.00664398</f>
        <v>70.006643980000007</v>
      </c>
      <c r="DB204">
        <f>71.12756265</f>
        <v>71.127562650000002</v>
      </c>
      <c r="DC204">
        <f>73.90083401</f>
        <v>73.900834009999997</v>
      </c>
      <c r="DD204">
        <f>70.42687745</f>
        <v>70.426877450000006</v>
      </c>
      <c r="DE204">
        <f>71.79192863</f>
        <v>71.791928630000001</v>
      </c>
      <c r="DF204">
        <f>74.8077219</f>
        <v>74.807721900000004</v>
      </c>
      <c r="DG204">
        <f>72.60395602</f>
        <v>72.603956019999998</v>
      </c>
      <c r="DH204">
        <f>71.24808978</f>
        <v>71.248089780000001</v>
      </c>
      <c r="DI204">
        <f>77.21411262</f>
        <v>77.214112619999995</v>
      </c>
      <c r="DJ204">
        <f>71.45945432</f>
        <v>71.459454320000006</v>
      </c>
      <c r="DK204">
        <f>88.23918717</f>
        <v>88.239187169999994</v>
      </c>
      <c r="DL204">
        <f>76.32175609</f>
        <v>76.321756089999994</v>
      </c>
      <c r="DM204">
        <f>71.45326027</f>
        <v>71.453260270000001</v>
      </c>
      <c r="DN204">
        <f>72.24305356</f>
        <v>72.243053560000007</v>
      </c>
      <c r="DO204">
        <f>93.27371826</f>
        <v>93.273718259999995</v>
      </c>
      <c r="DP204">
        <f>79.00636987</f>
        <v>79.00636987</v>
      </c>
      <c r="DQ204">
        <f>82.69148056</f>
        <v>82.691480560000002</v>
      </c>
      <c r="DR204">
        <f>86.52096622</f>
        <v>86.520966220000005</v>
      </c>
      <c r="DS204">
        <f>84.51696455</f>
        <v>84.516964549999997</v>
      </c>
      <c r="DT204">
        <f>85.73239841</f>
        <v>85.732398410000002</v>
      </c>
      <c r="DU204">
        <f>82.34388396</f>
        <v>82.343883959999999</v>
      </c>
    </row>
    <row r="205" spans="1:125">
      <c r="A205" t="str">
        <f>"    Camden Property Trust"</f>
        <v xml:space="preserve">    Camden Property Trust</v>
      </c>
      <c r="B205" t="str">
        <f>"CPT US Equity"</f>
        <v>CPT US Equity</v>
      </c>
      <c r="C205" t="str">
        <f t="shared" si="66"/>
        <v>RR106</v>
      </c>
      <c r="D205" t="str">
        <f t="shared" si="67"/>
        <v>FFO_PAYOUT_RATIO</v>
      </c>
      <c r="E205" t="str">
        <f t="shared" si="68"/>
        <v>动态</v>
      </c>
      <c r="F205" t="str">
        <f ca="1">IF(AND(ISNUMBER($F$406),$B$226=1),$F$406,HLOOKUP(INDIRECT(ADDRESS(2,COLUMN())),OFFSET($BN$2,0,0,ROW()-1,60),ROW()-1,FALSE))</f>
        <v/>
      </c>
      <c r="G205">
        <f ca="1">IF(AND(ISNUMBER($G$406),$B$226=1),$G$406,HLOOKUP(INDIRECT(ADDRESS(2,COLUMN())),OFFSET($BN$2,0,0,ROW()-1,60),ROW()-1,FALSE))</f>
        <v>62.136627910000001</v>
      </c>
      <c r="H205">
        <f ca="1">IF(AND(ISNUMBER($H$406),$B$226=1),$H$406,HLOOKUP(INDIRECT(ADDRESS(2,COLUMN())),OFFSET($BN$2,0,0,ROW()-1,60),ROW()-1,FALSE))</f>
        <v>66.150047970000003</v>
      </c>
      <c r="I205">
        <f ca="1">IF(AND(ISNUMBER($I$406),$B$226=1),$I$406,HLOOKUP(INDIRECT(ADDRESS(2,COLUMN())),OFFSET($BN$2,0,0,ROW()-1,60),ROW()-1,FALSE))</f>
        <v>63.766772349999997</v>
      </c>
      <c r="J205">
        <f ca="1">IF(AND(ISNUMBER($J$406),$B$226=1),$J$406,HLOOKUP(INDIRECT(ADDRESS(2,COLUMN())),OFFSET($BN$2,0,0,ROW()-1,60),ROW()-1,FALSE))</f>
        <v>67.205171640000003</v>
      </c>
      <c r="K205">
        <f ca="1">IF(AND(ISNUMBER($K$406),$B$226=1),$K$406,HLOOKUP(INDIRECT(ADDRESS(2,COLUMN())),OFFSET($BN$2,0,0,ROW()-1,60),ROW()-1,FALSE))</f>
        <v>63.773165689999999</v>
      </c>
      <c r="L205">
        <f ca="1">IF(AND(ISNUMBER($L$406),$B$226=1),$L$406,HLOOKUP(INDIRECT(ADDRESS(2,COLUMN())),OFFSET($BN$2,0,0,ROW()-1,60),ROW()-1,FALSE))</f>
        <v>430.14141530000001</v>
      </c>
      <c r="M205">
        <f ca="1">IF(AND(ISNUMBER($M$406),$B$226=1),$M$406,HLOOKUP(INDIRECT(ADDRESS(2,COLUMN())),OFFSET($BN$2,0,0,ROW()-1,60),ROW()-1,FALSE))</f>
        <v>63.620498589999997</v>
      </c>
      <c r="N205">
        <f ca="1">IF(AND(ISNUMBER($N$406),$B$226=1),$N$406,HLOOKUP(INDIRECT(ADDRESS(2,COLUMN())),OFFSET($BN$2,0,0,ROW()-1,60),ROW()-1,FALSE))</f>
        <v>60.855508129999997</v>
      </c>
      <c r="O205">
        <f ca="1">IF(AND(ISNUMBER($O$406),$B$226=1),$O$406,HLOOKUP(INDIRECT(ADDRESS(2,COLUMN())),OFFSET($BN$2,0,0,ROW()-1,60),ROW()-1,FALSE))</f>
        <v>56.964191200000002</v>
      </c>
      <c r="P205">
        <f ca="1">IF(AND(ISNUMBER($P$406),$B$226=1),$P$406,HLOOKUP(INDIRECT(ADDRESS(2,COLUMN())),OFFSET($BN$2,0,0,ROW()-1,60),ROW()-1,FALSE))</f>
        <v>59.815230100000001</v>
      </c>
      <c r="Q205">
        <f ca="1">IF(AND(ISNUMBER($Q$406),$B$226=1),$Q$406,HLOOKUP(INDIRECT(ADDRESS(2,COLUMN())),OFFSET($BN$2,0,0,ROW()-1,60),ROW()-1,FALSE))</f>
        <v>61.158847909999999</v>
      </c>
      <c r="R205">
        <f ca="1">IF(AND(ISNUMBER($R$406),$B$226=1),$R$406,HLOOKUP(INDIRECT(ADDRESS(2,COLUMN())),OFFSET($BN$2,0,0,ROW()-1,60),ROW()-1,FALSE))</f>
        <v>63.22152079</v>
      </c>
      <c r="S205">
        <f ca="1">IF(AND(ISNUMBER($S$406),$B$226=1),$S$406,HLOOKUP(INDIRECT(ADDRESS(2,COLUMN())),OFFSET($BN$2,0,0,ROW()-1,60),ROW()-1,FALSE))</f>
        <v>64.7944605</v>
      </c>
      <c r="T205">
        <f ca="1">IF(AND(ISNUMBER($T$406),$B$226=1),$T$406,HLOOKUP(INDIRECT(ADDRESS(2,COLUMN())),OFFSET($BN$2,0,0,ROW()-1,60),ROW()-1,FALSE))</f>
        <v>58.935448579999999</v>
      </c>
      <c r="U205">
        <f ca="1">IF(AND(ISNUMBER($U$406),$B$226=1),$U$406,HLOOKUP(INDIRECT(ADDRESS(2,COLUMN())),OFFSET($BN$2,0,0,ROW()-1,60),ROW()-1,FALSE))</f>
        <v>61.569674829999997</v>
      </c>
      <c r="V205">
        <f ca="1">IF(AND(ISNUMBER($V$406),$B$226=1),$V$406,HLOOKUP(INDIRECT(ADDRESS(2,COLUMN())),OFFSET($BN$2,0,0,ROW()-1,60),ROW()-1,FALSE))</f>
        <v>61.002256619999997</v>
      </c>
      <c r="W205">
        <f ca="1">IF(AND(ISNUMBER($W$406),$B$226=1),$W$406,HLOOKUP(INDIRECT(ADDRESS(2,COLUMN())),OFFSET($BN$2,0,0,ROW()-1,60),ROW()-1,FALSE))</f>
        <v>56.853674390000002</v>
      </c>
      <c r="X205">
        <f ca="1">IF(AND(ISNUMBER($X$406),$B$226=1),$X$406,HLOOKUP(INDIRECT(ADDRESS(2,COLUMN())),OFFSET($BN$2,0,0,ROW()-1,60),ROW()-1,FALSE))</f>
        <v>59.030183219999998</v>
      </c>
      <c r="Y205">
        <f ca="1">IF(AND(ISNUMBER($Y$406),$B$226=1),$Y$406,HLOOKUP(INDIRECT(ADDRESS(2,COLUMN())),OFFSET($BN$2,0,0,ROW()-1,60),ROW()-1,FALSE))</f>
        <v>60.068597859999997</v>
      </c>
      <c r="Z205">
        <f ca="1">IF(AND(ISNUMBER($Z$406),$B$226=1),$Z$406,HLOOKUP(INDIRECT(ADDRESS(2,COLUMN())),OFFSET($BN$2,0,0,ROW()-1,60),ROW()-1,FALSE))</f>
        <v>63.052360010000001</v>
      </c>
      <c r="AA205">
        <f ca="1">IF(AND(ISNUMBER($AA$406),$B$226=1),$AA$406,HLOOKUP(INDIRECT(ADDRESS(2,COLUMN())),OFFSET($BN$2,0,0,ROW()-1,60),ROW()-1,FALSE))</f>
        <v>56.241132110000002</v>
      </c>
      <c r="AB205">
        <f ca="1">IF(AND(ISNUMBER($AB$406),$B$226=1),$AB$406,HLOOKUP(INDIRECT(ADDRESS(2,COLUMN())),OFFSET($BN$2,0,0,ROW()-1,60),ROW()-1,FALSE))</f>
        <v>58.399230330000002</v>
      </c>
      <c r="AC205">
        <f ca="1">IF(AND(ISNUMBER($AC$406),$B$226=1),$AC$406,HLOOKUP(INDIRECT(ADDRESS(2,COLUMN())),OFFSET($BN$2,0,0,ROW()-1,60),ROW()-1,FALSE))</f>
        <v>60.757010440000002</v>
      </c>
      <c r="AD205">
        <f ca="1">IF(AND(ISNUMBER($AD$406),$B$226=1),$AD$406,HLOOKUP(INDIRECT(ADDRESS(2,COLUMN())),OFFSET($BN$2,0,0,ROW()-1,60),ROW()-1,FALSE))</f>
        <v>65.222703350000003</v>
      </c>
      <c r="AE205">
        <f ca="1">IF(AND(ISNUMBER($AE$406),$B$226=1),$AE$406,HLOOKUP(INDIRECT(ADDRESS(2,COLUMN())),OFFSET($BN$2,0,0,ROW()-1,60),ROW()-1,FALSE))</f>
        <v>56.04988796</v>
      </c>
      <c r="AF205">
        <f ca="1">IF(AND(ISNUMBER($AF$406),$B$226=1),$AF$406,HLOOKUP(INDIRECT(ADDRESS(2,COLUMN())),OFFSET($BN$2,0,0,ROW()-1,60),ROW()-1,FALSE))</f>
        <v>61.027734789999997</v>
      </c>
      <c r="AG205">
        <f ca="1">IF(AND(ISNUMBER($AG$406),$B$226=1),$AG$406,HLOOKUP(INDIRECT(ADDRESS(2,COLUMN())),OFFSET($BN$2,0,0,ROW()-1,60),ROW()-1,FALSE))</f>
        <v>116.7937465</v>
      </c>
      <c r="AH205">
        <f ca="1">IF(AND(ISNUMBER($AH$406),$B$226=1),$AH$406,HLOOKUP(INDIRECT(ADDRESS(2,COLUMN())),OFFSET($BN$2,0,0,ROW()-1,60),ROW()-1,FALSE))</f>
        <v>65.111784599999993</v>
      </c>
      <c r="AI205">
        <f ca="1">IF(AND(ISNUMBER($AI$406),$B$226=1),$AI$406,HLOOKUP(INDIRECT(ADDRESS(2,COLUMN())),OFFSET($BN$2,0,0,ROW()-1,60),ROW()-1,FALSE))</f>
        <v>58.986802109999999</v>
      </c>
      <c r="AJ205">
        <f ca="1">IF(AND(ISNUMBER($AJ$406),$B$226=1),$AJ$406,HLOOKUP(INDIRECT(ADDRESS(2,COLUMN())),OFFSET($BN$2,0,0,ROW()-1,60),ROW()-1,FALSE))</f>
        <v>66.613110539999994</v>
      </c>
      <c r="AK205">
        <f ca="1">IF(AND(ISNUMBER($AK$406),$B$226=1),$AK$406,HLOOKUP(INDIRECT(ADDRESS(2,COLUMN())),OFFSET($BN$2,0,0,ROW()-1,60),ROW()-1,FALSE))</f>
        <v>65.612754019999997</v>
      </c>
      <c r="AL205">
        <f ca="1">IF(AND(ISNUMBER($AL$406),$B$226=1),$AL$406,HLOOKUP(INDIRECT(ADDRESS(2,COLUMN())),OFFSET($BN$2,0,0,ROW()-1,60),ROW()-1,FALSE))</f>
        <v>63.670661099999997</v>
      </c>
      <c r="AM205" t="str">
        <f ca="1">IF(AND(ISNUMBER($AM$406),$B$226=1),$AM$406,HLOOKUP(INDIRECT(ADDRESS(2,COLUMN())),OFFSET($BN$2,0,0,ROW()-1,60),ROW()-1,FALSE))</f>
        <v/>
      </c>
      <c r="AN205">
        <f ca="1">IF(AND(ISNUMBER($AN$406),$B$226=1),$AN$406,HLOOKUP(INDIRECT(ADDRESS(2,COLUMN())),OFFSET($BN$2,0,0,ROW()-1,60),ROW()-1,FALSE))</f>
        <v>61.81888094</v>
      </c>
      <c r="AO205">
        <f ca="1">IF(AND(ISNUMBER($AO$406),$B$226=1),$AO$406,HLOOKUP(INDIRECT(ADDRESS(2,COLUMN())),OFFSET($BN$2,0,0,ROW()-1,60),ROW()-1,FALSE))</f>
        <v>59.42187534</v>
      </c>
      <c r="AP205">
        <f ca="1">IF(AND(ISNUMBER($AP$406),$B$226=1),$AP$406,HLOOKUP(INDIRECT(ADDRESS(2,COLUMN())),OFFSET($BN$2,0,0,ROW()-1,60),ROW()-1,FALSE))</f>
        <v>80.514142800000002</v>
      </c>
      <c r="AQ205">
        <f ca="1">IF(AND(ISNUMBER($AQ$406),$B$226=1),$AQ$406,HLOOKUP(INDIRECT(ADDRESS(2,COLUMN())),OFFSET($BN$2,0,0,ROW()-1,60),ROW()-1,FALSE))</f>
        <v>767.63064129999998</v>
      </c>
      <c r="AR205">
        <f ca="1">IF(AND(ISNUMBER($AR$406),$B$226=1),$AR$406,HLOOKUP(INDIRECT(ADDRESS(2,COLUMN())),OFFSET($BN$2,0,0,ROW()-1,60),ROW()-1,FALSE))</f>
        <v>74.129066809999998</v>
      </c>
      <c r="AS205">
        <f ca="1">IF(AND(ISNUMBER($AS$406),$B$226=1),$AS$406,HLOOKUP(INDIRECT(ADDRESS(2,COLUMN())),OFFSET($BN$2,0,0,ROW()-1,60),ROW()-1,FALSE))</f>
        <v>70.616206169999998</v>
      </c>
      <c r="AT205">
        <f ca="1">IF(AND(ISNUMBER($AT$406),$B$226=1),$AT$406,HLOOKUP(INDIRECT(ADDRESS(2,COLUMN())),OFFSET($BN$2,0,0,ROW()-1,60),ROW()-1,FALSE))</f>
        <v>73.524746800000003</v>
      </c>
      <c r="AU205">
        <f ca="1">IF(AND(ISNUMBER($AU$406),$B$226=1),$AU$406,HLOOKUP(INDIRECT(ADDRESS(2,COLUMN())),OFFSET($BN$2,0,0,ROW()-1,60),ROW()-1,FALSE))</f>
        <v>66.561892929999999</v>
      </c>
      <c r="AV205">
        <f ca="1">IF(AND(ISNUMBER($AV$406),$B$226=1),$AV$406,HLOOKUP(INDIRECT(ADDRESS(2,COLUMN())),OFFSET($BN$2,0,0,ROW()-1,60),ROW()-1,FALSE))</f>
        <v>71.194445930000001</v>
      </c>
      <c r="AW205">
        <f ca="1">IF(AND(ISNUMBER($AW$406),$B$226=1),$AW$406,HLOOKUP(INDIRECT(ADDRESS(2,COLUMN())),OFFSET($BN$2,0,0,ROW()-1,60),ROW()-1,FALSE))</f>
        <v>70.291392790000003</v>
      </c>
      <c r="AX205">
        <f ca="1">IF(AND(ISNUMBER($AX$406),$B$226=1),$AX$406,HLOOKUP(INDIRECT(ADDRESS(2,COLUMN())),OFFSET($BN$2,0,0,ROW()-1,60),ROW()-1,FALSE))</f>
        <v>72.570986610000006</v>
      </c>
      <c r="AY205">
        <f ca="1">IF(AND(ISNUMBER($AY$406),$B$226=1),$AY$406,HLOOKUP(INDIRECT(ADDRESS(2,COLUMN())),OFFSET($BN$2,0,0,ROW()-1,60),ROW()-1,FALSE))</f>
        <v>70.549228859999999</v>
      </c>
      <c r="AZ205">
        <f ca="1">IF(AND(ISNUMBER($AZ$406),$B$226=1),$AZ$406,HLOOKUP(INDIRECT(ADDRESS(2,COLUMN())),OFFSET($BN$2,0,0,ROW()-1,60),ROW()-1,FALSE))</f>
        <v>49.483038649999997</v>
      </c>
      <c r="BA205">
        <f ca="1">IF(AND(ISNUMBER($BA$406),$B$226=1),$BA$406,HLOOKUP(INDIRECT(ADDRESS(2,COLUMN())),OFFSET($BN$2,0,0,ROW()-1,60),ROW()-1,FALSE))</f>
        <v>68.599067469999994</v>
      </c>
      <c r="BB205">
        <f ca="1">IF(AND(ISNUMBER($BB$406),$B$226=1),$BB$406,HLOOKUP(INDIRECT(ADDRESS(2,COLUMN())),OFFSET($BN$2,0,0,ROW()-1,60),ROW()-1,FALSE))</f>
        <v>69.120546309999995</v>
      </c>
      <c r="BC205">
        <f ca="1">IF(AND(ISNUMBER($BC$406),$B$226=1),$BC$406,HLOOKUP(INDIRECT(ADDRESS(2,COLUMN())),OFFSET($BN$2,0,0,ROW()-1,60),ROW()-1,FALSE))</f>
        <v>69.929351130000001</v>
      </c>
      <c r="BD205">
        <f ca="1">IF(AND(ISNUMBER($BD$406),$B$226=1),$BD$406,HLOOKUP(INDIRECT(ADDRESS(2,COLUMN())),OFFSET($BN$2,0,0,ROW()-1,60),ROW()-1,FALSE))</f>
        <v>77.305965610000001</v>
      </c>
      <c r="BE205">
        <f ca="1">IF(AND(ISNUMBER($BE$406),$B$226=1),$BE$406,HLOOKUP(INDIRECT(ADDRESS(2,COLUMN())),OFFSET($BN$2,0,0,ROW()-1,60),ROW()-1,FALSE))</f>
        <v>72.626701060000002</v>
      </c>
      <c r="BF205">
        <f ca="1">IF(AND(ISNUMBER($BF$406),$B$226=1),$BF$406,HLOOKUP(INDIRECT(ADDRESS(2,COLUMN())),OFFSET($BN$2,0,0,ROW()-1,60),ROW()-1,FALSE))</f>
        <v>53.54072523</v>
      </c>
      <c r="BG205">
        <f ca="1">IF(AND(ISNUMBER($BG$406),$B$226=1),$BG$406,HLOOKUP(INDIRECT(ADDRESS(2,COLUMN())),OFFSET($BN$2,0,0,ROW()-1,60),ROW()-1,FALSE))</f>
        <v>69.158046350000006</v>
      </c>
      <c r="BH205">
        <f ca="1">IF(AND(ISNUMBER($BH$406),$B$226=1),$BH$406,HLOOKUP(INDIRECT(ADDRESS(2,COLUMN())),OFFSET($BN$2,0,0,ROW()-1,60),ROW()-1,FALSE))</f>
        <v>76.2532566</v>
      </c>
      <c r="BI205">
        <f ca="1">IF(AND(ISNUMBER($BI$406),$B$226=1),$BI$406,HLOOKUP(INDIRECT(ADDRESS(2,COLUMN())),OFFSET($BN$2,0,0,ROW()-1,60),ROW()-1,FALSE))</f>
        <v>72.94576687</v>
      </c>
      <c r="BJ205">
        <f ca="1">IF(AND(ISNUMBER($BJ$406),$B$226=1),$BJ$406,HLOOKUP(INDIRECT(ADDRESS(2,COLUMN())),OFFSET($BN$2,0,0,ROW()-1,60),ROW()-1,FALSE))</f>
        <v>69.102377779999998</v>
      </c>
      <c r="BK205">
        <f ca="1">IF(AND(ISNUMBER($BK$406),$B$226=1),$BK$406,HLOOKUP(INDIRECT(ADDRESS(2,COLUMN())),OFFSET($BN$2,0,0,ROW()-1,60),ROW()-1,FALSE))</f>
        <v>69.452619260000006</v>
      </c>
      <c r="BL205">
        <f ca="1">IF(AND(ISNUMBER($BL$406),$B$226=1),$BL$406,HLOOKUP(INDIRECT(ADDRESS(2,COLUMN())),OFFSET($BN$2,0,0,ROW()-1,60),ROW()-1,FALSE))</f>
        <v>76.029254179999995</v>
      </c>
      <c r="BM205">
        <f ca="1">IF(AND(ISNUMBER($BM$406),$B$226=1),$BM$406,HLOOKUP(INDIRECT(ADDRESS(2,COLUMN())),OFFSET($BN$2,0,0,ROW()-1,60),ROW()-1,FALSE))</f>
        <v>76.868230909999994</v>
      </c>
      <c r="BN205" t="str">
        <f>""</f>
        <v/>
      </c>
      <c r="BO205">
        <f>62.13662791</f>
        <v>62.136627910000001</v>
      </c>
      <c r="BP205">
        <f>66.15004797</f>
        <v>66.150047970000003</v>
      </c>
      <c r="BQ205">
        <f>63.76677235</f>
        <v>63.766772349999997</v>
      </c>
      <c r="BR205">
        <f>67.20517164</f>
        <v>67.205171640000003</v>
      </c>
      <c r="BS205">
        <f>63.77316569</f>
        <v>63.773165689999999</v>
      </c>
      <c r="BT205">
        <f>430.1414153</f>
        <v>430.14141530000001</v>
      </c>
      <c r="BU205">
        <f>63.62049859</f>
        <v>63.620498589999997</v>
      </c>
      <c r="BV205">
        <f>60.85550813</f>
        <v>60.855508129999997</v>
      </c>
      <c r="BW205">
        <f>56.9641912</f>
        <v>56.964191200000002</v>
      </c>
      <c r="BX205">
        <f>59.8152301</f>
        <v>59.815230100000001</v>
      </c>
      <c r="BY205">
        <f>61.15884791</f>
        <v>61.158847909999999</v>
      </c>
      <c r="BZ205">
        <f>63.22152079</f>
        <v>63.22152079</v>
      </c>
      <c r="CA205">
        <f>64.7944605</f>
        <v>64.7944605</v>
      </c>
      <c r="CB205">
        <f>58.93544858</f>
        <v>58.935448579999999</v>
      </c>
      <c r="CC205">
        <f>61.56967483</f>
        <v>61.569674829999997</v>
      </c>
      <c r="CD205">
        <f>61.00225662</f>
        <v>61.002256619999997</v>
      </c>
      <c r="CE205">
        <f>56.85367439</f>
        <v>56.853674390000002</v>
      </c>
      <c r="CF205">
        <f>59.03018322</f>
        <v>59.030183219999998</v>
      </c>
      <c r="CG205">
        <f>60.06859786</f>
        <v>60.068597859999997</v>
      </c>
      <c r="CH205">
        <f>63.05236001</f>
        <v>63.052360010000001</v>
      </c>
      <c r="CI205">
        <f>56.24113211</f>
        <v>56.241132110000002</v>
      </c>
      <c r="CJ205">
        <f>58.39923033</f>
        <v>58.399230330000002</v>
      </c>
      <c r="CK205">
        <f>60.75701044</f>
        <v>60.757010440000002</v>
      </c>
      <c r="CL205">
        <f>65.22270335</f>
        <v>65.222703350000003</v>
      </c>
      <c r="CM205">
        <f>56.04988796</f>
        <v>56.04988796</v>
      </c>
      <c r="CN205">
        <f>61.02773479</f>
        <v>61.027734789999997</v>
      </c>
      <c r="CO205">
        <f>116.7937465</f>
        <v>116.7937465</v>
      </c>
      <c r="CP205">
        <f>65.1117846</f>
        <v>65.111784599999993</v>
      </c>
      <c r="CQ205">
        <f>58.98680211</f>
        <v>58.986802109999999</v>
      </c>
      <c r="CR205">
        <f>66.61311054</f>
        <v>66.613110539999994</v>
      </c>
      <c r="CS205">
        <f>65.61275402</f>
        <v>65.612754019999997</v>
      </c>
      <c r="CT205">
        <f>63.6706611</f>
        <v>63.670661099999997</v>
      </c>
      <c r="CU205" t="str">
        <f>""</f>
        <v/>
      </c>
      <c r="CV205">
        <f>61.81888094</f>
        <v>61.81888094</v>
      </c>
      <c r="CW205">
        <f>59.42187534</f>
        <v>59.42187534</v>
      </c>
      <c r="CX205">
        <f>80.5141428</f>
        <v>80.514142800000002</v>
      </c>
      <c r="CY205">
        <f>767.6306413</f>
        <v>767.63064129999998</v>
      </c>
      <c r="CZ205">
        <f>74.12906681</f>
        <v>74.129066809999998</v>
      </c>
      <c r="DA205">
        <f>70.61620617</f>
        <v>70.616206169999998</v>
      </c>
      <c r="DB205">
        <f>73.5247468</f>
        <v>73.524746800000003</v>
      </c>
      <c r="DC205">
        <f>66.56189293</f>
        <v>66.561892929999999</v>
      </c>
      <c r="DD205">
        <f>71.19444593</f>
        <v>71.194445930000001</v>
      </c>
      <c r="DE205">
        <f>70.29139279</f>
        <v>70.291392790000003</v>
      </c>
      <c r="DF205">
        <f>72.57098661</f>
        <v>72.570986610000006</v>
      </c>
      <c r="DG205">
        <f>70.54922886</f>
        <v>70.549228859999999</v>
      </c>
      <c r="DH205">
        <f>49.48303865</f>
        <v>49.483038649999997</v>
      </c>
      <c r="DI205">
        <f>68.59906747</f>
        <v>68.599067469999994</v>
      </c>
      <c r="DJ205">
        <f>69.12054631</f>
        <v>69.120546309999995</v>
      </c>
      <c r="DK205">
        <f>69.92935113</f>
        <v>69.929351130000001</v>
      </c>
      <c r="DL205">
        <f>77.30596561</f>
        <v>77.305965610000001</v>
      </c>
      <c r="DM205">
        <f>72.62670106</f>
        <v>72.626701060000002</v>
      </c>
      <c r="DN205">
        <f>53.54072523</f>
        <v>53.54072523</v>
      </c>
      <c r="DO205">
        <f>69.15804635</f>
        <v>69.158046350000006</v>
      </c>
      <c r="DP205">
        <f>76.2532566</f>
        <v>76.2532566</v>
      </c>
      <c r="DQ205">
        <f>72.94576687</f>
        <v>72.94576687</v>
      </c>
      <c r="DR205">
        <f>69.10237778</f>
        <v>69.102377779999998</v>
      </c>
      <c r="DS205">
        <f>69.45261926</f>
        <v>69.452619260000006</v>
      </c>
      <c r="DT205">
        <f>76.02925418</f>
        <v>76.029254179999995</v>
      </c>
      <c r="DU205">
        <f>76.86823091</f>
        <v>76.868230909999994</v>
      </c>
    </row>
    <row r="206" spans="1:125">
      <c r="A206" t="str">
        <f>"    Education Realty Trust Inc"</f>
        <v xml:space="preserve">    Education Realty Trust Inc</v>
      </c>
      <c r="B206" t="str">
        <f>"EDR US Equity"</f>
        <v>EDR US Equity</v>
      </c>
      <c r="C206" t="str">
        <f t="shared" si="66"/>
        <v>RR106</v>
      </c>
      <c r="D206" t="str">
        <f t="shared" si="67"/>
        <v>FFO_PAYOUT_RATIO</v>
      </c>
      <c r="E206" t="str">
        <f t="shared" si="68"/>
        <v>动态</v>
      </c>
      <c r="F206" t="str">
        <f ca="1">IF(AND(ISNUMBER($F$407),$B$226=1),$F$407,HLOOKUP(INDIRECT(ADDRESS(2,COLUMN())),OFFSET($BN$2,0,0,ROW()-1,60),ROW()-1,FALSE))</f>
        <v/>
      </c>
      <c r="G206">
        <f ca="1">IF(AND(ISNUMBER($G$407),$B$226=1),$G$407,HLOOKUP(INDIRECT(ADDRESS(2,COLUMN())),OFFSET($BN$2,0,0,ROW()-1,60),ROW()-1,FALSE))</f>
        <v>61.405318289999997</v>
      </c>
      <c r="H206">
        <f ca="1">IF(AND(ISNUMBER($H$407),$B$226=1),$H$407,HLOOKUP(INDIRECT(ADDRESS(2,COLUMN())),OFFSET($BN$2,0,0,ROW()-1,60),ROW()-1,FALSE))</f>
        <v>129.4968006</v>
      </c>
      <c r="I206">
        <f ca="1">IF(AND(ISNUMBER($I$407),$B$226=1),$I$407,HLOOKUP(INDIRECT(ADDRESS(2,COLUMN())),OFFSET($BN$2,0,0,ROW()-1,60),ROW()-1,FALSE))</f>
        <v>93.674211479999997</v>
      </c>
      <c r="J206">
        <f ca="1">IF(AND(ISNUMBER($J$407),$B$226=1),$J$407,HLOOKUP(INDIRECT(ADDRESS(2,COLUMN())),OFFSET($BN$2,0,0,ROW()-1,60),ROW()-1,FALSE))</f>
        <v>66.043597500000004</v>
      </c>
      <c r="K206">
        <f ca="1">IF(AND(ISNUMBER($K$407),$B$226=1),$K$407,HLOOKUP(INDIRECT(ADDRESS(2,COLUMN())),OFFSET($BN$2,0,0,ROW()-1,60),ROW()-1,FALSE))</f>
        <v>70.229920390000004</v>
      </c>
      <c r="L206">
        <f ca="1">IF(AND(ISNUMBER($L$407),$B$226=1),$L$407,HLOOKUP(INDIRECT(ADDRESS(2,COLUMN())),OFFSET($BN$2,0,0,ROW()-1,60),ROW()-1,FALSE))</f>
        <v>149.04575650000001</v>
      </c>
      <c r="M206">
        <f ca="1">IF(AND(ISNUMBER($M$407),$B$226=1),$M$407,HLOOKUP(INDIRECT(ADDRESS(2,COLUMN())),OFFSET($BN$2,0,0,ROW()-1,60),ROW()-1,FALSE))</f>
        <v>101.3418022</v>
      </c>
      <c r="N206">
        <f ca="1">IF(AND(ISNUMBER($N$407),$B$226=1),$N$407,HLOOKUP(INDIRECT(ADDRESS(2,COLUMN())),OFFSET($BN$2,0,0,ROW()-1,60),ROW()-1,FALSE))</f>
        <v>101.7975067</v>
      </c>
      <c r="O206">
        <f ca="1">IF(AND(ISNUMBER($O$407),$B$226=1),$O$407,HLOOKUP(INDIRECT(ADDRESS(2,COLUMN())),OFFSET($BN$2,0,0,ROW()-1,60),ROW()-1,FALSE))</f>
        <v>63.686104139999998</v>
      </c>
      <c r="P206">
        <f ca="1">IF(AND(ISNUMBER($P$407),$B$226=1),$P$407,HLOOKUP(INDIRECT(ADDRESS(2,COLUMN())),OFFSET($BN$2,0,0,ROW()-1,60),ROW()-1,FALSE))</f>
        <v>136.62014909999999</v>
      </c>
      <c r="Q206">
        <f ca="1">IF(AND(ISNUMBER($Q$407),$B$226=1),$Q$407,HLOOKUP(INDIRECT(ADDRESS(2,COLUMN())),OFFSET($BN$2,0,0,ROW()-1,60),ROW()-1,FALSE))</f>
        <v>93.062503329999998</v>
      </c>
      <c r="R206">
        <f ca="1">IF(AND(ISNUMBER($R$407),$B$226=1),$R$407,HLOOKUP(INDIRECT(ADDRESS(2,COLUMN())),OFFSET($BN$2,0,0,ROW()-1,60),ROW()-1,FALSE))</f>
        <v>75.097159680000004</v>
      </c>
      <c r="S206">
        <f ca="1">IF(AND(ISNUMBER($S$407),$B$226=1),$S$407,HLOOKUP(INDIRECT(ADDRESS(2,COLUMN())),OFFSET($BN$2,0,0,ROW()-1,60),ROW()-1,FALSE))</f>
        <v>68.55896104</v>
      </c>
      <c r="T206">
        <f ca="1">IF(AND(ISNUMBER($T$407),$B$226=1),$T$407,HLOOKUP(INDIRECT(ADDRESS(2,COLUMN())),OFFSET($BN$2,0,0,ROW()-1,60),ROW()-1,FALSE))</f>
        <v>82.684019250000006</v>
      </c>
      <c r="U206">
        <f ca="1">IF(AND(ISNUMBER($U$407),$B$226=1),$U$407,HLOOKUP(INDIRECT(ADDRESS(2,COLUMN())),OFFSET($BN$2,0,0,ROW()-1,60),ROW()-1,FALSE))</f>
        <v>79.344412460000001</v>
      </c>
      <c r="V206">
        <f ca="1">IF(AND(ISNUMBER($V$407),$B$226=1),$V$407,HLOOKUP(INDIRECT(ADDRESS(2,COLUMN())),OFFSET($BN$2,0,0,ROW()-1,60),ROW()-1,FALSE))</f>
        <v>74.202580650000002</v>
      </c>
      <c r="W206">
        <f ca="1">IF(AND(ISNUMBER($W$407),$B$226=1),$W$407,HLOOKUP(INDIRECT(ADDRESS(2,COLUMN())),OFFSET($BN$2,0,0,ROW()-1,60),ROW()-1,FALSE))</f>
        <v>116.5890335</v>
      </c>
      <c r="X206">
        <f ca="1">IF(AND(ISNUMBER($X$407),$B$226=1),$X$407,HLOOKUP(INDIRECT(ADDRESS(2,COLUMN())),OFFSET($BN$2,0,0,ROW()-1,60),ROW()-1,FALSE))</f>
        <v>178.85568620000001</v>
      </c>
      <c r="Y206">
        <f ca="1">IF(AND(ISNUMBER($Y$407),$B$226=1),$Y$407,HLOOKUP(INDIRECT(ADDRESS(2,COLUMN())),OFFSET($BN$2,0,0,ROW()-1,60),ROW()-1,FALSE))</f>
        <v>96.341669479999993</v>
      </c>
      <c r="Z206">
        <f ca="1">IF(AND(ISNUMBER($Z$407),$B$226=1),$Z$407,HLOOKUP(INDIRECT(ADDRESS(2,COLUMN())),OFFSET($BN$2,0,0,ROW()-1,60),ROW()-1,FALSE))</f>
        <v>77.784242590000005</v>
      </c>
      <c r="AA206">
        <f ca="1">IF(AND(ISNUMBER($AA$407),$B$226=1),$AA$407,HLOOKUP(INDIRECT(ADDRESS(2,COLUMN())),OFFSET($BN$2,0,0,ROW()-1,60),ROW()-1,FALSE))</f>
        <v>141.53143</v>
      </c>
      <c r="AB206">
        <f ca="1">IF(AND(ISNUMBER($AB$407),$B$226=1),$AB$407,HLOOKUP(INDIRECT(ADDRESS(2,COLUMN())),OFFSET($BN$2,0,0,ROW()-1,60),ROW()-1,FALSE))</f>
        <v>229.83890360000001</v>
      </c>
      <c r="AC206">
        <f ca="1">IF(AND(ISNUMBER($AC$407),$B$226=1),$AC$407,HLOOKUP(INDIRECT(ADDRESS(2,COLUMN())),OFFSET($BN$2,0,0,ROW()-1,60),ROW()-1,FALSE))</f>
        <v>65.775782919999997</v>
      </c>
      <c r="AD206">
        <f ca="1">IF(AND(ISNUMBER($AD$407),$B$226=1),$AD$407,HLOOKUP(INDIRECT(ADDRESS(2,COLUMN())),OFFSET($BN$2,0,0,ROW()-1,60),ROW()-1,FALSE))</f>
        <v>59.607228470000003</v>
      </c>
      <c r="AE206">
        <f ca="1">IF(AND(ISNUMBER($AE$407),$B$226=1),$AE$407,HLOOKUP(INDIRECT(ADDRESS(2,COLUMN())),OFFSET($BN$2,0,0,ROW()-1,60),ROW()-1,FALSE))</f>
        <v>56.382499299999999</v>
      </c>
      <c r="AF206">
        <f ca="1">IF(AND(ISNUMBER($AF$407),$B$226=1),$AF$407,HLOOKUP(INDIRECT(ADDRESS(2,COLUMN())),OFFSET($BN$2,0,0,ROW()-1,60),ROW()-1,FALSE))</f>
        <v>1014.2</v>
      </c>
      <c r="AG206">
        <f ca="1">IF(AND(ISNUMBER($AG$407),$B$226=1),$AG$407,HLOOKUP(INDIRECT(ADDRESS(2,COLUMN())),OFFSET($BN$2,0,0,ROW()-1,60),ROW()-1,FALSE))</f>
        <v>56.413281249999997</v>
      </c>
      <c r="AH206">
        <f ca="1">IF(AND(ISNUMBER($AH$407),$B$226=1),$AH$407,HLOOKUP(INDIRECT(ADDRESS(2,COLUMN())),OFFSET($BN$2,0,0,ROW()-1,60),ROW()-1,FALSE))</f>
        <v>51.20104061</v>
      </c>
      <c r="AI206">
        <f ca="1">IF(AND(ISNUMBER($AI$407),$B$226=1),$AI$407,HLOOKUP(INDIRECT(ADDRESS(2,COLUMN())),OFFSET($BN$2,0,0,ROW()-1,60),ROW()-1,FALSE))</f>
        <v>52.971851319999999</v>
      </c>
      <c r="AJ206" t="str">
        <f ca="1">IF(AND(ISNUMBER($AJ$407),$B$226=1),$AJ$407,HLOOKUP(INDIRECT(ADDRESS(2,COLUMN())),OFFSET($BN$2,0,0,ROW()-1,60),ROW()-1,FALSE))</f>
        <v/>
      </c>
      <c r="AK206">
        <f ca="1">IF(AND(ISNUMBER($AK$407),$B$226=1),$AK$407,HLOOKUP(INDIRECT(ADDRESS(2,COLUMN())),OFFSET($BN$2,0,0,ROW()-1,60),ROW()-1,FALSE))</f>
        <v>41.28564394</v>
      </c>
      <c r="AL206">
        <f ca="1">IF(AND(ISNUMBER($AL$407),$B$226=1),$AL$407,HLOOKUP(INDIRECT(ADDRESS(2,COLUMN())),OFFSET($BN$2,0,0,ROW()-1,60),ROW()-1,FALSE))</f>
        <v>36.314729370000002</v>
      </c>
      <c r="AM206">
        <f ca="1">IF(AND(ISNUMBER($AM$407),$B$226=1),$AM$407,HLOOKUP(INDIRECT(ADDRESS(2,COLUMN())),OFFSET($BN$2,0,0,ROW()-1,60),ROW()-1,FALSE))</f>
        <v>38.872891809999999</v>
      </c>
      <c r="AN206" t="str">
        <f ca="1">IF(AND(ISNUMBER($AN$407),$B$226=1),$AN$407,HLOOKUP(INDIRECT(ADDRESS(2,COLUMN())),OFFSET($BN$2,0,0,ROW()-1,60),ROW()-1,FALSE))</f>
        <v/>
      </c>
      <c r="AO206">
        <f ca="1">IF(AND(ISNUMBER($AO$407),$B$226=1),$AO$407,HLOOKUP(INDIRECT(ADDRESS(2,COLUMN())),OFFSET($BN$2,0,0,ROW()-1,60),ROW()-1,FALSE))</f>
        <v>40.299631380000001</v>
      </c>
      <c r="AP206">
        <f ca="1">IF(AND(ISNUMBER($AP$407),$B$226=1),$AP$407,HLOOKUP(INDIRECT(ADDRESS(2,COLUMN())),OFFSET($BN$2,0,0,ROW()-1,60),ROW()-1,FALSE))</f>
        <v>37.497671650000001</v>
      </c>
      <c r="AQ206">
        <f ca="1">IF(AND(ISNUMBER($AQ$407),$B$226=1),$AQ$407,HLOOKUP(INDIRECT(ADDRESS(2,COLUMN())),OFFSET($BN$2,0,0,ROW()-1,60),ROW()-1,FALSE))</f>
        <v>226.3972521</v>
      </c>
      <c r="AR206" t="str">
        <f ca="1">IF(AND(ISNUMBER($AR$407),$B$226=1),$AR$407,HLOOKUP(INDIRECT(ADDRESS(2,COLUMN())),OFFSET($BN$2,0,0,ROW()-1,60),ROW()-1,FALSE))</f>
        <v/>
      </c>
      <c r="AS206">
        <f ca="1">IF(AND(ISNUMBER($AS$407),$B$226=1),$AS$407,HLOOKUP(INDIRECT(ADDRESS(2,COLUMN())),OFFSET($BN$2,0,0,ROW()-1,60),ROW()-1,FALSE))</f>
        <v>55.095018570000001</v>
      </c>
      <c r="AT206">
        <f ca="1">IF(AND(ISNUMBER($AT$407),$B$226=1),$AT$407,HLOOKUP(INDIRECT(ADDRESS(2,COLUMN())),OFFSET($BN$2,0,0,ROW()-1,60),ROW()-1,FALSE))</f>
        <v>64.40711417</v>
      </c>
      <c r="AU206">
        <f ca="1">IF(AND(ISNUMBER($AU$407),$B$226=1),$AU$407,HLOOKUP(INDIRECT(ADDRESS(2,COLUMN())),OFFSET($BN$2,0,0,ROW()-1,60),ROW()-1,FALSE))</f>
        <v>63.44177646</v>
      </c>
      <c r="AV206">
        <f ca="1">IF(AND(ISNUMBER($AV$407),$B$226=1),$AV$407,HLOOKUP(INDIRECT(ADDRESS(2,COLUMN())),OFFSET($BN$2,0,0,ROW()-1,60),ROW()-1,FALSE))</f>
        <v>317.65330119999999</v>
      </c>
      <c r="AW206">
        <f ca="1">IF(AND(ISNUMBER($AW$407),$B$226=1),$AW$407,HLOOKUP(INDIRECT(ADDRESS(2,COLUMN())),OFFSET($BN$2,0,0,ROW()-1,60),ROW()-1,FALSE))</f>
        <v>86.288751009999999</v>
      </c>
      <c r="AX206">
        <f ca="1">IF(AND(ISNUMBER($AX$407),$B$226=1),$AX$407,HLOOKUP(INDIRECT(ADDRESS(2,COLUMN())),OFFSET($BN$2,0,0,ROW()-1,60),ROW()-1,FALSE))</f>
        <v>67.850942439999997</v>
      </c>
      <c r="AY206">
        <f ca="1">IF(AND(ISNUMBER($AY$407),$B$226=1),$AY$407,HLOOKUP(INDIRECT(ADDRESS(2,COLUMN())),OFFSET($BN$2,0,0,ROW()-1,60),ROW()-1,FALSE))</f>
        <v>69.024778979999994</v>
      </c>
      <c r="AZ206">
        <f ca="1">IF(AND(ISNUMBER($AZ$407),$B$226=1),$AZ$407,HLOOKUP(INDIRECT(ADDRESS(2,COLUMN())),OFFSET($BN$2,0,0,ROW()-1,60),ROW()-1,FALSE))</f>
        <v>1776.2780680000001</v>
      </c>
      <c r="BA206">
        <f ca="1">IF(AND(ISNUMBER($BA$407),$B$226=1),$BA$407,HLOOKUP(INDIRECT(ADDRESS(2,COLUMN())),OFFSET($BN$2,0,0,ROW()-1,60),ROW()-1,FALSE))</f>
        <v>124.8439917</v>
      </c>
      <c r="BB206">
        <f ca="1">IF(AND(ISNUMBER($BB$407),$B$226=1),$BB$407,HLOOKUP(INDIRECT(ADDRESS(2,COLUMN())),OFFSET($BN$2,0,0,ROW()-1,60),ROW()-1,FALSE))</f>
        <v>93.481811390000004</v>
      </c>
      <c r="BC206">
        <f ca="1">IF(AND(ISNUMBER($BC$407),$B$226=1),$BC$407,HLOOKUP(INDIRECT(ADDRESS(2,COLUMN())),OFFSET($BN$2,0,0,ROW()-1,60),ROW()-1,FALSE))</f>
        <v>107.0199597</v>
      </c>
      <c r="BD206">
        <f ca="1">IF(AND(ISNUMBER($BD$407),$B$226=1),$BD$407,HLOOKUP(INDIRECT(ADDRESS(2,COLUMN())),OFFSET($BN$2,0,0,ROW()-1,60),ROW()-1,FALSE))</f>
        <v>674.56135380000001</v>
      </c>
      <c r="BE206" t="str">
        <f ca="1">IF(AND(ISNUMBER($BE$407),$B$226=1),$BE$407,HLOOKUP(INDIRECT(ADDRESS(2,COLUMN())),OFFSET($BN$2,0,0,ROW()-1,60),ROW()-1,FALSE))</f>
        <v/>
      </c>
      <c r="BF206">
        <f ca="1">IF(AND(ISNUMBER($BF$407),$B$226=1),$BF$407,HLOOKUP(INDIRECT(ADDRESS(2,COLUMN())),OFFSET($BN$2,0,0,ROW()-1,60),ROW()-1,FALSE))</f>
        <v>0</v>
      </c>
      <c r="BG206" t="str">
        <f ca="1">IF(AND(ISNUMBER($BG$407),$B$226=1),$BG$407,HLOOKUP(INDIRECT(ADDRESS(2,COLUMN())),OFFSET($BN$2,0,0,ROW()-1,60),ROW()-1,FALSE))</f>
        <v/>
      </c>
      <c r="BH206" t="str">
        <f ca="1">IF(AND(ISNUMBER($BH$407),$B$226=1),$BH$407,HLOOKUP(INDIRECT(ADDRESS(2,COLUMN())),OFFSET($BN$2,0,0,ROW()-1,60),ROW()-1,FALSE))</f>
        <v/>
      </c>
      <c r="BI206" t="str">
        <f ca="1">IF(AND(ISNUMBER($BI$407),$B$226=1),$BI$407,HLOOKUP(INDIRECT(ADDRESS(2,COLUMN())),OFFSET($BN$2,0,0,ROW()-1,60),ROW()-1,FALSE))</f>
        <v/>
      </c>
      <c r="BJ206" t="str">
        <f ca="1">IF(AND(ISNUMBER($BJ$407),$B$226=1),$BJ$407,HLOOKUP(INDIRECT(ADDRESS(2,COLUMN())),OFFSET($BN$2,0,0,ROW()-1,60),ROW()-1,FALSE))</f>
        <v/>
      </c>
      <c r="BK206" t="str">
        <f ca="1">IF(AND(ISNUMBER($BK$407),$B$226=1),$BK$407,HLOOKUP(INDIRECT(ADDRESS(2,COLUMN())),OFFSET($BN$2,0,0,ROW()-1,60),ROW()-1,FALSE))</f>
        <v/>
      </c>
      <c r="BL206" t="str">
        <f ca="1">IF(AND(ISNUMBER($BL$407),$B$226=1),$BL$407,HLOOKUP(INDIRECT(ADDRESS(2,COLUMN())),OFFSET($BN$2,0,0,ROW()-1,60),ROW()-1,FALSE))</f>
        <v/>
      </c>
      <c r="BM206" t="str">
        <f ca="1">IF(AND(ISNUMBER($BM$407),$B$226=1),$BM$407,HLOOKUP(INDIRECT(ADDRESS(2,COLUMN())),OFFSET($BN$2,0,0,ROW()-1,60),ROW()-1,FALSE))</f>
        <v/>
      </c>
      <c r="BN206" t="str">
        <f>""</f>
        <v/>
      </c>
      <c r="BO206">
        <f>61.40531829</f>
        <v>61.405318289999997</v>
      </c>
      <c r="BP206">
        <f>129.4968006</f>
        <v>129.4968006</v>
      </c>
      <c r="BQ206">
        <f>93.67421148</f>
        <v>93.674211479999997</v>
      </c>
      <c r="BR206">
        <f>66.0435975</f>
        <v>66.043597500000004</v>
      </c>
      <c r="BS206">
        <f>70.22992039</f>
        <v>70.229920390000004</v>
      </c>
      <c r="BT206">
        <f>149.0457565</f>
        <v>149.04575650000001</v>
      </c>
      <c r="BU206">
        <f>101.3418022</f>
        <v>101.3418022</v>
      </c>
      <c r="BV206">
        <f>101.7975067</f>
        <v>101.7975067</v>
      </c>
      <c r="BW206">
        <f>63.68610414</f>
        <v>63.686104139999998</v>
      </c>
      <c r="BX206">
        <f>136.6201491</f>
        <v>136.62014909999999</v>
      </c>
      <c r="BY206">
        <f>93.06250333</f>
        <v>93.062503329999998</v>
      </c>
      <c r="BZ206">
        <f>75.09715968</f>
        <v>75.097159680000004</v>
      </c>
      <c r="CA206">
        <f>68.55896104</f>
        <v>68.55896104</v>
      </c>
      <c r="CB206">
        <f>82.68401925</f>
        <v>82.684019250000006</v>
      </c>
      <c r="CC206">
        <f>79.34441246</f>
        <v>79.344412460000001</v>
      </c>
      <c r="CD206">
        <f>74.20258065</f>
        <v>74.202580650000002</v>
      </c>
      <c r="CE206">
        <f>116.5890335</f>
        <v>116.5890335</v>
      </c>
      <c r="CF206">
        <f>178.8556862</f>
        <v>178.85568620000001</v>
      </c>
      <c r="CG206">
        <f>96.34166948</f>
        <v>96.341669479999993</v>
      </c>
      <c r="CH206">
        <f>77.78424259</f>
        <v>77.784242590000005</v>
      </c>
      <c r="CI206">
        <f>141.53143</f>
        <v>141.53143</v>
      </c>
      <c r="CJ206">
        <f>229.8389036</f>
        <v>229.83890360000001</v>
      </c>
      <c r="CK206">
        <f>65.77578292</f>
        <v>65.775782919999997</v>
      </c>
      <c r="CL206">
        <f>59.60722847</f>
        <v>59.607228470000003</v>
      </c>
      <c r="CM206">
        <f>56.3824993</f>
        <v>56.382499299999999</v>
      </c>
      <c r="CN206">
        <f>1014.2</f>
        <v>1014.2</v>
      </c>
      <c r="CO206">
        <f>56.41328125</f>
        <v>56.413281249999997</v>
      </c>
      <c r="CP206">
        <f>51.20104061</f>
        <v>51.20104061</v>
      </c>
      <c r="CQ206">
        <f>52.97185132</f>
        <v>52.971851319999999</v>
      </c>
      <c r="CR206" t="str">
        <f>""</f>
        <v/>
      </c>
      <c r="CS206">
        <f>41.28564394</f>
        <v>41.28564394</v>
      </c>
      <c r="CT206">
        <f>36.31472937</f>
        <v>36.314729370000002</v>
      </c>
      <c r="CU206">
        <f>38.87289181</f>
        <v>38.872891809999999</v>
      </c>
      <c r="CV206" t="str">
        <f>""</f>
        <v/>
      </c>
      <c r="CW206">
        <f>40.29963138</f>
        <v>40.299631380000001</v>
      </c>
      <c r="CX206">
        <f>37.49767165</f>
        <v>37.497671650000001</v>
      </c>
      <c r="CY206">
        <f>226.3972521</f>
        <v>226.3972521</v>
      </c>
      <c r="CZ206" t="str">
        <f>""</f>
        <v/>
      </c>
      <c r="DA206">
        <f>55.09501857</f>
        <v>55.095018570000001</v>
      </c>
      <c r="DB206">
        <f>64.40711417</f>
        <v>64.40711417</v>
      </c>
      <c r="DC206">
        <f>63.44177646</f>
        <v>63.44177646</v>
      </c>
      <c r="DD206">
        <f>317.6533012</f>
        <v>317.65330119999999</v>
      </c>
      <c r="DE206">
        <f>86.28875101</f>
        <v>86.288751009999999</v>
      </c>
      <c r="DF206">
        <f>67.85094244</f>
        <v>67.850942439999997</v>
      </c>
      <c r="DG206">
        <f>69.02477898</f>
        <v>69.024778979999994</v>
      </c>
      <c r="DH206">
        <f>1776.278068</f>
        <v>1776.2780680000001</v>
      </c>
      <c r="DI206">
        <f>124.8439917</f>
        <v>124.8439917</v>
      </c>
      <c r="DJ206">
        <f>93.48181139</f>
        <v>93.481811390000004</v>
      </c>
      <c r="DK206">
        <f>107.0199597</f>
        <v>107.0199597</v>
      </c>
      <c r="DL206">
        <f>674.5613538</f>
        <v>674.56135380000001</v>
      </c>
      <c r="DM206" t="str">
        <f>""</f>
        <v/>
      </c>
      <c r="DN206">
        <f>0</f>
        <v>0</v>
      </c>
      <c r="DO206" t="str">
        <f>""</f>
        <v/>
      </c>
      <c r="DP206" t="str">
        <f>""</f>
        <v/>
      </c>
      <c r="DQ206" t="str">
        <f>""</f>
        <v/>
      </c>
      <c r="DR206" t="str">
        <f>""</f>
        <v/>
      </c>
      <c r="DS206" t="str">
        <f>""</f>
        <v/>
      </c>
      <c r="DT206" t="str">
        <f>""</f>
        <v/>
      </c>
      <c r="DU206" t="str">
        <f>""</f>
        <v/>
      </c>
    </row>
    <row r="207" spans="1:125">
      <c r="A207" t="str">
        <f>"    Equity Residential"</f>
        <v xml:space="preserve">    Equity Residential</v>
      </c>
      <c r="B207" t="str">
        <f>"EQR US Equity"</f>
        <v>EQR US Equity</v>
      </c>
      <c r="C207" t="str">
        <f t="shared" si="66"/>
        <v>RR106</v>
      </c>
      <c r="D207" t="str">
        <f t="shared" si="67"/>
        <v>FFO_PAYOUT_RATIO</v>
      </c>
      <c r="E207" t="str">
        <f t="shared" si="68"/>
        <v>动态</v>
      </c>
      <c r="F207" t="str">
        <f ca="1">IF(AND(ISNUMBER($F$408),$B$226=1),$F$408,HLOOKUP(INDIRECT(ADDRESS(2,COLUMN())),OFFSET($BN$2,0,0,ROW()-1,60),ROW()-1,FALSE))</f>
        <v/>
      </c>
      <c r="G207">
        <f ca="1">IF(AND(ISNUMBER($G$408),$B$226=1),$G$408,HLOOKUP(INDIRECT(ADDRESS(2,COLUMN())),OFFSET($BN$2,0,0,ROW()-1,60),ROW()-1,FALSE))</f>
        <v>59.13287485</v>
      </c>
      <c r="H207">
        <f ca="1">IF(AND(ISNUMBER($H$408),$B$226=1),$H$408,HLOOKUP(INDIRECT(ADDRESS(2,COLUMN())),OFFSET($BN$2,0,0,ROW()-1,60),ROW()-1,FALSE))</f>
        <v>59.931092329999998</v>
      </c>
      <c r="I207">
        <f ca="1">IF(AND(ISNUMBER($I$408),$B$226=1),$I$408,HLOOKUP(INDIRECT(ADDRESS(2,COLUMN())),OFFSET($BN$2,0,0,ROW()-1,60),ROW()-1,FALSE))</f>
        <v>62.890954979999997</v>
      </c>
      <c r="J207">
        <f ca="1">IF(AND(ISNUMBER($J$408),$B$226=1),$J$408,HLOOKUP(INDIRECT(ADDRESS(2,COLUMN())),OFFSET($BN$2,0,0,ROW()-1,60),ROW()-1,FALSE))</f>
        <v>63.77307828</v>
      </c>
      <c r="K207">
        <f ca="1">IF(AND(ISNUMBER($K$408),$B$226=1),$K$408,HLOOKUP(INDIRECT(ADDRESS(2,COLUMN())),OFFSET($BN$2,0,0,ROW()-1,60),ROW()-1,FALSE))</f>
        <v>60.282054729999999</v>
      </c>
      <c r="L207">
        <f ca="1">IF(AND(ISNUMBER($L$408),$B$226=1),$L$408,HLOOKUP(INDIRECT(ADDRESS(2,COLUMN())),OFFSET($BN$2,0,0,ROW()-1,60),ROW()-1,FALSE))</f>
        <v>804.64154340000005</v>
      </c>
      <c r="M207">
        <f ca="1">IF(AND(ISNUMBER($M$408),$B$226=1),$M$408,HLOOKUP(INDIRECT(ADDRESS(2,COLUMN())),OFFSET($BN$2,0,0,ROW()-1,60),ROW()-1,FALSE))</f>
        <v>53.352257260000002</v>
      </c>
      <c r="N207">
        <f ca="1">IF(AND(ISNUMBER($N$408),$B$226=1),$N$408,HLOOKUP(INDIRECT(ADDRESS(2,COLUMN())),OFFSET($BN$2,0,0,ROW()-1,60),ROW()-1,FALSE))</f>
        <v>3370.6419700000001</v>
      </c>
      <c r="O207">
        <f ca="1">IF(AND(ISNUMBER($O$408),$B$226=1),$O$408,HLOOKUP(INDIRECT(ADDRESS(2,COLUMN())),OFFSET($BN$2,0,0,ROW()-1,60),ROW()-1,FALSE))</f>
        <v>57.177347509999997</v>
      </c>
      <c r="P207">
        <f ca="1">IF(AND(ISNUMBER($P$408),$B$226=1),$P$408,HLOOKUP(INDIRECT(ADDRESS(2,COLUMN())),OFFSET($BN$2,0,0,ROW()-1,60),ROW()-1,FALSE))</f>
        <v>60.585717019999997</v>
      </c>
      <c r="Q207">
        <f ca="1">IF(AND(ISNUMBER($Q$408),$B$226=1),$Q$408,HLOOKUP(INDIRECT(ADDRESS(2,COLUMN())),OFFSET($BN$2,0,0,ROW()-1,60),ROW()-1,FALSE))</f>
        <v>58.839184420000002</v>
      </c>
      <c r="R207">
        <f ca="1">IF(AND(ISNUMBER($R$408),$B$226=1),$R$408,HLOOKUP(INDIRECT(ADDRESS(2,COLUMN())),OFFSET($BN$2,0,0,ROW()-1,60),ROW()-1,FALSE))</f>
        <v>67.013734349999993</v>
      </c>
      <c r="S207">
        <f ca="1">IF(AND(ISNUMBER($S$408),$B$226=1),$S$408,HLOOKUP(INDIRECT(ADDRESS(2,COLUMN())),OFFSET($BN$2,0,0,ROW()-1,60),ROW()-1,FALSE))</f>
        <v>55.069655089999998</v>
      </c>
      <c r="T207">
        <f ca="1">IF(AND(ISNUMBER($T$408),$B$226=1),$T$408,HLOOKUP(INDIRECT(ADDRESS(2,COLUMN())),OFFSET($BN$2,0,0,ROW()-1,60),ROW()-1,FALSE))</f>
        <v>59.09006187</v>
      </c>
      <c r="U207">
        <f ca="1">IF(AND(ISNUMBER($U$408),$B$226=1),$U$408,HLOOKUP(INDIRECT(ADDRESS(2,COLUMN())),OFFSET($BN$2,0,0,ROW()-1,60),ROW()-1,FALSE))</f>
        <v>62.042217919999999</v>
      </c>
      <c r="V207">
        <f ca="1">IF(AND(ISNUMBER($V$408),$B$226=1),$V$408,HLOOKUP(INDIRECT(ADDRESS(2,COLUMN())),OFFSET($BN$2,0,0,ROW()-1,60),ROW()-1,FALSE))</f>
        <v>67.850622090000002</v>
      </c>
      <c r="W207">
        <f ca="1">IF(AND(ISNUMBER($W$408),$B$226=1),$W$408,HLOOKUP(INDIRECT(ADDRESS(2,COLUMN())),OFFSET($BN$2,0,0,ROW()-1,60),ROW()-1,FALSE))</f>
        <v>93.04819311</v>
      </c>
      <c r="X207">
        <f ca="1">IF(AND(ISNUMBER($X$408),$B$226=1),$X$408,HLOOKUP(INDIRECT(ADDRESS(2,COLUMN())),OFFSET($BN$2,0,0,ROW()-1,60),ROW()-1,FALSE))</f>
        <v>53.849814790000003</v>
      </c>
      <c r="Y207">
        <f ca="1">IF(AND(ISNUMBER($Y$408),$B$226=1),$Y$408,HLOOKUP(INDIRECT(ADDRESS(2,COLUMN())),OFFSET($BN$2,0,0,ROW()-1,60),ROW()-1,FALSE))</f>
        <v>52.386123220000002</v>
      </c>
      <c r="Z207">
        <f ca="1">IF(AND(ISNUMBER($Z$408),$B$226=1),$Z$408,HLOOKUP(INDIRECT(ADDRESS(2,COLUMN())),OFFSET($BN$2,0,0,ROW()-1,60),ROW()-1,FALSE))</f>
        <v>170.66895890000001</v>
      </c>
      <c r="AA207">
        <f ca="1">IF(AND(ISNUMBER($AA$408),$B$226=1),$AA$408,HLOOKUP(INDIRECT(ADDRESS(2,COLUMN())),OFFSET($BN$2,0,0,ROW()-1,60),ROW()-1,FALSE))</f>
        <v>77.334497099999993</v>
      </c>
      <c r="AB207">
        <f ca="1">IF(AND(ISNUMBER($AB$408),$B$226=1),$AB$408,HLOOKUP(INDIRECT(ADDRESS(2,COLUMN())),OFFSET($BN$2,0,0,ROW()-1,60),ROW()-1,FALSE))</f>
        <v>34.792019459999999</v>
      </c>
      <c r="AC207">
        <f ca="1">IF(AND(ISNUMBER($AC$408),$B$226=1),$AC$408,HLOOKUP(INDIRECT(ADDRESS(2,COLUMN())),OFFSET($BN$2,0,0,ROW()-1,60),ROW()-1,FALSE))</f>
        <v>49.529291489999999</v>
      </c>
      <c r="AD207">
        <f ca="1">IF(AND(ISNUMBER($AD$408),$B$226=1),$AD$408,HLOOKUP(INDIRECT(ADDRESS(2,COLUMN())),OFFSET($BN$2,0,0,ROW()-1,60),ROW()-1,FALSE))</f>
        <v>53.556961569999999</v>
      </c>
      <c r="AE207">
        <f ca="1">IF(AND(ISNUMBER($AE$408),$B$226=1),$AE$408,HLOOKUP(INDIRECT(ADDRESS(2,COLUMN())),OFFSET($BN$2,0,0,ROW()-1,60),ROW()-1,FALSE))</f>
        <v>83.414936040000001</v>
      </c>
      <c r="AF207">
        <f ca="1">IF(AND(ISNUMBER($AF$408),$B$226=1),$AF$408,HLOOKUP(INDIRECT(ADDRESS(2,COLUMN())),OFFSET($BN$2,0,0,ROW()-1,60),ROW()-1,FALSE))</f>
        <v>50.787148190000003</v>
      </c>
      <c r="AG207">
        <f ca="1">IF(AND(ISNUMBER($AG$408),$B$226=1),$AG$408,HLOOKUP(INDIRECT(ADDRESS(2,COLUMN())),OFFSET($BN$2,0,0,ROW()-1,60),ROW()-1,FALSE))</f>
        <v>55.024933050000001</v>
      </c>
      <c r="AH207">
        <f ca="1">IF(AND(ISNUMBER($AH$408),$B$226=1),$AH$408,HLOOKUP(INDIRECT(ADDRESS(2,COLUMN())),OFFSET($BN$2,0,0,ROW()-1,60),ROW()-1,FALSE))</f>
        <v>56.989704879999998</v>
      </c>
      <c r="AI207">
        <f ca="1">IF(AND(ISNUMBER($AI$408),$B$226=1),$AI$408,HLOOKUP(INDIRECT(ADDRESS(2,COLUMN())),OFFSET($BN$2,0,0,ROW()-1,60),ROW()-1,FALSE))</f>
        <v>95.878157299999998</v>
      </c>
      <c r="AJ207">
        <f ca="1">IF(AND(ISNUMBER($AJ$408),$B$226=1),$AJ$408,HLOOKUP(INDIRECT(ADDRESS(2,COLUMN())),OFFSET($BN$2,0,0,ROW()-1,60),ROW()-1,FALSE))</f>
        <v>57.452770970000003</v>
      </c>
      <c r="AK207">
        <f ca="1">IF(AND(ISNUMBER($AK$408),$B$226=1),$AK$408,HLOOKUP(INDIRECT(ADDRESS(2,COLUMN())),OFFSET($BN$2,0,0,ROW()-1,60),ROW()-1,FALSE))</f>
        <v>54.46958368</v>
      </c>
      <c r="AL207">
        <f ca="1">IF(AND(ISNUMBER($AL$408),$B$226=1),$AL$408,HLOOKUP(INDIRECT(ADDRESS(2,COLUMN())),OFFSET($BN$2,0,0,ROW()-1,60),ROW()-1,FALSE))</f>
        <v>65.137462859999999</v>
      </c>
      <c r="AM207">
        <f ca="1">IF(AND(ISNUMBER($AM$408),$B$226=1),$AM$408,HLOOKUP(INDIRECT(ADDRESS(2,COLUMN())),OFFSET($BN$2,0,0,ROW()-1,60),ROW()-1,FALSE))</f>
        <v>73.339324160000004</v>
      </c>
      <c r="AN207">
        <f ca="1">IF(AND(ISNUMBER($AN$408),$B$226=1),$AN$408,HLOOKUP(INDIRECT(ADDRESS(2,COLUMN())),OFFSET($BN$2,0,0,ROW()-1,60),ROW()-1,FALSE))</f>
        <v>59.864128669999999</v>
      </c>
      <c r="AO207">
        <f ca="1">IF(AND(ISNUMBER($AO$408),$B$226=1),$AO$408,HLOOKUP(INDIRECT(ADDRESS(2,COLUMN())),OFFSET($BN$2,0,0,ROW()-1,60),ROW()-1,FALSE))</f>
        <v>78.148488360000002</v>
      </c>
      <c r="AP207">
        <f ca="1">IF(AND(ISNUMBER($AP$408),$B$226=1),$AP$408,HLOOKUP(INDIRECT(ADDRESS(2,COLUMN())),OFFSET($BN$2,0,0,ROW()-1,60),ROW()-1,FALSE))</f>
        <v>79.183513219999995</v>
      </c>
      <c r="AQ207">
        <f ca="1">IF(AND(ISNUMBER($AQ$408),$B$226=1),$AQ$408,HLOOKUP(INDIRECT(ADDRESS(2,COLUMN())),OFFSET($BN$2,0,0,ROW()-1,60),ROW()-1,FALSE))</f>
        <v>165.4811162</v>
      </c>
      <c r="AR207">
        <f ca="1">IF(AND(ISNUMBER($AR$408),$B$226=1),$AR$408,HLOOKUP(INDIRECT(ADDRESS(2,COLUMN())),OFFSET($BN$2,0,0,ROW()-1,60),ROW()-1,FALSE))</f>
        <v>69.968815039999996</v>
      </c>
      <c r="AS207">
        <f ca="1">IF(AND(ISNUMBER($AS$408),$B$226=1),$AS$408,HLOOKUP(INDIRECT(ADDRESS(2,COLUMN())),OFFSET($BN$2,0,0,ROW()-1,60),ROW()-1,FALSE))</f>
        <v>70.390115089999995</v>
      </c>
      <c r="AT207">
        <f ca="1">IF(AND(ISNUMBER($AT$408),$B$226=1),$AT$408,HLOOKUP(INDIRECT(ADDRESS(2,COLUMN())),OFFSET($BN$2,0,0,ROW()-1,60),ROW()-1,FALSE))</f>
        <v>77.179325739999996</v>
      </c>
      <c r="AU207">
        <f ca="1">IF(AND(ISNUMBER($AU$408),$B$226=1),$AU$408,HLOOKUP(INDIRECT(ADDRESS(2,COLUMN())),OFFSET($BN$2,0,0,ROW()-1,60),ROW()-1,FALSE))</f>
        <v>67.034982069999998</v>
      </c>
      <c r="AV207">
        <f ca="1">IF(AND(ISNUMBER($AV$408),$B$226=1),$AV$408,HLOOKUP(INDIRECT(ADDRESS(2,COLUMN())),OFFSET($BN$2,0,0,ROW()-1,60),ROW()-1,FALSE))</f>
        <v>73.079383379999996</v>
      </c>
      <c r="AW207">
        <f ca="1">IF(AND(ISNUMBER($AW$408),$B$226=1),$AW$408,HLOOKUP(INDIRECT(ADDRESS(2,COLUMN())),OFFSET($BN$2,0,0,ROW()-1,60),ROW()-1,FALSE))</f>
        <v>71.253514030000005</v>
      </c>
      <c r="AX207">
        <f ca="1">IF(AND(ISNUMBER($AX$408),$B$226=1),$AX$408,HLOOKUP(INDIRECT(ADDRESS(2,COLUMN())),OFFSET($BN$2,0,0,ROW()-1,60),ROW()-1,FALSE))</f>
        <v>78.122106529999996</v>
      </c>
      <c r="AY207">
        <f ca="1">IF(AND(ISNUMBER($AY$408),$B$226=1),$AY$408,HLOOKUP(INDIRECT(ADDRESS(2,COLUMN())),OFFSET($BN$2,0,0,ROW()-1,60),ROW()-1,FALSE))</f>
        <v>87.298871849999998</v>
      </c>
      <c r="AZ207">
        <f ca="1">IF(AND(ISNUMBER($AZ$408),$B$226=1),$AZ$408,HLOOKUP(INDIRECT(ADDRESS(2,COLUMN())),OFFSET($BN$2,0,0,ROW()-1,60),ROW()-1,FALSE))</f>
        <v>65.677433719999996</v>
      </c>
      <c r="BA207">
        <f ca="1">IF(AND(ISNUMBER($BA$408),$B$226=1),$BA$408,HLOOKUP(INDIRECT(ADDRESS(2,COLUMN())),OFFSET($BN$2,0,0,ROW()-1,60),ROW()-1,FALSE))</f>
        <v>66.716001599999998</v>
      </c>
      <c r="BB207">
        <f ca="1">IF(AND(ISNUMBER($BB$408),$B$226=1),$BB$408,HLOOKUP(INDIRECT(ADDRESS(2,COLUMN())),OFFSET($BN$2,0,0,ROW()-1,60),ROW()-1,FALSE))</f>
        <v>73.273986269999995</v>
      </c>
      <c r="BC207">
        <f ca="1">IF(AND(ISNUMBER($BC$408),$B$226=1),$BC$408,HLOOKUP(INDIRECT(ADDRESS(2,COLUMN())),OFFSET($BN$2,0,0,ROW()-1,60),ROW()-1,FALSE))</f>
        <v>61.618103230000003</v>
      </c>
      <c r="BD207">
        <f ca="1">IF(AND(ISNUMBER($BD$408),$B$226=1),$BD$408,HLOOKUP(INDIRECT(ADDRESS(2,COLUMN())),OFFSET($BN$2,0,0,ROW()-1,60),ROW()-1,FALSE))</f>
        <v>70.650323639999996</v>
      </c>
      <c r="BE207">
        <f ca="1">IF(AND(ISNUMBER($BE$408),$B$226=1),$BE$408,HLOOKUP(INDIRECT(ADDRESS(2,COLUMN())),OFFSET($BN$2,0,0,ROW()-1,60),ROW()-1,FALSE))</f>
        <v>71.120133670000001</v>
      </c>
      <c r="BF207">
        <f ca="1">IF(AND(ISNUMBER($BF$408),$B$226=1),$BF$408,HLOOKUP(INDIRECT(ADDRESS(2,COLUMN())),OFFSET($BN$2,0,0,ROW()-1,60),ROW()-1,FALSE))</f>
        <v>53.54303968</v>
      </c>
      <c r="BG207">
        <f ca="1">IF(AND(ISNUMBER($BG$408),$B$226=1),$BG$408,HLOOKUP(INDIRECT(ADDRESS(2,COLUMN())),OFFSET($BN$2,0,0,ROW()-1,60),ROW()-1,FALSE))</f>
        <v>72.41037833</v>
      </c>
      <c r="BH207">
        <f ca="1">IF(AND(ISNUMBER($BH$408),$B$226=1),$BH$408,HLOOKUP(INDIRECT(ADDRESS(2,COLUMN())),OFFSET($BN$2,0,0,ROW()-1,60),ROW()-1,FALSE))</f>
        <v>79.081238369999994</v>
      </c>
      <c r="BI207">
        <f ca="1">IF(AND(ISNUMBER($BI$408),$B$226=1),$BI$408,HLOOKUP(INDIRECT(ADDRESS(2,COLUMN())),OFFSET($BN$2,0,0,ROW()-1,60),ROW()-1,FALSE))</f>
        <v>834.0470464</v>
      </c>
      <c r="BJ207">
        <f ca="1">IF(AND(ISNUMBER($BJ$408),$B$226=1),$BJ$408,HLOOKUP(INDIRECT(ADDRESS(2,COLUMN())),OFFSET($BN$2,0,0,ROW()-1,60),ROW()-1,FALSE))</f>
        <v>76.881883479999999</v>
      </c>
      <c r="BK207" t="str">
        <f ca="1">IF(AND(ISNUMBER($BK$408),$B$226=1),$BK$408,HLOOKUP(INDIRECT(ADDRESS(2,COLUMN())),OFFSET($BN$2,0,0,ROW()-1,60),ROW()-1,FALSE))</f>
        <v/>
      </c>
      <c r="BL207">
        <f ca="1">IF(AND(ISNUMBER($BL$408),$B$226=1),$BL$408,HLOOKUP(INDIRECT(ADDRESS(2,COLUMN())),OFFSET($BN$2,0,0,ROW()-1,60),ROW()-1,FALSE))</f>
        <v>70.027781050000002</v>
      </c>
      <c r="BM207">
        <f ca="1">IF(AND(ISNUMBER($BM$408),$B$226=1),$BM$408,HLOOKUP(INDIRECT(ADDRESS(2,COLUMN())),OFFSET($BN$2,0,0,ROW()-1,60),ROW()-1,FALSE))</f>
        <v>69.029366460000006</v>
      </c>
      <c r="BN207" t="str">
        <f>""</f>
        <v/>
      </c>
      <c r="BO207">
        <f>59.13287485</f>
        <v>59.13287485</v>
      </c>
      <c r="BP207">
        <f>59.93109233</f>
        <v>59.931092329999998</v>
      </c>
      <c r="BQ207">
        <f>62.89095498</f>
        <v>62.890954979999997</v>
      </c>
      <c r="BR207">
        <f>63.77307828</f>
        <v>63.77307828</v>
      </c>
      <c r="BS207">
        <f>60.28205473</f>
        <v>60.282054729999999</v>
      </c>
      <c r="BT207">
        <f>804.6415434</f>
        <v>804.64154340000005</v>
      </c>
      <c r="BU207">
        <f>53.35225726</f>
        <v>53.352257260000002</v>
      </c>
      <c r="BV207">
        <f>3370.64197</f>
        <v>3370.6419700000001</v>
      </c>
      <c r="BW207">
        <f>57.17734751</f>
        <v>57.177347509999997</v>
      </c>
      <c r="BX207">
        <f>60.58571702</f>
        <v>60.585717019999997</v>
      </c>
      <c r="BY207">
        <f>58.83918442</f>
        <v>58.839184420000002</v>
      </c>
      <c r="BZ207">
        <f>67.01373435</f>
        <v>67.013734349999993</v>
      </c>
      <c r="CA207">
        <f>55.06965509</f>
        <v>55.069655089999998</v>
      </c>
      <c r="CB207">
        <f>59.09006187</f>
        <v>59.09006187</v>
      </c>
      <c r="CC207">
        <f>62.04221792</f>
        <v>62.042217919999999</v>
      </c>
      <c r="CD207">
        <f>67.85062209</f>
        <v>67.850622090000002</v>
      </c>
      <c r="CE207">
        <f>93.04819311</f>
        <v>93.04819311</v>
      </c>
      <c r="CF207">
        <f>53.84981479</f>
        <v>53.849814790000003</v>
      </c>
      <c r="CG207">
        <f>52.38612322</f>
        <v>52.386123220000002</v>
      </c>
      <c r="CH207">
        <f>170.6689589</f>
        <v>170.66895890000001</v>
      </c>
      <c r="CI207">
        <f>77.3344971</f>
        <v>77.334497099999993</v>
      </c>
      <c r="CJ207">
        <f>34.79201946</f>
        <v>34.792019459999999</v>
      </c>
      <c r="CK207">
        <f>49.52929149</f>
        <v>49.529291489999999</v>
      </c>
      <c r="CL207">
        <f>53.55696157</f>
        <v>53.556961569999999</v>
      </c>
      <c r="CM207">
        <f>83.41493604</f>
        <v>83.414936040000001</v>
      </c>
      <c r="CN207">
        <f>50.78714819</f>
        <v>50.787148190000003</v>
      </c>
      <c r="CO207">
        <f>55.02493305</f>
        <v>55.024933050000001</v>
      </c>
      <c r="CP207">
        <f>56.98970488</f>
        <v>56.989704879999998</v>
      </c>
      <c r="CQ207">
        <f>95.8781573</f>
        <v>95.878157299999998</v>
      </c>
      <c r="CR207">
        <f>57.45277097</f>
        <v>57.452770970000003</v>
      </c>
      <c r="CS207">
        <f>54.46958368</f>
        <v>54.46958368</v>
      </c>
      <c r="CT207">
        <f>65.13746286</f>
        <v>65.137462859999999</v>
      </c>
      <c r="CU207">
        <f>73.33932416</f>
        <v>73.339324160000004</v>
      </c>
      <c r="CV207">
        <f>59.86412867</f>
        <v>59.864128669999999</v>
      </c>
      <c r="CW207">
        <f>78.14848836</f>
        <v>78.148488360000002</v>
      </c>
      <c r="CX207">
        <f>79.18351322</f>
        <v>79.183513219999995</v>
      </c>
      <c r="CY207">
        <f>165.4811162</f>
        <v>165.4811162</v>
      </c>
      <c r="CZ207">
        <f>69.96881504</f>
        <v>69.968815039999996</v>
      </c>
      <c r="DA207">
        <f>70.39011509</f>
        <v>70.390115089999995</v>
      </c>
      <c r="DB207">
        <f>77.17932574</f>
        <v>77.179325739999996</v>
      </c>
      <c r="DC207">
        <f>67.03498207</f>
        <v>67.034982069999998</v>
      </c>
      <c r="DD207">
        <f>73.07938338</f>
        <v>73.079383379999996</v>
      </c>
      <c r="DE207">
        <f>71.25351403</f>
        <v>71.253514030000005</v>
      </c>
      <c r="DF207">
        <f>78.12210653</f>
        <v>78.122106529999996</v>
      </c>
      <c r="DG207">
        <f>87.29887185</f>
        <v>87.298871849999998</v>
      </c>
      <c r="DH207">
        <f>65.67743372</f>
        <v>65.677433719999996</v>
      </c>
      <c r="DI207">
        <f>66.7160016</f>
        <v>66.716001599999998</v>
      </c>
      <c r="DJ207">
        <f>73.27398627</f>
        <v>73.273986269999995</v>
      </c>
      <c r="DK207">
        <f>61.61810323</f>
        <v>61.618103230000003</v>
      </c>
      <c r="DL207">
        <f>70.65032364</f>
        <v>70.650323639999996</v>
      </c>
      <c r="DM207">
        <f>71.12013367</f>
        <v>71.120133670000001</v>
      </c>
      <c r="DN207">
        <f>53.54303968</f>
        <v>53.54303968</v>
      </c>
      <c r="DO207">
        <f>72.41037833</f>
        <v>72.41037833</v>
      </c>
      <c r="DP207">
        <f>79.08123837</f>
        <v>79.081238369999994</v>
      </c>
      <c r="DQ207">
        <f>834.0470464</f>
        <v>834.0470464</v>
      </c>
      <c r="DR207">
        <f>76.88188348</f>
        <v>76.881883479999999</v>
      </c>
      <c r="DS207" t="str">
        <f>""</f>
        <v/>
      </c>
      <c r="DT207">
        <f>70.02778105</f>
        <v>70.027781050000002</v>
      </c>
      <c r="DU207">
        <f>69.02936646</f>
        <v>69.029366460000006</v>
      </c>
    </row>
    <row r="208" spans="1:125">
      <c r="A208" t="str">
        <f>"    Essex Property Trust Inc"</f>
        <v xml:space="preserve">    Essex Property Trust Inc</v>
      </c>
      <c r="B208" t="str">
        <f>"ESS US Equity"</f>
        <v>ESS US Equity</v>
      </c>
      <c r="C208" t="str">
        <f t="shared" si="66"/>
        <v>RR106</v>
      </c>
      <c r="D208" t="str">
        <f t="shared" si="67"/>
        <v>FFO_PAYOUT_RATIO</v>
      </c>
      <c r="E208" t="str">
        <f t="shared" si="68"/>
        <v>动态</v>
      </c>
      <c r="F208" t="str">
        <f ca="1">IF(AND(ISNUMBER($F$409),$B$226=1),$F$409,HLOOKUP(INDIRECT(ADDRESS(2,COLUMN())),OFFSET($BN$2,0,0,ROW()-1,60),ROW()-1,FALSE))</f>
        <v/>
      </c>
      <c r="G208">
        <f ca="1">IF(AND(ISNUMBER($G$409),$B$226=1),$G$409,HLOOKUP(INDIRECT(ADDRESS(2,COLUMN())),OFFSET($BN$2,0,0,ROW()-1,60),ROW()-1,FALSE))</f>
        <v>56.278304730000002</v>
      </c>
      <c r="H208">
        <f ca="1">IF(AND(ISNUMBER($H$409),$B$226=1),$H$409,HLOOKUP(INDIRECT(ADDRESS(2,COLUMN())),OFFSET($BN$2,0,0,ROW()-1,60),ROW()-1,FALSE))</f>
        <v>56.774965960000003</v>
      </c>
      <c r="I208">
        <f ca="1">IF(AND(ISNUMBER($I$409),$B$226=1),$I$409,HLOOKUP(INDIRECT(ADDRESS(2,COLUMN())),OFFSET($BN$2,0,0,ROW()-1,60),ROW()-1,FALSE))</f>
        <v>56.78551727</v>
      </c>
      <c r="J208">
        <f ca="1">IF(AND(ISNUMBER($J$409),$B$226=1),$J$409,HLOOKUP(INDIRECT(ADDRESS(2,COLUMN())),OFFSET($BN$2,0,0,ROW()-1,60),ROW()-1,FALSE))</f>
        <v>57.131272600000003</v>
      </c>
      <c r="K208">
        <f ca="1">IF(AND(ISNUMBER($K$409),$B$226=1),$K$409,HLOOKUP(INDIRECT(ADDRESS(2,COLUMN())),OFFSET($BN$2,0,0,ROW()-1,60),ROW()-1,FALSE))</f>
        <v>54.183836220000003</v>
      </c>
      <c r="L208">
        <f ca="1">IF(AND(ISNUMBER($L$409),$B$226=1),$L$409,HLOOKUP(INDIRECT(ADDRESS(2,COLUMN())),OFFSET($BN$2,0,0,ROW()-1,60),ROW()-1,FALSE))</f>
        <v>54.84595762</v>
      </c>
      <c r="M208">
        <f ca="1">IF(AND(ISNUMBER($M$409),$B$226=1),$M$409,HLOOKUP(INDIRECT(ADDRESS(2,COLUMN())),OFFSET($BN$2,0,0,ROW()-1,60),ROW()-1,FALSE))</f>
        <v>54.83447099</v>
      </c>
      <c r="N208">
        <f ca="1">IF(AND(ISNUMBER($N$409),$B$226=1),$N$409,HLOOKUP(INDIRECT(ADDRESS(2,COLUMN())),OFFSET($BN$2,0,0,ROW()-1,60),ROW()-1,FALSE))</f>
        <v>58.43475316</v>
      </c>
      <c r="O208">
        <f ca="1">IF(AND(ISNUMBER($O$409),$B$226=1),$O$409,HLOOKUP(INDIRECT(ADDRESS(2,COLUMN())),OFFSET($BN$2,0,0,ROW()-1,60),ROW()-1,FALSE))</f>
        <v>54.838926780000001</v>
      </c>
      <c r="P208">
        <f ca="1">IF(AND(ISNUMBER($P$409),$B$226=1),$P$409,HLOOKUP(INDIRECT(ADDRESS(2,COLUMN())),OFFSET($BN$2,0,0,ROW()-1,60),ROW()-1,FALSE))</f>
        <v>54.886522909999997</v>
      </c>
      <c r="Q208">
        <f ca="1">IF(AND(ISNUMBER($Q$409),$B$226=1),$Q$409,HLOOKUP(INDIRECT(ADDRESS(2,COLUMN())),OFFSET($BN$2,0,0,ROW()-1,60),ROW()-1,FALSE))</f>
        <v>58.304021990000003</v>
      </c>
      <c r="R208">
        <f ca="1">IF(AND(ISNUMBER($R$409),$B$226=1),$R$409,HLOOKUP(INDIRECT(ADDRESS(2,COLUMN())),OFFSET($BN$2,0,0,ROW()-1,60),ROW()-1,FALSE))</f>
        <v>62.243692539999998</v>
      </c>
      <c r="S208">
        <f ca="1">IF(AND(ISNUMBER($S$409),$B$226=1),$S$409,HLOOKUP(INDIRECT(ADDRESS(2,COLUMN())),OFFSET($BN$2,0,0,ROW()-1,60),ROW()-1,FALSE))</f>
        <v>54.721653910000001</v>
      </c>
      <c r="T208">
        <f ca="1">IF(AND(ISNUMBER($T$409),$B$226=1),$T$409,HLOOKUP(INDIRECT(ADDRESS(2,COLUMN())),OFFSET($BN$2,0,0,ROW()-1,60),ROW()-1,FALSE))</f>
        <v>60.141364869999997</v>
      </c>
      <c r="U208">
        <f ca="1">IF(AND(ISNUMBER($U$409),$B$226=1),$U$409,HLOOKUP(INDIRECT(ADDRESS(2,COLUMN())),OFFSET($BN$2,0,0,ROW()-1,60),ROW()-1,FALSE))</f>
        <v>72.680867199999994</v>
      </c>
      <c r="V208">
        <f ca="1">IF(AND(ISNUMBER($V$409),$B$226=1),$V$409,HLOOKUP(INDIRECT(ADDRESS(2,COLUMN())),OFFSET($BN$2,0,0,ROW()-1,60),ROW()-1,FALSE))</f>
        <v>69.669519030000004</v>
      </c>
      <c r="W208">
        <f ca="1">IF(AND(ISNUMBER($W$409),$B$226=1),$W$409,HLOOKUP(INDIRECT(ADDRESS(2,COLUMN())),OFFSET($BN$2,0,0,ROW()-1,60),ROW()-1,FALSE))</f>
        <v>63.563535639999998</v>
      </c>
      <c r="X208">
        <f ca="1">IF(AND(ISNUMBER($X$409),$B$226=1),$X$409,HLOOKUP(INDIRECT(ADDRESS(2,COLUMN())),OFFSET($BN$2,0,0,ROW()-1,60),ROW()-1,FALSE))</f>
        <v>61.555755400000002</v>
      </c>
      <c r="Y208">
        <f ca="1">IF(AND(ISNUMBER($Y$409),$B$226=1),$Y$409,HLOOKUP(INDIRECT(ADDRESS(2,COLUMN())),OFFSET($BN$2,0,0,ROW()-1,60),ROW()-1,FALSE))</f>
        <v>59.681768069999997</v>
      </c>
      <c r="Z208">
        <f ca="1">IF(AND(ISNUMBER($Z$409),$B$226=1),$Z$409,HLOOKUP(INDIRECT(ADDRESS(2,COLUMN())),OFFSET($BN$2,0,0,ROW()-1,60),ROW()-1,FALSE))</f>
        <v>60.101081909999998</v>
      </c>
      <c r="AA208">
        <f ca="1">IF(AND(ISNUMBER($AA$409),$B$226=1),$AA$409,HLOOKUP(INDIRECT(ADDRESS(2,COLUMN())),OFFSET($BN$2,0,0,ROW()-1,60),ROW()-1,FALSE))</f>
        <v>60.291571609999998</v>
      </c>
      <c r="AB208">
        <f ca="1">IF(AND(ISNUMBER($AB$409),$B$226=1),$AB$409,HLOOKUP(INDIRECT(ADDRESS(2,COLUMN())),OFFSET($BN$2,0,0,ROW()-1,60),ROW()-1,FALSE))</f>
        <v>64.173122739999997</v>
      </c>
      <c r="AC208">
        <f ca="1">IF(AND(ISNUMBER($AC$409),$B$226=1),$AC$409,HLOOKUP(INDIRECT(ADDRESS(2,COLUMN())),OFFSET($BN$2,0,0,ROW()-1,60),ROW()-1,FALSE))</f>
        <v>60.900099609999998</v>
      </c>
      <c r="AD208">
        <f ca="1">IF(AND(ISNUMBER($AD$409),$B$226=1),$AD$409,HLOOKUP(INDIRECT(ADDRESS(2,COLUMN())),OFFSET($BN$2,0,0,ROW()-1,60),ROW()-1,FALSE))</f>
        <v>65.717708999999999</v>
      </c>
      <c r="AE208">
        <f ca="1">IF(AND(ISNUMBER($AE$409),$B$226=1),$AE$409,HLOOKUP(INDIRECT(ADDRESS(2,COLUMN())),OFFSET($BN$2,0,0,ROW()-1,60),ROW()-1,FALSE))</f>
        <v>62.806589889999998</v>
      </c>
      <c r="AF208">
        <f ca="1">IF(AND(ISNUMBER($AF$409),$B$226=1),$AF$409,HLOOKUP(INDIRECT(ADDRESS(2,COLUMN())),OFFSET($BN$2,0,0,ROW()-1,60),ROW()-1,FALSE))</f>
        <v>68.180031110000002</v>
      </c>
      <c r="AG208">
        <f ca="1">IF(AND(ISNUMBER($AG$409),$B$226=1),$AG$409,HLOOKUP(INDIRECT(ADDRESS(2,COLUMN())),OFFSET($BN$2,0,0,ROW()-1,60),ROW()-1,FALSE))</f>
        <v>77.643965170000001</v>
      </c>
      <c r="AH208">
        <f ca="1">IF(AND(ISNUMBER($AH$409),$B$226=1),$AH$409,HLOOKUP(INDIRECT(ADDRESS(2,COLUMN())),OFFSET($BN$2,0,0,ROW()-1,60),ROW()-1,FALSE))</f>
        <v>69.923122899999996</v>
      </c>
      <c r="AI208">
        <f ca="1">IF(AND(ISNUMBER($AI$409),$B$226=1),$AI$409,HLOOKUP(INDIRECT(ADDRESS(2,COLUMN())),OFFSET($BN$2,0,0,ROW()-1,60),ROW()-1,FALSE))</f>
        <v>73.534212460000006</v>
      </c>
      <c r="AJ208">
        <f ca="1">IF(AND(ISNUMBER($AJ$409),$B$226=1),$AJ$409,HLOOKUP(INDIRECT(ADDRESS(2,COLUMN())),OFFSET($BN$2,0,0,ROW()-1,60),ROW()-1,FALSE))</f>
        <v>76.815042149999996</v>
      </c>
      <c r="AK208">
        <f ca="1">IF(AND(ISNUMBER($AK$409),$B$226=1),$AK$409,HLOOKUP(INDIRECT(ADDRESS(2,COLUMN())),OFFSET($BN$2,0,0,ROW()-1,60),ROW()-1,FALSE))</f>
        <v>71.030006589999999</v>
      </c>
      <c r="AL208">
        <f ca="1">IF(AND(ISNUMBER($AL$409),$B$226=1),$AL$409,HLOOKUP(INDIRECT(ADDRESS(2,COLUMN())),OFFSET($BN$2,0,0,ROW()-1,60),ROW()-1,FALSE))</f>
        <v>65.417209659999997</v>
      </c>
      <c r="AM208">
        <f ca="1">IF(AND(ISNUMBER($AM$409),$B$226=1),$AM$409,HLOOKUP(INDIRECT(ADDRESS(2,COLUMN())),OFFSET($BN$2,0,0,ROW()-1,60),ROW()-1,FALSE))</f>
        <v>81.314906840000006</v>
      </c>
      <c r="AN208">
        <f ca="1">IF(AND(ISNUMBER($AN$409),$B$226=1),$AN$409,HLOOKUP(INDIRECT(ADDRESS(2,COLUMN())),OFFSET($BN$2,0,0,ROW()-1,60),ROW()-1,FALSE))</f>
        <v>55.956291309999997</v>
      </c>
      <c r="AO208">
        <f ca="1">IF(AND(ISNUMBER($AO$409),$B$226=1),$AO$409,HLOOKUP(INDIRECT(ADDRESS(2,COLUMN())),OFFSET($BN$2,0,0,ROW()-1,60),ROW()-1,FALSE))</f>
        <v>65.797453000000004</v>
      </c>
      <c r="AP208">
        <f ca="1">IF(AND(ISNUMBER($AP$409),$B$226=1),$AP$409,HLOOKUP(INDIRECT(ADDRESS(2,COLUMN())),OFFSET($BN$2,0,0,ROW()-1,60),ROW()-1,FALSE))</f>
        <v>37.617076859999997</v>
      </c>
      <c r="AQ208">
        <f ca="1">IF(AND(ISNUMBER($AQ$409),$B$226=1),$AQ$409,HLOOKUP(INDIRECT(ADDRESS(2,COLUMN())),OFFSET($BN$2,0,0,ROW()-1,60),ROW()-1,FALSE))</f>
        <v>61.242100399999998</v>
      </c>
      <c r="AR208">
        <f ca="1">IF(AND(ISNUMBER($AR$409),$B$226=1),$AR$409,HLOOKUP(INDIRECT(ADDRESS(2,COLUMN())),OFFSET($BN$2,0,0,ROW()-1,60),ROW()-1,FALSE))</f>
        <v>60.852754099999999</v>
      </c>
      <c r="AS208">
        <f ca="1">IF(AND(ISNUMBER($AS$409),$B$226=1),$AS$409,HLOOKUP(INDIRECT(ADDRESS(2,COLUMN())),OFFSET($BN$2,0,0,ROW()-1,60),ROW()-1,FALSE))</f>
        <v>64.39148342</v>
      </c>
      <c r="AT208">
        <f ca="1">IF(AND(ISNUMBER($AT$409),$B$226=1),$AT$409,HLOOKUP(INDIRECT(ADDRESS(2,COLUMN())),OFFSET($BN$2,0,0,ROW()-1,60),ROW()-1,FALSE))</f>
        <v>56.31304042</v>
      </c>
      <c r="AU208">
        <f ca="1">IF(AND(ISNUMBER($AU$409),$B$226=1),$AU$409,HLOOKUP(INDIRECT(ADDRESS(2,COLUMN())),OFFSET($BN$2,0,0,ROW()-1,60),ROW()-1,FALSE))</f>
        <v>67.274174849999994</v>
      </c>
      <c r="AV208">
        <f ca="1">IF(AND(ISNUMBER($AV$409),$B$226=1),$AV$409,HLOOKUP(INDIRECT(ADDRESS(2,COLUMN())),OFFSET($BN$2,0,0,ROW()-1,60),ROW()-1,FALSE))</f>
        <v>62.707536249999997</v>
      </c>
      <c r="AW208">
        <f ca="1">IF(AND(ISNUMBER($AW$409),$B$226=1),$AW$409,HLOOKUP(INDIRECT(ADDRESS(2,COLUMN())),OFFSET($BN$2,0,0,ROW()-1,60),ROW()-1,FALSE))</f>
        <v>62.414030959999998</v>
      </c>
      <c r="AX208">
        <f ca="1">IF(AND(ISNUMBER($AX$409),$B$226=1),$AX$409,HLOOKUP(INDIRECT(ADDRESS(2,COLUMN())),OFFSET($BN$2,0,0,ROW()-1,60),ROW()-1,FALSE))</f>
        <v>48.014078189999999</v>
      </c>
      <c r="AY208">
        <f ca="1">IF(AND(ISNUMBER($AY$409),$B$226=1),$AY$409,HLOOKUP(INDIRECT(ADDRESS(2,COLUMN())),OFFSET($BN$2,0,0,ROW()-1,60),ROW()-1,FALSE))</f>
        <v>78.917360720000005</v>
      </c>
      <c r="AZ208">
        <f ca="1">IF(AND(ISNUMBER($AZ$409),$B$226=1),$AZ$409,HLOOKUP(INDIRECT(ADDRESS(2,COLUMN())),OFFSET($BN$2,0,0,ROW()-1,60),ROW()-1,FALSE))</f>
        <v>59.167869119999999</v>
      </c>
      <c r="BA208">
        <f ca="1">IF(AND(ISNUMBER($BA$409),$B$226=1),$BA$409,HLOOKUP(INDIRECT(ADDRESS(2,COLUMN())),OFFSET($BN$2,0,0,ROW()-1,60),ROW()-1,FALSE))</f>
        <v>51.889923770000003</v>
      </c>
      <c r="BB208">
        <f ca="1">IF(AND(ISNUMBER($BB$409),$B$226=1),$BB$409,HLOOKUP(INDIRECT(ADDRESS(2,COLUMN())),OFFSET($BN$2,0,0,ROW()-1,60),ROW()-1,FALSE))</f>
        <v>66.439506170000001</v>
      </c>
      <c r="BC208">
        <f ca="1">IF(AND(ISNUMBER($BC$409),$B$226=1),$BC$409,HLOOKUP(INDIRECT(ADDRESS(2,COLUMN())),OFFSET($BN$2,0,0,ROW()-1,60),ROW()-1,FALSE))</f>
        <v>95.439935629999994</v>
      </c>
      <c r="BD208">
        <f ca="1">IF(AND(ISNUMBER($BD$409),$B$226=1),$BD$409,HLOOKUP(INDIRECT(ADDRESS(2,COLUMN())),OFFSET($BN$2,0,0,ROW()-1,60),ROW()-1,FALSE))</f>
        <v>63.090139860000001</v>
      </c>
      <c r="BE208">
        <f ca="1">IF(AND(ISNUMBER($BE$409),$B$226=1),$BE$409,HLOOKUP(INDIRECT(ADDRESS(2,COLUMN())),OFFSET($BN$2,0,0,ROW()-1,60),ROW()-1,FALSE))</f>
        <v>67.851823530000004</v>
      </c>
      <c r="BF208">
        <f ca="1">IF(AND(ISNUMBER($BF$409),$B$226=1),$BF$409,HLOOKUP(INDIRECT(ADDRESS(2,COLUMN())),OFFSET($BN$2,0,0,ROW()-1,60),ROW()-1,FALSE))</f>
        <v>56.852158719999998</v>
      </c>
      <c r="BG208">
        <f ca="1">IF(AND(ISNUMBER($BG$409),$B$226=1),$BG$409,HLOOKUP(INDIRECT(ADDRESS(2,COLUMN())),OFFSET($BN$2,0,0,ROW()-1,60),ROW()-1,FALSE))</f>
        <v>61.953712119999999</v>
      </c>
      <c r="BH208">
        <f ca="1">IF(AND(ISNUMBER($BH$409),$B$226=1),$BH$409,HLOOKUP(INDIRECT(ADDRESS(2,COLUMN())),OFFSET($BN$2,0,0,ROW()-1,60),ROW()-1,FALSE))</f>
        <v>52.575953030000001</v>
      </c>
      <c r="BI208">
        <f ca="1">IF(AND(ISNUMBER($BI$409),$B$226=1),$BI$409,HLOOKUP(INDIRECT(ADDRESS(2,COLUMN())),OFFSET($BN$2,0,0,ROW()-1,60),ROW()-1,FALSE))</f>
        <v>72.939355390000003</v>
      </c>
      <c r="BJ208">
        <f ca="1">IF(AND(ISNUMBER($BJ$409),$B$226=1),$BJ$409,HLOOKUP(INDIRECT(ADDRESS(2,COLUMN())),OFFSET($BN$2,0,0,ROW()-1,60),ROW()-1,FALSE))</f>
        <v>73.767685990000004</v>
      </c>
      <c r="BK208">
        <f ca="1">IF(AND(ISNUMBER($BK$409),$B$226=1),$BK$409,HLOOKUP(INDIRECT(ADDRESS(2,COLUMN())),OFFSET($BN$2,0,0,ROW()-1,60),ROW()-1,FALSE))</f>
        <v>75.666062760000003</v>
      </c>
      <c r="BL208">
        <f ca="1">IF(AND(ISNUMBER($BL$409),$B$226=1),$BL$409,HLOOKUP(INDIRECT(ADDRESS(2,COLUMN())),OFFSET($BN$2,0,0,ROW()-1,60),ROW()-1,FALSE))</f>
        <v>66.200197610000004</v>
      </c>
      <c r="BM208">
        <f ca="1">IF(AND(ISNUMBER($BM$409),$B$226=1),$BM$409,HLOOKUP(INDIRECT(ADDRESS(2,COLUMN())),OFFSET($BN$2,0,0,ROW()-1,60),ROW()-1,FALSE))</f>
        <v>66.244102150000003</v>
      </c>
      <c r="BN208" t="str">
        <f>""</f>
        <v/>
      </c>
      <c r="BO208">
        <f>56.27830473</f>
        <v>56.278304730000002</v>
      </c>
      <c r="BP208">
        <f>56.77496596</f>
        <v>56.774965960000003</v>
      </c>
      <c r="BQ208">
        <f>56.78551727</f>
        <v>56.78551727</v>
      </c>
      <c r="BR208">
        <f>57.1312726</f>
        <v>57.131272600000003</v>
      </c>
      <c r="BS208">
        <f>54.18383622</f>
        <v>54.183836220000003</v>
      </c>
      <c r="BT208">
        <f>54.84595762</f>
        <v>54.84595762</v>
      </c>
      <c r="BU208">
        <f>54.83447099</f>
        <v>54.83447099</v>
      </c>
      <c r="BV208">
        <f>58.43475316</f>
        <v>58.43475316</v>
      </c>
      <c r="BW208">
        <f>54.83892678</f>
        <v>54.838926780000001</v>
      </c>
      <c r="BX208">
        <f>54.88652291</f>
        <v>54.886522909999997</v>
      </c>
      <c r="BY208">
        <f>58.30402199</f>
        <v>58.304021990000003</v>
      </c>
      <c r="BZ208">
        <f>62.24369254</f>
        <v>62.243692539999998</v>
      </c>
      <c r="CA208">
        <f>54.72165391</f>
        <v>54.721653910000001</v>
      </c>
      <c r="CB208">
        <f>60.14136487</f>
        <v>60.141364869999997</v>
      </c>
      <c r="CC208">
        <f>72.6808672</f>
        <v>72.680867199999994</v>
      </c>
      <c r="CD208">
        <f>69.66951903</f>
        <v>69.669519030000004</v>
      </c>
      <c r="CE208">
        <f>63.56353564</f>
        <v>63.563535639999998</v>
      </c>
      <c r="CF208">
        <f>61.5557554</f>
        <v>61.555755400000002</v>
      </c>
      <c r="CG208">
        <f>59.68176807</f>
        <v>59.681768069999997</v>
      </c>
      <c r="CH208">
        <f>60.10108191</f>
        <v>60.101081909999998</v>
      </c>
      <c r="CI208">
        <f>60.29157161</f>
        <v>60.291571609999998</v>
      </c>
      <c r="CJ208">
        <f>64.17312274</f>
        <v>64.173122739999997</v>
      </c>
      <c r="CK208">
        <f>60.90009961</f>
        <v>60.900099609999998</v>
      </c>
      <c r="CL208">
        <f>65.717709</f>
        <v>65.717708999999999</v>
      </c>
      <c r="CM208">
        <f>62.80658989</f>
        <v>62.806589889999998</v>
      </c>
      <c r="CN208">
        <f>68.18003111</f>
        <v>68.180031110000002</v>
      </c>
      <c r="CO208">
        <f>77.64396517</f>
        <v>77.643965170000001</v>
      </c>
      <c r="CP208">
        <f>69.9231229</f>
        <v>69.923122899999996</v>
      </c>
      <c r="CQ208">
        <f>73.53421246</f>
        <v>73.534212460000006</v>
      </c>
      <c r="CR208">
        <f>76.81504215</f>
        <v>76.815042149999996</v>
      </c>
      <c r="CS208">
        <f>71.03000659</f>
        <v>71.030006589999999</v>
      </c>
      <c r="CT208">
        <f>65.41720966</f>
        <v>65.417209659999997</v>
      </c>
      <c r="CU208">
        <f>81.31490684</f>
        <v>81.314906840000006</v>
      </c>
      <c r="CV208">
        <f>55.95629131</f>
        <v>55.956291309999997</v>
      </c>
      <c r="CW208">
        <f>65.797453</f>
        <v>65.797453000000004</v>
      </c>
      <c r="CX208">
        <f>37.61707686</f>
        <v>37.617076859999997</v>
      </c>
      <c r="CY208">
        <f>61.2421004</f>
        <v>61.242100399999998</v>
      </c>
      <c r="CZ208">
        <f>60.8527541</f>
        <v>60.852754099999999</v>
      </c>
      <c r="DA208">
        <f>64.39148342</f>
        <v>64.39148342</v>
      </c>
      <c r="DB208">
        <f>56.31304042</f>
        <v>56.31304042</v>
      </c>
      <c r="DC208">
        <f>67.27417485</f>
        <v>67.274174849999994</v>
      </c>
      <c r="DD208">
        <f>62.70753625</f>
        <v>62.707536249999997</v>
      </c>
      <c r="DE208">
        <f>62.41403096</f>
        <v>62.414030959999998</v>
      </c>
      <c r="DF208">
        <f>48.01407819</f>
        <v>48.014078189999999</v>
      </c>
      <c r="DG208">
        <f>78.91736072</f>
        <v>78.917360720000005</v>
      </c>
      <c r="DH208">
        <f>59.16786912</f>
        <v>59.167869119999999</v>
      </c>
      <c r="DI208">
        <f>51.88992377</f>
        <v>51.889923770000003</v>
      </c>
      <c r="DJ208">
        <f>66.43950617</f>
        <v>66.439506170000001</v>
      </c>
      <c r="DK208">
        <f>95.43993563</f>
        <v>95.439935629999994</v>
      </c>
      <c r="DL208">
        <f>63.09013986</f>
        <v>63.090139860000001</v>
      </c>
      <c r="DM208">
        <f>67.85182353</f>
        <v>67.851823530000004</v>
      </c>
      <c r="DN208">
        <f>56.85215872</f>
        <v>56.852158719999998</v>
      </c>
      <c r="DO208">
        <f>61.95371212</f>
        <v>61.953712119999999</v>
      </c>
      <c r="DP208">
        <f>52.57595303</f>
        <v>52.575953030000001</v>
      </c>
      <c r="DQ208">
        <f>72.93935539</f>
        <v>72.939355390000003</v>
      </c>
      <c r="DR208">
        <f>73.76768599</f>
        <v>73.767685990000004</v>
      </c>
      <c r="DS208">
        <f>75.66606276</f>
        <v>75.666062760000003</v>
      </c>
      <c r="DT208">
        <f>66.20019761</f>
        <v>66.200197610000004</v>
      </c>
      <c r="DU208">
        <f>66.24410215</f>
        <v>66.244102150000003</v>
      </c>
    </row>
    <row r="209" spans="1:125">
      <c r="A209" t="str">
        <f>"    Mid-America Apartment Communit"</f>
        <v xml:space="preserve">    Mid-America Apartment Communit</v>
      </c>
      <c r="B209" t="str">
        <f>"MAA US Equity"</f>
        <v>MAA US Equity</v>
      </c>
      <c r="C209" t="str">
        <f t="shared" si="66"/>
        <v>RR106</v>
      </c>
      <c r="D209" t="str">
        <f t="shared" si="67"/>
        <v>FFO_PAYOUT_RATIO</v>
      </c>
      <c r="E209" t="str">
        <f t="shared" si="68"/>
        <v>动态</v>
      </c>
      <c r="F209" t="str">
        <f ca="1">IF(AND(ISNUMBER($F$410),$B$226=1),$F$410,HLOOKUP(INDIRECT(ADDRESS(2,COLUMN())),OFFSET($BN$2,0,0,ROW()-1,60),ROW()-1,FALSE))</f>
        <v/>
      </c>
      <c r="G209">
        <f ca="1">IF(AND(ISNUMBER($G$410),$B$226=1),$G$410,HLOOKUP(INDIRECT(ADDRESS(2,COLUMN())),OFFSET($BN$2,0,0,ROW()-1,60),ROW()-1,FALSE))</f>
        <v>59.063760240000001</v>
      </c>
      <c r="H209">
        <f ca="1">IF(AND(ISNUMBER($H$410),$B$226=1),$H$410,HLOOKUP(INDIRECT(ADDRESS(2,COLUMN())),OFFSET($BN$2,0,0,ROW()-1,60),ROW()-1,FALSE))</f>
        <v>56.00184994</v>
      </c>
      <c r="I209">
        <f ca="1">IF(AND(ISNUMBER($I$410),$B$226=1),$I$410,HLOOKUP(INDIRECT(ADDRESS(2,COLUMN())),OFFSET($BN$2,0,0,ROW()-1,60),ROW()-1,FALSE))</f>
        <v>56.554263900000002</v>
      </c>
      <c r="J209">
        <f ca="1">IF(AND(ISNUMBER($J$410),$B$226=1),$J$410,HLOOKUP(INDIRECT(ADDRESS(2,COLUMN())),OFFSET($BN$2,0,0,ROW()-1,60),ROW()-1,FALSE))</f>
        <v>57.432455570000002</v>
      </c>
      <c r="K209">
        <f ca="1">IF(AND(ISNUMBER($K$410),$B$226=1),$K$410,HLOOKUP(INDIRECT(ADDRESS(2,COLUMN())),OFFSET($BN$2,0,0,ROW()-1,60),ROW()-1,FALSE))</f>
        <v>73.582043850000005</v>
      </c>
      <c r="L209">
        <f ca="1">IF(AND(ISNUMBER($L$410),$B$226=1),$L$410,HLOOKUP(INDIRECT(ADDRESS(2,COLUMN())),OFFSET($BN$2,0,0,ROW()-1,60),ROW()-1,FALSE))</f>
        <v>52.657843120000003</v>
      </c>
      <c r="M209">
        <f ca="1">IF(AND(ISNUMBER($M$410),$B$226=1),$M$410,HLOOKUP(INDIRECT(ADDRESS(2,COLUMN())),OFFSET($BN$2,0,0,ROW()-1,60),ROW()-1,FALSE))</f>
        <v>50.362368029999999</v>
      </c>
      <c r="N209">
        <f ca="1">IF(AND(ISNUMBER($N$410),$B$226=1),$N$410,HLOOKUP(INDIRECT(ADDRESS(2,COLUMN())),OFFSET($BN$2,0,0,ROW()-1,60),ROW()-1,FALSE))</f>
        <v>51.874251350000002</v>
      </c>
      <c r="O209">
        <f ca="1">IF(AND(ISNUMBER($O$410),$B$226=1),$O$410,HLOOKUP(INDIRECT(ADDRESS(2,COLUMN())),OFFSET($BN$2,0,0,ROW()-1,60),ROW()-1,FALSE))</f>
        <v>52.009361720000001</v>
      </c>
      <c r="P209">
        <f ca="1">IF(AND(ISNUMBER($P$410),$B$226=1),$P$410,HLOOKUP(INDIRECT(ADDRESS(2,COLUMN())),OFFSET($BN$2,0,0,ROW()-1,60),ROW()-1,FALSE))</f>
        <v>50.542152270000003</v>
      </c>
      <c r="Q209">
        <f ca="1">IF(AND(ISNUMBER($Q$410),$B$226=1),$Q$410,HLOOKUP(INDIRECT(ADDRESS(2,COLUMN())),OFFSET($BN$2,0,0,ROW()-1,60),ROW()-1,FALSE))</f>
        <v>51.512424350000003</v>
      </c>
      <c r="R209">
        <f ca="1">IF(AND(ISNUMBER($R$410),$B$226=1),$R$410,HLOOKUP(INDIRECT(ADDRESS(2,COLUMN())),OFFSET($BN$2,0,0,ROW()-1,60),ROW()-1,FALSE))</f>
        <v>54.290151170000001</v>
      </c>
      <c r="S209">
        <f ca="1">IF(AND(ISNUMBER($S$410),$B$226=1),$S$410,HLOOKUP(INDIRECT(ADDRESS(2,COLUMN())),OFFSET($BN$2,0,0,ROW()-1,60),ROW()-1,FALSE))</f>
        <v>53.8637151</v>
      </c>
      <c r="T209">
        <f ca="1">IF(AND(ISNUMBER($T$410),$B$226=1),$T$410,HLOOKUP(INDIRECT(ADDRESS(2,COLUMN())),OFFSET($BN$2,0,0,ROW()-1,60),ROW()-1,FALSE))</f>
        <v>52.88866204</v>
      </c>
      <c r="U209">
        <f ca="1">IF(AND(ISNUMBER($U$410),$B$226=1),$U$410,HLOOKUP(INDIRECT(ADDRESS(2,COLUMN())),OFFSET($BN$2,0,0,ROW()-1,60),ROW()-1,FALSE))</f>
        <v>57.282296649999999</v>
      </c>
      <c r="V209">
        <f ca="1">IF(AND(ISNUMBER($V$410),$B$226=1),$V$410,HLOOKUP(INDIRECT(ADDRESS(2,COLUMN())),OFFSET($BN$2,0,0,ROW()-1,60),ROW()-1,FALSE))</f>
        <v>56.086883729999997</v>
      </c>
      <c r="W209">
        <f ca="1">IF(AND(ISNUMBER($W$410),$B$226=1),$W$410,HLOOKUP(INDIRECT(ADDRESS(2,COLUMN())),OFFSET($BN$2,0,0,ROW()-1,60),ROW()-1,FALSE))</f>
        <v>72.779788839999995</v>
      </c>
      <c r="X209">
        <f ca="1">IF(AND(ISNUMBER($X$410),$B$226=1),$X$410,HLOOKUP(INDIRECT(ADDRESS(2,COLUMN())),OFFSET($BN$2,0,0,ROW()-1,60),ROW()-1,FALSE))</f>
        <v>59.294114120000003</v>
      </c>
      <c r="Y209">
        <f ca="1">IF(AND(ISNUMBER($Y$410),$B$226=1),$Y$410,HLOOKUP(INDIRECT(ADDRESS(2,COLUMN())),OFFSET($BN$2,0,0,ROW()-1,60),ROW()-1,FALSE))</f>
        <v>58.489229860000002</v>
      </c>
      <c r="Z209">
        <f ca="1">IF(AND(ISNUMBER($Z$410),$B$226=1),$Z$410,HLOOKUP(INDIRECT(ADDRESS(2,COLUMN())),OFFSET($BN$2,0,0,ROW()-1,60),ROW()-1,FALSE))</f>
        <v>53.738749339999998</v>
      </c>
      <c r="AA209">
        <f ca="1">IF(AND(ISNUMBER($AA$410),$B$226=1),$AA$410,HLOOKUP(INDIRECT(ADDRESS(2,COLUMN())),OFFSET($BN$2,0,0,ROW()-1,60),ROW()-1,FALSE))</f>
        <v>55.481285929999999</v>
      </c>
      <c r="AB209">
        <f ca="1">IF(AND(ISNUMBER($AB$410),$B$226=1),$AB$410,HLOOKUP(INDIRECT(ADDRESS(2,COLUMN())),OFFSET($BN$2,0,0,ROW()-1,60),ROW()-1,FALSE))</f>
        <v>57.434971249999997</v>
      </c>
      <c r="AC209">
        <f ca="1">IF(AND(ISNUMBER($AC$410),$B$226=1),$AC$410,HLOOKUP(INDIRECT(ADDRESS(2,COLUMN())),OFFSET($BN$2,0,0,ROW()-1,60),ROW()-1,FALSE))</f>
        <v>56.021332559999998</v>
      </c>
      <c r="AD209">
        <f ca="1">IF(AND(ISNUMBER($AD$410),$B$226=1),$AD$410,HLOOKUP(INDIRECT(ADDRESS(2,COLUMN())),OFFSET($BN$2,0,0,ROW()-1,60),ROW()-1,FALSE))</f>
        <v>58.196615420000001</v>
      </c>
      <c r="AE209">
        <f ca="1">IF(AND(ISNUMBER($AE$410),$B$226=1),$AE$410,HLOOKUP(INDIRECT(ADDRESS(2,COLUMN())),OFFSET($BN$2,0,0,ROW()-1,60),ROW()-1,FALSE))</f>
        <v>58.405662569999997</v>
      </c>
      <c r="AF209">
        <f ca="1">IF(AND(ISNUMBER($AF$410),$B$226=1),$AF$410,HLOOKUP(INDIRECT(ADDRESS(2,COLUMN())),OFFSET($BN$2,0,0,ROW()-1,60),ROW()-1,FALSE))</f>
        <v>60.37250306</v>
      </c>
      <c r="AG209">
        <f ca="1">IF(AND(ISNUMBER($AG$410),$B$226=1),$AG$410,HLOOKUP(INDIRECT(ADDRESS(2,COLUMN())),OFFSET($BN$2,0,0,ROW()-1,60),ROW()-1,FALSE))</f>
        <v>64.577747059999993</v>
      </c>
      <c r="AH209">
        <f ca="1">IF(AND(ISNUMBER($AH$410),$B$226=1),$AH$410,HLOOKUP(INDIRECT(ADDRESS(2,COLUMN())),OFFSET($BN$2,0,0,ROW()-1,60),ROW()-1,FALSE))</f>
        <v>62.035161629999998</v>
      </c>
      <c r="AI209">
        <f ca="1">IF(AND(ISNUMBER($AI$410),$B$226=1),$AI$410,HLOOKUP(INDIRECT(ADDRESS(2,COLUMN())),OFFSET($BN$2,0,0,ROW()-1,60),ROW()-1,FALSE))</f>
        <v>62.183300119999998</v>
      </c>
      <c r="AJ209">
        <f ca="1">IF(AND(ISNUMBER($AJ$410),$B$226=1),$AJ$410,HLOOKUP(INDIRECT(ADDRESS(2,COLUMN())),OFFSET($BN$2,0,0,ROW()-1,60),ROW()-1,FALSE))</f>
        <v>70.428380189999999</v>
      </c>
      <c r="AK209">
        <f ca="1">IF(AND(ISNUMBER($AK$410),$B$226=1),$AK$410,HLOOKUP(INDIRECT(ADDRESS(2,COLUMN())),OFFSET($BN$2,0,0,ROW()-1,60),ROW()-1,FALSE))</f>
        <v>75.099382879999993</v>
      </c>
      <c r="AL209">
        <f ca="1">IF(AND(ISNUMBER($AL$410),$B$226=1),$AL$410,HLOOKUP(INDIRECT(ADDRESS(2,COLUMN())),OFFSET($BN$2,0,0,ROW()-1,60),ROW()-1,FALSE))</f>
        <v>58.953566950000003</v>
      </c>
      <c r="AM209">
        <f ca="1">IF(AND(ISNUMBER($AM$410),$B$226=1),$AM$410,HLOOKUP(INDIRECT(ADDRESS(2,COLUMN())),OFFSET($BN$2,0,0,ROW()-1,60),ROW()-1,FALSE))</f>
        <v>61.720729669999997</v>
      </c>
      <c r="AN209">
        <f ca="1">IF(AND(ISNUMBER($AN$410),$B$226=1),$AN$410,HLOOKUP(INDIRECT(ADDRESS(2,COLUMN())),OFFSET($BN$2,0,0,ROW()-1,60),ROW()-1,FALSE))</f>
        <v>64.443066599999995</v>
      </c>
      <c r="AO209">
        <f ca="1">IF(AND(ISNUMBER($AO$410),$B$226=1),$AO$410,HLOOKUP(INDIRECT(ADDRESS(2,COLUMN())),OFFSET($BN$2,0,0,ROW()-1,60),ROW()-1,FALSE))</f>
        <v>57.955254160000003</v>
      </c>
      <c r="AP209">
        <f ca="1">IF(AND(ISNUMBER($AP$410),$B$226=1),$AP$410,HLOOKUP(INDIRECT(ADDRESS(2,COLUMN())),OFFSET($BN$2,0,0,ROW()-1,60),ROW()-1,FALSE))</f>
        <v>56.215703820000002</v>
      </c>
      <c r="AQ209">
        <f ca="1">IF(AND(ISNUMBER($AQ$410),$B$226=1),$AQ$410,HLOOKUP(INDIRECT(ADDRESS(2,COLUMN())),OFFSET($BN$2,0,0,ROW()-1,60),ROW()-1,FALSE))</f>
        <v>61.39276564</v>
      </c>
      <c r="AR209">
        <f ca="1">IF(AND(ISNUMBER($AR$410),$B$226=1),$AR$410,HLOOKUP(INDIRECT(ADDRESS(2,COLUMN())),OFFSET($BN$2,0,0,ROW()-1,60),ROW()-1,FALSE))</f>
        <v>62.95975705</v>
      </c>
      <c r="AS209">
        <f ca="1">IF(AND(ISNUMBER($AS$410),$B$226=1),$AS$410,HLOOKUP(INDIRECT(ADDRESS(2,COLUMN())),OFFSET($BN$2,0,0,ROW()-1,60),ROW()-1,FALSE))</f>
        <v>60.55052465</v>
      </c>
      <c r="AT209">
        <f ca="1">IF(AND(ISNUMBER($AT$410),$B$226=1),$AT$410,HLOOKUP(INDIRECT(ADDRESS(2,COLUMN())),OFFSET($BN$2,0,0,ROW()-1,60),ROW()-1,FALSE))</f>
        <v>58.094285079999999</v>
      </c>
      <c r="AU209">
        <f ca="1">IF(AND(ISNUMBER($AU$410),$B$226=1),$AU$410,HLOOKUP(INDIRECT(ADDRESS(2,COLUMN())),OFFSET($BN$2,0,0,ROW()-1,60),ROW()-1,FALSE))</f>
        <v>72.931180800000007</v>
      </c>
      <c r="AV209">
        <f ca="1">IF(AND(ISNUMBER($AV$410),$B$226=1),$AV$410,HLOOKUP(INDIRECT(ADDRESS(2,COLUMN())),OFFSET($BN$2,0,0,ROW()-1,60),ROW()-1,FALSE))</f>
        <v>59.989092190000001</v>
      </c>
      <c r="AW209">
        <f ca="1">IF(AND(ISNUMBER($AW$410),$B$226=1),$AW$410,HLOOKUP(INDIRECT(ADDRESS(2,COLUMN())),OFFSET($BN$2,0,0,ROW()-1,60),ROW()-1,FALSE))</f>
        <v>65.392545729999995</v>
      </c>
      <c r="AX209">
        <f ca="1">IF(AND(ISNUMBER($AX$410),$B$226=1),$AX$410,HLOOKUP(INDIRECT(ADDRESS(2,COLUMN())),OFFSET($BN$2,0,0,ROW()-1,60),ROW()-1,FALSE))</f>
        <v>62.998651000000002</v>
      </c>
      <c r="AY209">
        <f ca="1">IF(AND(ISNUMBER($AY$410),$B$226=1),$AY$410,HLOOKUP(INDIRECT(ADDRESS(2,COLUMN())),OFFSET($BN$2,0,0,ROW()-1,60),ROW()-1,FALSE))</f>
        <v>72.371382990000001</v>
      </c>
      <c r="AZ209">
        <f ca="1">IF(AND(ISNUMBER($AZ$410),$B$226=1),$AZ$410,HLOOKUP(INDIRECT(ADDRESS(2,COLUMN())),OFFSET($BN$2,0,0,ROW()-1,60),ROW()-1,FALSE))</f>
        <v>64.964727839999995</v>
      </c>
      <c r="BA209">
        <f ca="1">IF(AND(ISNUMBER($BA$410),$B$226=1),$BA$410,HLOOKUP(INDIRECT(ADDRESS(2,COLUMN())),OFFSET($BN$2,0,0,ROW()-1,60),ROW()-1,FALSE))</f>
        <v>62.967682949999997</v>
      </c>
      <c r="BB209">
        <f ca="1">IF(AND(ISNUMBER($BB$410),$B$226=1),$BB$410,HLOOKUP(INDIRECT(ADDRESS(2,COLUMN())),OFFSET($BN$2,0,0,ROW()-1,60),ROW()-1,FALSE))</f>
        <v>126.7477985</v>
      </c>
      <c r="BC209">
        <f ca="1">IF(AND(ISNUMBER($BC$410),$B$226=1),$BC$410,HLOOKUP(INDIRECT(ADDRESS(2,COLUMN())),OFFSET($BN$2,0,0,ROW()-1,60),ROW()-1,FALSE))</f>
        <v>62.973027379999998</v>
      </c>
      <c r="BD209">
        <f ca="1">IF(AND(ISNUMBER($BD$410),$B$226=1),$BD$410,HLOOKUP(INDIRECT(ADDRESS(2,COLUMN())),OFFSET($BN$2,0,0,ROW()-1,60),ROW()-1,FALSE))</f>
        <v>138.95098089999999</v>
      </c>
      <c r="BE209">
        <f ca="1">IF(AND(ISNUMBER($BE$410),$B$226=1),$BE$410,HLOOKUP(INDIRECT(ADDRESS(2,COLUMN())),OFFSET($BN$2,0,0,ROW()-1,60),ROW()-1,FALSE))</f>
        <v>60.922519749999999</v>
      </c>
      <c r="BF209">
        <f ca="1">IF(AND(ISNUMBER($BF$410),$B$226=1),$BF$410,HLOOKUP(INDIRECT(ADDRESS(2,COLUMN())),OFFSET($BN$2,0,0,ROW()-1,60),ROW()-1,FALSE))</f>
        <v>32.663358410000001</v>
      </c>
      <c r="BG209">
        <f ca="1">IF(AND(ISNUMBER($BG$410),$B$226=1),$BG$410,HLOOKUP(INDIRECT(ADDRESS(2,COLUMN())),OFFSET($BN$2,0,0,ROW()-1,60),ROW()-1,FALSE))</f>
        <v>67.682985669999994</v>
      </c>
      <c r="BH209">
        <f ca="1">IF(AND(ISNUMBER($BH$410),$B$226=1),$BH$410,HLOOKUP(INDIRECT(ADDRESS(2,COLUMN())),OFFSET($BN$2,0,0,ROW()-1,60),ROW()-1,FALSE))</f>
        <v>69.436825209999995</v>
      </c>
      <c r="BI209">
        <f ca="1">IF(AND(ISNUMBER($BI$410),$B$226=1),$BI$410,HLOOKUP(INDIRECT(ADDRESS(2,COLUMN())),OFFSET($BN$2,0,0,ROW()-1,60),ROW()-1,FALSE))</f>
        <v>69.707670039999996</v>
      </c>
      <c r="BJ209">
        <f ca="1">IF(AND(ISNUMBER($BJ$410),$B$226=1),$BJ$410,HLOOKUP(INDIRECT(ADDRESS(2,COLUMN())),OFFSET($BN$2,0,0,ROW()-1,60),ROW()-1,FALSE))</f>
        <v>67.017327030000004</v>
      </c>
      <c r="BK209">
        <f ca="1">IF(AND(ISNUMBER($BK$410),$B$226=1),$BK$410,HLOOKUP(INDIRECT(ADDRESS(2,COLUMN())),OFFSET($BN$2,0,0,ROW()-1,60),ROW()-1,FALSE))</f>
        <v>68.169872249999997</v>
      </c>
      <c r="BL209">
        <f ca="1">IF(AND(ISNUMBER($BL$410),$B$226=1),$BL$410,HLOOKUP(INDIRECT(ADDRESS(2,COLUMN())),OFFSET($BN$2,0,0,ROW()-1,60),ROW()-1,FALSE))</f>
        <v>123.7088388</v>
      </c>
      <c r="BM209">
        <f ca="1">IF(AND(ISNUMBER($BM$410),$B$226=1),$BM$410,HLOOKUP(INDIRECT(ADDRESS(2,COLUMN())),OFFSET($BN$2,0,0,ROW()-1,60),ROW()-1,FALSE))</f>
        <v>69.195036169999995</v>
      </c>
      <c r="BN209" t="str">
        <f>""</f>
        <v/>
      </c>
      <c r="BO209">
        <f>59.06376024</f>
        <v>59.063760240000001</v>
      </c>
      <c r="BP209">
        <f>56.00184994</f>
        <v>56.00184994</v>
      </c>
      <c r="BQ209">
        <f>56.5542639</f>
        <v>56.554263900000002</v>
      </c>
      <c r="BR209">
        <f>57.43245557</f>
        <v>57.432455570000002</v>
      </c>
      <c r="BS209">
        <f>73.58204385</f>
        <v>73.582043850000005</v>
      </c>
      <c r="BT209">
        <f>52.65784312</f>
        <v>52.657843120000003</v>
      </c>
      <c r="BU209">
        <f>50.36236803</f>
        <v>50.362368029999999</v>
      </c>
      <c r="BV209">
        <f>51.87425135</f>
        <v>51.874251350000002</v>
      </c>
      <c r="BW209">
        <f>52.00936172</f>
        <v>52.009361720000001</v>
      </c>
      <c r="BX209">
        <f>50.54215227</f>
        <v>50.542152270000003</v>
      </c>
      <c r="BY209">
        <f>51.51242435</f>
        <v>51.512424350000003</v>
      </c>
      <c r="BZ209">
        <f>54.29015117</f>
        <v>54.290151170000001</v>
      </c>
      <c r="CA209">
        <f>53.8637151</f>
        <v>53.8637151</v>
      </c>
      <c r="CB209">
        <f>52.88866204</f>
        <v>52.88866204</v>
      </c>
      <c r="CC209">
        <f>57.28229665</f>
        <v>57.282296649999999</v>
      </c>
      <c r="CD209">
        <f>56.08688373</f>
        <v>56.086883729999997</v>
      </c>
      <c r="CE209">
        <f>72.77978884</f>
        <v>72.779788839999995</v>
      </c>
      <c r="CF209">
        <f>59.29411412</f>
        <v>59.294114120000003</v>
      </c>
      <c r="CG209">
        <f>58.48922986</f>
        <v>58.489229860000002</v>
      </c>
      <c r="CH209">
        <f>53.73874934</f>
        <v>53.738749339999998</v>
      </c>
      <c r="CI209">
        <f>55.48128593</f>
        <v>55.481285929999999</v>
      </c>
      <c r="CJ209">
        <f>57.43497125</f>
        <v>57.434971249999997</v>
      </c>
      <c r="CK209">
        <f>56.02133256</f>
        <v>56.021332559999998</v>
      </c>
      <c r="CL209">
        <f>58.19661542</f>
        <v>58.196615420000001</v>
      </c>
      <c r="CM209">
        <f>58.40566257</f>
        <v>58.405662569999997</v>
      </c>
      <c r="CN209">
        <f>60.37250306</f>
        <v>60.37250306</v>
      </c>
      <c r="CO209">
        <f>64.57774706</f>
        <v>64.577747059999993</v>
      </c>
      <c r="CP209">
        <f>62.03516163</f>
        <v>62.035161629999998</v>
      </c>
      <c r="CQ209">
        <f>62.18330012</f>
        <v>62.183300119999998</v>
      </c>
      <c r="CR209">
        <f>70.42838019</f>
        <v>70.428380189999999</v>
      </c>
      <c r="CS209">
        <f>75.09938288</f>
        <v>75.099382879999993</v>
      </c>
      <c r="CT209">
        <f>58.95356695</f>
        <v>58.953566950000003</v>
      </c>
      <c r="CU209">
        <f>61.72072967</f>
        <v>61.720729669999997</v>
      </c>
      <c r="CV209">
        <f>64.4430666</f>
        <v>64.443066599999995</v>
      </c>
      <c r="CW209">
        <f>57.95525416</f>
        <v>57.955254160000003</v>
      </c>
      <c r="CX209">
        <f>56.21570382</f>
        <v>56.215703820000002</v>
      </c>
      <c r="CY209">
        <f>61.39276564</f>
        <v>61.39276564</v>
      </c>
      <c r="CZ209">
        <f>62.95975705</f>
        <v>62.95975705</v>
      </c>
      <c r="DA209">
        <f>60.55052465</f>
        <v>60.55052465</v>
      </c>
      <c r="DB209">
        <f>58.09428508</f>
        <v>58.094285079999999</v>
      </c>
      <c r="DC209">
        <f>72.9311808</f>
        <v>72.931180800000007</v>
      </c>
      <c r="DD209">
        <f>59.98909219</f>
        <v>59.989092190000001</v>
      </c>
      <c r="DE209">
        <f>65.39254573</f>
        <v>65.392545729999995</v>
      </c>
      <c r="DF209">
        <f>62.998651</f>
        <v>62.998651000000002</v>
      </c>
      <c r="DG209">
        <f>72.37138299</f>
        <v>72.371382990000001</v>
      </c>
      <c r="DH209">
        <f>64.96472784</f>
        <v>64.964727839999995</v>
      </c>
      <c r="DI209">
        <f>62.96768295</f>
        <v>62.967682949999997</v>
      </c>
      <c r="DJ209">
        <f>126.7477985</f>
        <v>126.7477985</v>
      </c>
      <c r="DK209">
        <f>62.97302738</f>
        <v>62.973027379999998</v>
      </c>
      <c r="DL209">
        <f>138.9509809</f>
        <v>138.95098089999999</v>
      </c>
      <c r="DM209">
        <f>60.92251975</f>
        <v>60.922519749999999</v>
      </c>
      <c r="DN209">
        <f>32.66335841</f>
        <v>32.663358410000001</v>
      </c>
      <c r="DO209">
        <f>67.68298567</f>
        <v>67.682985669999994</v>
      </c>
      <c r="DP209">
        <f>69.43682521</f>
        <v>69.436825209999995</v>
      </c>
      <c r="DQ209">
        <f>69.70767004</f>
        <v>69.707670039999996</v>
      </c>
      <c r="DR209">
        <f>67.01732703</f>
        <v>67.017327030000004</v>
      </c>
      <c r="DS209">
        <f>68.16987225</f>
        <v>68.169872249999997</v>
      </c>
      <c r="DT209">
        <f>123.7088388</f>
        <v>123.7088388</v>
      </c>
      <c r="DU209">
        <f>69.19503617</f>
        <v>69.195036169999995</v>
      </c>
    </row>
    <row r="210" spans="1:125">
      <c r="A210" t="str">
        <f>"    UDR Inc"</f>
        <v xml:space="preserve">    UDR Inc</v>
      </c>
      <c r="B210" t="str">
        <f>"UDR US Equity"</f>
        <v>UDR US Equity</v>
      </c>
      <c r="C210" t="str">
        <f t="shared" si="66"/>
        <v>RR106</v>
      </c>
      <c r="D210" t="str">
        <f t="shared" si="67"/>
        <v>FFO_PAYOUT_RATIO</v>
      </c>
      <c r="E210" t="str">
        <f t="shared" si="68"/>
        <v>动态</v>
      </c>
      <c r="F210" t="str">
        <f ca="1">IF(AND(ISNUMBER($F$411),$B$226=1),$F$411,HLOOKUP(INDIRECT(ADDRESS(2,COLUMN())),OFFSET($BN$2,0,0,ROW()-1,60),ROW()-1,FALSE))</f>
        <v/>
      </c>
      <c r="G210">
        <f ca="1">IF(AND(ISNUMBER($G$411),$B$226=1),$G$411,HLOOKUP(INDIRECT(ADDRESS(2,COLUMN())),OFFSET($BN$2,0,0,ROW()-1,60),ROW()-1,FALSE))</f>
        <v>60.623640850000001</v>
      </c>
      <c r="H210">
        <f ca="1">IF(AND(ISNUMBER($H$411),$B$226=1),$H$411,HLOOKUP(INDIRECT(ADDRESS(2,COLUMN())),OFFSET($BN$2,0,0,ROW()-1,60),ROW()-1,FALSE))</f>
        <v>60.510882879999997</v>
      </c>
      <c r="I210">
        <f ca="1">IF(AND(ISNUMBER($I$411),$B$226=1),$I$411,HLOOKUP(INDIRECT(ADDRESS(2,COLUMN())),OFFSET($BN$2,0,0,ROW()-1,60),ROW()-1,FALSE))</f>
        <v>61.895842819999999</v>
      </c>
      <c r="J210">
        <f ca="1">IF(AND(ISNUMBER($J$411),$B$226=1),$J$411,HLOOKUP(INDIRECT(ADDRESS(2,COLUMN())),OFFSET($BN$2,0,0,ROW()-1,60),ROW()-1,FALSE))</f>
        <v>61.713202219999999</v>
      </c>
      <c r="K210">
        <f ca="1">IF(AND(ISNUMBER($K$411),$B$226=1),$K$411,HLOOKUP(INDIRECT(ADDRESS(2,COLUMN())),OFFSET($BN$2,0,0,ROW()-1,60),ROW()-1,FALSE))</f>
        <v>56.92953129</v>
      </c>
      <c r="L210">
        <f ca="1">IF(AND(ISNUMBER($L$411),$B$226=1),$L$411,HLOOKUP(INDIRECT(ADDRESS(2,COLUMN())),OFFSET($BN$2,0,0,ROW()-1,60),ROW()-1,FALSE))</f>
        <v>57.844673479999997</v>
      </c>
      <c r="M210">
        <f ca="1">IF(AND(ISNUMBER($M$411),$B$226=1),$M$411,HLOOKUP(INDIRECT(ADDRESS(2,COLUMN())),OFFSET($BN$2,0,0,ROW()-1,60),ROW()-1,FALSE))</f>
        <v>60.197769860000001</v>
      </c>
      <c r="N210">
        <f ca="1">IF(AND(ISNUMBER($N$411),$B$226=1),$N$411,HLOOKUP(INDIRECT(ADDRESS(2,COLUMN())),OFFSET($BN$2,0,0,ROW()-1,60),ROW()-1,FALSE))</f>
        <v>62.623502879999997</v>
      </c>
      <c r="O210">
        <f ca="1">IF(AND(ISNUMBER($O$411),$B$226=1),$O$411,HLOOKUP(INDIRECT(ADDRESS(2,COLUMN())),OFFSET($BN$2,0,0,ROW()-1,60),ROW()-1,FALSE))</f>
        <v>61.104162799999997</v>
      </c>
      <c r="P210">
        <f ca="1">IF(AND(ISNUMBER($P$411),$B$226=1),$P$411,HLOOKUP(INDIRECT(ADDRESS(2,COLUMN())),OFFSET($BN$2,0,0,ROW()-1,60),ROW()-1,FALSE))</f>
        <v>63.263036800000002</v>
      </c>
      <c r="Q210">
        <f ca="1">IF(AND(ISNUMBER($Q$411),$B$226=1),$Q$411,HLOOKUP(INDIRECT(ADDRESS(2,COLUMN())),OFFSET($BN$2,0,0,ROW()-1,60),ROW()-1,FALSE))</f>
        <v>65.753925789999997</v>
      </c>
      <c r="R210">
        <f ca="1">IF(AND(ISNUMBER($R$411),$B$226=1),$R$411,HLOOKUP(INDIRECT(ADDRESS(2,COLUMN())),OFFSET($BN$2,0,0,ROW()-1,60),ROW()-1,FALSE))</f>
        <v>62.28367437</v>
      </c>
      <c r="S210">
        <f ca="1">IF(AND(ISNUMBER($S$411),$B$226=1),$S$411,HLOOKUP(INDIRECT(ADDRESS(2,COLUMN())),OFFSET($BN$2,0,0,ROW()-1,60),ROW()-1,FALSE))</f>
        <v>61.188247070000003</v>
      </c>
      <c r="T210" t="str">
        <f ca="1">IF(AND(ISNUMBER($T$411),$B$226=1),$T$411,HLOOKUP(INDIRECT(ADDRESS(2,COLUMN())),OFFSET($BN$2,0,0,ROW()-1,60),ROW()-1,FALSE))</f>
        <v/>
      </c>
      <c r="U210" t="str">
        <f ca="1">IF(AND(ISNUMBER($U$411),$B$226=1),$U$411,HLOOKUP(INDIRECT(ADDRESS(2,COLUMN())),OFFSET($BN$2,0,0,ROW()-1,60),ROW()-1,FALSE))</f>
        <v/>
      </c>
      <c r="V210">
        <f ca="1">IF(AND(ISNUMBER($V$411),$B$226=1),$V$411,HLOOKUP(INDIRECT(ADDRESS(2,COLUMN())),OFFSET($BN$2,0,0,ROW()-1,60),ROW()-1,FALSE))</f>
        <v>61.861145020000002</v>
      </c>
      <c r="W210">
        <f ca="1">IF(AND(ISNUMBER($W$411),$B$226=1),$W$411,HLOOKUP(INDIRECT(ADDRESS(2,COLUMN())),OFFSET($BN$2,0,0,ROW()-1,60),ROW()-1,FALSE))</f>
        <v>62.739962310000003</v>
      </c>
      <c r="X210">
        <f ca="1">IF(AND(ISNUMBER($X$411),$B$226=1),$X$411,HLOOKUP(INDIRECT(ADDRESS(2,COLUMN())),OFFSET($BN$2,0,0,ROW()-1,60),ROW()-1,FALSE))</f>
        <v>59.936208739999998</v>
      </c>
      <c r="Y210">
        <f ca="1">IF(AND(ISNUMBER($Y$411),$B$226=1),$Y$411,HLOOKUP(INDIRECT(ADDRESS(2,COLUMN())),OFFSET($BN$2,0,0,ROW()-1,60),ROW()-1,FALSE))</f>
        <v>61.43807297</v>
      </c>
      <c r="Z210">
        <f ca="1">IF(AND(ISNUMBER($Z$411),$B$226=1),$Z$411,HLOOKUP(INDIRECT(ADDRESS(2,COLUMN())),OFFSET($BN$2,0,0,ROW()-1,60),ROW()-1,FALSE))</f>
        <v>59.67325099</v>
      </c>
      <c r="AA210">
        <f ca="1">IF(AND(ISNUMBER($AA$411),$B$226=1),$AA$411,HLOOKUP(INDIRECT(ADDRESS(2,COLUMN())),OFFSET($BN$2,0,0,ROW()-1,60),ROW()-1,FALSE))</f>
        <v>67.360371619999995</v>
      </c>
      <c r="AB210">
        <f ca="1">IF(AND(ISNUMBER($AB$411),$B$226=1),$AB$411,HLOOKUP(INDIRECT(ADDRESS(2,COLUMN())),OFFSET($BN$2,0,0,ROW()-1,60),ROW()-1,FALSE))</f>
        <v>63.515809179999998</v>
      </c>
      <c r="AC210">
        <f ca="1">IF(AND(ISNUMBER($AC$411),$B$226=1),$AC$411,HLOOKUP(INDIRECT(ADDRESS(2,COLUMN())),OFFSET($BN$2,0,0,ROW()-1,60),ROW()-1,FALSE))</f>
        <v>63.421472739999999</v>
      </c>
      <c r="AD210">
        <f ca="1">IF(AND(ISNUMBER($AD$411),$B$226=1),$AD$411,HLOOKUP(INDIRECT(ADDRESS(2,COLUMN())),OFFSET($BN$2,0,0,ROW()-1,60),ROW()-1,FALSE))</f>
        <v>58.34530651</v>
      </c>
      <c r="AE210">
        <f ca="1">IF(AND(ISNUMBER($AE$411),$B$226=1),$AE$411,HLOOKUP(INDIRECT(ADDRESS(2,COLUMN())),OFFSET($BN$2,0,0,ROW()-1,60),ROW()-1,FALSE))</f>
        <v>58.399771800000003</v>
      </c>
      <c r="AF210">
        <f ca="1">IF(AND(ISNUMBER($AF$411),$B$226=1),$AF$411,HLOOKUP(INDIRECT(ADDRESS(2,COLUMN())),OFFSET($BN$2,0,0,ROW()-1,60),ROW()-1,FALSE))</f>
        <v>58.593371060000003</v>
      </c>
      <c r="AG210">
        <f ca="1">IF(AND(ISNUMBER($AG$411),$B$226=1),$AG$411,HLOOKUP(INDIRECT(ADDRESS(2,COLUMN())),OFFSET($BN$2,0,0,ROW()-1,60),ROW()-1,FALSE))</f>
        <v>59.92166855</v>
      </c>
      <c r="AH210">
        <f ca="1">IF(AND(ISNUMBER($AH$411),$B$226=1),$AH$411,HLOOKUP(INDIRECT(ADDRESS(2,COLUMN())),OFFSET($BN$2,0,0,ROW()-1,60),ROW()-1,FALSE))</f>
        <v>60.410452970000001</v>
      </c>
      <c r="AI210">
        <f ca="1">IF(AND(ISNUMBER($AI$411),$B$226=1),$AI$411,HLOOKUP(INDIRECT(ADDRESS(2,COLUMN())),OFFSET($BN$2,0,0,ROW()-1,60),ROW()-1,FALSE))</f>
        <v>62.567746339999999</v>
      </c>
      <c r="AJ210">
        <f ca="1">IF(AND(ISNUMBER($AJ$411),$B$226=1),$AJ$411,HLOOKUP(INDIRECT(ADDRESS(2,COLUMN())),OFFSET($BN$2,0,0,ROW()-1,60),ROW()-1,FALSE))</f>
        <v>65.262343509999994</v>
      </c>
      <c r="AK210">
        <f ca="1">IF(AND(ISNUMBER($AK$411),$B$226=1),$AK$411,HLOOKUP(INDIRECT(ADDRESS(2,COLUMN())),OFFSET($BN$2,0,0,ROW()-1,60),ROW()-1,FALSE))</f>
        <v>63.425567800000003</v>
      </c>
      <c r="AL210">
        <f ca="1">IF(AND(ISNUMBER($AL$411),$B$226=1),$AL$411,HLOOKUP(INDIRECT(ADDRESS(2,COLUMN())),OFFSET($BN$2,0,0,ROW()-1,60),ROW()-1,FALSE))</f>
        <v>63.502137310000002</v>
      </c>
      <c r="AM210">
        <f ca="1">IF(AND(ISNUMBER($AM$411),$B$226=1),$AM$411,HLOOKUP(INDIRECT(ADDRESS(2,COLUMN())),OFFSET($BN$2,0,0,ROW()-1,60),ROW()-1,FALSE))</f>
        <v>63.002269650000002</v>
      </c>
      <c r="AN210">
        <f ca="1">IF(AND(ISNUMBER($AN$411),$B$226=1),$AN$411,HLOOKUP(INDIRECT(ADDRESS(2,COLUMN())),OFFSET($BN$2,0,0,ROW()-1,60),ROW()-1,FALSE))</f>
        <v>93.776048900000006</v>
      </c>
      <c r="AO210">
        <f ca="1">IF(AND(ISNUMBER($AO$411),$B$226=1),$AO$411,HLOOKUP(INDIRECT(ADDRESS(2,COLUMN())),OFFSET($BN$2,0,0,ROW()-1,60),ROW()-1,FALSE))</f>
        <v>135.09849019999999</v>
      </c>
      <c r="AP210">
        <f ca="1">IF(AND(ISNUMBER($AP$411),$B$226=1),$AP$411,HLOOKUP(INDIRECT(ADDRESS(2,COLUMN())),OFFSET($BN$2,0,0,ROW()-1,60),ROW()-1,FALSE))</f>
        <v>79.946331180000001</v>
      </c>
      <c r="AQ210">
        <f ca="1">IF(AND(ISNUMBER($AQ$411),$B$226=1),$AQ$411,HLOOKUP(INDIRECT(ADDRESS(2,COLUMN())),OFFSET($BN$2,0,0,ROW()-1,60),ROW()-1,FALSE))</f>
        <v>331.57183939999999</v>
      </c>
      <c r="AR210">
        <f ca="1">IF(AND(ISNUMBER($AR$411),$B$226=1),$AR$411,HLOOKUP(INDIRECT(ADDRESS(2,COLUMN())),OFFSET($BN$2,0,0,ROW()-1,60),ROW()-1,FALSE))</f>
        <v>192.83267029999999</v>
      </c>
      <c r="AS210">
        <f ca="1">IF(AND(ISNUMBER($AS$411),$B$226=1),$AS$411,HLOOKUP(INDIRECT(ADDRESS(2,COLUMN())),OFFSET($BN$2,0,0,ROW()-1,60),ROW()-1,FALSE))</f>
        <v>99.767223240000007</v>
      </c>
      <c r="AT210">
        <f ca="1">IF(AND(ISNUMBER($AT$411),$B$226=1),$AT$411,HLOOKUP(INDIRECT(ADDRESS(2,COLUMN())),OFFSET($BN$2,0,0,ROW()-1,60),ROW()-1,FALSE))</f>
        <v>76.021837259999998</v>
      </c>
      <c r="AU210">
        <f ca="1">IF(AND(ISNUMBER($AU$411),$B$226=1),$AU$411,HLOOKUP(INDIRECT(ADDRESS(2,COLUMN())),OFFSET($BN$2,0,0,ROW()-1,60),ROW()-1,FALSE))</f>
        <v>76.509582379999998</v>
      </c>
      <c r="AV210">
        <f ca="1">IF(AND(ISNUMBER($AV$411),$B$226=1),$AV$411,HLOOKUP(INDIRECT(ADDRESS(2,COLUMN())),OFFSET($BN$2,0,0,ROW()-1,60),ROW()-1,FALSE))</f>
        <v>65.190560520000005</v>
      </c>
      <c r="AW210">
        <f ca="1">IF(AND(ISNUMBER($AW$411),$B$226=1),$AW$411,HLOOKUP(INDIRECT(ADDRESS(2,COLUMN())),OFFSET($BN$2,0,0,ROW()-1,60),ROW()-1,FALSE))</f>
        <v>68.074152900000001</v>
      </c>
      <c r="AX210">
        <f ca="1">IF(AND(ISNUMBER($AX$411),$B$226=1),$AX$411,HLOOKUP(INDIRECT(ADDRESS(2,COLUMN())),OFFSET($BN$2,0,0,ROW()-1,60),ROW()-1,FALSE))</f>
        <v>77.9541112</v>
      </c>
      <c r="AY210">
        <f ca="1">IF(AND(ISNUMBER($AY$411),$B$226=1),$AY$411,HLOOKUP(INDIRECT(ADDRESS(2,COLUMN())),OFFSET($BN$2,0,0,ROW()-1,60),ROW()-1,FALSE))</f>
        <v>69.081462160000001</v>
      </c>
      <c r="AZ210">
        <f ca="1">IF(AND(ISNUMBER($AZ$411),$B$226=1),$AZ$411,HLOOKUP(INDIRECT(ADDRESS(2,COLUMN())),OFFSET($BN$2,0,0,ROW()-1,60),ROW()-1,FALSE))</f>
        <v>70.461367240000001</v>
      </c>
      <c r="BA210">
        <f ca="1">IF(AND(ISNUMBER($BA$411),$B$226=1),$BA$411,HLOOKUP(INDIRECT(ADDRESS(2,COLUMN())),OFFSET($BN$2,0,0,ROW()-1,60),ROW()-1,FALSE))</f>
        <v>68.158641840000001</v>
      </c>
      <c r="BB210">
        <f ca="1">IF(AND(ISNUMBER($BB$411),$B$226=1),$BB$411,HLOOKUP(INDIRECT(ADDRESS(2,COLUMN())),OFFSET($BN$2,0,0,ROW()-1,60),ROW()-1,FALSE))</f>
        <v>67.896045439999995</v>
      </c>
      <c r="BC210">
        <f ca="1">IF(AND(ISNUMBER($BC$411),$B$226=1),$BC$411,HLOOKUP(INDIRECT(ADDRESS(2,COLUMN())),OFFSET($BN$2,0,0,ROW()-1,60),ROW()-1,FALSE))</f>
        <v>60.05098314</v>
      </c>
      <c r="BD210">
        <f ca="1">IF(AND(ISNUMBER($BD$411),$B$226=1),$BD$411,HLOOKUP(INDIRECT(ADDRESS(2,COLUMN())),OFFSET($BN$2,0,0,ROW()-1,60),ROW()-1,FALSE))</f>
        <v>69.956573770000006</v>
      </c>
      <c r="BE210">
        <f ca="1">IF(AND(ISNUMBER($BE$411),$B$226=1),$BE$411,HLOOKUP(INDIRECT(ADDRESS(2,COLUMN())),OFFSET($BN$2,0,0,ROW()-1,60),ROW()-1,FALSE))</f>
        <v>70.964435260000002</v>
      </c>
      <c r="BF210">
        <f ca="1">IF(AND(ISNUMBER($BF$411),$B$226=1),$BF$411,HLOOKUP(INDIRECT(ADDRESS(2,COLUMN())),OFFSET($BN$2,0,0,ROW()-1,60),ROW()-1,FALSE))</f>
        <v>71.017415060000005</v>
      </c>
      <c r="BG210">
        <f ca="1">IF(AND(ISNUMBER($BG$411),$B$226=1),$BG$411,HLOOKUP(INDIRECT(ADDRESS(2,COLUMN())),OFFSET($BN$2,0,0,ROW()-1,60),ROW()-1,FALSE))</f>
        <v>68.053740059999996</v>
      </c>
      <c r="BH210">
        <f ca="1">IF(AND(ISNUMBER($BH$411),$B$226=1),$BH$411,HLOOKUP(INDIRECT(ADDRESS(2,COLUMN())),OFFSET($BN$2,0,0,ROW()-1,60),ROW()-1,FALSE))</f>
        <v>73.417673179999994</v>
      </c>
      <c r="BI210">
        <f ca="1">IF(AND(ISNUMBER($BI$411),$B$226=1),$BI$411,HLOOKUP(INDIRECT(ADDRESS(2,COLUMN())),OFFSET($BN$2,0,0,ROW()-1,60),ROW()-1,FALSE))</f>
        <v>132.3205543</v>
      </c>
      <c r="BJ210">
        <f ca="1">IF(AND(ISNUMBER($BJ$411),$B$226=1),$BJ$411,HLOOKUP(INDIRECT(ADDRESS(2,COLUMN())),OFFSET($BN$2,0,0,ROW()-1,60),ROW()-1,FALSE))</f>
        <v>68.367719550000004</v>
      </c>
      <c r="BK210">
        <f ca="1">IF(AND(ISNUMBER($BK$411),$B$226=1),$BK$411,HLOOKUP(INDIRECT(ADDRESS(2,COLUMN())),OFFSET($BN$2,0,0,ROW()-1,60),ROW()-1,FALSE))</f>
        <v>59.863237699999999</v>
      </c>
      <c r="BL210">
        <f ca="1">IF(AND(ISNUMBER($BL$411),$B$226=1),$BL$411,HLOOKUP(INDIRECT(ADDRESS(2,COLUMN())),OFFSET($BN$2,0,0,ROW()-1,60),ROW()-1,FALSE))</f>
        <v>63.411450860000002</v>
      </c>
      <c r="BM210">
        <f ca="1">IF(AND(ISNUMBER($BM$411),$B$226=1),$BM$411,HLOOKUP(INDIRECT(ADDRESS(2,COLUMN())),OFFSET($BN$2,0,0,ROW()-1,60),ROW()-1,FALSE))</f>
        <v>61.144357329999998</v>
      </c>
      <c r="BN210" t="str">
        <f>""</f>
        <v/>
      </c>
      <c r="BO210">
        <f>60.62364085</f>
        <v>60.623640850000001</v>
      </c>
      <c r="BP210">
        <f>60.51088288</f>
        <v>60.510882879999997</v>
      </c>
      <c r="BQ210">
        <f>61.89584282</f>
        <v>61.895842819999999</v>
      </c>
      <c r="BR210">
        <f>61.71320222</f>
        <v>61.713202219999999</v>
      </c>
      <c r="BS210">
        <f>56.92953129</f>
        <v>56.92953129</v>
      </c>
      <c r="BT210">
        <f>57.84467348</f>
        <v>57.844673479999997</v>
      </c>
      <c r="BU210">
        <f>60.19776986</f>
        <v>60.197769860000001</v>
      </c>
      <c r="BV210">
        <f>62.62350288</f>
        <v>62.623502879999997</v>
      </c>
      <c r="BW210">
        <f>61.1041628</f>
        <v>61.104162799999997</v>
      </c>
      <c r="BX210">
        <f>63.2630368</f>
        <v>63.263036800000002</v>
      </c>
      <c r="BY210">
        <f>65.75392579</f>
        <v>65.753925789999997</v>
      </c>
      <c r="BZ210">
        <f>62.28367437</f>
        <v>62.28367437</v>
      </c>
      <c r="CA210">
        <f>61.18824707</f>
        <v>61.188247070000003</v>
      </c>
      <c r="CB210" t="str">
        <f>""</f>
        <v/>
      </c>
      <c r="CC210" t="str">
        <f>""</f>
        <v/>
      </c>
      <c r="CD210">
        <f>61.86114502</f>
        <v>61.861145020000002</v>
      </c>
      <c r="CE210">
        <f>62.73996231</f>
        <v>62.739962310000003</v>
      </c>
      <c r="CF210">
        <f>59.93620874</f>
        <v>59.936208739999998</v>
      </c>
      <c r="CG210">
        <f>61.43807297</f>
        <v>61.43807297</v>
      </c>
      <c r="CH210">
        <f>59.67325099</f>
        <v>59.67325099</v>
      </c>
      <c r="CI210">
        <f>67.36037162</f>
        <v>67.360371619999995</v>
      </c>
      <c r="CJ210">
        <f>63.51580918</f>
        <v>63.515809179999998</v>
      </c>
      <c r="CK210">
        <f>63.42147274</f>
        <v>63.421472739999999</v>
      </c>
      <c r="CL210">
        <f>58.34530651</f>
        <v>58.34530651</v>
      </c>
      <c r="CM210">
        <f>58.3997718</f>
        <v>58.399771800000003</v>
      </c>
      <c r="CN210">
        <f>58.59337106</f>
        <v>58.593371060000003</v>
      </c>
      <c r="CO210">
        <f>59.92166855</f>
        <v>59.92166855</v>
      </c>
      <c r="CP210">
        <f>60.41045297</f>
        <v>60.410452970000001</v>
      </c>
      <c r="CQ210">
        <f>62.56774634</f>
        <v>62.567746339999999</v>
      </c>
      <c r="CR210">
        <f>65.26234351</f>
        <v>65.262343509999994</v>
      </c>
      <c r="CS210">
        <f>63.4255678</f>
        <v>63.425567800000003</v>
      </c>
      <c r="CT210">
        <f>63.50213731</f>
        <v>63.502137310000002</v>
      </c>
      <c r="CU210">
        <f>63.00226965</f>
        <v>63.002269650000002</v>
      </c>
      <c r="CV210">
        <f>93.7760489</f>
        <v>93.776048900000006</v>
      </c>
      <c r="CW210">
        <f>135.0984902</f>
        <v>135.09849019999999</v>
      </c>
      <c r="CX210">
        <f>79.94633118</f>
        <v>79.946331180000001</v>
      </c>
      <c r="CY210">
        <f>331.5718394</f>
        <v>331.57183939999999</v>
      </c>
      <c r="CZ210">
        <f>192.8326703</f>
        <v>192.83267029999999</v>
      </c>
      <c r="DA210">
        <f>99.76722324</f>
        <v>99.767223240000007</v>
      </c>
      <c r="DB210">
        <f>76.02183726</f>
        <v>76.021837259999998</v>
      </c>
      <c r="DC210">
        <f>76.50958238</f>
        <v>76.509582379999998</v>
      </c>
      <c r="DD210">
        <f>65.19056052</f>
        <v>65.190560520000005</v>
      </c>
      <c r="DE210">
        <f>68.0741529</f>
        <v>68.074152900000001</v>
      </c>
      <c r="DF210">
        <f>77.9541112</f>
        <v>77.9541112</v>
      </c>
      <c r="DG210">
        <f>69.08146216</f>
        <v>69.081462160000001</v>
      </c>
      <c r="DH210">
        <f>70.46136724</f>
        <v>70.461367240000001</v>
      </c>
      <c r="DI210">
        <f>68.15864184</f>
        <v>68.158641840000001</v>
      </c>
      <c r="DJ210">
        <f>67.89604544</f>
        <v>67.896045439999995</v>
      </c>
      <c r="DK210">
        <f>60.05098314</f>
        <v>60.05098314</v>
      </c>
      <c r="DL210">
        <f>69.95657377</f>
        <v>69.956573770000006</v>
      </c>
      <c r="DM210">
        <f>70.96443526</f>
        <v>70.964435260000002</v>
      </c>
      <c r="DN210">
        <f>71.01741506</f>
        <v>71.017415060000005</v>
      </c>
      <c r="DO210">
        <f>68.05374006</f>
        <v>68.053740059999996</v>
      </c>
      <c r="DP210">
        <f>73.41767318</f>
        <v>73.417673179999994</v>
      </c>
      <c r="DQ210">
        <f>132.3205543</f>
        <v>132.3205543</v>
      </c>
      <c r="DR210">
        <f>68.36771955</f>
        <v>68.367719550000004</v>
      </c>
      <c r="DS210">
        <f>59.8632377</f>
        <v>59.863237699999999</v>
      </c>
      <c r="DT210">
        <f>63.41145086</f>
        <v>63.411450860000002</v>
      </c>
      <c r="DU210">
        <f>61.14435733</f>
        <v>61.144357329999998</v>
      </c>
    </row>
    <row r="211" spans="1:125">
      <c r="BN211" t="str">
        <f>""</f>
        <v/>
      </c>
      <c r="BO211" t="str">
        <f>""</f>
        <v/>
      </c>
      <c r="BP211" t="str">
        <f>""</f>
        <v/>
      </c>
      <c r="BQ211" t="str">
        <f>""</f>
        <v/>
      </c>
      <c r="BR211" t="str">
        <f>""</f>
        <v/>
      </c>
      <c r="BS211" t="str">
        <f>""</f>
        <v/>
      </c>
      <c r="BT211" t="str">
        <f>""</f>
        <v/>
      </c>
      <c r="BU211" t="str">
        <f>""</f>
        <v/>
      </c>
      <c r="BV211" t="str">
        <f>""</f>
        <v/>
      </c>
      <c r="BW211" t="str">
        <f>""</f>
        <v/>
      </c>
      <c r="BX211" t="str">
        <f>""</f>
        <v/>
      </c>
      <c r="BY211" t="str">
        <f>""</f>
        <v/>
      </c>
      <c r="BZ211" t="str">
        <f>""</f>
        <v/>
      </c>
      <c r="CA211" t="str">
        <f>""</f>
        <v/>
      </c>
      <c r="CB211" t="str">
        <f>""</f>
        <v/>
      </c>
      <c r="CC211" t="str">
        <f>""</f>
        <v/>
      </c>
      <c r="CD211" t="str">
        <f>""</f>
        <v/>
      </c>
      <c r="CE211" t="str">
        <f>""</f>
        <v/>
      </c>
      <c r="CF211" t="str">
        <f>""</f>
        <v/>
      </c>
      <c r="CG211" t="str">
        <f>""</f>
        <v/>
      </c>
      <c r="CH211" t="str">
        <f>""</f>
        <v/>
      </c>
      <c r="CI211" t="str">
        <f>""</f>
        <v/>
      </c>
      <c r="CJ211" t="str">
        <f>""</f>
        <v/>
      </c>
      <c r="CK211" t="str">
        <f>""</f>
        <v/>
      </c>
      <c r="CL211" t="str">
        <f>""</f>
        <v/>
      </c>
      <c r="CM211" t="str">
        <f>""</f>
        <v/>
      </c>
      <c r="CN211" t="str">
        <f>""</f>
        <v/>
      </c>
      <c r="CO211" t="str">
        <f>""</f>
        <v/>
      </c>
      <c r="CP211" t="str">
        <f>""</f>
        <v/>
      </c>
      <c r="CQ211" t="str">
        <f>""</f>
        <v/>
      </c>
      <c r="CR211" t="str">
        <f>""</f>
        <v/>
      </c>
      <c r="CS211" t="str">
        <f>""</f>
        <v/>
      </c>
      <c r="CT211" t="str">
        <f>""</f>
        <v/>
      </c>
      <c r="CU211" t="str">
        <f>""</f>
        <v/>
      </c>
      <c r="CV211" t="str">
        <f>""</f>
        <v/>
      </c>
      <c r="CW211" t="str">
        <f>""</f>
        <v/>
      </c>
      <c r="CX211" t="str">
        <f>""</f>
        <v/>
      </c>
      <c r="CY211" t="str">
        <f>""</f>
        <v/>
      </c>
      <c r="CZ211" t="str">
        <f>""</f>
        <v/>
      </c>
      <c r="DA211" t="str">
        <f>""</f>
        <v/>
      </c>
      <c r="DB211" t="str">
        <f>""</f>
        <v/>
      </c>
      <c r="DC211" t="str">
        <f>""</f>
        <v/>
      </c>
      <c r="DD211" t="str">
        <f>""</f>
        <v/>
      </c>
      <c r="DE211" t="str">
        <f>""</f>
        <v/>
      </c>
      <c r="DF211" t="str">
        <f>""</f>
        <v/>
      </c>
      <c r="DG211" t="str">
        <f>""</f>
        <v/>
      </c>
      <c r="DH211" t="str">
        <f>""</f>
        <v/>
      </c>
      <c r="DI211" t="str">
        <f>""</f>
        <v/>
      </c>
      <c r="DJ211" t="str">
        <f>""</f>
        <v/>
      </c>
      <c r="DK211" t="str">
        <f>""</f>
        <v/>
      </c>
      <c r="DL211" t="str">
        <f>""</f>
        <v/>
      </c>
      <c r="DM211" t="str">
        <f>""</f>
        <v/>
      </c>
      <c r="DN211" t="str">
        <f>""</f>
        <v/>
      </c>
      <c r="DO211" t="str">
        <f>""</f>
        <v/>
      </c>
      <c r="DP211" t="str">
        <f>""</f>
        <v/>
      </c>
      <c r="DQ211" t="str">
        <f>""</f>
        <v/>
      </c>
      <c r="DR211" t="str">
        <f>""</f>
        <v/>
      </c>
      <c r="DS211" t="str">
        <f>""</f>
        <v/>
      </c>
      <c r="DT211" t="str">
        <f>""</f>
        <v/>
      </c>
      <c r="DU211" t="str">
        <f>""</f>
        <v/>
      </c>
    </row>
    <row r="212" spans="1:125">
      <c r="BN212" t="str">
        <f>""</f>
        <v/>
      </c>
      <c r="BO212" t="str">
        <f>""</f>
        <v/>
      </c>
      <c r="BP212" t="str">
        <f>""</f>
        <v/>
      </c>
      <c r="BQ212" t="str">
        <f>""</f>
        <v/>
      </c>
      <c r="BR212" t="str">
        <f>""</f>
        <v/>
      </c>
      <c r="BS212" t="str">
        <f>""</f>
        <v/>
      </c>
      <c r="BT212" t="str">
        <f>""</f>
        <v/>
      </c>
      <c r="BU212" t="str">
        <f>""</f>
        <v/>
      </c>
      <c r="BV212" t="str">
        <f>""</f>
        <v/>
      </c>
      <c r="BW212" t="str">
        <f>""</f>
        <v/>
      </c>
      <c r="BX212" t="str">
        <f>""</f>
        <v/>
      </c>
      <c r="BY212" t="str">
        <f>""</f>
        <v/>
      </c>
      <c r="BZ212" t="str">
        <f>""</f>
        <v/>
      </c>
      <c r="CA212" t="str">
        <f>""</f>
        <v/>
      </c>
      <c r="CB212" t="str">
        <f>""</f>
        <v/>
      </c>
      <c r="CC212" t="str">
        <f>""</f>
        <v/>
      </c>
      <c r="CD212" t="str">
        <f>""</f>
        <v/>
      </c>
      <c r="CE212" t="str">
        <f>""</f>
        <v/>
      </c>
      <c r="CF212" t="str">
        <f>""</f>
        <v/>
      </c>
      <c r="CG212" t="str">
        <f>""</f>
        <v/>
      </c>
      <c r="CH212" t="str">
        <f>""</f>
        <v/>
      </c>
      <c r="CI212" t="str">
        <f>""</f>
        <v/>
      </c>
      <c r="CJ212" t="str">
        <f>""</f>
        <v/>
      </c>
      <c r="CK212" t="str">
        <f>""</f>
        <v/>
      </c>
      <c r="CL212" t="str">
        <f>""</f>
        <v/>
      </c>
      <c r="CM212" t="str">
        <f>""</f>
        <v/>
      </c>
      <c r="CN212" t="str">
        <f>""</f>
        <v/>
      </c>
      <c r="CO212" t="str">
        <f>""</f>
        <v/>
      </c>
      <c r="CP212" t="str">
        <f>""</f>
        <v/>
      </c>
      <c r="CQ212" t="str">
        <f>""</f>
        <v/>
      </c>
      <c r="CR212" t="str">
        <f>""</f>
        <v/>
      </c>
      <c r="CS212" t="str">
        <f>""</f>
        <v/>
      </c>
      <c r="CT212" t="str">
        <f>""</f>
        <v/>
      </c>
      <c r="CU212" t="str">
        <f>""</f>
        <v/>
      </c>
      <c r="CV212" t="str">
        <f>""</f>
        <v/>
      </c>
      <c r="CW212" t="str">
        <f>""</f>
        <v/>
      </c>
      <c r="CX212" t="str">
        <f>""</f>
        <v/>
      </c>
      <c r="CY212" t="str">
        <f>""</f>
        <v/>
      </c>
      <c r="CZ212" t="str">
        <f>""</f>
        <v/>
      </c>
      <c r="DA212" t="str">
        <f>""</f>
        <v/>
      </c>
      <c r="DB212" t="str">
        <f>""</f>
        <v/>
      </c>
      <c r="DC212" t="str">
        <f>""</f>
        <v/>
      </c>
      <c r="DD212" t="str">
        <f>""</f>
        <v/>
      </c>
      <c r="DE212" t="str">
        <f>""</f>
        <v/>
      </c>
      <c r="DF212" t="str">
        <f>""</f>
        <v/>
      </c>
      <c r="DG212" t="str">
        <f>""</f>
        <v/>
      </c>
      <c r="DH212" t="str">
        <f>""</f>
        <v/>
      </c>
      <c r="DI212" t="str">
        <f>""</f>
        <v/>
      </c>
      <c r="DJ212" t="str">
        <f>""</f>
        <v/>
      </c>
      <c r="DK212" t="str">
        <f>""</f>
        <v/>
      </c>
      <c r="DL212" t="str">
        <f>""</f>
        <v/>
      </c>
      <c r="DM212" t="str">
        <f>""</f>
        <v/>
      </c>
      <c r="DN212" t="str">
        <f>""</f>
        <v/>
      </c>
      <c r="DO212" t="str">
        <f>""</f>
        <v/>
      </c>
      <c r="DP212" t="str">
        <f>""</f>
        <v/>
      </c>
      <c r="DQ212" t="str">
        <f>""</f>
        <v/>
      </c>
      <c r="DR212" t="str">
        <f>""</f>
        <v/>
      </c>
      <c r="DS212" t="str">
        <f>""</f>
        <v/>
      </c>
      <c r="DT212" t="str">
        <f>""</f>
        <v/>
      </c>
      <c r="DU212" t="str">
        <f>""</f>
        <v/>
      </c>
    </row>
    <row r="213" spans="1:125">
      <c r="BN213" t="str">
        <f>""</f>
        <v/>
      </c>
      <c r="BO213" t="str">
        <f>""</f>
        <v/>
      </c>
      <c r="BP213" t="str">
        <f>""</f>
        <v/>
      </c>
      <c r="BQ213" t="str">
        <f>""</f>
        <v/>
      </c>
      <c r="BR213" t="str">
        <f>""</f>
        <v/>
      </c>
      <c r="BS213" t="str">
        <f>""</f>
        <v/>
      </c>
      <c r="BT213" t="str">
        <f>""</f>
        <v/>
      </c>
      <c r="BU213" t="str">
        <f>""</f>
        <v/>
      </c>
      <c r="BV213" t="str">
        <f>""</f>
        <v/>
      </c>
      <c r="BW213" t="str">
        <f>""</f>
        <v/>
      </c>
      <c r="BX213" t="str">
        <f>""</f>
        <v/>
      </c>
      <c r="BY213" t="str">
        <f>""</f>
        <v/>
      </c>
      <c r="BZ213" t="str">
        <f>""</f>
        <v/>
      </c>
      <c r="CA213" t="str">
        <f>""</f>
        <v/>
      </c>
      <c r="CB213" t="str">
        <f>""</f>
        <v/>
      </c>
      <c r="CC213" t="str">
        <f>""</f>
        <v/>
      </c>
      <c r="CD213" t="str">
        <f>""</f>
        <v/>
      </c>
      <c r="CE213" t="str">
        <f>""</f>
        <v/>
      </c>
      <c r="CF213" t="str">
        <f>""</f>
        <v/>
      </c>
      <c r="CG213" t="str">
        <f>""</f>
        <v/>
      </c>
      <c r="CH213" t="str">
        <f>""</f>
        <v/>
      </c>
      <c r="CI213" t="str">
        <f>""</f>
        <v/>
      </c>
      <c r="CJ213" t="str">
        <f>""</f>
        <v/>
      </c>
      <c r="CK213" t="str">
        <f>""</f>
        <v/>
      </c>
      <c r="CL213" t="str">
        <f>""</f>
        <v/>
      </c>
      <c r="CM213" t="str">
        <f>""</f>
        <v/>
      </c>
      <c r="CN213" t="str">
        <f>""</f>
        <v/>
      </c>
      <c r="CO213" t="str">
        <f>""</f>
        <v/>
      </c>
      <c r="CP213" t="str">
        <f>""</f>
        <v/>
      </c>
      <c r="CQ213" t="str">
        <f>""</f>
        <v/>
      </c>
      <c r="CR213" t="str">
        <f>""</f>
        <v/>
      </c>
      <c r="CS213" t="str">
        <f>""</f>
        <v/>
      </c>
      <c r="CT213" t="str">
        <f>""</f>
        <v/>
      </c>
      <c r="CU213" t="str">
        <f>""</f>
        <v/>
      </c>
      <c r="CV213" t="str">
        <f>""</f>
        <v/>
      </c>
      <c r="CW213" t="str">
        <f>""</f>
        <v/>
      </c>
      <c r="CX213" t="str">
        <f>""</f>
        <v/>
      </c>
      <c r="CY213" t="str">
        <f>""</f>
        <v/>
      </c>
      <c r="CZ213" t="str">
        <f>""</f>
        <v/>
      </c>
      <c r="DA213" t="str">
        <f>""</f>
        <v/>
      </c>
      <c r="DB213" t="str">
        <f>""</f>
        <v/>
      </c>
      <c r="DC213" t="str">
        <f>""</f>
        <v/>
      </c>
      <c r="DD213" t="str">
        <f>""</f>
        <v/>
      </c>
      <c r="DE213" t="str">
        <f>""</f>
        <v/>
      </c>
      <c r="DF213" t="str">
        <f>""</f>
        <v/>
      </c>
      <c r="DG213" t="str">
        <f>""</f>
        <v/>
      </c>
      <c r="DH213" t="str">
        <f>""</f>
        <v/>
      </c>
      <c r="DI213" t="str">
        <f>""</f>
        <v/>
      </c>
      <c r="DJ213" t="str">
        <f>""</f>
        <v/>
      </c>
      <c r="DK213" t="str">
        <f>""</f>
        <v/>
      </c>
      <c r="DL213" t="str">
        <f>""</f>
        <v/>
      </c>
      <c r="DM213" t="str">
        <f>""</f>
        <v/>
      </c>
      <c r="DN213" t="str">
        <f>""</f>
        <v/>
      </c>
      <c r="DO213" t="str">
        <f>""</f>
        <v/>
      </c>
      <c r="DP213" t="str">
        <f>""</f>
        <v/>
      </c>
      <c r="DQ213" t="str">
        <f>""</f>
        <v/>
      </c>
      <c r="DR213" t="str">
        <f>""</f>
        <v/>
      </c>
      <c r="DS213" t="str">
        <f>""</f>
        <v/>
      </c>
      <c r="DT213" t="str">
        <f>""</f>
        <v/>
      </c>
      <c r="DU213" t="str">
        <f>""</f>
        <v/>
      </c>
    </row>
    <row r="214" spans="1:125">
      <c r="BN214" t="str">
        <f>""</f>
        <v/>
      </c>
      <c r="BO214" t="str">
        <f>""</f>
        <v/>
      </c>
      <c r="BP214" t="str">
        <f>""</f>
        <v/>
      </c>
      <c r="BQ214" t="str">
        <f>""</f>
        <v/>
      </c>
      <c r="BR214" t="str">
        <f>""</f>
        <v/>
      </c>
      <c r="BS214" t="str">
        <f>""</f>
        <v/>
      </c>
      <c r="BT214" t="str">
        <f>""</f>
        <v/>
      </c>
      <c r="BU214" t="str">
        <f>""</f>
        <v/>
      </c>
      <c r="BV214" t="str">
        <f>""</f>
        <v/>
      </c>
      <c r="BW214" t="str">
        <f>""</f>
        <v/>
      </c>
      <c r="BX214" t="str">
        <f>""</f>
        <v/>
      </c>
      <c r="BY214" t="str">
        <f>""</f>
        <v/>
      </c>
      <c r="BZ214" t="str">
        <f>""</f>
        <v/>
      </c>
      <c r="CA214" t="str">
        <f>""</f>
        <v/>
      </c>
      <c r="CB214" t="str">
        <f>""</f>
        <v/>
      </c>
      <c r="CC214" t="str">
        <f>""</f>
        <v/>
      </c>
      <c r="CD214" t="str">
        <f>""</f>
        <v/>
      </c>
      <c r="CE214" t="str">
        <f>""</f>
        <v/>
      </c>
      <c r="CF214" t="str">
        <f>""</f>
        <v/>
      </c>
      <c r="CG214" t="str">
        <f>""</f>
        <v/>
      </c>
      <c r="CH214" t="str">
        <f>""</f>
        <v/>
      </c>
      <c r="CI214" t="str">
        <f>""</f>
        <v/>
      </c>
      <c r="CJ214" t="str">
        <f>""</f>
        <v/>
      </c>
      <c r="CK214" t="str">
        <f>""</f>
        <v/>
      </c>
      <c r="CL214" t="str">
        <f>""</f>
        <v/>
      </c>
      <c r="CM214" t="str">
        <f>""</f>
        <v/>
      </c>
      <c r="CN214" t="str">
        <f>""</f>
        <v/>
      </c>
      <c r="CO214" t="str">
        <f>""</f>
        <v/>
      </c>
      <c r="CP214" t="str">
        <f>""</f>
        <v/>
      </c>
      <c r="CQ214" t="str">
        <f>""</f>
        <v/>
      </c>
      <c r="CR214" t="str">
        <f>""</f>
        <v/>
      </c>
      <c r="CS214" t="str">
        <f>""</f>
        <v/>
      </c>
      <c r="CT214" t="str">
        <f>""</f>
        <v/>
      </c>
      <c r="CU214" t="str">
        <f>""</f>
        <v/>
      </c>
      <c r="CV214" t="str">
        <f>""</f>
        <v/>
      </c>
      <c r="CW214" t="str">
        <f>""</f>
        <v/>
      </c>
      <c r="CX214" t="str">
        <f>""</f>
        <v/>
      </c>
      <c r="CY214" t="str">
        <f>""</f>
        <v/>
      </c>
      <c r="CZ214" t="str">
        <f>""</f>
        <v/>
      </c>
      <c r="DA214" t="str">
        <f>""</f>
        <v/>
      </c>
      <c r="DB214" t="str">
        <f>""</f>
        <v/>
      </c>
      <c r="DC214" t="str">
        <f>""</f>
        <v/>
      </c>
      <c r="DD214" t="str">
        <f>""</f>
        <v/>
      </c>
      <c r="DE214" t="str">
        <f>""</f>
        <v/>
      </c>
      <c r="DF214" t="str">
        <f>""</f>
        <v/>
      </c>
      <c r="DG214" t="str">
        <f>""</f>
        <v/>
      </c>
      <c r="DH214" t="str">
        <f>""</f>
        <v/>
      </c>
      <c r="DI214" t="str">
        <f>""</f>
        <v/>
      </c>
      <c r="DJ214" t="str">
        <f>""</f>
        <v/>
      </c>
      <c r="DK214" t="str">
        <f>""</f>
        <v/>
      </c>
      <c r="DL214" t="str">
        <f>""</f>
        <v/>
      </c>
      <c r="DM214" t="str">
        <f>""</f>
        <v/>
      </c>
      <c r="DN214" t="str">
        <f>""</f>
        <v/>
      </c>
      <c r="DO214" t="str">
        <f>""</f>
        <v/>
      </c>
      <c r="DP214" t="str">
        <f>""</f>
        <v/>
      </c>
      <c r="DQ214" t="str">
        <f>""</f>
        <v/>
      </c>
      <c r="DR214" t="str">
        <f>""</f>
        <v/>
      </c>
      <c r="DS214" t="str">
        <f>""</f>
        <v/>
      </c>
      <c r="DT214" t="str">
        <f>""</f>
        <v/>
      </c>
      <c r="DU214" t="str">
        <f>""</f>
        <v/>
      </c>
    </row>
    <row r="215" spans="1:125">
      <c r="BN215" t="str">
        <f>""</f>
        <v/>
      </c>
      <c r="BO215" t="str">
        <f>""</f>
        <v/>
      </c>
      <c r="BP215" t="str">
        <f>""</f>
        <v/>
      </c>
      <c r="BQ215" t="str">
        <f>""</f>
        <v/>
      </c>
      <c r="BR215" t="str">
        <f>""</f>
        <v/>
      </c>
      <c r="BS215" t="str">
        <f>""</f>
        <v/>
      </c>
      <c r="BT215" t="str">
        <f>""</f>
        <v/>
      </c>
      <c r="BU215" t="str">
        <f>""</f>
        <v/>
      </c>
      <c r="BV215" t="str">
        <f>""</f>
        <v/>
      </c>
      <c r="BW215" t="str">
        <f>""</f>
        <v/>
      </c>
      <c r="BX215" t="str">
        <f>""</f>
        <v/>
      </c>
      <c r="BY215" t="str">
        <f>""</f>
        <v/>
      </c>
      <c r="BZ215" t="str">
        <f>""</f>
        <v/>
      </c>
      <c r="CA215" t="str">
        <f>""</f>
        <v/>
      </c>
      <c r="CB215" t="str">
        <f>""</f>
        <v/>
      </c>
      <c r="CC215" t="str">
        <f>""</f>
        <v/>
      </c>
      <c r="CD215" t="str">
        <f>""</f>
        <v/>
      </c>
      <c r="CE215" t="str">
        <f>""</f>
        <v/>
      </c>
      <c r="CF215" t="str">
        <f>""</f>
        <v/>
      </c>
      <c r="CG215" t="str">
        <f>""</f>
        <v/>
      </c>
      <c r="CH215" t="str">
        <f>""</f>
        <v/>
      </c>
      <c r="CI215" t="str">
        <f>""</f>
        <v/>
      </c>
      <c r="CJ215" t="str">
        <f>""</f>
        <v/>
      </c>
      <c r="CK215" t="str">
        <f>""</f>
        <v/>
      </c>
      <c r="CL215" t="str">
        <f>""</f>
        <v/>
      </c>
      <c r="CM215" t="str">
        <f>""</f>
        <v/>
      </c>
      <c r="CN215" t="str">
        <f>""</f>
        <v/>
      </c>
      <c r="CO215" t="str">
        <f>""</f>
        <v/>
      </c>
      <c r="CP215" t="str">
        <f>""</f>
        <v/>
      </c>
      <c r="CQ215" t="str">
        <f>""</f>
        <v/>
      </c>
      <c r="CR215" t="str">
        <f>""</f>
        <v/>
      </c>
      <c r="CS215" t="str">
        <f>""</f>
        <v/>
      </c>
      <c r="CT215" t="str">
        <f>""</f>
        <v/>
      </c>
      <c r="CU215" t="str">
        <f>""</f>
        <v/>
      </c>
      <c r="CV215" t="str">
        <f>""</f>
        <v/>
      </c>
      <c r="CW215" t="str">
        <f>""</f>
        <v/>
      </c>
      <c r="CX215" t="str">
        <f>""</f>
        <v/>
      </c>
      <c r="CY215" t="str">
        <f>""</f>
        <v/>
      </c>
      <c r="CZ215" t="str">
        <f>""</f>
        <v/>
      </c>
      <c r="DA215" t="str">
        <f>""</f>
        <v/>
      </c>
      <c r="DB215" t="str">
        <f>""</f>
        <v/>
      </c>
      <c r="DC215" t="str">
        <f>""</f>
        <v/>
      </c>
      <c r="DD215" t="str">
        <f>""</f>
        <v/>
      </c>
      <c r="DE215" t="str">
        <f>""</f>
        <v/>
      </c>
      <c r="DF215" t="str">
        <f>""</f>
        <v/>
      </c>
      <c r="DG215" t="str">
        <f>""</f>
        <v/>
      </c>
      <c r="DH215" t="str">
        <f>""</f>
        <v/>
      </c>
      <c r="DI215" t="str">
        <f>""</f>
        <v/>
      </c>
      <c r="DJ215" t="str">
        <f>""</f>
        <v/>
      </c>
      <c r="DK215" t="str">
        <f>""</f>
        <v/>
      </c>
      <c r="DL215" t="str">
        <f>""</f>
        <v/>
      </c>
      <c r="DM215" t="str">
        <f>""</f>
        <v/>
      </c>
      <c r="DN215" t="str">
        <f>""</f>
        <v/>
      </c>
      <c r="DO215" t="str">
        <f>""</f>
        <v/>
      </c>
      <c r="DP215" t="str">
        <f>""</f>
        <v/>
      </c>
      <c r="DQ215" t="str">
        <f>""</f>
        <v/>
      </c>
      <c r="DR215" t="str">
        <f>""</f>
        <v/>
      </c>
      <c r="DS215" t="str">
        <f>""</f>
        <v/>
      </c>
      <c r="DT215" t="str">
        <f>""</f>
        <v/>
      </c>
      <c r="DU215" t="str">
        <f>""</f>
        <v/>
      </c>
    </row>
    <row r="216" spans="1:125">
      <c r="BN216" t="str">
        <f>""</f>
        <v/>
      </c>
      <c r="BO216" t="str">
        <f>""</f>
        <v/>
      </c>
      <c r="BP216" t="str">
        <f>""</f>
        <v/>
      </c>
      <c r="BQ216" t="str">
        <f>""</f>
        <v/>
      </c>
      <c r="BR216" t="str">
        <f>""</f>
        <v/>
      </c>
      <c r="BS216" t="str">
        <f>""</f>
        <v/>
      </c>
      <c r="BT216" t="str">
        <f>""</f>
        <v/>
      </c>
      <c r="BU216" t="str">
        <f>""</f>
        <v/>
      </c>
      <c r="BV216" t="str">
        <f>""</f>
        <v/>
      </c>
      <c r="BW216" t="str">
        <f>""</f>
        <v/>
      </c>
      <c r="BX216" t="str">
        <f>""</f>
        <v/>
      </c>
      <c r="BY216" t="str">
        <f>""</f>
        <v/>
      </c>
      <c r="BZ216" t="str">
        <f>""</f>
        <v/>
      </c>
      <c r="CA216" t="str">
        <f>""</f>
        <v/>
      </c>
      <c r="CB216" t="str">
        <f>""</f>
        <v/>
      </c>
      <c r="CC216" t="str">
        <f>""</f>
        <v/>
      </c>
      <c r="CD216" t="str">
        <f>""</f>
        <v/>
      </c>
      <c r="CE216" t="str">
        <f>""</f>
        <v/>
      </c>
      <c r="CF216" t="str">
        <f>""</f>
        <v/>
      </c>
      <c r="CG216" t="str">
        <f>""</f>
        <v/>
      </c>
      <c r="CH216" t="str">
        <f>""</f>
        <v/>
      </c>
      <c r="CI216" t="str">
        <f>""</f>
        <v/>
      </c>
      <c r="CJ216" t="str">
        <f>""</f>
        <v/>
      </c>
      <c r="CK216" t="str">
        <f>""</f>
        <v/>
      </c>
      <c r="CL216" t="str">
        <f>""</f>
        <v/>
      </c>
      <c r="CM216" t="str">
        <f>""</f>
        <v/>
      </c>
      <c r="CN216" t="str">
        <f>""</f>
        <v/>
      </c>
      <c r="CO216" t="str">
        <f>""</f>
        <v/>
      </c>
      <c r="CP216" t="str">
        <f>""</f>
        <v/>
      </c>
      <c r="CQ216" t="str">
        <f>""</f>
        <v/>
      </c>
      <c r="CR216" t="str">
        <f>""</f>
        <v/>
      </c>
      <c r="CS216" t="str">
        <f>""</f>
        <v/>
      </c>
      <c r="CT216" t="str">
        <f>""</f>
        <v/>
      </c>
      <c r="CU216" t="str">
        <f>""</f>
        <v/>
      </c>
      <c r="CV216" t="str">
        <f>""</f>
        <v/>
      </c>
      <c r="CW216" t="str">
        <f>""</f>
        <v/>
      </c>
      <c r="CX216" t="str">
        <f>""</f>
        <v/>
      </c>
      <c r="CY216" t="str">
        <f>""</f>
        <v/>
      </c>
      <c r="CZ216" t="str">
        <f>""</f>
        <v/>
      </c>
      <c r="DA216" t="str">
        <f>""</f>
        <v/>
      </c>
      <c r="DB216" t="str">
        <f>""</f>
        <v/>
      </c>
      <c r="DC216" t="str">
        <f>""</f>
        <v/>
      </c>
      <c r="DD216" t="str">
        <f>""</f>
        <v/>
      </c>
      <c r="DE216" t="str">
        <f>""</f>
        <v/>
      </c>
      <c r="DF216" t="str">
        <f>""</f>
        <v/>
      </c>
      <c r="DG216" t="str">
        <f>""</f>
        <v/>
      </c>
      <c r="DH216" t="str">
        <f>""</f>
        <v/>
      </c>
      <c r="DI216" t="str">
        <f>""</f>
        <v/>
      </c>
      <c r="DJ216" t="str">
        <f>""</f>
        <v/>
      </c>
      <c r="DK216" t="str">
        <f>""</f>
        <v/>
      </c>
      <c r="DL216" t="str">
        <f>""</f>
        <v/>
      </c>
      <c r="DM216" t="str">
        <f>""</f>
        <v/>
      </c>
      <c r="DN216" t="str">
        <f>""</f>
        <v/>
      </c>
      <c r="DO216" t="str">
        <f>""</f>
        <v/>
      </c>
      <c r="DP216" t="str">
        <f>""</f>
        <v/>
      </c>
      <c r="DQ216" t="str">
        <f>""</f>
        <v/>
      </c>
      <c r="DR216" t="str">
        <f>""</f>
        <v/>
      </c>
      <c r="DS216" t="str">
        <f>""</f>
        <v/>
      </c>
      <c r="DT216" t="str">
        <f>""</f>
        <v/>
      </c>
      <c r="DU216" t="str">
        <f>""</f>
        <v/>
      </c>
    </row>
    <row r="217" spans="1:125">
      <c r="BN217" t="str">
        <f>""</f>
        <v/>
      </c>
      <c r="BO217" t="str">
        <f>""</f>
        <v/>
      </c>
      <c r="BP217" t="str">
        <f>""</f>
        <v/>
      </c>
      <c r="BQ217" t="str">
        <f>""</f>
        <v/>
      </c>
      <c r="BR217" t="str">
        <f>""</f>
        <v/>
      </c>
      <c r="BS217" t="str">
        <f>""</f>
        <v/>
      </c>
      <c r="BT217" t="str">
        <f>""</f>
        <v/>
      </c>
      <c r="BU217" t="str">
        <f>""</f>
        <v/>
      </c>
      <c r="BV217" t="str">
        <f>""</f>
        <v/>
      </c>
      <c r="BW217" t="str">
        <f>""</f>
        <v/>
      </c>
      <c r="BX217" t="str">
        <f>""</f>
        <v/>
      </c>
      <c r="BY217" t="str">
        <f>""</f>
        <v/>
      </c>
      <c r="BZ217" t="str">
        <f>""</f>
        <v/>
      </c>
      <c r="CA217" t="str">
        <f>""</f>
        <v/>
      </c>
      <c r="CB217" t="str">
        <f>""</f>
        <v/>
      </c>
      <c r="CC217" t="str">
        <f>""</f>
        <v/>
      </c>
      <c r="CD217" t="str">
        <f>""</f>
        <v/>
      </c>
      <c r="CE217" t="str">
        <f>""</f>
        <v/>
      </c>
      <c r="CF217" t="str">
        <f>""</f>
        <v/>
      </c>
      <c r="CG217" t="str">
        <f>""</f>
        <v/>
      </c>
      <c r="CH217" t="str">
        <f>""</f>
        <v/>
      </c>
      <c r="CI217" t="str">
        <f>""</f>
        <v/>
      </c>
      <c r="CJ217" t="str">
        <f>""</f>
        <v/>
      </c>
      <c r="CK217" t="str">
        <f>""</f>
        <v/>
      </c>
      <c r="CL217" t="str">
        <f>""</f>
        <v/>
      </c>
      <c r="CM217" t="str">
        <f>""</f>
        <v/>
      </c>
      <c r="CN217" t="str">
        <f>""</f>
        <v/>
      </c>
      <c r="CO217" t="str">
        <f>""</f>
        <v/>
      </c>
      <c r="CP217" t="str">
        <f>""</f>
        <v/>
      </c>
      <c r="CQ217" t="str">
        <f>""</f>
        <v/>
      </c>
      <c r="CR217" t="str">
        <f>""</f>
        <v/>
      </c>
      <c r="CS217" t="str">
        <f>""</f>
        <v/>
      </c>
      <c r="CT217" t="str">
        <f>""</f>
        <v/>
      </c>
      <c r="CU217" t="str">
        <f>""</f>
        <v/>
      </c>
      <c r="CV217" t="str">
        <f>""</f>
        <v/>
      </c>
      <c r="CW217" t="str">
        <f>""</f>
        <v/>
      </c>
      <c r="CX217" t="str">
        <f>""</f>
        <v/>
      </c>
      <c r="CY217" t="str">
        <f>""</f>
        <v/>
      </c>
      <c r="CZ217" t="str">
        <f>""</f>
        <v/>
      </c>
      <c r="DA217" t="str">
        <f>""</f>
        <v/>
      </c>
      <c r="DB217" t="str">
        <f>""</f>
        <v/>
      </c>
      <c r="DC217" t="str">
        <f>""</f>
        <v/>
      </c>
      <c r="DD217" t="str">
        <f>""</f>
        <v/>
      </c>
      <c r="DE217" t="str">
        <f>""</f>
        <v/>
      </c>
      <c r="DF217" t="str">
        <f>""</f>
        <v/>
      </c>
      <c r="DG217" t="str">
        <f>""</f>
        <v/>
      </c>
      <c r="DH217" t="str">
        <f>""</f>
        <v/>
      </c>
      <c r="DI217" t="str">
        <f>""</f>
        <v/>
      </c>
      <c r="DJ217" t="str">
        <f>""</f>
        <v/>
      </c>
      <c r="DK217" t="str">
        <f>""</f>
        <v/>
      </c>
      <c r="DL217" t="str">
        <f>""</f>
        <v/>
      </c>
      <c r="DM217" t="str">
        <f>""</f>
        <v/>
      </c>
      <c r="DN217" t="str">
        <f>""</f>
        <v/>
      </c>
      <c r="DO217" t="str">
        <f>""</f>
        <v/>
      </c>
      <c r="DP217" t="str">
        <f>""</f>
        <v/>
      </c>
      <c r="DQ217" t="str">
        <f>""</f>
        <v/>
      </c>
      <c r="DR217" t="str">
        <f>""</f>
        <v/>
      </c>
      <c r="DS217" t="str">
        <f>""</f>
        <v/>
      </c>
      <c r="DT217" t="str">
        <f>""</f>
        <v/>
      </c>
      <c r="DU217" t="str">
        <f>""</f>
        <v/>
      </c>
    </row>
    <row r="218" spans="1:125">
      <c r="A218" t="str">
        <f t="shared" ref="A218:AF218" si="69">"~~~~~~~~~~"</f>
        <v>~~~~~~~~~~</v>
      </c>
      <c r="B218" t="str">
        <f t="shared" si="69"/>
        <v>~~~~~~~~~~</v>
      </c>
      <c r="C218" t="str">
        <f t="shared" si="69"/>
        <v>~~~~~~~~~~</v>
      </c>
      <c r="D218" t="str">
        <f t="shared" si="69"/>
        <v>~~~~~~~~~~</v>
      </c>
      <c r="E218" t="str">
        <f t="shared" si="69"/>
        <v>~~~~~~~~~~</v>
      </c>
      <c r="F218" t="str">
        <f t="shared" si="69"/>
        <v>~~~~~~~~~~</v>
      </c>
      <c r="G218" t="str">
        <f t="shared" si="69"/>
        <v>~~~~~~~~~~</v>
      </c>
      <c r="H218" t="str">
        <f t="shared" si="69"/>
        <v>~~~~~~~~~~</v>
      </c>
      <c r="I218" t="str">
        <f t="shared" si="69"/>
        <v>~~~~~~~~~~</v>
      </c>
      <c r="J218" t="str">
        <f t="shared" si="69"/>
        <v>~~~~~~~~~~</v>
      </c>
      <c r="K218" t="str">
        <f t="shared" si="69"/>
        <v>~~~~~~~~~~</v>
      </c>
      <c r="L218" t="str">
        <f t="shared" si="69"/>
        <v>~~~~~~~~~~</v>
      </c>
      <c r="M218" t="str">
        <f t="shared" si="69"/>
        <v>~~~~~~~~~~</v>
      </c>
      <c r="N218" t="str">
        <f t="shared" si="69"/>
        <v>~~~~~~~~~~</v>
      </c>
      <c r="O218" t="str">
        <f t="shared" si="69"/>
        <v>~~~~~~~~~~</v>
      </c>
      <c r="P218" t="str">
        <f t="shared" si="69"/>
        <v>~~~~~~~~~~</v>
      </c>
      <c r="Q218" t="str">
        <f t="shared" si="69"/>
        <v>~~~~~~~~~~</v>
      </c>
      <c r="R218" t="str">
        <f t="shared" si="69"/>
        <v>~~~~~~~~~~</v>
      </c>
      <c r="S218" t="str">
        <f t="shared" si="69"/>
        <v>~~~~~~~~~~</v>
      </c>
      <c r="T218" t="str">
        <f t="shared" si="69"/>
        <v>~~~~~~~~~~</v>
      </c>
      <c r="U218" t="str">
        <f t="shared" si="69"/>
        <v>~~~~~~~~~~</v>
      </c>
      <c r="V218" t="str">
        <f t="shared" si="69"/>
        <v>~~~~~~~~~~</v>
      </c>
      <c r="W218" t="str">
        <f t="shared" si="69"/>
        <v>~~~~~~~~~~</v>
      </c>
      <c r="X218" t="str">
        <f t="shared" si="69"/>
        <v>~~~~~~~~~~</v>
      </c>
      <c r="Y218" t="str">
        <f t="shared" si="69"/>
        <v>~~~~~~~~~~</v>
      </c>
      <c r="Z218" t="str">
        <f t="shared" si="69"/>
        <v>~~~~~~~~~~</v>
      </c>
      <c r="AA218" t="str">
        <f t="shared" si="69"/>
        <v>~~~~~~~~~~</v>
      </c>
      <c r="AB218" t="str">
        <f t="shared" si="69"/>
        <v>~~~~~~~~~~</v>
      </c>
      <c r="AC218" t="str">
        <f t="shared" si="69"/>
        <v>~~~~~~~~~~</v>
      </c>
      <c r="AD218" t="str">
        <f t="shared" si="69"/>
        <v>~~~~~~~~~~</v>
      </c>
      <c r="AE218" t="str">
        <f t="shared" si="69"/>
        <v>~~~~~~~~~~</v>
      </c>
      <c r="AF218" t="str">
        <f t="shared" si="69"/>
        <v>~~~~~~~~~~</v>
      </c>
      <c r="AG218" t="str">
        <f t="shared" ref="AG218:BM218" si="70">"~~~~~~~~~~"</f>
        <v>~~~~~~~~~~</v>
      </c>
      <c r="AH218" t="str">
        <f t="shared" si="70"/>
        <v>~~~~~~~~~~</v>
      </c>
      <c r="AI218" t="str">
        <f t="shared" si="70"/>
        <v>~~~~~~~~~~</v>
      </c>
      <c r="AJ218" t="str">
        <f t="shared" si="70"/>
        <v>~~~~~~~~~~</v>
      </c>
      <c r="AK218" t="str">
        <f t="shared" si="70"/>
        <v>~~~~~~~~~~</v>
      </c>
      <c r="AL218" t="str">
        <f t="shared" si="70"/>
        <v>~~~~~~~~~~</v>
      </c>
      <c r="AM218" t="str">
        <f t="shared" si="70"/>
        <v>~~~~~~~~~~</v>
      </c>
      <c r="AN218" t="str">
        <f t="shared" si="70"/>
        <v>~~~~~~~~~~</v>
      </c>
      <c r="AO218" t="str">
        <f t="shared" si="70"/>
        <v>~~~~~~~~~~</v>
      </c>
      <c r="AP218" t="str">
        <f t="shared" si="70"/>
        <v>~~~~~~~~~~</v>
      </c>
      <c r="AQ218" t="str">
        <f t="shared" si="70"/>
        <v>~~~~~~~~~~</v>
      </c>
      <c r="AR218" t="str">
        <f t="shared" si="70"/>
        <v>~~~~~~~~~~</v>
      </c>
      <c r="AS218" t="str">
        <f t="shared" si="70"/>
        <v>~~~~~~~~~~</v>
      </c>
      <c r="AT218" t="str">
        <f t="shared" si="70"/>
        <v>~~~~~~~~~~</v>
      </c>
      <c r="AU218" t="str">
        <f t="shared" si="70"/>
        <v>~~~~~~~~~~</v>
      </c>
      <c r="AV218" t="str">
        <f t="shared" si="70"/>
        <v>~~~~~~~~~~</v>
      </c>
      <c r="AW218" t="str">
        <f t="shared" si="70"/>
        <v>~~~~~~~~~~</v>
      </c>
      <c r="AX218" t="str">
        <f t="shared" si="70"/>
        <v>~~~~~~~~~~</v>
      </c>
      <c r="AY218" t="str">
        <f t="shared" si="70"/>
        <v>~~~~~~~~~~</v>
      </c>
      <c r="AZ218" t="str">
        <f t="shared" si="70"/>
        <v>~~~~~~~~~~</v>
      </c>
      <c r="BA218" t="str">
        <f t="shared" si="70"/>
        <v>~~~~~~~~~~</v>
      </c>
      <c r="BB218" t="str">
        <f t="shared" si="70"/>
        <v>~~~~~~~~~~</v>
      </c>
      <c r="BC218" t="str">
        <f t="shared" si="70"/>
        <v>~~~~~~~~~~</v>
      </c>
      <c r="BD218" t="str">
        <f t="shared" si="70"/>
        <v>~~~~~~~~~~</v>
      </c>
      <c r="BE218" t="str">
        <f t="shared" si="70"/>
        <v>~~~~~~~~~~</v>
      </c>
      <c r="BF218" t="str">
        <f t="shared" si="70"/>
        <v>~~~~~~~~~~</v>
      </c>
      <c r="BG218" t="str">
        <f t="shared" si="70"/>
        <v>~~~~~~~~~~</v>
      </c>
      <c r="BH218" t="str">
        <f t="shared" si="70"/>
        <v>~~~~~~~~~~</v>
      </c>
      <c r="BI218" t="str">
        <f t="shared" si="70"/>
        <v>~~~~~~~~~~</v>
      </c>
      <c r="BJ218" t="str">
        <f t="shared" si="70"/>
        <v>~~~~~~~~~~</v>
      </c>
      <c r="BK218" t="str">
        <f t="shared" si="70"/>
        <v>~~~~~~~~~~</v>
      </c>
      <c r="BL218" t="str">
        <f t="shared" si="70"/>
        <v>~~~~~~~~~~</v>
      </c>
      <c r="BM218" t="str">
        <f t="shared" si="70"/>
        <v>~~~~~~~~~~</v>
      </c>
      <c r="BN218" t="str">
        <f>""</f>
        <v/>
      </c>
      <c r="BO218" t="str">
        <f>""</f>
        <v/>
      </c>
      <c r="BP218" t="str">
        <f>""</f>
        <v/>
      </c>
      <c r="BQ218" t="str">
        <f>""</f>
        <v/>
      </c>
      <c r="BR218" t="str">
        <f>""</f>
        <v/>
      </c>
      <c r="BS218" t="str">
        <f>""</f>
        <v/>
      </c>
      <c r="BT218" t="str">
        <f>""</f>
        <v/>
      </c>
      <c r="BU218" t="str">
        <f>""</f>
        <v/>
      </c>
      <c r="BV218" t="str">
        <f>""</f>
        <v/>
      </c>
      <c r="BW218" t="str">
        <f>""</f>
        <v/>
      </c>
      <c r="BX218" t="str">
        <f>""</f>
        <v/>
      </c>
      <c r="BY218" t="str">
        <f>""</f>
        <v/>
      </c>
      <c r="BZ218" t="str">
        <f>""</f>
        <v/>
      </c>
      <c r="CA218" t="str">
        <f>""</f>
        <v/>
      </c>
      <c r="CB218" t="str">
        <f>""</f>
        <v/>
      </c>
      <c r="CC218" t="str">
        <f>""</f>
        <v/>
      </c>
      <c r="CD218" t="str">
        <f>""</f>
        <v/>
      </c>
      <c r="CE218" t="str">
        <f>""</f>
        <v/>
      </c>
      <c r="CF218" t="str">
        <f>""</f>
        <v/>
      </c>
      <c r="CG218" t="str">
        <f>""</f>
        <v/>
      </c>
      <c r="CH218" t="str">
        <f>""</f>
        <v/>
      </c>
      <c r="CI218" t="str">
        <f>""</f>
        <v/>
      </c>
      <c r="CJ218" t="str">
        <f>""</f>
        <v/>
      </c>
      <c r="CK218" t="str">
        <f>""</f>
        <v/>
      </c>
      <c r="CL218" t="str">
        <f>""</f>
        <v/>
      </c>
      <c r="CM218" t="str">
        <f>""</f>
        <v/>
      </c>
      <c r="CN218" t="str">
        <f>""</f>
        <v/>
      </c>
      <c r="CO218" t="str">
        <f>""</f>
        <v/>
      </c>
      <c r="CP218" t="str">
        <f>""</f>
        <v/>
      </c>
      <c r="CQ218" t="str">
        <f>""</f>
        <v/>
      </c>
      <c r="CR218" t="str">
        <f>""</f>
        <v/>
      </c>
      <c r="CS218" t="str">
        <f>""</f>
        <v/>
      </c>
      <c r="CT218" t="str">
        <f>""</f>
        <v/>
      </c>
      <c r="CU218" t="str">
        <f>""</f>
        <v/>
      </c>
      <c r="CV218" t="str">
        <f>""</f>
        <v/>
      </c>
      <c r="CW218" t="str">
        <f>""</f>
        <v/>
      </c>
      <c r="CX218" t="str">
        <f>""</f>
        <v/>
      </c>
      <c r="CY218" t="str">
        <f>""</f>
        <v/>
      </c>
      <c r="CZ218" t="str">
        <f>""</f>
        <v/>
      </c>
      <c r="DA218" t="str">
        <f>""</f>
        <v/>
      </c>
      <c r="DB218" t="str">
        <f>""</f>
        <v/>
      </c>
      <c r="DC218" t="str">
        <f>""</f>
        <v/>
      </c>
      <c r="DD218" t="str">
        <f>""</f>
        <v/>
      </c>
      <c r="DE218" t="str">
        <f>""</f>
        <v/>
      </c>
      <c r="DF218" t="str">
        <f>""</f>
        <v/>
      </c>
      <c r="DG218" t="str">
        <f>""</f>
        <v/>
      </c>
      <c r="DH218" t="str">
        <f>""</f>
        <v/>
      </c>
      <c r="DI218" t="str">
        <f>""</f>
        <v/>
      </c>
      <c r="DJ218" t="str">
        <f>""</f>
        <v/>
      </c>
      <c r="DK218" t="str">
        <f>""</f>
        <v/>
      </c>
      <c r="DL218" t="str">
        <f>""</f>
        <v/>
      </c>
      <c r="DM218" t="str">
        <f>""</f>
        <v/>
      </c>
      <c r="DN218" t="str">
        <f>""</f>
        <v/>
      </c>
      <c r="DO218" t="str">
        <f>""</f>
        <v/>
      </c>
      <c r="DP218" t="str">
        <f>""</f>
        <v/>
      </c>
      <c r="DQ218" t="str">
        <f>""</f>
        <v/>
      </c>
      <c r="DR218" t="str">
        <f>""</f>
        <v/>
      </c>
      <c r="DS218" t="str">
        <f>""</f>
        <v/>
      </c>
      <c r="DT218" t="str">
        <f>""</f>
        <v/>
      </c>
      <c r="DU218" t="str">
        <f>""</f>
        <v/>
      </c>
    </row>
    <row r="219" spans="1:125">
      <c r="A219" t="str">
        <f>"通过上面公式行而添加下列所有数据行以供参考之用。"</f>
        <v>通过上面公式行而添加下列所有数据行以供参考之用。</v>
      </c>
      <c r="BN219" t="str">
        <f>""</f>
        <v/>
      </c>
      <c r="BO219" t="str">
        <f>""</f>
        <v/>
      </c>
      <c r="BP219" t="str">
        <f>""</f>
        <v/>
      </c>
      <c r="BQ219" t="str">
        <f>""</f>
        <v/>
      </c>
      <c r="BR219" t="str">
        <f>""</f>
        <v/>
      </c>
      <c r="BS219" t="str">
        <f>""</f>
        <v/>
      </c>
      <c r="BT219" t="str">
        <f>""</f>
        <v/>
      </c>
      <c r="BU219" t="str">
        <f>""</f>
        <v/>
      </c>
      <c r="BV219" t="str">
        <f>""</f>
        <v/>
      </c>
      <c r="BW219" t="str">
        <f>""</f>
        <v/>
      </c>
      <c r="BX219" t="str">
        <f>""</f>
        <v/>
      </c>
      <c r="BY219" t="str">
        <f>""</f>
        <v/>
      </c>
      <c r="BZ219" t="str">
        <f>""</f>
        <v/>
      </c>
      <c r="CA219" t="str">
        <f>""</f>
        <v/>
      </c>
      <c r="CB219" t="str">
        <f>""</f>
        <v/>
      </c>
      <c r="CC219" t="str">
        <f>""</f>
        <v/>
      </c>
      <c r="CD219" t="str">
        <f>""</f>
        <v/>
      </c>
      <c r="CE219" t="str">
        <f>""</f>
        <v/>
      </c>
      <c r="CF219" t="str">
        <f>""</f>
        <v/>
      </c>
      <c r="CG219" t="str">
        <f>""</f>
        <v/>
      </c>
      <c r="CH219" t="str">
        <f>""</f>
        <v/>
      </c>
      <c r="CI219" t="str">
        <f>""</f>
        <v/>
      </c>
      <c r="CJ219" t="str">
        <f>""</f>
        <v/>
      </c>
      <c r="CK219" t="str">
        <f>""</f>
        <v/>
      </c>
      <c r="CL219" t="str">
        <f>""</f>
        <v/>
      </c>
      <c r="CM219" t="str">
        <f>""</f>
        <v/>
      </c>
      <c r="CN219" t="str">
        <f>""</f>
        <v/>
      </c>
      <c r="CO219" t="str">
        <f>""</f>
        <v/>
      </c>
      <c r="CP219" t="str">
        <f>""</f>
        <v/>
      </c>
      <c r="CQ219" t="str">
        <f>""</f>
        <v/>
      </c>
      <c r="CR219" t="str">
        <f>""</f>
        <v/>
      </c>
      <c r="CS219" t="str">
        <f>""</f>
        <v/>
      </c>
      <c r="CT219" t="str">
        <f>""</f>
        <v/>
      </c>
      <c r="CU219" t="str">
        <f>""</f>
        <v/>
      </c>
      <c r="CV219" t="str">
        <f>""</f>
        <v/>
      </c>
      <c r="CW219" t="str">
        <f>""</f>
        <v/>
      </c>
      <c r="CX219" t="str">
        <f>""</f>
        <v/>
      </c>
      <c r="CY219" t="str">
        <f>""</f>
        <v/>
      </c>
      <c r="CZ219" t="str">
        <f>""</f>
        <v/>
      </c>
      <c r="DA219" t="str">
        <f>""</f>
        <v/>
      </c>
      <c r="DB219" t="str">
        <f>""</f>
        <v/>
      </c>
      <c r="DC219" t="str">
        <f>""</f>
        <v/>
      </c>
      <c r="DD219" t="str">
        <f>""</f>
        <v/>
      </c>
      <c r="DE219" t="str">
        <f>""</f>
        <v/>
      </c>
      <c r="DF219" t="str">
        <f>""</f>
        <v/>
      </c>
      <c r="DG219" t="str">
        <f>""</f>
        <v/>
      </c>
      <c r="DH219" t="str">
        <f>""</f>
        <v/>
      </c>
      <c r="DI219" t="str">
        <f>""</f>
        <v/>
      </c>
      <c r="DJ219" t="str">
        <f>""</f>
        <v/>
      </c>
      <c r="DK219" t="str">
        <f>""</f>
        <v/>
      </c>
      <c r="DL219" t="str">
        <f>""</f>
        <v/>
      </c>
      <c r="DM219" t="str">
        <f>""</f>
        <v/>
      </c>
      <c r="DN219" t="str">
        <f>""</f>
        <v/>
      </c>
      <c r="DO219" t="str">
        <f>""</f>
        <v/>
      </c>
      <c r="DP219" t="str">
        <f>""</f>
        <v/>
      </c>
      <c r="DQ219" t="str">
        <f>""</f>
        <v/>
      </c>
      <c r="DR219" t="str">
        <f>""</f>
        <v/>
      </c>
      <c r="DS219" t="str">
        <f>""</f>
        <v/>
      </c>
      <c r="DT219" t="str">
        <f>""</f>
        <v/>
      </c>
      <c r="DU219" t="str">
        <f>""</f>
        <v/>
      </c>
    </row>
    <row r="220" spans="1:125">
      <c r="A220">
        <f>RTD("bloomberg.ccyreader", "", "#track", "DBG", "BIHITX", "1.0","RepeatHit")</f>
        <v>0</v>
      </c>
      <c r="BN220" t="str">
        <f>""</f>
        <v/>
      </c>
      <c r="BO220" t="str">
        <f>""</f>
        <v/>
      </c>
      <c r="BP220" t="str">
        <f>""</f>
        <v/>
      </c>
      <c r="BQ220" t="str">
        <f>""</f>
        <v/>
      </c>
      <c r="BR220" t="str">
        <f>""</f>
        <v/>
      </c>
      <c r="BS220" t="str">
        <f>""</f>
        <v/>
      </c>
      <c r="BT220" t="str">
        <f>""</f>
        <v/>
      </c>
      <c r="BU220" t="str">
        <f>""</f>
        <v/>
      </c>
      <c r="BV220" t="str">
        <f>""</f>
        <v/>
      </c>
      <c r="BW220" t="str">
        <f>""</f>
        <v/>
      </c>
      <c r="BX220" t="str">
        <f>""</f>
        <v/>
      </c>
      <c r="BY220" t="str">
        <f>""</f>
        <v/>
      </c>
      <c r="BZ220" t="str">
        <f>""</f>
        <v/>
      </c>
      <c r="CA220" t="str">
        <f>""</f>
        <v/>
      </c>
      <c r="CB220" t="str">
        <f>""</f>
        <v/>
      </c>
      <c r="CC220" t="str">
        <f>""</f>
        <v/>
      </c>
      <c r="CD220" t="str">
        <f>""</f>
        <v/>
      </c>
      <c r="CE220" t="str">
        <f>""</f>
        <v/>
      </c>
      <c r="CF220" t="str">
        <f>""</f>
        <v/>
      </c>
      <c r="CG220" t="str">
        <f>""</f>
        <v/>
      </c>
      <c r="CH220" t="str">
        <f>""</f>
        <v/>
      </c>
      <c r="CI220" t="str">
        <f>""</f>
        <v/>
      </c>
      <c r="CJ220" t="str">
        <f>""</f>
        <v/>
      </c>
      <c r="CK220" t="str">
        <f>""</f>
        <v/>
      </c>
      <c r="CL220" t="str">
        <f>""</f>
        <v/>
      </c>
      <c r="CM220" t="str">
        <f>""</f>
        <v/>
      </c>
      <c r="CN220" t="str">
        <f>""</f>
        <v/>
      </c>
      <c r="CO220" t="str">
        <f>""</f>
        <v/>
      </c>
      <c r="CP220" t="str">
        <f>""</f>
        <v/>
      </c>
      <c r="CQ220" t="str">
        <f>""</f>
        <v/>
      </c>
      <c r="CR220" t="str">
        <f>""</f>
        <v/>
      </c>
      <c r="CS220" t="str">
        <f>""</f>
        <v/>
      </c>
      <c r="CT220" t="str">
        <f>""</f>
        <v/>
      </c>
      <c r="CU220" t="str">
        <f>""</f>
        <v/>
      </c>
      <c r="CV220" t="str">
        <f>""</f>
        <v/>
      </c>
      <c r="CW220" t="str">
        <f>""</f>
        <v/>
      </c>
      <c r="CX220" t="str">
        <f>""</f>
        <v/>
      </c>
      <c r="CY220" t="str">
        <f>""</f>
        <v/>
      </c>
      <c r="CZ220" t="str">
        <f>""</f>
        <v/>
      </c>
      <c r="DA220" t="str">
        <f>""</f>
        <v/>
      </c>
      <c r="DB220" t="str">
        <f>""</f>
        <v/>
      </c>
      <c r="DC220" t="str">
        <f>""</f>
        <v/>
      </c>
      <c r="DD220" t="str">
        <f>""</f>
        <v/>
      </c>
      <c r="DE220" t="str">
        <f>""</f>
        <v/>
      </c>
      <c r="DF220" t="str">
        <f>""</f>
        <v/>
      </c>
      <c r="DG220" t="str">
        <f>""</f>
        <v/>
      </c>
      <c r="DH220" t="str">
        <f>""</f>
        <v/>
      </c>
      <c r="DI220" t="str">
        <f>""</f>
        <v/>
      </c>
      <c r="DJ220" t="str">
        <f>""</f>
        <v/>
      </c>
      <c r="DK220" t="str">
        <f>""</f>
        <v/>
      </c>
      <c r="DL220" t="str">
        <f>""</f>
        <v/>
      </c>
      <c r="DM220" t="str">
        <f>""</f>
        <v/>
      </c>
      <c r="DN220" t="str">
        <f>""</f>
        <v/>
      </c>
      <c r="DO220" t="str">
        <f>""</f>
        <v/>
      </c>
      <c r="DP220" t="str">
        <f>""</f>
        <v/>
      </c>
      <c r="DQ220" t="str">
        <f>""</f>
        <v/>
      </c>
      <c r="DR220" t="str">
        <f>""</f>
        <v/>
      </c>
      <c r="DS220" t="str">
        <f>""</f>
        <v/>
      </c>
      <c r="DT220" t="str">
        <f>""</f>
        <v/>
      </c>
      <c r="DU220" t="str">
        <f>""</f>
        <v/>
      </c>
    </row>
    <row r="221" spans="1:125">
      <c r="A221" t="str">
        <f>"货币"</f>
        <v>货币</v>
      </c>
      <c r="B221" t="str">
        <f>"USD"</f>
        <v>USD</v>
      </c>
      <c r="BN221" t="str">
        <f>""</f>
        <v/>
      </c>
      <c r="BO221" t="str">
        <f>""</f>
        <v/>
      </c>
      <c r="BP221" t="str">
        <f>""</f>
        <v/>
      </c>
      <c r="BQ221" t="str">
        <f>""</f>
        <v/>
      </c>
      <c r="BR221" t="str">
        <f>""</f>
        <v/>
      </c>
      <c r="BS221" t="str">
        <f>""</f>
        <v/>
      </c>
      <c r="BT221" t="str">
        <f>""</f>
        <v/>
      </c>
      <c r="BU221" t="str">
        <f>""</f>
        <v/>
      </c>
      <c r="BV221" t="str">
        <f>""</f>
        <v/>
      </c>
      <c r="BW221" t="str">
        <f>""</f>
        <v/>
      </c>
      <c r="BX221" t="str">
        <f>""</f>
        <v/>
      </c>
      <c r="BY221" t="str">
        <f>""</f>
        <v/>
      </c>
      <c r="BZ221" t="str">
        <f>""</f>
        <v/>
      </c>
      <c r="CA221" t="str">
        <f>""</f>
        <v/>
      </c>
      <c r="CB221" t="str">
        <f>""</f>
        <v/>
      </c>
      <c r="CC221" t="str">
        <f>""</f>
        <v/>
      </c>
      <c r="CD221" t="str">
        <f>""</f>
        <v/>
      </c>
      <c r="CE221" t="str">
        <f>""</f>
        <v/>
      </c>
      <c r="CF221" t="str">
        <f>""</f>
        <v/>
      </c>
      <c r="CG221" t="str">
        <f>""</f>
        <v/>
      </c>
      <c r="CH221" t="str">
        <f>""</f>
        <v/>
      </c>
      <c r="CI221" t="str">
        <f>""</f>
        <v/>
      </c>
      <c r="CJ221" t="str">
        <f>""</f>
        <v/>
      </c>
      <c r="CK221" t="str">
        <f>""</f>
        <v/>
      </c>
      <c r="CL221" t="str">
        <f>""</f>
        <v/>
      </c>
      <c r="CM221" t="str">
        <f>""</f>
        <v/>
      </c>
      <c r="CN221" t="str">
        <f>""</f>
        <v/>
      </c>
      <c r="CO221" t="str">
        <f>""</f>
        <v/>
      </c>
      <c r="CP221" t="str">
        <f>""</f>
        <v/>
      </c>
      <c r="CQ221" t="str">
        <f>""</f>
        <v/>
      </c>
      <c r="CR221" t="str">
        <f>""</f>
        <v/>
      </c>
      <c r="CS221" t="str">
        <f>""</f>
        <v/>
      </c>
      <c r="CT221" t="str">
        <f>""</f>
        <v/>
      </c>
      <c r="CU221" t="str">
        <f>""</f>
        <v/>
      </c>
      <c r="CV221" t="str">
        <f>""</f>
        <v/>
      </c>
      <c r="CW221" t="str">
        <f>""</f>
        <v/>
      </c>
      <c r="CX221" t="str">
        <f>""</f>
        <v/>
      </c>
      <c r="CY221" t="str">
        <f>""</f>
        <v/>
      </c>
      <c r="CZ221" t="str">
        <f>""</f>
        <v/>
      </c>
      <c r="DA221" t="str">
        <f>""</f>
        <v/>
      </c>
      <c r="DB221" t="str">
        <f>""</f>
        <v/>
      </c>
      <c r="DC221" t="str">
        <f>""</f>
        <v/>
      </c>
      <c r="DD221" t="str">
        <f>""</f>
        <v/>
      </c>
      <c r="DE221" t="str">
        <f>""</f>
        <v/>
      </c>
      <c r="DF221" t="str">
        <f>""</f>
        <v/>
      </c>
      <c r="DG221" t="str">
        <f>""</f>
        <v/>
      </c>
      <c r="DH221" t="str">
        <f>""</f>
        <v/>
      </c>
      <c r="DI221" t="str">
        <f>""</f>
        <v/>
      </c>
      <c r="DJ221" t="str">
        <f>""</f>
        <v/>
      </c>
      <c r="DK221" t="str">
        <f>""</f>
        <v/>
      </c>
      <c r="DL221" t="str">
        <f>""</f>
        <v/>
      </c>
      <c r="DM221" t="str">
        <f>""</f>
        <v/>
      </c>
      <c r="DN221" t="str">
        <f>""</f>
        <v/>
      </c>
      <c r="DO221" t="str">
        <f>""</f>
        <v/>
      </c>
      <c r="DP221" t="str">
        <f>""</f>
        <v/>
      </c>
      <c r="DQ221" t="str">
        <f>""</f>
        <v/>
      </c>
      <c r="DR221" t="str">
        <f>""</f>
        <v/>
      </c>
      <c r="DS221" t="str">
        <f>""</f>
        <v/>
      </c>
      <c r="DT221" t="str">
        <f>""</f>
        <v/>
      </c>
      <c r="DU221" t="str">
        <f>""</f>
        <v/>
      </c>
    </row>
    <row r="222" spans="1:125">
      <c r="A222" t="str">
        <f>"周期"</f>
        <v>周期</v>
      </c>
      <c r="B222" t="str">
        <f>"CQ"</f>
        <v>CQ</v>
      </c>
      <c r="C222" t="str">
        <f>"AQ"</f>
        <v>AQ</v>
      </c>
      <c r="BN222" t="str">
        <f>""</f>
        <v/>
      </c>
      <c r="BO222" t="str">
        <f>""</f>
        <v/>
      </c>
      <c r="BP222" t="str">
        <f>""</f>
        <v/>
      </c>
      <c r="BQ222" t="str">
        <f>""</f>
        <v/>
      </c>
      <c r="BR222" t="str">
        <f>""</f>
        <v/>
      </c>
      <c r="BS222" t="str">
        <f>""</f>
        <v/>
      </c>
      <c r="BT222" t="str">
        <f>""</f>
        <v/>
      </c>
      <c r="BU222" t="str">
        <f>""</f>
        <v/>
      </c>
      <c r="BV222" t="str">
        <f>""</f>
        <v/>
      </c>
      <c r="BW222" t="str">
        <f>""</f>
        <v/>
      </c>
      <c r="BX222" t="str">
        <f>""</f>
        <v/>
      </c>
      <c r="BY222" t="str">
        <f>""</f>
        <v/>
      </c>
      <c r="BZ222" t="str">
        <f>""</f>
        <v/>
      </c>
      <c r="CA222" t="str">
        <f>""</f>
        <v/>
      </c>
      <c r="CB222" t="str">
        <f>""</f>
        <v/>
      </c>
      <c r="CC222" t="str">
        <f>""</f>
        <v/>
      </c>
      <c r="CD222" t="str">
        <f>""</f>
        <v/>
      </c>
      <c r="CE222" t="str">
        <f>""</f>
        <v/>
      </c>
      <c r="CF222" t="str">
        <f>""</f>
        <v/>
      </c>
      <c r="CG222" t="str">
        <f>""</f>
        <v/>
      </c>
      <c r="CH222" t="str">
        <f>""</f>
        <v/>
      </c>
      <c r="CI222" t="str">
        <f>""</f>
        <v/>
      </c>
      <c r="CJ222" t="str">
        <f>""</f>
        <v/>
      </c>
      <c r="CK222" t="str">
        <f>""</f>
        <v/>
      </c>
      <c r="CL222" t="str">
        <f>""</f>
        <v/>
      </c>
      <c r="CM222" t="str">
        <f>""</f>
        <v/>
      </c>
      <c r="CN222" t="str">
        <f>""</f>
        <v/>
      </c>
      <c r="CO222" t="str">
        <f>""</f>
        <v/>
      </c>
      <c r="CP222" t="str">
        <f>""</f>
        <v/>
      </c>
      <c r="CQ222" t="str">
        <f>""</f>
        <v/>
      </c>
      <c r="CR222" t="str">
        <f>""</f>
        <v/>
      </c>
      <c r="CS222" t="str">
        <f>""</f>
        <v/>
      </c>
      <c r="CT222" t="str">
        <f>""</f>
        <v/>
      </c>
      <c r="CU222" t="str">
        <f>""</f>
        <v/>
      </c>
      <c r="CV222" t="str">
        <f>""</f>
        <v/>
      </c>
      <c r="CW222" t="str">
        <f>""</f>
        <v/>
      </c>
      <c r="CX222" t="str">
        <f>""</f>
        <v/>
      </c>
      <c r="CY222" t="str">
        <f>""</f>
        <v/>
      </c>
      <c r="CZ222" t="str">
        <f>""</f>
        <v/>
      </c>
      <c r="DA222" t="str">
        <f>""</f>
        <v/>
      </c>
      <c r="DB222" t="str">
        <f>""</f>
        <v/>
      </c>
      <c r="DC222" t="str">
        <f>""</f>
        <v/>
      </c>
      <c r="DD222" t="str">
        <f>""</f>
        <v/>
      </c>
      <c r="DE222" t="str">
        <f>""</f>
        <v/>
      </c>
      <c r="DF222" t="str">
        <f>""</f>
        <v/>
      </c>
      <c r="DG222" t="str">
        <f>""</f>
        <v/>
      </c>
      <c r="DH222" t="str">
        <f>""</f>
        <v/>
      </c>
      <c r="DI222" t="str">
        <f>""</f>
        <v/>
      </c>
      <c r="DJ222" t="str">
        <f>""</f>
        <v/>
      </c>
      <c r="DK222" t="str">
        <f>""</f>
        <v/>
      </c>
      <c r="DL222" t="str">
        <f>""</f>
        <v/>
      </c>
      <c r="DM222" t="str">
        <f>""</f>
        <v/>
      </c>
      <c r="DN222" t="str">
        <f>""</f>
        <v/>
      </c>
      <c r="DO222" t="str">
        <f>""</f>
        <v/>
      </c>
      <c r="DP222" t="str">
        <f>""</f>
        <v/>
      </c>
      <c r="DQ222" t="str">
        <f>""</f>
        <v/>
      </c>
      <c r="DR222" t="str">
        <f>""</f>
        <v/>
      </c>
      <c r="DS222" t="str">
        <f>""</f>
        <v/>
      </c>
      <c r="DT222" t="str">
        <f>""</f>
        <v/>
      </c>
      <c r="DU222" t="str">
        <f>""</f>
        <v/>
      </c>
    </row>
    <row r="223" spans="1:125">
      <c r="A223" t="str">
        <f>"周期数"</f>
        <v>周期数</v>
      </c>
      <c r="B223">
        <f>60</f>
        <v>60</v>
      </c>
      <c r="BN223" t="str">
        <f>""</f>
        <v/>
      </c>
      <c r="BO223" t="str">
        <f>""</f>
        <v/>
      </c>
      <c r="BP223" t="str">
        <f>""</f>
        <v/>
      </c>
      <c r="BQ223" t="str">
        <f>""</f>
        <v/>
      </c>
      <c r="BR223" t="str">
        <f>""</f>
        <v/>
      </c>
      <c r="BS223" t="str">
        <f>""</f>
        <v/>
      </c>
      <c r="BT223" t="str">
        <f>""</f>
        <v/>
      </c>
      <c r="BU223" t="str">
        <f>""</f>
        <v/>
      </c>
      <c r="BV223" t="str">
        <f>""</f>
        <v/>
      </c>
      <c r="BW223" t="str">
        <f>""</f>
        <v/>
      </c>
      <c r="BX223" t="str">
        <f>""</f>
        <v/>
      </c>
      <c r="BY223" t="str">
        <f>""</f>
        <v/>
      </c>
      <c r="BZ223" t="str">
        <f>""</f>
        <v/>
      </c>
      <c r="CA223" t="str">
        <f>""</f>
        <v/>
      </c>
      <c r="CB223" t="str">
        <f>""</f>
        <v/>
      </c>
      <c r="CC223" t="str">
        <f>""</f>
        <v/>
      </c>
      <c r="CD223" t="str">
        <f>""</f>
        <v/>
      </c>
      <c r="CE223" t="str">
        <f>""</f>
        <v/>
      </c>
      <c r="CF223" t="str">
        <f>""</f>
        <v/>
      </c>
      <c r="CG223" t="str">
        <f>""</f>
        <v/>
      </c>
      <c r="CH223" t="str">
        <f>""</f>
        <v/>
      </c>
      <c r="CI223" t="str">
        <f>""</f>
        <v/>
      </c>
      <c r="CJ223" t="str">
        <f>""</f>
        <v/>
      </c>
      <c r="CK223" t="str">
        <f>""</f>
        <v/>
      </c>
      <c r="CL223" t="str">
        <f>""</f>
        <v/>
      </c>
      <c r="CM223" t="str">
        <f>""</f>
        <v/>
      </c>
      <c r="CN223" t="str">
        <f>""</f>
        <v/>
      </c>
      <c r="CO223" t="str">
        <f>""</f>
        <v/>
      </c>
      <c r="CP223" t="str">
        <f>""</f>
        <v/>
      </c>
      <c r="CQ223" t="str">
        <f>""</f>
        <v/>
      </c>
      <c r="CR223" t="str">
        <f>""</f>
        <v/>
      </c>
      <c r="CS223" t="str">
        <f>""</f>
        <v/>
      </c>
      <c r="CT223" t="str">
        <f>""</f>
        <v/>
      </c>
      <c r="CU223" t="str">
        <f>""</f>
        <v/>
      </c>
      <c r="CV223" t="str">
        <f>""</f>
        <v/>
      </c>
      <c r="CW223" t="str">
        <f>""</f>
        <v/>
      </c>
      <c r="CX223" t="str">
        <f>""</f>
        <v/>
      </c>
      <c r="CY223" t="str">
        <f>""</f>
        <v/>
      </c>
      <c r="CZ223" t="str">
        <f>""</f>
        <v/>
      </c>
      <c r="DA223" t="str">
        <f>""</f>
        <v/>
      </c>
      <c r="DB223" t="str">
        <f>""</f>
        <v/>
      </c>
      <c r="DC223" t="str">
        <f>""</f>
        <v/>
      </c>
      <c r="DD223" t="str">
        <f>""</f>
        <v/>
      </c>
      <c r="DE223" t="str">
        <f>""</f>
        <v/>
      </c>
      <c r="DF223" t="str">
        <f>""</f>
        <v/>
      </c>
      <c r="DG223" t="str">
        <f>""</f>
        <v/>
      </c>
      <c r="DH223" t="str">
        <f>""</f>
        <v/>
      </c>
      <c r="DI223" t="str">
        <f>""</f>
        <v/>
      </c>
      <c r="DJ223" t="str">
        <f>""</f>
        <v/>
      </c>
      <c r="DK223" t="str">
        <f>""</f>
        <v/>
      </c>
      <c r="DL223" t="str">
        <f>""</f>
        <v/>
      </c>
      <c r="DM223" t="str">
        <f>""</f>
        <v/>
      </c>
      <c r="DN223" t="str">
        <f>""</f>
        <v/>
      </c>
      <c r="DO223" t="str">
        <f>""</f>
        <v/>
      </c>
      <c r="DP223" t="str">
        <f>""</f>
        <v/>
      </c>
      <c r="DQ223" t="str">
        <f>""</f>
        <v/>
      </c>
      <c r="DR223" t="str">
        <f>""</f>
        <v/>
      </c>
      <c r="DS223" t="str">
        <f>""</f>
        <v/>
      </c>
      <c r="DT223" t="str">
        <f>""</f>
        <v/>
      </c>
      <c r="DU223" t="str">
        <f>""</f>
        <v/>
      </c>
    </row>
    <row r="224" spans="1:125">
      <c r="A224" t="str">
        <f>"起始日期"</f>
        <v>起始日期</v>
      </c>
      <c r="B224" t="str">
        <f>CONCATENATE("-",$B$223,$B$222)</f>
        <v>-60CQ</v>
      </c>
      <c r="C224" t="str">
        <f>CONCATENATE("-",$B$223,$C$222)</f>
        <v>-60AQ</v>
      </c>
      <c r="BN224" t="str">
        <f>""</f>
        <v/>
      </c>
      <c r="BO224" t="str">
        <f>""</f>
        <v/>
      </c>
      <c r="BP224" t="str">
        <f>""</f>
        <v/>
      </c>
      <c r="BQ224" t="str">
        <f>""</f>
        <v/>
      </c>
      <c r="BR224" t="str">
        <f>""</f>
        <v/>
      </c>
      <c r="BS224" t="str">
        <f>""</f>
        <v/>
      </c>
      <c r="BT224" t="str">
        <f>""</f>
        <v/>
      </c>
      <c r="BU224" t="str">
        <f>""</f>
        <v/>
      </c>
      <c r="BV224" t="str">
        <f>""</f>
        <v/>
      </c>
      <c r="BW224" t="str">
        <f>""</f>
        <v/>
      </c>
      <c r="BX224" t="str">
        <f>""</f>
        <v/>
      </c>
      <c r="BY224" t="str">
        <f>""</f>
        <v/>
      </c>
      <c r="BZ224" t="str">
        <f>""</f>
        <v/>
      </c>
      <c r="CA224" t="str">
        <f>""</f>
        <v/>
      </c>
      <c r="CB224" t="str">
        <f>""</f>
        <v/>
      </c>
      <c r="CC224" t="str">
        <f>""</f>
        <v/>
      </c>
      <c r="CD224" t="str">
        <f>""</f>
        <v/>
      </c>
      <c r="CE224" t="str">
        <f>""</f>
        <v/>
      </c>
      <c r="CF224" t="str">
        <f>""</f>
        <v/>
      </c>
      <c r="CG224" t="str">
        <f>""</f>
        <v/>
      </c>
      <c r="CH224" t="str">
        <f>""</f>
        <v/>
      </c>
      <c r="CI224" t="str">
        <f>""</f>
        <v/>
      </c>
      <c r="CJ224" t="str">
        <f>""</f>
        <v/>
      </c>
      <c r="CK224" t="str">
        <f>""</f>
        <v/>
      </c>
      <c r="CL224" t="str">
        <f>""</f>
        <v/>
      </c>
      <c r="CM224" t="str">
        <f>""</f>
        <v/>
      </c>
      <c r="CN224" t="str">
        <f>""</f>
        <v/>
      </c>
      <c r="CO224" t="str">
        <f>""</f>
        <v/>
      </c>
      <c r="CP224" t="str">
        <f>""</f>
        <v/>
      </c>
      <c r="CQ224" t="str">
        <f>""</f>
        <v/>
      </c>
      <c r="CR224" t="str">
        <f>""</f>
        <v/>
      </c>
      <c r="CS224" t="str">
        <f>""</f>
        <v/>
      </c>
      <c r="CT224" t="str">
        <f>""</f>
        <v/>
      </c>
      <c r="CU224" t="str">
        <f>""</f>
        <v/>
      </c>
      <c r="CV224" t="str">
        <f>""</f>
        <v/>
      </c>
      <c r="CW224" t="str">
        <f>""</f>
        <v/>
      </c>
      <c r="CX224" t="str">
        <f>""</f>
        <v/>
      </c>
      <c r="CY224" t="str">
        <f>""</f>
        <v/>
      </c>
      <c r="CZ224" t="str">
        <f>""</f>
        <v/>
      </c>
      <c r="DA224" t="str">
        <f>""</f>
        <v/>
      </c>
      <c r="DB224" t="str">
        <f>""</f>
        <v/>
      </c>
      <c r="DC224" t="str">
        <f>""</f>
        <v/>
      </c>
      <c r="DD224" t="str">
        <f>""</f>
        <v/>
      </c>
      <c r="DE224" t="str">
        <f>""</f>
        <v/>
      </c>
      <c r="DF224" t="str">
        <f>""</f>
        <v/>
      </c>
      <c r="DG224" t="str">
        <f>""</f>
        <v/>
      </c>
      <c r="DH224" t="str">
        <f>""</f>
        <v/>
      </c>
      <c r="DI224" t="str">
        <f>""</f>
        <v/>
      </c>
      <c r="DJ224" t="str">
        <f>""</f>
        <v/>
      </c>
      <c r="DK224" t="str">
        <f>""</f>
        <v/>
      </c>
      <c r="DL224" t="str">
        <f>""</f>
        <v/>
      </c>
      <c r="DM224" t="str">
        <f>""</f>
        <v/>
      </c>
      <c r="DN224" t="str">
        <f>""</f>
        <v/>
      </c>
      <c r="DO224" t="str">
        <f>""</f>
        <v/>
      </c>
      <c r="DP224" t="str">
        <f>""</f>
        <v/>
      </c>
      <c r="DQ224" t="str">
        <f>""</f>
        <v/>
      </c>
      <c r="DR224" t="str">
        <f>""</f>
        <v/>
      </c>
      <c r="DS224" t="str">
        <f>""</f>
        <v/>
      </c>
      <c r="DT224" t="str">
        <f>""</f>
        <v/>
      </c>
      <c r="DU224" t="str">
        <f>""</f>
        <v/>
      </c>
    </row>
    <row r="225" spans="1:125">
      <c r="A225" t="str">
        <f>"End Date"</f>
        <v>End Date</v>
      </c>
      <c r="B225">
        <f ca="1">IF(TODAY()&lt;DATE(2018, 3,31),DATE(2018, 3,31),TODAY())</f>
        <v>43190</v>
      </c>
      <c r="BN225" t="str">
        <f>""</f>
        <v/>
      </c>
      <c r="BO225" t="str">
        <f>""</f>
        <v/>
      </c>
      <c r="BP225" t="str">
        <f>""</f>
        <v/>
      </c>
      <c r="BQ225" t="str">
        <f>""</f>
        <v/>
      </c>
      <c r="BR225" t="str">
        <f>""</f>
        <v/>
      </c>
      <c r="BS225" t="str">
        <f>""</f>
        <v/>
      </c>
      <c r="BT225" t="str">
        <f>""</f>
        <v/>
      </c>
      <c r="BU225" t="str">
        <f>""</f>
        <v/>
      </c>
      <c r="BV225" t="str">
        <f>""</f>
        <v/>
      </c>
      <c r="BW225" t="str">
        <f>""</f>
        <v/>
      </c>
      <c r="BX225" t="str">
        <f>""</f>
        <v/>
      </c>
      <c r="BY225" t="str">
        <f>""</f>
        <v/>
      </c>
      <c r="BZ225" t="str">
        <f>""</f>
        <v/>
      </c>
      <c r="CA225" t="str">
        <f>""</f>
        <v/>
      </c>
      <c r="CB225" t="str">
        <f>""</f>
        <v/>
      </c>
      <c r="CC225" t="str">
        <f>""</f>
        <v/>
      </c>
      <c r="CD225" t="str">
        <f>""</f>
        <v/>
      </c>
      <c r="CE225" t="str">
        <f>""</f>
        <v/>
      </c>
      <c r="CF225" t="str">
        <f>""</f>
        <v/>
      </c>
      <c r="CG225" t="str">
        <f>""</f>
        <v/>
      </c>
      <c r="CH225" t="str">
        <f>""</f>
        <v/>
      </c>
      <c r="CI225" t="str">
        <f>""</f>
        <v/>
      </c>
      <c r="CJ225" t="str">
        <f>""</f>
        <v/>
      </c>
      <c r="CK225" t="str">
        <f>""</f>
        <v/>
      </c>
      <c r="CL225" t="str">
        <f>""</f>
        <v/>
      </c>
      <c r="CM225" t="str">
        <f>""</f>
        <v/>
      </c>
      <c r="CN225" t="str">
        <f>""</f>
        <v/>
      </c>
      <c r="CO225" t="str">
        <f>""</f>
        <v/>
      </c>
      <c r="CP225" t="str">
        <f>""</f>
        <v/>
      </c>
      <c r="CQ225" t="str">
        <f>""</f>
        <v/>
      </c>
      <c r="CR225" t="str">
        <f>""</f>
        <v/>
      </c>
      <c r="CS225" t="str">
        <f>""</f>
        <v/>
      </c>
      <c r="CT225" t="str">
        <f>""</f>
        <v/>
      </c>
      <c r="CU225" t="str">
        <f>""</f>
        <v/>
      </c>
      <c r="CV225" t="str">
        <f>""</f>
        <v/>
      </c>
      <c r="CW225" t="str">
        <f>""</f>
        <v/>
      </c>
      <c r="CX225" t="str">
        <f>""</f>
        <v/>
      </c>
      <c r="CY225" t="str">
        <f>""</f>
        <v/>
      </c>
      <c r="CZ225" t="str">
        <f>""</f>
        <v/>
      </c>
      <c r="DA225" t="str">
        <f>""</f>
        <v/>
      </c>
      <c r="DB225" t="str">
        <f>""</f>
        <v/>
      </c>
      <c r="DC225" t="str">
        <f>""</f>
        <v/>
      </c>
      <c r="DD225" t="str">
        <f>""</f>
        <v/>
      </c>
      <c r="DE225" t="str">
        <f>""</f>
        <v/>
      </c>
      <c r="DF225" t="str">
        <f>""</f>
        <v/>
      </c>
      <c r="DG225" t="str">
        <f>""</f>
        <v/>
      </c>
      <c r="DH225" t="str">
        <f>""</f>
        <v/>
      </c>
      <c r="DI225" t="str">
        <f>""</f>
        <v/>
      </c>
      <c r="DJ225" t="str">
        <f>""</f>
        <v/>
      </c>
      <c r="DK225" t="str">
        <f>""</f>
        <v/>
      </c>
      <c r="DL225" t="str">
        <f>""</f>
        <v/>
      </c>
      <c r="DM225" t="str">
        <f>""</f>
        <v/>
      </c>
      <c r="DN225" t="str">
        <f>""</f>
        <v/>
      </c>
      <c r="DO225" t="str">
        <f>""</f>
        <v/>
      </c>
      <c r="DP225" t="str">
        <f>""</f>
        <v/>
      </c>
      <c r="DQ225" t="str">
        <f>""</f>
        <v/>
      </c>
      <c r="DR225" t="str">
        <f>""</f>
        <v/>
      </c>
      <c r="DS225" t="str">
        <f>""</f>
        <v/>
      </c>
      <c r="DT225" t="str">
        <f>""</f>
        <v/>
      </c>
      <c r="DU225" t="str">
        <f>""</f>
        <v/>
      </c>
    </row>
    <row r="226" spans="1:125">
      <c r="A226" t="str">
        <f>"HeaderStatus(custom data)"</f>
        <v>HeaderStatus(custom data)</v>
      </c>
      <c r="BN226" t="str">
        <f>""</f>
        <v/>
      </c>
      <c r="BO226" t="str">
        <f>""</f>
        <v/>
      </c>
      <c r="BP226" t="str">
        <f>""</f>
        <v/>
      </c>
      <c r="BQ226" t="str">
        <f>""</f>
        <v/>
      </c>
      <c r="BR226" t="str">
        <f>""</f>
        <v/>
      </c>
      <c r="BS226" t="str">
        <f>""</f>
        <v/>
      </c>
      <c r="BT226" t="str">
        <f>""</f>
        <v/>
      </c>
      <c r="BU226" t="str">
        <f>""</f>
        <v/>
      </c>
      <c r="BV226" t="str">
        <f>""</f>
        <v/>
      </c>
      <c r="BW226" t="str">
        <f>""</f>
        <v/>
      </c>
      <c r="BX226" t="str">
        <f>""</f>
        <v/>
      </c>
      <c r="BY226" t="str">
        <f>""</f>
        <v/>
      </c>
      <c r="BZ226" t="str">
        <f>""</f>
        <v/>
      </c>
      <c r="CA226" t="str">
        <f>""</f>
        <v/>
      </c>
      <c r="CB226" t="str">
        <f>""</f>
        <v/>
      </c>
      <c r="CC226" t="str">
        <f>""</f>
        <v/>
      </c>
      <c r="CD226" t="str">
        <f>""</f>
        <v/>
      </c>
      <c r="CE226" t="str">
        <f>""</f>
        <v/>
      </c>
      <c r="CF226" t="str">
        <f>""</f>
        <v/>
      </c>
      <c r="CG226" t="str">
        <f>""</f>
        <v/>
      </c>
      <c r="CH226" t="str">
        <f>""</f>
        <v/>
      </c>
      <c r="CI226" t="str">
        <f>""</f>
        <v/>
      </c>
      <c r="CJ226" t="str">
        <f>""</f>
        <v/>
      </c>
      <c r="CK226" t="str">
        <f>""</f>
        <v/>
      </c>
      <c r="CL226" t="str">
        <f>""</f>
        <v/>
      </c>
      <c r="CM226" t="str">
        <f>""</f>
        <v/>
      </c>
      <c r="CN226" t="str">
        <f>""</f>
        <v/>
      </c>
      <c r="CO226" t="str">
        <f>""</f>
        <v/>
      </c>
      <c r="CP226" t="str">
        <f>""</f>
        <v/>
      </c>
      <c r="CQ226" t="str">
        <f>""</f>
        <v/>
      </c>
      <c r="CR226" t="str">
        <f>""</f>
        <v/>
      </c>
      <c r="CS226" t="str">
        <f>""</f>
        <v/>
      </c>
      <c r="CT226" t="str">
        <f>""</f>
        <v/>
      </c>
      <c r="CU226" t="str">
        <f>""</f>
        <v/>
      </c>
      <c r="CV226" t="str">
        <f>""</f>
        <v/>
      </c>
      <c r="CW226" t="str">
        <f>""</f>
        <v/>
      </c>
      <c r="CX226" t="str">
        <f>""</f>
        <v/>
      </c>
      <c r="CY226" t="str">
        <f>""</f>
        <v/>
      </c>
      <c r="CZ226" t="str">
        <f>""</f>
        <v/>
      </c>
      <c r="DA226" t="str">
        <f>""</f>
        <v/>
      </c>
      <c r="DB226" t="str">
        <f>""</f>
        <v/>
      </c>
      <c r="DC226" t="str">
        <f>""</f>
        <v/>
      </c>
      <c r="DD226" t="str">
        <f>""</f>
        <v/>
      </c>
      <c r="DE226" t="str">
        <f>""</f>
        <v/>
      </c>
      <c r="DF226" t="str">
        <f>""</f>
        <v/>
      </c>
      <c r="DG226" t="str">
        <f>""</f>
        <v/>
      </c>
      <c r="DH226" t="str">
        <f>""</f>
        <v/>
      </c>
      <c r="DI226" t="str">
        <f>""</f>
        <v/>
      </c>
      <c r="DJ226" t="str">
        <f>""</f>
        <v/>
      </c>
      <c r="DK226" t="str">
        <f>""</f>
        <v/>
      </c>
      <c r="DL226" t="str">
        <f>""</f>
        <v/>
      </c>
      <c r="DM226" t="str">
        <f>""</f>
        <v/>
      </c>
      <c r="DN226" t="str">
        <f>""</f>
        <v/>
      </c>
      <c r="DO226" t="str">
        <f>""</f>
        <v/>
      </c>
      <c r="DP226" t="str">
        <f>""</f>
        <v/>
      </c>
      <c r="DQ226" t="str">
        <f>""</f>
        <v/>
      </c>
      <c r="DR226" t="str">
        <f>""</f>
        <v/>
      </c>
      <c r="DS226" t="str">
        <f>""</f>
        <v/>
      </c>
      <c r="DT226" t="str">
        <f>""</f>
        <v/>
      </c>
      <c r="DU226" t="str">
        <f>""</f>
        <v/>
      </c>
    </row>
    <row r="227" spans="1:125">
      <c r="BN227" t="str">
        <f>""</f>
        <v/>
      </c>
      <c r="BO227" t="str">
        <f>""</f>
        <v/>
      </c>
      <c r="BP227" t="str">
        <f>""</f>
        <v/>
      </c>
      <c r="BQ227" t="str">
        <f>""</f>
        <v/>
      </c>
      <c r="BR227" t="str">
        <f>""</f>
        <v/>
      </c>
      <c r="BS227" t="str">
        <f>""</f>
        <v/>
      </c>
      <c r="BT227" t="str">
        <f>""</f>
        <v/>
      </c>
      <c r="BU227" t="str">
        <f>""</f>
        <v/>
      </c>
      <c r="BV227" t="str">
        <f>""</f>
        <v/>
      </c>
      <c r="BW227" t="str">
        <f>""</f>
        <v/>
      </c>
      <c r="BX227" t="str">
        <f>""</f>
        <v/>
      </c>
      <c r="BY227" t="str">
        <f>""</f>
        <v/>
      </c>
      <c r="BZ227" t="str">
        <f>""</f>
        <v/>
      </c>
      <c r="CA227" t="str">
        <f>""</f>
        <v/>
      </c>
      <c r="CB227" t="str">
        <f>""</f>
        <v/>
      </c>
      <c r="CC227" t="str">
        <f>""</f>
        <v/>
      </c>
      <c r="CD227" t="str">
        <f>""</f>
        <v/>
      </c>
      <c r="CE227" t="str">
        <f>""</f>
        <v/>
      </c>
      <c r="CF227" t="str">
        <f>""</f>
        <v/>
      </c>
      <c r="CG227" t="str">
        <f>""</f>
        <v/>
      </c>
      <c r="CH227" t="str">
        <f>""</f>
        <v/>
      </c>
      <c r="CI227" t="str">
        <f>""</f>
        <v/>
      </c>
      <c r="CJ227" t="str">
        <f>""</f>
        <v/>
      </c>
      <c r="CK227" t="str">
        <f>""</f>
        <v/>
      </c>
      <c r="CL227" t="str">
        <f>""</f>
        <v/>
      </c>
      <c r="CM227" t="str">
        <f>""</f>
        <v/>
      </c>
      <c r="CN227" t="str">
        <f>""</f>
        <v/>
      </c>
      <c r="CO227" t="str">
        <f>""</f>
        <v/>
      </c>
      <c r="CP227" t="str">
        <f>""</f>
        <v/>
      </c>
      <c r="CQ227" t="str">
        <f>""</f>
        <v/>
      </c>
      <c r="CR227" t="str">
        <f>""</f>
        <v/>
      </c>
      <c r="CS227" t="str">
        <f>""</f>
        <v/>
      </c>
      <c r="CT227" t="str">
        <f>""</f>
        <v/>
      </c>
      <c r="CU227" t="str">
        <f>""</f>
        <v/>
      </c>
      <c r="CV227" t="str">
        <f>""</f>
        <v/>
      </c>
      <c r="CW227" t="str">
        <f>""</f>
        <v/>
      </c>
      <c r="CX227" t="str">
        <f>""</f>
        <v/>
      </c>
      <c r="CY227" t="str">
        <f>""</f>
        <v/>
      </c>
      <c r="CZ227" t="str">
        <f>""</f>
        <v/>
      </c>
      <c r="DA227" t="str">
        <f>""</f>
        <v/>
      </c>
      <c r="DB227" t="str">
        <f>""</f>
        <v/>
      </c>
      <c r="DC227" t="str">
        <f>""</f>
        <v/>
      </c>
      <c r="DD227" t="str">
        <f>""</f>
        <v/>
      </c>
      <c r="DE227" t="str">
        <f>""</f>
        <v/>
      </c>
      <c r="DF227" t="str">
        <f>""</f>
        <v/>
      </c>
      <c r="DG227" t="str">
        <f>""</f>
        <v/>
      </c>
      <c r="DH227" t="str">
        <f>""</f>
        <v/>
      </c>
      <c r="DI227" t="str">
        <f>""</f>
        <v/>
      </c>
      <c r="DJ227" t="str">
        <f>""</f>
        <v/>
      </c>
      <c r="DK227" t="str">
        <f>""</f>
        <v/>
      </c>
      <c r="DL227" t="str">
        <f>""</f>
        <v/>
      </c>
      <c r="DM227" t="str">
        <f>""</f>
        <v/>
      </c>
      <c r="DN227" t="str">
        <f>""</f>
        <v/>
      </c>
      <c r="DO227" t="str">
        <f>""</f>
        <v/>
      </c>
      <c r="DP227" t="str">
        <f>""</f>
        <v/>
      </c>
      <c r="DQ227" t="str">
        <f>""</f>
        <v/>
      </c>
      <c r="DR227" t="str">
        <f>""</f>
        <v/>
      </c>
      <c r="DS227" t="str">
        <f>""</f>
        <v/>
      </c>
      <c r="DT227" t="str">
        <f>""</f>
        <v/>
      </c>
      <c r="DU227" t="str">
        <f>""</f>
        <v/>
      </c>
    </row>
    <row r="228" spans="1:125">
      <c r="A228" t="str">
        <f>$A$5</f>
        <v xml:space="preserve">    American Campus Communities In</v>
      </c>
      <c r="B228" t="str">
        <f>$B$5</f>
        <v>ACC US Equity</v>
      </c>
      <c r="C228" t="str">
        <f>$C$5</f>
        <v>IS030</v>
      </c>
      <c r="D228" t="str">
        <f>$D$5</f>
        <v>IS_RENT_INC</v>
      </c>
      <c r="E228" t="str">
        <f>$E$5</f>
        <v>动态</v>
      </c>
      <c r="F228" t="str">
        <f ca="1">BDH($B$5,$C$5,$B$224,$B$225,CONCATENATE("Per=",$B$222),"Dts=H","Dir=H",CONCATENATE("Points=",$B$223),"Sort=R","Days=A","Fill=B",CONCATENATE("FX=", $B$221) )</f>
        <v>#N/A Authorization</v>
      </c>
      <c r="BN228" t="str">
        <f>""</f>
        <v/>
      </c>
      <c r="BO228" t="str">
        <f>""</f>
        <v/>
      </c>
      <c r="BP228" t="str">
        <f>""</f>
        <v/>
      </c>
      <c r="BQ228" t="str">
        <f>""</f>
        <v/>
      </c>
      <c r="BR228" t="str">
        <f>""</f>
        <v/>
      </c>
      <c r="BS228" t="str">
        <f>""</f>
        <v/>
      </c>
      <c r="BT228" t="str">
        <f>""</f>
        <v/>
      </c>
      <c r="BU228" t="str">
        <f>""</f>
        <v/>
      </c>
      <c r="BV228" t="str">
        <f>""</f>
        <v/>
      </c>
      <c r="BW228" t="str">
        <f>""</f>
        <v/>
      </c>
      <c r="BX228" t="str">
        <f>""</f>
        <v/>
      </c>
      <c r="BY228" t="str">
        <f>""</f>
        <v/>
      </c>
      <c r="BZ228" t="str">
        <f>""</f>
        <v/>
      </c>
      <c r="CA228" t="str">
        <f>""</f>
        <v/>
      </c>
      <c r="CB228" t="str">
        <f>""</f>
        <v/>
      </c>
      <c r="CC228" t="str">
        <f>""</f>
        <v/>
      </c>
      <c r="CD228" t="str">
        <f>""</f>
        <v/>
      </c>
      <c r="CE228" t="str">
        <f>""</f>
        <v/>
      </c>
      <c r="CF228" t="str">
        <f>""</f>
        <v/>
      </c>
      <c r="CG228" t="str">
        <f>""</f>
        <v/>
      </c>
      <c r="CH228" t="str">
        <f>""</f>
        <v/>
      </c>
      <c r="CI228" t="str">
        <f>""</f>
        <v/>
      </c>
      <c r="CJ228" t="str">
        <f>""</f>
        <v/>
      </c>
      <c r="CK228" t="str">
        <f>""</f>
        <v/>
      </c>
      <c r="CL228" t="str">
        <f>""</f>
        <v/>
      </c>
      <c r="CM228" t="str">
        <f>""</f>
        <v/>
      </c>
      <c r="CN228" t="str">
        <f>""</f>
        <v/>
      </c>
      <c r="CO228" t="str">
        <f>""</f>
        <v/>
      </c>
      <c r="CP228" t="str">
        <f>""</f>
        <v/>
      </c>
      <c r="CQ228" t="str">
        <f>""</f>
        <v/>
      </c>
      <c r="CR228" t="str">
        <f>""</f>
        <v/>
      </c>
      <c r="CS228" t="str">
        <f>""</f>
        <v/>
      </c>
      <c r="CT228" t="str">
        <f>""</f>
        <v/>
      </c>
      <c r="CU228" t="str">
        <f>""</f>
        <v/>
      </c>
      <c r="CV228" t="str">
        <f>""</f>
        <v/>
      </c>
      <c r="CW228" t="str">
        <f>""</f>
        <v/>
      </c>
      <c r="CX228" t="str">
        <f>""</f>
        <v/>
      </c>
      <c r="CY228" t="str">
        <f>""</f>
        <v/>
      </c>
      <c r="CZ228" t="str">
        <f>""</f>
        <v/>
      </c>
      <c r="DA228" t="str">
        <f>""</f>
        <v/>
      </c>
      <c r="DB228" t="str">
        <f>""</f>
        <v/>
      </c>
      <c r="DC228" t="str">
        <f>""</f>
        <v/>
      </c>
      <c r="DD228" t="str">
        <f>""</f>
        <v/>
      </c>
      <c r="DE228" t="str">
        <f>""</f>
        <v/>
      </c>
      <c r="DF228" t="str">
        <f>""</f>
        <v/>
      </c>
      <c r="DG228" t="str">
        <f>""</f>
        <v/>
      </c>
      <c r="DH228" t="str">
        <f>""</f>
        <v/>
      </c>
      <c r="DI228" t="str">
        <f>""</f>
        <v/>
      </c>
      <c r="DJ228" t="str">
        <f>""</f>
        <v/>
      </c>
      <c r="DK228" t="str">
        <f>""</f>
        <v/>
      </c>
      <c r="DL228" t="str">
        <f>""</f>
        <v/>
      </c>
      <c r="DM228" t="str">
        <f>""</f>
        <v/>
      </c>
      <c r="DN228" t="str">
        <f>""</f>
        <v/>
      </c>
      <c r="DO228" t="str">
        <f>""</f>
        <v/>
      </c>
      <c r="DP228" t="str">
        <f>""</f>
        <v/>
      </c>
      <c r="DQ228" t="str">
        <f>""</f>
        <v/>
      </c>
      <c r="DR228" t="str">
        <f>""</f>
        <v/>
      </c>
      <c r="DS228" t="str">
        <f>""</f>
        <v/>
      </c>
      <c r="DT228" t="str">
        <f>""</f>
        <v/>
      </c>
      <c r="DU228" t="str">
        <f>""</f>
        <v/>
      </c>
    </row>
    <row r="229" spans="1:125">
      <c r="A229" t="str">
        <f>$A$6</f>
        <v xml:space="preserve">    AvalonBay Communities Inc</v>
      </c>
      <c r="B229" t="str">
        <f>$B$6</f>
        <v>AVB US Equity</v>
      </c>
      <c r="C229" t="str">
        <f>$C$6</f>
        <v>IS030</v>
      </c>
      <c r="D229" t="str">
        <f>$D$6</f>
        <v>IS_RENT_INC</v>
      </c>
      <c r="E229" t="str">
        <f>$E$6</f>
        <v>动态</v>
      </c>
      <c r="F229" t="str">
        <f ca="1">BDH($B$6,$C$6,$B$224,$B$225,CONCATENATE("Per=",$B$222),"Dts=H","Dir=H",CONCATENATE("Points=",$B$223),"Sort=R","Days=A","Fill=B",CONCATENATE("FX=", $B$221) )</f>
        <v>#N/A Authorization</v>
      </c>
      <c r="BN229" t="str">
        <f>""</f>
        <v/>
      </c>
      <c r="BO229" t="str">
        <f>""</f>
        <v/>
      </c>
      <c r="BP229" t="str">
        <f>""</f>
        <v/>
      </c>
      <c r="BQ229" t="str">
        <f>""</f>
        <v/>
      </c>
      <c r="BR229" t="str">
        <f>""</f>
        <v/>
      </c>
      <c r="BS229" t="str">
        <f>""</f>
        <v/>
      </c>
      <c r="BT229" t="str">
        <f>""</f>
        <v/>
      </c>
      <c r="BU229" t="str">
        <f>""</f>
        <v/>
      </c>
      <c r="BV229" t="str">
        <f>""</f>
        <v/>
      </c>
      <c r="BW229" t="str">
        <f>""</f>
        <v/>
      </c>
      <c r="BX229" t="str">
        <f>""</f>
        <v/>
      </c>
      <c r="BY229" t="str">
        <f>""</f>
        <v/>
      </c>
      <c r="BZ229" t="str">
        <f>""</f>
        <v/>
      </c>
      <c r="CA229" t="str">
        <f>""</f>
        <v/>
      </c>
      <c r="CB229" t="str">
        <f>""</f>
        <v/>
      </c>
      <c r="CC229" t="str">
        <f>""</f>
        <v/>
      </c>
      <c r="CD229" t="str">
        <f>""</f>
        <v/>
      </c>
      <c r="CE229" t="str">
        <f>""</f>
        <v/>
      </c>
      <c r="CF229" t="str">
        <f>""</f>
        <v/>
      </c>
      <c r="CG229" t="str">
        <f>""</f>
        <v/>
      </c>
      <c r="CH229" t="str">
        <f>""</f>
        <v/>
      </c>
      <c r="CI229" t="str">
        <f>""</f>
        <v/>
      </c>
      <c r="CJ229" t="str">
        <f>""</f>
        <v/>
      </c>
      <c r="CK229" t="str">
        <f>""</f>
        <v/>
      </c>
      <c r="CL229" t="str">
        <f>""</f>
        <v/>
      </c>
      <c r="CM229" t="str">
        <f>""</f>
        <v/>
      </c>
      <c r="CN229" t="str">
        <f>""</f>
        <v/>
      </c>
      <c r="CO229" t="str">
        <f>""</f>
        <v/>
      </c>
      <c r="CP229" t="str">
        <f>""</f>
        <v/>
      </c>
      <c r="CQ229" t="str">
        <f>""</f>
        <v/>
      </c>
      <c r="CR229" t="str">
        <f>""</f>
        <v/>
      </c>
      <c r="CS229" t="str">
        <f>""</f>
        <v/>
      </c>
      <c r="CT229" t="str">
        <f>""</f>
        <v/>
      </c>
      <c r="CU229" t="str">
        <f>""</f>
        <v/>
      </c>
      <c r="CV229" t="str">
        <f>""</f>
        <v/>
      </c>
      <c r="CW229" t="str">
        <f>""</f>
        <v/>
      </c>
      <c r="CX229" t="str">
        <f>""</f>
        <v/>
      </c>
      <c r="CY229" t="str">
        <f>""</f>
        <v/>
      </c>
      <c r="CZ229" t="str">
        <f>""</f>
        <v/>
      </c>
      <c r="DA229" t="str">
        <f>""</f>
        <v/>
      </c>
      <c r="DB229" t="str">
        <f>""</f>
        <v/>
      </c>
      <c r="DC229" t="str">
        <f>""</f>
        <v/>
      </c>
      <c r="DD229" t="str">
        <f>""</f>
        <v/>
      </c>
      <c r="DE229" t="str">
        <f>""</f>
        <v/>
      </c>
      <c r="DF229" t="str">
        <f>""</f>
        <v/>
      </c>
      <c r="DG229" t="str">
        <f>""</f>
        <v/>
      </c>
      <c r="DH229" t="str">
        <f>""</f>
        <v/>
      </c>
      <c r="DI229" t="str">
        <f>""</f>
        <v/>
      </c>
      <c r="DJ229" t="str">
        <f>""</f>
        <v/>
      </c>
      <c r="DK229" t="str">
        <f>""</f>
        <v/>
      </c>
      <c r="DL229" t="str">
        <f>""</f>
        <v/>
      </c>
      <c r="DM229" t="str">
        <f>""</f>
        <v/>
      </c>
      <c r="DN229" t="str">
        <f>""</f>
        <v/>
      </c>
      <c r="DO229" t="str">
        <f>""</f>
        <v/>
      </c>
      <c r="DP229" t="str">
        <f>""</f>
        <v/>
      </c>
      <c r="DQ229" t="str">
        <f>""</f>
        <v/>
      </c>
      <c r="DR229" t="str">
        <f>""</f>
        <v/>
      </c>
      <c r="DS229" t="str">
        <f>""</f>
        <v/>
      </c>
      <c r="DT229" t="str">
        <f>""</f>
        <v/>
      </c>
      <c r="DU229" t="str">
        <f>""</f>
        <v/>
      </c>
    </row>
    <row r="230" spans="1:125">
      <c r="A230" t="str">
        <f>$A$7</f>
        <v xml:space="preserve">    Camden Property Trust</v>
      </c>
      <c r="B230" t="str">
        <f>$B$7</f>
        <v>CPT US Equity</v>
      </c>
      <c r="C230" t="str">
        <f>$C$7</f>
        <v>IS030</v>
      </c>
      <c r="D230" t="str">
        <f>$D$7</f>
        <v>IS_RENT_INC</v>
      </c>
      <c r="E230" t="str">
        <f>$E$7</f>
        <v>动态</v>
      </c>
      <c r="F230" t="str">
        <f ca="1">BDH($B$7,$C$7,$B$224,$B$225,CONCATENATE("Per=",$B$222),"Dts=H","Dir=H",CONCATENATE("Points=",$B$223),"Sort=R","Days=A","Fill=B",CONCATENATE("FX=", $B$221) )</f>
        <v>#N/A Authorization</v>
      </c>
      <c r="BN230" t="str">
        <f>""</f>
        <v/>
      </c>
      <c r="BO230" t="str">
        <f>""</f>
        <v/>
      </c>
      <c r="BP230" t="str">
        <f>""</f>
        <v/>
      </c>
      <c r="BQ230" t="str">
        <f>""</f>
        <v/>
      </c>
      <c r="BR230" t="str">
        <f>""</f>
        <v/>
      </c>
      <c r="BS230" t="str">
        <f>""</f>
        <v/>
      </c>
      <c r="BT230" t="str">
        <f>""</f>
        <v/>
      </c>
      <c r="BU230" t="str">
        <f>""</f>
        <v/>
      </c>
      <c r="BV230" t="str">
        <f>""</f>
        <v/>
      </c>
      <c r="BW230" t="str">
        <f>""</f>
        <v/>
      </c>
      <c r="BX230" t="str">
        <f>""</f>
        <v/>
      </c>
      <c r="BY230" t="str">
        <f>""</f>
        <v/>
      </c>
      <c r="BZ230" t="str">
        <f>""</f>
        <v/>
      </c>
      <c r="CA230" t="str">
        <f>""</f>
        <v/>
      </c>
      <c r="CB230" t="str">
        <f>""</f>
        <v/>
      </c>
      <c r="CC230" t="str">
        <f>""</f>
        <v/>
      </c>
      <c r="CD230" t="str">
        <f>""</f>
        <v/>
      </c>
      <c r="CE230" t="str">
        <f>""</f>
        <v/>
      </c>
      <c r="CF230" t="str">
        <f>""</f>
        <v/>
      </c>
      <c r="CG230" t="str">
        <f>""</f>
        <v/>
      </c>
      <c r="CH230" t="str">
        <f>""</f>
        <v/>
      </c>
      <c r="CI230" t="str">
        <f>""</f>
        <v/>
      </c>
      <c r="CJ230" t="str">
        <f>""</f>
        <v/>
      </c>
      <c r="CK230" t="str">
        <f>""</f>
        <v/>
      </c>
      <c r="CL230" t="str">
        <f>""</f>
        <v/>
      </c>
      <c r="CM230" t="str">
        <f>""</f>
        <v/>
      </c>
      <c r="CN230" t="str">
        <f>""</f>
        <v/>
      </c>
      <c r="CO230" t="str">
        <f>""</f>
        <v/>
      </c>
      <c r="CP230" t="str">
        <f>""</f>
        <v/>
      </c>
      <c r="CQ230" t="str">
        <f>""</f>
        <v/>
      </c>
      <c r="CR230" t="str">
        <f>""</f>
        <v/>
      </c>
      <c r="CS230" t="str">
        <f>""</f>
        <v/>
      </c>
      <c r="CT230" t="str">
        <f>""</f>
        <v/>
      </c>
      <c r="CU230" t="str">
        <f>""</f>
        <v/>
      </c>
      <c r="CV230" t="str">
        <f>""</f>
        <v/>
      </c>
      <c r="CW230" t="str">
        <f>""</f>
        <v/>
      </c>
      <c r="CX230" t="str">
        <f>""</f>
        <v/>
      </c>
      <c r="CY230" t="str">
        <f>""</f>
        <v/>
      </c>
      <c r="CZ230" t="str">
        <f>""</f>
        <v/>
      </c>
      <c r="DA230" t="str">
        <f>""</f>
        <v/>
      </c>
      <c r="DB230" t="str">
        <f>""</f>
        <v/>
      </c>
      <c r="DC230" t="str">
        <f>""</f>
        <v/>
      </c>
      <c r="DD230" t="str">
        <f>""</f>
        <v/>
      </c>
      <c r="DE230" t="str">
        <f>""</f>
        <v/>
      </c>
      <c r="DF230" t="str">
        <f>""</f>
        <v/>
      </c>
      <c r="DG230" t="str">
        <f>""</f>
        <v/>
      </c>
      <c r="DH230" t="str">
        <f>""</f>
        <v/>
      </c>
      <c r="DI230" t="str">
        <f>""</f>
        <v/>
      </c>
      <c r="DJ230" t="str">
        <f>""</f>
        <v/>
      </c>
      <c r="DK230" t="str">
        <f>""</f>
        <v/>
      </c>
      <c r="DL230" t="str">
        <f>""</f>
        <v/>
      </c>
      <c r="DM230" t="str">
        <f>""</f>
        <v/>
      </c>
      <c r="DN230" t="str">
        <f>""</f>
        <v/>
      </c>
      <c r="DO230" t="str">
        <f>""</f>
        <v/>
      </c>
      <c r="DP230" t="str">
        <f>""</f>
        <v/>
      </c>
      <c r="DQ230" t="str">
        <f>""</f>
        <v/>
      </c>
      <c r="DR230" t="str">
        <f>""</f>
        <v/>
      </c>
      <c r="DS230" t="str">
        <f>""</f>
        <v/>
      </c>
      <c r="DT230" t="str">
        <f>""</f>
        <v/>
      </c>
      <c r="DU230" t="str">
        <f>""</f>
        <v/>
      </c>
    </row>
    <row r="231" spans="1:125">
      <c r="A231" t="str">
        <f>$A$8</f>
        <v xml:space="preserve">    Education Realty Trust Inc</v>
      </c>
      <c r="B231" t="str">
        <f>$B$8</f>
        <v>EDR US Equity</v>
      </c>
      <c r="C231" t="str">
        <f>$C$8</f>
        <v>IS030</v>
      </c>
      <c r="D231" t="str">
        <f>$D$8</f>
        <v>IS_RENT_INC</v>
      </c>
      <c r="E231" t="str">
        <f>$E$8</f>
        <v>动态</v>
      </c>
      <c r="F231" t="str">
        <f ca="1">BDH($B$8,$C$8,$B$224,$B$225,CONCATENATE("Per=",$B$222),"Dts=H","Dir=H",CONCATENATE("Points=",$B$223),"Sort=R","Days=A","Fill=B",CONCATENATE("FX=", $B$221) )</f>
        <v>#N/A Authorization</v>
      </c>
      <c r="BN231" t="str">
        <f>""</f>
        <v/>
      </c>
      <c r="BO231" t="str">
        <f>""</f>
        <v/>
      </c>
      <c r="BP231" t="str">
        <f>""</f>
        <v/>
      </c>
      <c r="BQ231" t="str">
        <f>""</f>
        <v/>
      </c>
      <c r="BR231" t="str">
        <f>""</f>
        <v/>
      </c>
      <c r="BS231" t="str">
        <f>""</f>
        <v/>
      </c>
      <c r="BT231" t="str">
        <f>""</f>
        <v/>
      </c>
      <c r="BU231" t="str">
        <f>""</f>
        <v/>
      </c>
      <c r="BV231" t="str">
        <f>""</f>
        <v/>
      </c>
      <c r="BW231" t="str">
        <f>""</f>
        <v/>
      </c>
      <c r="BX231" t="str">
        <f>""</f>
        <v/>
      </c>
      <c r="BY231" t="str">
        <f>""</f>
        <v/>
      </c>
      <c r="BZ231" t="str">
        <f>""</f>
        <v/>
      </c>
      <c r="CA231" t="str">
        <f>""</f>
        <v/>
      </c>
      <c r="CB231" t="str">
        <f>""</f>
        <v/>
      </c>
      <c r="CC231" t="str">
        <f>""</f>
        <v/>
      </c>
      <c r="CD231" t="str">
        <f>""</f>
        <v/>
      </c>
      <c r="CE231" t="str">
        <f>""</f>
        <v/>
      </c>
      <c r="CF231" t="str">
        <f>""</f>
        <v/>
      </c>
      <c r="CG231" t="str">
        <f>""</f>
        <v/>
      </c>
      <c r="CH231" t="str">
        <f>""</f>
        <v/>
      </c>
      <c r="CI231" t="str">
        <f>""</f>
        <v/>
      </c>
      <c r="CJ231" t="str">
        <f>""</f>
        <v/>
      </c>
      <c r="CK231" t="str">
        <f>""</f>
        <v/>
      </c>
      <c r="CL231" t="str">
        <f>""</f>
        <v/>
      </c>
      <c r="CM231" t="str">
        <f>""</f>
        <v/>
      </c>
      <c r="CN231" t="str">
        <f>""</f>
        <v/>
      </c>
      <c r="CO231" t="str">
        <f>""</f>
        <v/>
      </c>
      <c r="CP231" t="str">
        <f>""</f>
        <v/>
      </c>
      <c r="CQ231" t="str">
        <f>""</f>
        <v/>
      </c>
      <c r="CR231" t="str">
        <f>""</f>
        <v/>
      </c>
      <c r="CS231" t="str">
        <f>""</f>
        <v/>
      </c>
      <c r="CT231" t="str">
        <f>""</f>
        <v/>
      </c>
      <c r="CU231" t="str">
        <f>""</f>
        <v/>
      </c>
      <c r="CV231" t="str">
        <f>""</f>
        <v/>
      </c>
      <c r="CW231" t="str">
        <f>""</f>
        <v/>
      </c>
      <c r="CX231" t="str">
        <f>""</f>
        <v/>
      </c>
      <c r="CY231" t="str">
        <f>""</f>
        <v/>
      </c>
      <c r="CZ231" t="str">
        <f>""</f>
        <v/>
      </c>
      <c r="DA231" t="str">
        <f>""</f>
        <v/>
      </c>
      <c r="DB231" t="str">
        <f>""</f>
        <v/>
      </c>
      <c r="DC231" t="str">
        <f>""</f>
        <v/>
      </c>
      <c r="DD231" t="str">
        <f>""</f>
        <v/>
      </c>
      <c r="DE231" t="str">
        <f>""</f>
        <v/>
      </c>
      <c r="DF231" t="str">
        <f>""</f>
        <v/>
      </c>
      <c r="DG231" t="str">
        <f>""</f>
        <v/>
      </c>
      <c r="DH231" t="str">
        <f>""</f>
        <v/>
      </c>
      <c r="DI231" t="str">
        <f>""</f>
        <v/>
      </c>
      <c r="DJ231" t="str">
        <f>""</f>
        <v/>
      </c>
      <c r="DK231" t="str">
        <f>""</f>
        <v/>
      </c>
      <c r="DL231" t="str">
        <f>""</f>
        <v/>
      </c>
      <c r="DM231" t="str">
        <f>""</f>
        <v/>
      </c>
      <c r="DN231" t="str">
        <f>""</f>
        <v/>
      </c>
      <c r="DO231" t="str">
        <f>""</f>
        <v/>
      </c>
      <c r="DP231" t="str">
        <f>""</f>
        <v/>
      </c>
      <c r="DQ231" t="str">
        <f>""</f>
        <v/>
      </c>
      <c r="DR231" t="str">
        <f>""</f>
        <v/>
      </c>
      <c r="DS231" t="str">
        <f>""</f>
        <v/>
      </c>
      <c r="DT231" t="str">
        <f>""</f>
        <v/>
      </c>
      <c r="DU231" t="str">
        <f>""</f>
        <v/>
      </c>
    </row>
    <row r="232" spans="1:125">
      <c r="A232" t="str">
        <f>$A$9</f>
        <v xml:space="preserve">    Equity Residential</v>
      </c>
      <c r="B232" t="str">
        <f>$B$9</f>
        <v>EQR US Equity</v>
      </c>
      <c r="C232" t="str">
        <f>$C$9</f>
        <v>IS030</v>
      </c>
      <c r="D232" t="str">
        <f>$D$9</f>
        <v>IS_RENT_INC</v>
      </c>
      <c r="E232" t="str">
        <f>$E$9</f>
        <v>动态</v>
      </c>
      <c r="F232" t="str">
        <f ca="1">BDH($B$9,$C$9,$B$224,$B$225,CONCATENATE("Per=",$B$222),"Dts=H","Dir=H",CONCATENATE("Points=",$B$223),"Sort=R","Days=A","Fill=B",CONCATENATE("FX=", $B$221) )</f>
        <v>#N/A Authorization</v>
      </c>
      <c r="BN232" t="str">
        <f>""</f>
        <v/>
      </c>
      <c r="BO232" t="str">
        <f>""</f>
        <v/>
      </c>
      <c r="BP232" t="str">
        <f>""</f>
        <v/>
      </c>
      <c r="BQ232" t="str">
        <f>""</f>
        <v/>
      </c>
      <c r="BR232" t="str">
        <f>""</f>
        <v/>
      </c>
      <c r="BS232" t="str">
        <f>""</f>
        <v/>
      </c>
      <c r="BT232" t="str">
        <f>""</f>
        <v/>
      </c>
      <c r="BU232" t="str">
        <f>""</f>
        <v/>
      </c>
      <c r="BV232" t="str">
        <f>""</f>
        <v/>
      </c>
      <c r="BW232" t="str">
        <f>""</f>
        <v/>
      </c>
      <c r="BX232" t="str">
        <f>""</f>
        <v/>
      </c>
      <c r="BY232" t="str">
        <f>""</f>
        <v/>
      </c>
      <c r="BZ232" t="str">
        <f>""</f>
        <v/>
      </c>
      <c r="CA232" t="str">
        <f>""</f>
        <v/>
      </c>
      <c r="CB232" t="str">
        <f>""</f>
        <v/>
      </c>
      <c r="CC232" t="str">
        <f>""</f>
        <v/>
      </c>
      <c r="CD232" t="str">
        <f>""</f>
        <v/>
      </c>
      <c r="CE232" t="str">
        <f>""</f>
        <v/>
      </c>
      <c r="CF232" t="str">
        <f>""</f>
        <v/>
      </c>
      <c r="CG232" t="str">
        <f>""</f>
        <v/>
      </c>
      <c r="CH232" t="str">
        <f>""</f>
        <v/>
      </c>
      <c r="CI232" t="str">
        <f>""</f>
        <v/>
      </c>
      <c r="CJ232" t="str">
        <f>""</f>
        <v/>
      </c>
      <c r="CK232" t="str">
        <f>""</f>
        <v/>
      </c>
      <c r="CL232" t="str">
        <f>""</f>
        <v/>
      </c>
      <c r="CM232" t="str">
        <f>""</f>
        <v/>
      </c>
      <c r="CN232" t="str">
        <f>""</f>
        <v/>
      </c>
      <c r="CO232" t="str">
        <f>""</f>
        <v/>
      </c>
      <c r="CP232" t="str">
        <f>""</f>
        <v/>
      </c>
      <c r="CQ232" t="str">
        <f>""</f>
        <v/>
      </c>
      <c r="CR232" t="str">
        <f>""</f>
        <v/>
      </c>
      <c r="CS232" t="str">
        <f>""</f>
        <v/>
      </c>
      <c r="CT232" t="str">
        <f>""</f>
        <v/>
      </c>
      <c r="CU232" t="str">
        <f>""</f>
        <v/>
      </c>
      <c r="CV232" t="str">
        <f>""</f>
        <v/>
      </c>
      <c r="CW232" t="str">
        <f>""</f>
        <v/>
      </c>
      <c r="CX232" t="str">
        <f>""</f>
        <v/>
      </c>
      <c r="CY232" t="str">
        <f>""</f>
        <v/>
      </c>
      <c r="CZ232" t="str">
        <f>""</f>
        <v/>
      </c>
      <c r="DA232" t="str">
        <f>""</f>
        <v/>
      </c>
      <c r="DB232" t="str">
        <f>""</f>
        <v/>
      </c>
      <c r="DC232" t="str">
        <f>""</f>
        <v/>
      </c>
      <c r="DD232" t="str">
        <f>""</f>
        <v/>
      </c>
      <c r="DE232" t="str">
        <f>""</f>
        <v/>
      </c>
      <c r="DF232" t="str">
        <f>""</f>
        <v/>
      </c>
      <c r="DG232" t="str">
        <f>""</f>
        <v/>
      </c>
      <c r="DH232" t="str">
        <f>""</f>
        <v/>
      </c>
      <c r="DI232" t="str">
        <f>""</f>
        <v/>
      </c>
      <c r="DJ232" t="str">
        <f>""</f>
        <v/>
      </c>
      <c r="DK232" t="str">
        <f>""</f>
        <v/>
      </c>
      <c r="DL232" t="str">
        <f>""</f>
        <v/>
      </c>
      <c r="DM232" t="str">
        <f>""</f>
        <v/>
      </c>
      <c r="DN232" t="str">
        <f>""</f>
        <v/>
      </c>
      <c r="DO232" t="str">
        <f>""</f>
        <v/>
      </c>
      <c r="DP232" t="str">
        <f>""</f>
        <v/>
      </c>
      <c r="DQ232" t="str">
        <f>""</f>
        <v/>
      </c>
      <c r="DR232" t="str">
        <f>""</f>
        <v/>
      </c>
      <c r="DS232" t="str">
        <f>""</f>
        <v/>
      </c>
      <c r="DT232" t="str">
        <f>""</f>
        <v/>
      </c>
      <c r="DU232" t="str">
        <f>""</f>
        <v/>
      </c>
    </row>
    <row r="233" spans="1:125">
      <c r="A233" t="str">
        <f>$A$10</f>
        <v xml:space="preserve">    Essex Property Trust Inc</v>
      </c>
      <c r="B233" t="str">
        <f>$B$10</f>
        <v>ESS US Equity</v>
      </c>
      <c r="C233" t="str">
        <f>$C$10</f>
        <v>IS030</v>
      </c>
      <c r="D233" t="str">
        <f>$D$10</f>
        <v>IS_RENT_INC</v>
      </c>
      <c r="E233" t="str">
        <f>$E$10</f>
        <v>动态</v>
      </c>
      <c r="F233" t="str">
        <f ca="1">BDH($B$10,$C$10,$B$224,$B$225,CONCATENATE("Per=",$B$222),"Dts=H","Dir=H",CONCATENATE("Points=",$B$223),"Sort=R","Days=A","Fill=B",CONCATENATE("FX=", $B$221) )</f>
        <v>#N/A Authorization</v>
      </c>
      <c r="BN233" t="str">
        <f>""</f>
        <v/>
      </c>
      <c r="BO233" t="str">
        <f>""</f>
        <v/>
      </c>
      <c r="BP233" t="str">
        <f>""</f>
        <v/>
      </c>
      <c r="BQ233" t="str">
        <f>""</f>
        <v/>
      </c>
      <c r="BR233" t="str">
        <f>""</f>
        <v/>
      </c>
      <c r="BS233" t="str">
        <f>""</f>
        <v/>
      </c>
      <c r="BT233" t="str">
        <f>""</f>
        <v/>
      </c>
      <c r="BU233" t="str">
        <f>""</f>
        <v/>
      </c>
      <c r="BV233" t="str">
        <f>""</f>
        <v/>
      </c>
      <c r="BW233" t="str">
        <f>""</f>
        <v/>
      </c>
      <c r="BX233" t="str">
        <f>""</f>
        <v/>
      </c>
      <c r="BY233" t="str">
        <f>""</f>
        <v/>
      </c>
      <c r="BZ233" t="str">
        <f>""</f>
        <v/>
      </c>
      <c r="CA233" t="str">
        <f>""</f>
        <v/>
      </c>
      <c r="CB233" t="str">
        <f>""</f>
        <v/>
      </c>
      <c r="CC233" t="str">
        <f>""</f>
        <v/>
      </c>
      <c r="CD233" t="str">
        <f>""</f>
        <v/>
      </c>
      <c r="CE233" t="str">
        <f>""</f>
        <v/>
      </c>
      <c r="CF233" t="str">
        <f>""</f>
        <v/>
      </c>
      <c r="CG233" t="str">
        <f>""</f>
        <v/>
      </c>
      <c r="CH233" t="str">
        <f>""</f>
        <v/>
      </c>
      <c r="CI233" t="str">
        <f>""</f>
        <v/>
      </c>
      <c r="CJ233" t="str">
        <f>""</f>
        <v/>
      </c>
      <c r="CK233" t="str">
        <f>""</f>
        <v/>
      </c>
      <c r="CL233" t="str">
        <f>""</f>
        <v/>
      </c>
      <c r="CM233" t="str">
        <f>""</f>
        <v/>
      </c>
      <c r="CN233" t="str">
        <f>""</f>
        <v/>
      </c>
      <c r="CO233" t="str">
        <f>""</f>
        <v/>
      </c>
      <c r="CP233" t="str">
        <f>""</f>
        <v/>
      </c>
      <c r="CQ233" t="str">
        <f>""</f>
        <v/>
      </c>
      <c r="CR233" t="str">
        <f>""</f>
        <v/>
      </c>
      <c r="CS233" t="str">
        <f>""</f>
        <v/>
      </c>
      <c r="CT233" t="str">
        <f>""</f>
        <v/>
      </c>
      <c r="CU233" t="str">
        <f>""</f>
        <v/>
      </c>
      <c r="CV233" t="str">
        <f>""</f>
        <v/>
      </c>
      <c r="CW233" t="str">
        <f>""</f>
        <v/>
      </c>
      <c r="CX233" t="str">
        <f>""</f>
        <v/>
      </c>
      <c r="CY233" t="str">
        <f>""</f>
        <v/>
      </c>
      <c r="CZ233" t="str">
        <f>""</f>
        <v/>
      </c>
      <c r="DA233" t="str">
        <f>""</f>
        <v/>
      </c>
      <c r="DB233" t="str">
        <f>""</f>
        <v/>
      </c>
      <c r="DC233" t="str">
        <f>""</f>
        <v/>
      </c>
      <c r="DD233" t="str">
        <f>""</f>
        <v/>
      </c>
      <c r="DE233" t="str">
        <f>""</f>
        <v/>
      </c>
      <c r="DF233" t="str">
        <f>""</f>
        <v/>
      </c>
      <c r="DG233" t="str">
        <f>""</f>
        <v/>
      </c>
      <c r="DH233" t="str">
        <f>""</f>
        <v/>
      </c>
      <c r="DI233" t="str">
        <f>""</f>
        <v/>
      </c>
      <c r="DJ233" t="str">
        <f>""</f>
        <v/>
      </c>
      <c r="DK233" t="str">
        <f>""</f>
        <v/>
      </c>
      <c r="DL233" t="str">
        <f>""</f>
        <v/>
      </c>
      <c r="DM233" t="str">
        <f>""</f>
        <v/>
      </c>
      <c r="DN233" t="str">
        <f>""</f>
        <v/>
      </c>
      <c r="DO233" t="str">
        <f>""</f>
        <v/>
      </c>
      <c r="DP233" t="str">
        <f>""</f>
        <v/>
      </c>
      <c r="DQ233" t="str">
        <f>""</f>
        <v/>
      </c>
      <c r="DR233" t="str">
        <f>""</f>
        <v/>
      </c>
      <c r="DS233" t="str">
        <f>""</f>
        <v/>
      </c>
      <c r="DT233" t="str">
        <f>""</f>
        <v/>
      </c>
      <c r="DU233" t="str">
        <f>""</f>
        <v/>
      </c>
    </row>
    <row r="234" spans="1:125">
      <c r="A234" t="str">
        <f>$A$11</f>
        <v xml:space="preserve">    Mid-America Apartment Communit</v>
      </c>
      <c r="B234" t="str">
        <f>$B$11</f>
        <v>MAA US Equity</v>
      </c>
      <c r="C234" t="str">
        <f>$C$11</f>
        <v>IS030</v>
      </c>
      <c r="D234" t="str">
        <f>$D$11</f>
        <v>IS_RENT_INC</v>
      </c>
      <c r="E234" t="str">
        <f>$E$11</f>
        <v>动态</v>
      </c>
      <c r="F234" t="str">
        <f ca="1">BDH($B$11,$C$11,$B$224,$B$225,CONCATENATE("Per=",$B$222),"Dts=H","Dir=H",CONCATENATE("Points=",$B$223),"Sort=R","Days=A","Fill=B",CONCATENATE("FX=", $B$221) )</f>
        <v>#N/A Authorization</v>
      </c>
      <c r="BN234" t="str">
        <f>""</f>
        <v/>
      </c>
      <c r="BO234" t="str">
        <f>""</f>
        <v/>
      </c>
      <c r="BP234" t="str">
        <f>""</f>
        <v/>
      </c>
      <c r="BQ234" t="str">
        <f>""</f>
        <v/>
      </c>
      <c r="BR234" t="str">
        <f>""</f>
        <v/>
      </c>
      <c r="BS234" t="str">
        <f>""</f>
        <v/>
      </c>
      <c r="BT234" t="str">
        <f>""</f>
        <v/>
      </c>
      <c r="BU234" t="str">
        <f>""</f>
        <v/>
      </c>
      <c r="BV234" t="str">
        <f>""</f>
        <v/>
      </c>
      <c r="BW234" t="str">
        <f>""</f>
        <v/>
      </c>
      <c r="BX234" t="str">
        <f>""</f>
        <v/>
      </c>
      <c r="BY234" t="str">
        <f>""</f>
        <v/>
      </c>
      <c r="BZ234" t="str">
        <f>""</f>
        <v/>
      </c>
      <c r="CA234" t="str">
        <f>""</f>
        <v/>
      </c>
      <c r="CB234" t="str">
        <f>""</f>
        <v/>
      </c>
      <c r="CC234" t="str">
        <f>""</f>
        <v/>
      </c>
      <c r="CD234" t="str">
        <f>""</f>
        <v/>
      </c>
      <c r="CE234" t="str">
        <f>""</f>
        <v/>
      </c>
      <c r="CF234" t="str">
        <f>""</f>
        <v/>
      </c>
      <c r="CG234" t="str">
        <f>""</f>
        <v/>
      </c>
      <c r="CH234" t="str">
        <f>""</f>
        <v/>
      </c>
      <c r="CI234" t="str">
        <f>""</f>
        <v/>
      </c>
      <c r="CJ234" t="str">
        <f>""</f>
        <v/>
      </c>
      <c r="CK234" t="str">
        <f>""</f>
        <v/>
      </c>
      <c r="CL234" t="str">
        <f>""</f>
        <v/>
      </c>
      <c r="CM234" t="str">
        <f>""</f>
        <v/>
      </c>
      <c r="CN234" t="str">
        <f>""</f>
        <v/>
      </c>
      <c r="CO234" t="str">
        <f>""</f>
        <v/>
      </c>
      <c r="CP234" t="str">
        <f>""</f>
        <v/>
      </c>
      <c r="CQ234" t="str">
        <f>""</f>
        <v/>
      </c>
      <c r="CR234" t="str">
        <f>""</f>
        <v/>
      </c>
      <c r="CS234" t="str">
        <f>""</f>
        <v/>
      </c>
      <c r="CT234" t="str">
        <f>""</f>
        <v/>
      </c>
      <c r="CU234" t="str">
        <f>""</f>
        <v/>
      </c>
      <c r="CV234" t="str">
        <f>""</f>
        <v/>
      </c>
      <c r="CW234" t="str">
        <f>""</f>
        <v/>
      </c>
      <c r="CX234" t="str">
        <f>""</f>
        <v/>
      </c>
      <c r="CY234" t="str">
        <f>""</f>
        <v/>
      </c>
      <c r="CZ234" t="str">
        <f>""</f>
        <v/>
      </c>
      <c r="DA234" t="str">
        <f>""</f>
        <v/>
      </c>
      <c r="DB234" t="str">
        <f>""</f>
        <v/>
      </c>
      <c r="DC234" t="str">
        <f>""</f>
        <v/>
      </c>
      <c r="DD234" t="str">
        <f>""</f>
        <v/>
      </c>
      <c r="DE234" t="str">
        <f>""</f>
        <v/>
      </c>
      <c r="DF234" t="str">
        <f>""</f>
        <v/>
      </c>
      <c r="DG234" t="str">
        <f>""</f>
        <v/>
      </c>
      <c r="DH234" t="str">
        <f>""</f>
        <v/>
      </c>
      <c r="DI234" t="str">
        <f>""</f>
        <v/>
      </c>
      <c r="DJ234" t="str">
        <f>""</f>
        <v/>
      </c>
      <c r="DK234" t="str">
        <f>""</f>
        <v/>
      </c>
      <c r="DL234" t="str">
        <f>""</f>
        <v/>
      </c>
      <c r="DM234" t="str">
        <f>""</f>
        <v/>
      </c>
      <c r="DN234" t="str">
        <f>""</f>
        <v/>
      </c>
      <c r="DO234" t="str">
        <f>""</f>
        <v/>
      </c>
      <c r="DP234" t="str">
        <f>""</f>
        <v/>
      </c>
      <c r="DQ234" t="str">
        <f>""</f>
        <v/>
      </c>
      <c r="DR234" t="str">
        <f>""</f>
        <v/>
      </c>
      <c r="DS234" t="str">
        <f>""</f>
        <v/>
      </c>
      <c r="DT234" t="str">
        <f>""</f>
        <v/>
      </c>
      <c r="DU234" t="str">
        <f>""</f>
        <v/>
      </c>
    </row>
    <row r="235" spans="1:125">
      <c r="A235" t="str">
        <f>$A$12</f>
        <v xml:space="preserve">    UDR Inc</v>
      </c>
      <c r="B235" t="str">
        <f>$B$12</f>
        <v>UDR US Equity</v>
      </c>
      <c r="C235" t="str">
        <f>$C$12</f>
        <v>IS030</v>
      </c>
      <c r="D235" t="str">
        <f>$D$12</f>
        <v>IS_RENT_INC</v>
      </c>
      <c r="E235" t="str">
        <f>$E$12</f>
        <v>动态</v>
      </c>
      <c r="F235" t="str">
        <f ca="1">BDH($B$12,$C$12,$B$224,$B$225,CONCATENATE("Per=",$B$222),"Dts=H","Dir=H",CONCATENATE("Points=",$B$223),"Sort=R","Days=A","Fill=B",CONCATENATE("FX=", $B$221) )</f>
        <v>#N/A Authorization</v>
      </c>
      <c r="BN235" t="str">
        <f>""</f>
        <v/>
      </c>
      <c r="BO235" t="str">
        <f>""</f>
        <v/>
      </c>
      <c r="BP235" t="str">
        <f>""</f>
        <v/>
      </c>
      <c r="BQ235" t="str">
        <f>""</f>
        <v/>
      </c>
      <c r="BR235" t="str">
        <f>""</f>
        <v/>
      </c>
      <c r="BS235" t="str">
        <f>""</f>
        <v/>
      </c>
      <c r="BT235" t="str">
        <f>""</f>
        <v/>
      </c>
      <c r="BU235" t="str">
        <f>""</f>
        <v/>
      </c>
      <c r="BV235" t="str">
        <f>""</f>
        <v/>
      </c>
      <c r="BW235" t="str">
        <f>""</f>
        <v/>
      </c>
      <c r="BX235" t="str">
        <f>""</f>
        <v/>
      </c>
      <c r="BY235" t="str">
        <f>""</f>
        <v/>
      </c>
      <c r="BZ235" t="str">
        <f>""</f>
        <v/>
      </c>
      <c r="CA235" t="str">
        <f>""</f>
        <v/>
      </c>
      <c r="CB235" t="str">
        <f>""</f>
        <v/>
      </c>
      <c r="CC235" t="str">
        <f>""</f>
        <v/>
      </c>
      <c r="CD235" t="str">
        <f>""</f>
        <v/>
      </c>
      <c r="CE235" t="str">
        <f>""</f>
        <v/>
      </c>
      <c r="CF235" t="str">
        <f>""</f>
        <v/>
      </c>
      <c r="CG235" t="str">
        <f>""</f>
        <v/>
      </c>
      <c r="CH235" t="str">
        <f>""</f>
        <v/>
      </c>
      <c r="CI235" t="str">
        <f>""</f>
        <v/>
      </c>
      <c r="CJ235" t="str">
        <f>""</f>
        <v/>
      </c>
      <c r="CK235" t="str">
        <f>""</f>
        <v/>
      </c>
      <c r="CL235" t="str">
        <f>""</f>
        <v/>
      </c>
      <c r="CM235" t="str">
        <f>""</f>
        <v/>
      </c>
      <c r="CN235" t="str">
        <f>""</f>
        <v/>
      </c>
      <c r="CO235" t="str">
        <f>""</f>
        <v/>
      </c>
      <c r="CP235" t="str">
        <f>""</f>
        <v/>
      </c>
      <c r="CQ235" t="str">
        <f>""</f>
        <v/>
      </c>
      <c r="CR235" t="str">
        <f>""</f>
        <v/>
      </c>
      <c r="CS235" t="str">
        <f>""</f>
        <v/>
      </c>
      <c r="CT235" t="str">
        <f>""</f>
        <v/>
      </c>
      <c r="CU235" t="str">
        <f>""</f>
        <v/>
      </c>
      <c r="CV235" t="str">
        <f>""</f>
        <v/>
      </c>
      <c r="CW235" t="str">
        <f>""</f>
        <v/>
      </c>
      <c r="CX235" t="str">
        <f>""</f>
        <v/>
      </c>
      <c r="CY235" t="str">
        <f>""</f>
        <v/>
      </c>
      <c r="CZ235" t="str">
        <f>""</f>
        <v/>
      </c>
      <c r="DA235" t="str">
        <f>""</f>
        <v/>
      </c>
      <c r="DB235" t="str">
        <f>""</f>
        <v/>
      </c>
      <c r="DC235" t="str">
        <f>""</f>
        <v/>
      </c>
      <c r="DD235" t="str">
        <f>""</f>
        <v/>
      </c>
      <c r="DE235" t="str">
        <f>""</f>
        <v/>
      </c>
      <c r="DF235" t="str">
        <f>""</f>
        <v/>
      </c>
      <c r="DG235" t="str">
        <f>""</f>
        <v/>
      </c>
      <c r="DH235" t="str">
        <f>""</f>
        <v/>
      </c>
      <c r="DI235" t="str">
        <f>""</f>
        <v/>
      </c>
      <c r="DJ235" t="str">
        <f>""</f>
        <v/>
      </c>
      <c r="DK235" t="str">
        <f>""</f>
        <v/>
      </c>
      <c r="DL235" t="str">
        <f>""</f>
        <v/>
      </c>
      <c r="DM235" t="str">
        <f>""</f>
        <v/>
      </c>
      <c r="DN235" t="str">
        <f>""</f>
        <v/>
      </c>
      <c r="DO235" t="str">
        <f>""</f>
        <v/>
      </c>
      <c r="DP235" t="str">
        <f>""</f>
        <v/>
      </c>
      <c r="DQ235" t="str">
        <f>""</f>
        <v/>
      </c>
      <c r="DR235" t="str">
        <f>""</f>
        <v/>
      </c>
      <c r="DS235" t="str">
        <f>""</f>
        <v/>
      </c>
      <c r="DT235" t="str">
        <f>""</f>
        <v/>
      </c>
      <c r="DU235" t="str">
        <f>""</f>
        <v/>
      </c>
    </row>
    <row r="236" spans="1:125">
      <c r="A236" t="str">
        <f>$A$14</f>
        <v xml:space="preserve">    American Campus Communities In</v>
      </c>
      <c r="B236" t="str">
        <f>$B$14</f>
        <v>ACC US Equity</v>
      </c>
      <c r="C236" t="str">
        <f>$C$14</f>
        <v>IM275</v>
      </c>
      <c r="D236" t="str">
        <f>$D$14</f>
        <v>IS_OTHER_RENTAL_INCOME</v>
      </c>
      <c r="E236" t="str">
        <f>$E$14</f>
        <v>动态</v>
      </c>
      <c r="F236" t="str">
        <f ca="1">BDH($B$14,$C$14,$B$224,$B$225,CONCATENATE("Per=",$B$222),"Dts=H","Dir=H",CONCATENATE("Points=",$B$223),"Sort=R","Days=A","Fill=B",CONCATENATE("FX=", $B$221) )</f>
        <v>#N/A Authorization</v>
      </c>
      <c r="BN236" t="str">
        <f>""</f>
        <v/>
      </c>
      <c r="BO236" t="str">
        <f>""</f>
        <v/>
      </c>
      <c r="BP236" t="str">
        <f>""</f>
        <v/>
      </c>
      <c r="BQ236" t="str">
        <f>""</f>
        <v/>
      </c>
      <c r="BR236" t="str">
        <f>""</f>
        <v/>
      </c>
      <c r="BS236" t="str">
        <f>""</f>
        <v/>
      </c>
      <c r="BT236" t="str">
        <f>""</f>
        <v/>
      </c>
      <c r="BU236" t="str">
        <f>""</f>
        <v/>
      </c>
      <c r="BV236" t="str">
        <f>""</f>
        <v/>
      </c>
      <c r="BW236" t="str">
        <f>""</f>
        <v/>
      </c>
      <c r="BX236" t="str">
        <f>""</f>
        <v/>
      </c>
      <c r="BY236" t="str">
        <f>""</f>
        <v/>
      </c>
      <c r="BZ236" t="str">
        <f>""</f>
        <v/>
      </c>
      <c r="CA236" t="str">
        <f>""</f>
        <v/>
      </c>
      <c r="CB236" t="str">
        <f>""</f>
        <v/>
      </c>
      <c r="CC236" t="str">
        <f>""</f>
        <v/>
      </c>
      <c r="CD236" t="str">
        <f>""</f>
        <v/>
      </c>
      <c r="CE236" t="str">
        <f>""</f>
        <v/>
      </c>
      <c r="CF236" t="str">
        <f>""</f>
        <v/>
      </c>
      <c r="CG236" t="str">
        <f>""</f>
        <v/>
      </c>
      <c r="CH236" t="str">
        <f>""</f>
        <v/>
      </c>
      <c r="CI236" t="str">
        <f>""</f>
        <v/>
      </c>
      <c r="CJ236" t="str">
        <f>""</f>
        <v/>
      </c>
      <c r="CK236" t="str">
        <f>""</f>
        <v/>
      </c>
      <c r="CL236" t="str">
        <f>""</f>
        <v/>
      </c>
      <c r="CM236" t="str">
        <f>""</f>
        <v/>
      </c>
      <c r="CN236" t="str">
        <f>""</f>
        <v/>
      </c>
      <c r="CO236" t="str">
        <f>""</f>
        <v/>
      </c>
      <c r="CP236" t="str">
        <f>""</f>
        <v/>
      </c>
      <c r="CQ236" t="str">
        <f>""</f>
        <v/>
      </c>
      <c r="CR236" t="str">
        <f>""</f>
        <v/>
      </c>
      <c r="CS236" t="str">
        <f>""</f>
        <v/>
      </c>
      <c r="CT236" t="str">
        <f>""</f>
        <v/>
      </c>
      <c r="CU236" t="str">
        <f>""</f>
        <v/>
      </c>
      <c r="CV236" t="str">
        <f>""</f>
        <v/>
      </c>
      <c r="CW236" t="str">
        <f>""</f>
        <v/>
      </c>
      <c r="CX236" t="str">
        <f>""</f>
        <v/>
      </c>
      <c r="CY236" t="str">
        <f>""</f>
        <v/>
      </c>
      <c r="CZ236" t="str">
        <f>""</f>
        <v/>
      </c>
      <c r="DA236" t="str">
        <f>""</f>
        <v/>
      </c>
      <c r="DB236" t="str">
        <f>""</f>
        <v/>
      </c>
      <c r="DC236" t="str">
        <f>""</f>
        <v/>
      </c>
      <c r="DD236" t="str">
        <f>""</f>
        <v/>
      </c>
      <c r="DE236" t="str">
        <f>""</f>
        <v/>
      </c>
      <c r="DF236" t="str">
        <f>""</f>
        <v/>
      </c>
      <c r="DG236" t="str">
        <f>""</f>
        <v/>
      </c>
      <c r="DH236" t="str">
        <f>""</f>
        <v/>
      </c>
      <c r="DI236" t="str">
        <f>""</f>
        <v/>
      </c>
      <c r="DJ236" t="str">
        <f>""</f>
        <v/>
      </c>
      <c r="DK236" t="str">
        <f>""</f>
        <v/>
      </c>
      <c r="DL236" t="str">
        <f>""</f>
        <v/>
      </c>
      <c r="DM236" t="str">
        <f>""</f>
        <v/>
      </c>
      <c r="DN236" t="str">
        <f>""</f>
        <v/>
      </c>
      <c r="DO236" t="str">
        <f>""</f>
        <v/>
      </c>
      <c r="DP236" t="str">
        <f>""</f>
        <v/>
      </c>
      <c r="DQ236" t="str">
        <f>""</f>
        <v/>
      </c>
      <c r="DR236" t="str">
        <f>""</f>
        <v/>
      </c>
      <c r="DS236" t="str">
        <f>""</f>
        <v/>
      </c>
      <c r="DT236" t="str">
        <f>""</f>
        <v/>
      </c>
      <c r="DU236" t="str">
        <f>""</f>
        <v/>
      </c>
    </row>
    <row r="237" spans="1:125">
      <c r="A237" t="str">
        <f>$A$15</f>
        <v xml:space="preserve">    AvalonBay Communities Inc</v>
      </c>
      <c r="B237" t="str">
        <f>$B$15</f>
        <v>AVB US Equity</v>
      </c>
      <c r="C237" t="str">
        <f>$C$15</f>
        <v>IM275</v>
      </c>
      <c r="D237" t="str">
        <f>$D$15</f>
        <v>IS_OTHER_RENTAL_INCOME</v>
      </c>
      <c r="E237" t="str">
        <f>$E$15</f>
        <v>动态</v>
      </c>
      <c r="F237" t="str">
        <f ca="1">BDH($B$15,$C$15,$B$224,$B$225,CONCATENATE("Per=",$B$222),"Dts=H","Dir=H",CONCATENATE("Points=",$B$223),"Sort=R","Days=A","Fill=B",CONCATENATE("FX=", $B$221) )</f>
        <v>#N/A Authorization</v>
      </c>
      <c r="BN237" t="str">
        <f>""</f>
        <v/>
      </c>
      <c r="BO237" t="str">
        <f>""</f>
        <v/>
      </c>
      <c r="BP237" t="str">
        <f>""</f>
        <v/>
      </c>
      <c r="BQ237" t="str">
        <f>""</f>
        <v/>
      </c>
      <c r="BR237" t="str">
        <f>""</f>
        <v/>
      </c>
      <c r="BS237" t="str">
        <f>""</f>
        <v/>
      </c>
      <c r="BT237" t="str">
        <f>""</f>
        <v/>
      </c>
      <c r="BU237" t="str">
        <f>""</f>
        <v/>
      </c>
      <c r="BV237" t="str">
        <f>""</f>
        <v/>
      </c>
      <c r="BW237" t="str">
        <f>""</f>
        <v/>
      </c>
      <c r="BX237" t="str">
        <f>""</f>
        <v/>
      </c>
      <c r="BY237" t="str">
        <f>""</f>
        <v/>
      </c>
      <c r="BZ237" t="str">
        <f>""</f>
        <v/>
      </c>
      <c r="CA237" t="str">
        <f>""</f>
        <v/>
      </c>
      <c r="CB237" t="str">
        <f>""</f>
        <v/>
      </c>
      <c r="CC237" t="str">
        <f>""</f>
        <v/>
      </c>
      <c r="CD237" t="str">
        <f>""</f>
        <v/>
      </c>
      <c r="CE237" t="str">
        <f>""</f>
        <v/>
      </c>
      <c r="CF237" t="str">
        <f>""</f>
        <v/>
      </c>
      <c r="CG237" t="str">
        <f>""</f>
        <v/>
      </c>
      <c r="CH237" t="str">
        <f>""</f>
        <v/>
      </c>
      <c r="CI237" t="str">
        <f>""</f>
        <v/>
      </c>
      <c r="CJ237" t="str">
        <f>""</f>
        <v/>
      </c>
      <c r="CK237" t="str">
        <f>""</f>
        <v/>
      </c>
      <c r="CL237" t="str">
        <f>""</f>
        <v/>
      </c>
      <c r="CM237" t="str">
        <f>""</f>
        <v/>
      </c>
      <c r="CN237" t="str">
        <f>""</f>
        <v/>
      </c>
      <c r="CO237" t="str">
        <f>""</f>
        <v/>
      </c>
      <c r="CP237" t="str">
        <f>""</f>
        <v/>
      </c>
      <c r="CQ237" t="str">
        <f>""</f>
        <v/>
      </c>
      <c r="CR237" t="str">
        <f>""</f>
        <v/>
      </c>
      <c r="CS237" t="str">
        <f>""</f>
        <v/>
      </c>
      <c r="CT237" t="str">
        <f>""</f>
        <v/>
      </c>
      <c r="CU237" t="str">
        <f>""</f>
        <v/>
      </c>
      <c r="CV237" t="str">
        <f>""</f>
        <v/>
      </c>
      <c r="CW237" t="str">
        <f>""</f>
        <v/>
      </c>
      <c r="CX237" t="str">
        <f>""</f>
        <v/>
      </c>
      <c r="CY237" t="str">
        <f>""</f>
        <v/>
      </c>
      <c r="CZ237" t="str">
        <f>""</f>
        <v/>
      </c>
      <c r="DA237" t="str">
        <f>""</f>
        <v/>
      </c>
      <c r="DB237" t="str">
        <f>""</f>
        <v/>
      </c>
      <c r="DC237" t="str">
        <f>""</f>
        <v/>
      </c>
      <c r="DD237" t="str">
        <f>""</f>
        <v/>
      </c>
      <c r="DE237" t="str">
        <f>""</f>
        <v/>
      </c>
      <c r="DF237" t="str">
        <f>""</f>
        <v/>
      </c>
      <c r="DG237" t="str">
        <f>""</f>
        <v/>
      </c>
      <c r="DH237" t="str">
        <f>""</f>
        <v/>
      </c>
      <c r="DI237" t="str">
        <f>""</f>
        <v/>
      </c>
      <c r="DJ237" t="str">
        <f>""</f>
        <v/>
      </c>
      <c r="DK237" t="str">
        <f>""</f>
        <v/>
      </c>
      <c r="DL237" t="str">
        <f>""</f>
        <v/>
      </c>
      <c r="DM237" t="str">
        <f>""</f>
        <v/>
      </c>
      <c r="DN237" t="str">
        <f>""</f>
        <v/>
      </c>
      <c r="DO237" t="str">
        <f>""</f>
        <v/>
      </c>
      <c r="DP237" t="str">
        <f>""</f>
        <v/>
      </c>
      <c r="DQ237" t="str">
        <f>""</f>
        <v/>
      </c>
      <c r="DR237" t="str">
        <f>""</f>
        <v/>
      </c>
      <c r="DS237" t="str">
        <f>""</f>
        <v/>
      </c>
      <c r="DT237" t="str">
        <f>""</f>
        <v/>
      </c>
      <c r="DU237" t="str">
        <f>""</f>
        <v/>
      </c>
    </row>
    <row r="238" spans="1:125">
      <c r="A238" t="str">
        <f>$A$16</f>
        <v xml:space="preserve">    Camden Property Trust</v>
      </c>
      <c r="B238" t="str">
        <f>$B$16</f>
        <v>CPT US Equity</v>
      </c>
      <c r="C238" t="str">
        <f>$C$16</f>
        <v>IM275</v>
      </c>
      <c r="D238" t="str">
        <f>$D$16</f>
        <v>IS_OTHER_RENTAL_INCOME</v>
      </c>
      <c r="E238" t="str">
        <f>$E$16</f>
        <v>动态</v>
      </c>
      <c r="F238" t="str">
        <f ca="1">BDH($B$16,$C$16,$B$224,$B$225,CONCATENATE("Per=",$B$222),"Dts=H","Dir=H",CONCATENATE("Points=",$B$223),"Sort=R","Days=A","Fill=B",CONCATENATE("FX=", $B$221) )</f>
        <v>#N/A Authorization</v>
      </c>
      <c r="BN238" t="str">
        <f>""</f>
        <v/>
      </c>
      <c r="BO238" t="str">
        <f>""</f>
        <v/>
      </c>
      <c r="BP238" t="str">
        <f>""</f>
        <v/>
      </c>
      <c r="BQ238" t="str">
        <f>""</f>
        <v/>
      </c>
      <c r="BR238" t="str">
        <f>""</f>
        <v/>
      </c>
      <c r="BS238" t="str">
        <f>""</f>
        <v/>
      </c>
      <c r="BT238" t="str">
        <f>""</f>
        <v/>
      </c>
      <c r="BU238" t="str">
        <f>""</f>
        <v/>
      </c>
      <c r="BV238" t="str">
        <f>""</f>
        <v/>
      </c>
      <c r="BW238" t="str">
        <f>""</f>
        <v/>
      </c>
      <c r="BX238" t="str">
        <f>""</f>
        <v/>
      </c>
      <c r="BY238" t="str">
        <f>""</f>
        <v/>
      </c>
      <c r="BZ238" t="str">
        <f>""</f>
        <v/>
      </c>
      <c r="CA238" t="str">
        <f>""</f>
        <v/>
      </c>
      <c r="CB238" t="str">
        <f>""</f>
        <v/>
      </c>
      <c r="CC238" t="str">
        <f>""</f>
        <v/>
      </c>
      <c r="CD238" t="str">
        <f>""</f>
        <v/>
      </c>
      <c r="CE238" t="str">
        <f>""</f>
        <v/>
      </c>
      <c r="CF238" t="str">
        <f>""</f>
        <v/>
      </c>
      <c r="CG238" t="str">
        <f>""</f>
        <v/>
      </c>
      <c r="CH238" t="str">
        <f>""</f>
        <v/>
      </c>
      <c r="CI238" t="str">
        <f>""</f>
        <v/>
      </c>
      <c r="CJ238" t="str">
        <f>""</f>
        <v/>
      </c>
      <c r="CK238" t="str">
        <f>""</f>
        <v/>
      </c>
      <c r="CL238" t="str">
        <f>""</f>
        <v/>
      </c>
      <c r="CM238" t="str">
        <f>""</f>
        <v/>
      </c>
      <c r="CN238" t="str">
        <f>""</f>
        <v/>
      </c>
      <c r="CO238" t="str">
        <f>""</f>
        <v/>
      </c>
      <c r="CP238" t="str">
        <f>""</f>
        <v/>
      </c>
      <c r="CQ238" t="str">
        <f>""</f>
        <v/>
      </c>
      <c r="CR238" t="str">
        <f>""</f>
        <v/>
      </c>
      <c r="CS238" t="str">
        <f>""</f>
        <v/>
      </c>
      <c r="CT238" t="str">
        <f>""</f>
        <v/>
      </c>
      <c r="CU238" t="str">
        <f>""</f>
        <v/>
      </c>
      <c r="CV238" t="str">
        <f>""</f>
        <v/>
      </c>
      <c r="CW238" t="str">
        <f>""</f>
        <v/>
      </c>
      <c r="CX238" t="str">
        <f>""</f>
        <v/>
      </c>
      <c r="CY238" t="str">
        <f>""</f>
        <v/>
      </c>
      <c r="CZ238" t="str">
        <f>""</f>
        <v/>
      </c>
      <c r="DA238" t="str">
        <f>""</f>
        <v/>
      </c>
      <c r="DB238" t="str">
        <f>""</f>
        <v/>
      </c>
      <c r="DC238" t="str">
        <f>""</f>
        <v/>
      </c>
      <c r="DD238" t="str">
        <f>""</f>
        <v/>
      </c>
      <c r="DE238" t="str">
        <f>""</f>
        <v/>
      </c>
      <c r="DF238" t="str">
        <f>""</f>
        <v/>
      </c>
      <c r="DG238" t="str">
        <f>""</f>
        <v/>
      </c>
      <c r="DH238" t="str">
        <f>""</f>
        <v/>
      </c>
      <c r="DI238" t="str">
        <f>""</f>
        <v/>
      </c>
      <c r="DJ238" t="str">
        <f>""</f>
        <v/>
      </c>
      <c r="DK238" t="str">
        <f>""</f>
        <v/>
      </c>
      <c r="DL238" t="str">
        <f>""</f>
        <v/>
      </c>
      <c r="DM238" t="str">
        <f>""</f>
        <v/>
      </c>
      <c r="DN238" t="str">
        <f>""</f>
        <v/>
      </c>
      <c r="DO238" t="str">
        <f>""</f>
        <v/>
      </c>
      <c r="DP238" t="str">
        <f>""</f>
        <v/>
      </c>
      <c r="DQ238" t="str">
        <f>""</f>
        <v/>
      </c>
      <c r="DR238" t="str">
        <f>""</f>
        <v/>
      </c>
      <c r="DS238" t="str">
        <f>""</f>
        <v/>
      </c>
      <c r="DT238" t="str">
        <f>""</f>
        <v/>
      </c>
      <c r="DU238" t="str">
        <f>""</f>
        <v/>
      </c>
    </row>
    <row r="239" spans="1:125">
      <c r="A239" t="str">
        <f>$A$17</f>
        <v xml:space="preserve">    Education Realty Trust Inc</v>
      </c>
      <c r="B239" t="str">
        <f>$B$17</f>
        <v>EDR US Equity</v>
      </c>
      <c r="C239" t="str">
        <f>$C$17</f>
        <v>IM275</v>
      </c>
      <c r="D239" t="str">
        <f>$D$17</f>
        <v>IS_OTHER_RENTAL_INCOME</v>
      </c>
      <c r="E239" t="str">
        <f>$E$17</f>
        <v>动态</v>
      </c>
      <c r="F239" t="str">
        <f ca="1">BDH($B$17,$C$17,$B$224,$B$225,CONCATENATE("Per=",$B$222),"Dts=H","Dir=H",CONCATENATE("Points=",$B$223),"Sort=R","Days=A","Fill=B",CONCATENATE("FX=", $B$221) )</f>
        <v>#N/A Authorization</v>
      </c>
      <c r="BN239" t="str">
        <f>""</f>
        <v/>
      </c>
      <c r="BO239" t="str">
        <f>""</f>
        <v/>
      </c>
      <c r="BP239" t="str">
        <f>""</f>
        <v/>
      </c>
      <c r="BQ239" t="str">
        <f>""</f>
        <v/>
      </c>
      <c r="BR239" t="str">
        <f>""</f>
        <v/>
      </c>
      <c r="BS239" t="str">
        <f>""</f>
        <v/>
      </c>
      <c r="BT239" t="str">
        <f>""</f>
        <v/>
      </c>
      <c r="BU239" t="str">
        <f>""</f>
        <v/>
      </c>
      <c r="BV239" t="str">
        <f>""</f>
        <v/>
      </c>
      <c r="BW239" t="str">
        <f>""</f>
        <v/>
      </c>
      <c r="BX239" t="str">
        <f>""</f>
        <v/>
      </c>
      <c r="BY239" t="str">
        <f>""</f>
        <v/>
      </c>
      <c r="BZ239" t="str">
        <f>""</f>
        <v/>
      </c>
      <c r="CA239" t="str">
        <f>""</f>
        <v/>
      </c>
      <c r="CB239" t="str">
        <f>""</f>
        <v/>
      </c>
      <c r="CC239" t="str">
        <f>""</f>
        <v/>
      </c>
      <c r="CD239" t="str">
        <f>""</f>
        <v/>
      </c>
      <c r="CE239" t="str">
        <f>""</f>
        <v/>
      </c>
      <c r="CF239" t="str">
        <f>""</f>
        <v/>
      </c>
      <c r="CG239" t="str">
        <f>""</f>
        <v/>
      </c>
      <c r="CH239" t="str">
        <f>""</f>
        <v/>
      </c>
      <c r="CI239" t="str">
        <f>""</f>
        <v/>
      </c>
      <c r="CJ239" t="str">
        <f>""</f>
        <v/>
      </c>
      <c r="CK239" t="str">
        <f>""</f>
        <v/>
      </c>
      <c r="CL239" t="str">
        <f>""</f>
        <v/>
      </c>
      <c r="CM239" t="str">
        <f>""</f>
        <v/>
      </c>
      <c r="CN239" t="str">
        <f>""</f>
        <v/>
      </c>
      <c r="CO239" t="str">
        <f>""</f>
        <v/>
      </c>
      <c r="CP239" t="str">
        <f>""</f>
        <v/>
      </c>
      <c r="CQ239" t="str">
        <f>""</f>
        <v/>
      </c>
      <c r="CR239" t="str">
        <f>""</f>
        <v/>
      </c>
      <c r="CS239" t="str">
        <f>""</f>
        <v/>
      </c>
      <c r="CT239" t="str">
        <f>""</f>
        <v/>
      </c>
      <c r="CU239" t="str">
        <f>""</f>
        <v/>
      </c>
      <c r="CV239" t="str">
        <f>""</f>
        <v/>
      </c>
      <c r="CW239" t="str">
        <f>""</f>
        <v/>
      </c>
      <c r="CX239" t="str">
        <f>""</f>
        <v/>
      </c>
      <c r="CY239" t="str">
        <f>""</f>
        <v/>
      </c>
      <c r="CZ239" t="str">
        <f>""</f>
        <v/>
      </c>
      <c r="DA239" t="str">
        <f>""</f>
        <v/>
      </c>
      <c r="DB239" t="str">
        <f>""</f>
        <v/>
      </c>
      <c r="DC239" t="str">
        <f>""</f>
        <v/>
      </c>
      <c r="DD239" t="str">
        <f>""</f>
        <v/>
      </c>
      <c r="DE239" t="str">
        <f>""</f>
        <v/>
      </c>
      <c r="DF239" t="str">
        <f>""</f>
        <v/>
      </c>
      <c r="DG239" t="str">
        <f>""</f>
        <v/>
      </c>
      <c r="DH239" t="str">
        <f>""</f>
        <v/>
      </c>
      <c r="DI239" t="str">
        <f>""</f>
        <v/>
      </c>
      <c r="DJ239" t="str">
        <f>""</f>
        <v/>
      </c>
      <c r="DK239" t="str">
        <f>""</f>
        <v/>
      </c>
      <c r="DL239" t="str">
        <f>""</f>
        <v/>
      </c>
      <c r="DM239" t="str">
        <f>""</f>
        <v/>
      </c>
      <c r="DN239" t="str">
        <f>""</f>
        <v/>
      </c>
      <c r="DO239" t="str">
        <f>""</f>
        <v/>
      </c>
      <c r="DP239" t="str">
        <f>""</f>
        <v/>
      </c>
      <c r="DQ239" t="str">
        <f>""</f>
        <v/>
      </c>
      <c r="DR239" t="str">
        <f>""</f>
        <v/>
      </c>
      <c r="DS239" t="str">
        <f>""</f>
        <v/>
      </c>
      <c r="DT239" t="str">
        <f>""</f>
        <v/>
      </c>
      <c r="DU239" t="str">
        <f>""</f>
        <v/>
      </c>
    </row>
    <row r="240" spans="1:125">
      <c r="A240" t="str">
        <f>$A$18</f>
        <v xml:space="preserve">    Equity Residential</v>
      </c>
      <c r="B240" t="str">
        <f>$B$18</f>
        <v>EQR US Equity</v>
      </c>
      <c r="C240" t="str">
        <f>$C$18</f>
        <v>IM275</v>
      </c>
      <c r="D240" t="str">
        <f>$D$18</f>
        <v>IS_OTHER_RENTAL_INCOME</v>
      </c>
      <c r="E240" t="str">
        <f>$E$18</f>
        <v>动态</v>
      </c>
      <c r="F240" t="str">
        <f ca="1">BDH($B$18,$C$18,$B$224,$B$225,CONCATENATE("Per=",$B$222),"Dts=H","Dir=H",CONCATENATE("Points=",$B$223),"Sort=R","Days=A","Fill=B",CONCATENATE("FX=", $B$221) )</f>
        <v>#N/A Authorization</v>
      </c>
      <c r="BN240" t="str">
        <f>""</f>
        <v/>
      </c>
      <c r="BO240" t="str">
        <f>""</f>
        <v/>
      </c>
      <c r="BP240" t="str">
        <f>""</f>
        <v/>
      </c>
      <c r="BQ240" t="str">
        <f>""</f>
        <v/>
      </c>
      <c r="BR240" t="str">
        <f>""</f>
        <v/>
      </c>
      <c r="BS240" t="str">
        <f>""</f>
        <v/>
      </c>
      <c r="BT240" t="str">
        <f>""</f>
        <v/>
      </c>
      <c r="BU240" t="str">
        <f>""</f>
        <v/>
      </c>
      <c r="BV240" t="str">
        <f>""</f>
        <v/>
      </c>
      <c r="BW240" t="str">
        <f>""</f>
        <v/>
      </c>
      <c r="BX240" t="str">
        <f>""</f>
        <v/>
      </c>
      <c r="BY240" t="str">
        <f>""</f>
        <v/>
      </c>
      <c r="BZ240" t="str">
        <f>""</f>
        <v/>
      </c>
      <c r="CA240" t="str">
        <f>""</f>
        <v/>
      </c>
      <c r="CB240" t="str">
        <f>""</f>
        <v/>
      </c>
      <c r="CC240" t="str">
        <f>""</f>
        <v/>
      </c>
      <c r="CD240" t="str">
        <f>""</f>
        <v/>
      </c>
      <c r="CE240" t="str">
        <f>""</f>
        <v/>
      </c>
      <c r="CF240" t="str">
        <f>""</f>
        <v/>
      </c>
      <c r="CG240" t="str">
        <f>""</f>
        <v/>
      </c>
      <c r="CH240" t="str">
        <f>""</f>
        <v/>
      </c>
      <c r="CI240" t="str">
        <f>""</f>
        <v/>
      </c>
      <c r="CJ240" t="str">
        <f>""</f>
        <v/>
      </c>
      <c r="CK240" t="str">
        <f>""</f>
        <v/>
      </c>
      <c r="CL240" t="str">
        <f>""</f>
        <v/>
      </c>
      <c r="CM240" t="str">
        <f>""</f>
        <v/>
      </c>
      <c r="CN240" t="str">
        <f>""</f>
        <v/>
      </c>
      <c r="CO240" t="str">
        <f>""</f>
        <v/>
      </c>
      <c r="CP240" t="str">
        <f>""</f>
        <v/>
      </c>
      <c r="CQ240" t="str">
        <f>""</f>
        <v/>
      </c>
      <c r="CR240" t="str">
        <f>""</f>
        <v/>
      </c>
      <c r="CS240" t="str">
        <f>""</f>
        <v/>
      </c>
      <c r="CT240" t="str">
        <f>""</f>
        <v/>
      </c>
      <c r="CU240" t="str">
        <f>""</f>
        <v/>
      </c>
      <c r="CV240" t="str">
        <f>""</f>
        <v/>
      </c>
      <c r="CW240" t="str">
        <f>""</f>
        <v/>
      </c>
      <c r="CX240" t="str">
        <f>""</f>
        <v/>
      </c>
      <c r="CY240" t="str">
        <f>""</f>
        <v/>
      </c>
      <c r="CZ240" t="str">
        <f>""</f>
        <v/>
      </c>
      <c r="DA240" t="str">
        <f>""</f>
        <v/>
      </c>
      <c r="DB240" t="str">
        <f>""</f>
        <v/>
      </c>
      <c r="DC240" t="str">
        <f>""</f>
        <v/>
      </c>
      <c r="DD240" t="str">
        <f>""</f>
        <v/>
      </c>
      <c r="DE240" t="str">
        <f>""</f>
        <v/>
      </c>
      <c r="DF240" t="str">
        <f>""</f>
        <v/>
      </c>
      <c r="DG240" t="str">
        <f>""</f>
        <v/>
      </c>
      <c r="DH240" t="str">
        <f>""</f>
        <v/>
      </c>
      <c r="DI240" t="str">
        <f>""</f>
        <v/>
      </c>
      <c r="DJ240" t="str">
        <f>""</f>
        <v/>
      </c>
      <c r="DK240" t="str">
        <f>""</f>
        <v/>
      </c>
      <c r="DL240" t="str">
        <f>""</f>
        <v/>
      </c>
      <c r="DM240" t="str">
        <f>""</f>
        <v/>
      </c>
      <c r="DN240" t="str">
        <f>""</f>
        <v/>
      </c>
      <c r="DO240" t="str">
        <f>""</f>
        <v/>
      </c>
      <c r="DP240" t="str">
        <f>""</f>
        <v/>
      </c>
      <c r="DQ240" t="str">
        <f>""</f>
        <v/>
      </c>
      <c r="DR240" t="str">
        <f>""</f>
        <v/>
      </c>
      <c r="DS240" t="str">
        <f>""</f>
        <v/>
      </c>
      <c r="DT240" t="str">
        <f>""</f>
        <v/>
      </c>
      <c r="DU240" t="str">
        <f>""</f>
        <v/>
      </c>
    </row>
    <row r="241" spans="1:125">
      <c r="A241" t="str">
        <f>$A$19</f>
        <v xml:space="preserve">    Essex Property Trust Inc</v>
      </c>
      <c r="B241" t="str">
        <f>$B$19</f>
        <v>ESS US Equity</v>
      </c>
      <c r="C241" t="str">
        <f>$C$19</f>
        <v>IM275</v>
      </c>
      <c r="D241" t="str">
        <f>$D$19</f>
        <v>IS_OTHER_RENTAL_INCOME</v>
      </c>
      <c r="E241" t="str">
        <f>$E$19</f>
        <v>动态</v>
      </c>
      <c r="F241" t="str">
        <f ca="1">BDH($B$19,$C$19,$B$224,$B$225,CONCATENATE("Per=",$B$222),"Dts=H","Dir=H",CONCATENATE("Points=",$B$223),"Sort=R","Days=A","Fill=B",CONCATENATE("FX=", $B$221) )</f>
        <v>#N/A Authorization</v>
      </c>
      <c r="BN241" t="str">
        <f>""</f>
        <v/>
      </c>
      <c r="BO241" t="str">
        <f>""</f>
        <v/>
      </c>
      <c r="BP241" t="str">
        <f>""</f>
        <v/>
      </c>
      <c r="BQ241" t="str">
        <f>""</f>
        <v/>
      </c>
      <c r="BR241" t="str">
        <f>""</f>
        <v/>
      </c>
      <c r="BS241" t="str">
        <f>""</f>
        <v/>
      </c>
      <c r="BT241" t="str">
        <f>""</f>
        <v/>
      </c>
      <c r="BU241" t="str">
        <f>""</f>
        <v/>
      </c>
      <c r="BV241" t="str">
        <f>""</f>
        <v/>
      </c>
      <c r="BW241" t="str">
        <f>""</f>
        <v/>
      </c>
      <c r="BX241" t="str">
        <f>""</f>
        <v/>
      </c>
      <c r="BY241" t="str">
        <f>""</f>
        <v/>
      </c>
      <c r="BZ241" t="str">
        <f>""</f>
        <v/>
      </c>
      <c r="CA241" t="str">
        <f>""</f>
        <v/>
      </c>
      <c r="CB241" t="str">
        <f>""</f>
        <v/>
      </c>
      <c r="CC241" t="str">
        <f>""</f>
        <v/>
      </c>
      <c r="CD241" t="str">
        <f>""</f>
        <v/>
      </c>
      <c r="CE241" t="str">
        <f>""</f>
        <v/>
      </c>
      <c r="CF241" t="str">
        <f>""</f>
        <v/>
      </c>
      <c r="CG241" t="str">
        <f>""</f>
        <v/>
      </c>
      <c r="CH241" t="str">
        <f>""</f>
        <v/>
      </c>
      <c r="CI241" t="str">
        <f>""</f>
        <v/>
      </c>
      <c r="CJ241" t="str">
        <f>""</f>
        <v/>
      </c>
      <c r="CK241" t="str">
        <f>""</f>
        <v/>
      </c>
      <c r="CL241" t="str">
        <f>""</f>
        <v/>
      </c>
      <c r="CM241" t="str">
        <f>""</f>
        <v/>
      </c>
      <c r="CN241" t="str">
        <f>""</f>
        <v/>
      </c>
      <c r="CO241" t="str">
        <f>""</f>
        <v/>
      </c>
      <c r="CP241" t="str">
        <f>""</f>
        <v/>
      </c>
      <c r="CQ241" t="str">
        <f>""</f>
        <v/>
      </c>
      <c r="CR241" t="str">
        <f>""</f>
        <v/>
      </c>
      <c r="CS241" t="str">
        <f>""</f>
        <v/>
      </c>
      <c r="CT241" t="str">
        <f>""</f>
        <v/>
      </c>
      <c r="CU241" t="str">
        <f>""</f>
        <v/>
      </c>
      <c r="CV241" t="str">
        <f>""</f>
        <v/>
      </c>
      <c r="CW241" t="str">
        <f>""</f>
        <v/>
      </c>
      <c r="CX241" t="str">
        <f>""</f>
        <v/>
      </c>
      <c r="CY241" t="str">
        <f>""</f>
        <v/>
      </c>
      <c r="CZ241" t="str">
        <f>""</f>
        <v/>
      </c>
      <c r="DA241" t="str">
        <f>""</f>
        <v/>
      </c>
      <c r="DB241" t="str">
        <f>""</f>
        <v/>
      </c>
      <c r="DC241" t="str">
        <f>""</f>
        <v/>
      </c>
      <c r="DD241" t="str">
        <f>""</f>
        <v/>
      </c>
      <c r="DE241" t="str">
        <f>""</f>
        <v/>
      </c>
      <c r="DF241" t="str">
        <f>""</f>
        <v/>
      </c>
      <c r="DG241" t="str">
        <f>""</f>
        <v/>
      </c>
      <c r="DH241" t="str">
        <f>""</f>
        <v/>
      </c>
      <c r="DI241" t="str">
        <f>""</f>
        <v/>
      </c>
      <c r="DJ241" t="str">
        <f>""</f>
        <v/>
      </c>
      <c r="DK241" t="str">
        <f>""</f>
        <v/>
      </c>
      <c r="DL241" t="str">
        <f>""</f>
        <v/>
      </c>
      <c r="DM241" t="str">
        <f>""</f>
        <v/>
      </c>
      <c r="DN241" t="str">
        <f>""</f>
        <v/>
      </c>
      <c r="DO241" t="str">
        <f>""</f>
        <v/>
      </c>
      <c r="DP241" t="str">
        <f>""</f>
        <v/>
      </c>
      <c r="DQ241" t="str">
        <f>""</f>
        <v/>
      </c>
      <c r="DR241" t="str">
        <f>""</f>
        <v/>
      </c>
      <c r="DS241" t="str">
        <f>""</f>
        <v/>
      </c>
      <c r="DT241" t="str">
        <f>""</f>
        <v/>
      </c>
      <c r="DU241" t="str">
        <f>""</f>
        <v/>
      </c>
    </row>
    <row r="242" spans="1:125">
      <c r="A242" t="str">
        <f>$A$20</f>
        <v xml:space="preserve">    Mid-America Apartment Communit</v>
      </c>
      <c r="B242" t="str">
        <f>$B$20</f>
        <v>MAA US Equity</v>
      </c>
      <c r="C242" t="str">
        <f>$C$20</f>
        <v>IM275</v>
      </c>
      <c r="D242" t="str">
        <f>$D$20</f>
        <v>IS_OTHER_RENTAL_INCOME</v>
      </c>
      <c r="E242" t="str">
        <f>$E$20</f>
        <v>动态</v>
      </c>
      <c r="F242" t="str">
        <f ca="1">BDH($B$20,$C$20,$B$224,$B$225,CONCATENATE("Per=",$B$222),"Dts=H","Dir=H",CONCATENATE("Points=",$B$223),"Sort=R","Days=A","Fill=B",CONCATENATE("FX=", $B$221) )</f>
        <v>#N/A Authorization</v>
      </c>
      <c r="BN242" t="str">
        <f>""</f>
        <v/>
      </c>
      <c r="BO242" t="str">
        <f>""</f>
        <v/>
      </c>
      <c r="BP242" t="str">
        <f>""</f>
        <v/>
      </c>
      <c r="BQ242" t="str">
        <f>""</f>
        <v/>
      </c>
      <c r="BR242" t="str">
        <f>""</f>
        <v/>
      </c>
      <c r="BS242" t="str">
        <f>""</f>
        <v/>
      </c>
      <c r="BT242" t="str">
        <f>""</f>
        <v/>
      </c>
      <c r="BU242" t="str">
        <f>""</f>
        <v/>
      </c>
      <c r="BV242" t="str">
        <f>""</f>
        <v/>
      </c>
      <c r="BW242" t="str">
        <f>""</f>
        <v/>
      </c>
      <c r="BX242" t="str">
        <f>""</f>
        <v/>
      </c>
      <c r="BY242" t="str">
        <f>""</f>
        <v/>
      </c>
      <c r="BZ242" t="str">
        <f>""</f>
        <v/>
      </c>
      <c r="CA242" t="str">
        <f>""</f>
        <v/>
      </c>
      <c r="CB242" t="str">
        <f>""</f>
        <v/>
      </c>
      <c r="CC242" t="str">
        <f>""</f>
        <v/>
      </c>
      <c r="CD242" t="str">
        <f>""</f>
        <v/>
      </c>
      <c r="CE242" t="str">
        <f>""</f>
        <v/>
      </c>
      <c r="CF242" t="str">
        <f>""</f>
        <v/>
      </c>
      <c r="CG242" t="str">
        <f>""</f>
        <v/>
      </c>
      <c r="CH242" t="str">
        <f>""</f>
        <v/>
      </c>
      <c r="CI242" t="str">
        <f>""</f>
        <v/>
      </c>
      <c r="CJ242" t="str">
        <f>""</f>
        <v/>
      </c>
      <c r="CK242" t="str">
        <f>""</f>
        <v/>
      </c>
      <c r="CL242" t="str">
        <f>""</f>
        <v/>
      </c>
      <c r="CM242" t="str">
        <f>""</f>
        <v/>
      </c>
      <c r="CN242" t="str">
        <f>""</f>
        <v/>
      </c>
      <c r="CO242" t="str">
        <f>""</f>
        <v/>
      </c>
      <c r="CP242" t="str">
        <f>""</f>
        <v/>
      </c>
      <c r="CQ242" t="str">
        <f>""</f>
        <v/>
      </c>
      <c r="CR242" t="str">
        <f>""</f>
        <v/>
      </c>
      <c r="CS242" t="str">
        <f>""</f>
        <v/>
      </c>
      <c r="CT242" t="str">
        <f>""</f>
        <v/>
      </c>
      <c r="CU242" t="str">
        <f>""</f>
        <v/>
      </c>
      <c r="CV242" t="str">
        <f>""</f>
        <v/>
      </c>
      <c r="CW242" t="str">
        <f>""</f>
        <v/>
      </c>
      <c r="CX242" t="str">
        <f>""</f>
        <v/>
      </c>
      <c r="CY242" t="str">
        <f>""</f>
        <v/>
      </c>
      <c r="CZ242" t="str">
        <f>""</f>
        <v/>
      </c>
      <c r="DA242" t="str">
        <f>""</f>
        <v/>
      </c>
      <c r="DB242" t="str">
        <f>""</f>
        <v/>
      </c>
      <c r="DC242" t="str">
        <f>""</f>
        <v/>
      </c>
      <c r="DD242" t="str">
        <f>""</f>
        <v/>
      </c>
      <c r="DE242" t="str">
        <f>""</f>
        <v/>
      </c>
      <c r="DF242" t="str">
        <f>""</f>
        <v/>
      </c>
      <c r="DG242" t="str">
        <f>""</f>
        <v/>
      </c>
      <c r="DH242" t="str">
        <f>""</f>
        <v/>
      </c>
      <c r="DI242" t="str">
        <f>""</f>
        <v/>
      </c>
      <c r="DJ242" t="str">
        <f>""</f>
        <v/>
      </c>
      <c r="DK242" t="str">
        <f>""</f>
        <v/>
      </c>
      <c r="DL242" t="str">
        <f>""</f>
        <v/>
      </c>
      <c r="DM242" t="str">
        <f>""</f>
        <v/>
      </c>
      <c r="DN242" t="str">
        <f>""</f>
        <v/>
      </c>
      <c r="DO242" t="str">
        <f>""</f>
        <v/>
      </c>
      <c r="DP242" t="str">
        <f>""</f>
        <v/>
      </c>
      <c r="DQ242" t="str">
        <f>""</f>
        <v/>
      </c>
      <c r="DR242" t="str">
        <f>""</f>
        <v/>
      </c>
      <c r="DS242" t="str">
        <f>""</f>
        <v/>
      </c>
      <c r="DT242" t="str">
        <f>""</f>
        <v/>
      </c>
      <c r="DU242" t="str">
        <f>""</f>
        <v/>
      </c>
    </row>
    <row r="243" spans="1:125">
      <c r="A243" t="str">
        <f>$A$21</f>
        <v xml:space="preserve">    UDR Inc</v>
      </c>
      <c r="B243" t="str">
        <f>$B$21</f>
        <v>UDR US Equity</v>
      </c>
      <c r="C243" t="str">
        <f>$C$21</f>
        <v>IM275</v>
      </c>
      <c r="D243" t="str">
        <f>$D$21</f>
        <v>IS_OTHER_RENTAL_INCOME</v>
      </c>
      <c r="E243" t="str">
        <f>$E$21</f>
        <v>动态</v>
      </c>
      <c r="F243" t="str">
        <f ca="1">BDH($B$21,$C$21,$B$224,$B$225,CONCATENATE("Per=",$B$222),"Dts=H","Dir=H",CONCATENATE("Points=",$B$223),"Sort=R","Days=A","Fill=B",CONCATENATE("FX=", $B$221) )</f>
        <v>#N/A Authorization</v>
      </c>
      <c r="BN243" t="str">
        <f>""</f>
        <v/>
      </c>
      <c r="BO243" t="str">
        <f>""</f>
        <v/>
      </c>
      <c r="BP243" t="str">
        <f>""</f>
        <v/>
      </c>
      <c r="BQ243" t="str">
        <f>""</f>
        <v/>
      </c>
      <c r="BR243" t="str">
        <f>""</f>
        <v/>
      </c>
      <c r="BS243" t="str">
        <f>""</f>
        <v/>
      </c>
      <c r="BT243" t="str">
        <f>""</f>
        <v/>
      </c>
      <c r="BU243" t="str">
        <f>""</f>
        <v/>
      </c>
      <c r="BV243" t="str">
        <f>""</f>
        <v/>
      </c>
      <c r="BW243" t="str">
        <f>""</f>
        <v/>
      </c>
      <c r="BX243" t="str">
        <f>""</f>
        <v/>
      </c>
      <c r="BY243" t="str">
        <f>""</f>
        <v/>
      </c>
      <c r="BZ243" t="str">
        <f>""</f>
        <v/>
      </c>
      <c r="CA243" t="str">
        <f>""</f>
        <v/>
      </c>
      <c r="CB243" t="str">
        <f>""</f>
        <v/>
      </c>
      <c r="CC243" t="str">
        <f>""</f>
        <v/>
      </c>
      <c r="CD243" t="str">
        <f>""</f>
        <v/>
      </c>
      <c r="CE243" t="str">
        <f>""</f>
        <v/>
      </c>
      <c r="CF243" t="str">
        <f>""</f>
        <v/>
      </c>
      <c r="CG243" t="str">
        <f>""</f>
        <v/>
      </c>
      <c r="CH243" t="str">
        <f>""</f>
        <v/>
      </c>
      <c r="CI243" t="str">
        <f>""</f>
        <v/>
      </c>
      <c r="CJ243" t="str">
        <f>""</f>
        <v/>
      </c>
      <c r="CK243" t="str">
        <f>""</f>
        <v/>
      </c>
      <c r="CL243" t="str">
        <f>""</f>
        <v/>
      </c>
      <c r="CM243" t="str">
        <f>""</f>
        <v/>
      </c>
      <c r="CN243" t="str">
        <f>""</f>
        <v/>
      </c>
      <c r="CO243" t="str">
        <f>""</f>
        <v/>
      </c>
      <c r="CP243" t="str">
        <f>""</f>
        <v/>
      </c>
      <c r="CQ243" t="str">
        <f>""</f>
        <v/>
      </c>
      <c r="CR243" t="str">
        <f>""</f>
        <v/>
      </c>
      <c r="CS243" t="str">
        <f>""</f>
        <v/>
      </c>
      <c r="CT243" t="str">
        <f>""</f>
        <v/>
      </c>
      <c r="CU243" t="str">
        <f>""</f>
        <v/>
      </c>
      <c r="CV243" t="str">
        <f>""</f>
        <v/>
      </c>
      <c r="CW243" t="str">
        <f>""</f>
        <v/>
      </c>
      <c r="CX243" t="str">
        <f>""</f>
        <v/>
      </c>
      <c r="CY243" t="str">
        <f>""</f>
        <v/>
      </c>
      <c r="CZ243" t="str">
        <f>""</f>
        <v/>
      </c>
      <c r="DA243" t="str">
        <f>""</f>
        <v/>
      </c>
      <c r="DB243" t="str">
        <f>""</f>
        <v/>
      </c>
      <c r="DC243" t="str">
        <f>""</f>
        <v/>
      </c>
      <c r="DD243" t="str">
        <f>""</f>
        <v/>
      </c>
      <c r="DE243" t="str">
        <f>""</f>
        <v/>
      </c>
      <c r="DF243" t="str">
        <f>""</f>
        <v/>
      </c>
      <c r="DG243" t="str">
        <f>""</f>
        <v/>
      </c>
      <c r="DH243" t="str">
        <f>""</f>
        <v/>
      </c>
      <c r="DI243" t="str">
        <f>""</f>
        <v/>
      </c>
      <c r="DJ243" t="str">
        <f>""</f>
        <v/>
      </c>
      <c r="DK243" t="str">
        <f>""</f>
        <v/>
      </c>
      <c r="DL243" t="str">
        <f>""</f>
        <v/>
      </c>
      <c r="DM243" t="str">
        <f>""</f>
        <v/>
      </c>
      <c r="DN243" t="str">
        <f>""</f>
        <v/>
      </c>
      <c r="DO243" t="str">
        <f>""</f>
        <v/>
      </c>
      <c r="DP243" t="str">
        <f>""</f>
        <v/>
      </c>
      <c r="DQ243" t="str">
        <f>""</f>
        <v/>
      </c>
      <c r="DR243" t="str">
        <f>""</f>
        <v/>
      </c>
      <c r="DS243" t="str">
        <f>""</f>
        <v/>
      </c>
      <c r="DT243" t="str">
        <f>""</f>
        <v/>
      </c>
      <c r="DU243" t="str">
        <f>""</f>
        <v/>
      </c>
    </row>
    <row r="244" spans="1:125">
      <c r="A244" t="str">
        <f>$A$23</f>
        <v xml:space="preserve">    American Campus Communities In</v>
      </c>
      <c r="B244" t="str">
        <f>$B$23</f>
        <v>ACC US Equity</v>
      </c>
      <c r="C244" t="str">
        <f>$C$23</f>
        <v>IM281</v>
      </c>
      <c r="D244" t="str">
        <f>$D$23</f>
        <v>IS_NON_REAL_ESTATE_INCOME</v>
      </c>
      <c r="E244" t="str">
        <f>$E$23</f>
        <v>动态</v>
      </c>
      <c r="F244" t="str">
        <f ca="1">BDH($B$23,$C$23,$B$224,$B$225,CONCATENATE("Per=",$B$222),"Dts=H","Dir=H",CONCATENATE("Points=",$B$223),"Sort=R","Days=A","Fill=B",CONCATENATE("FX=", $B$221) )</f>
        <v>#N/A Authorization</v>
      </c>
      <c r="BN244" t="str">
        <f>""</f>
        <v/>
      </c>
      <c r="BO244" t="str">
        <f>""</f>
        <v/>
      </c>
      <c r="BP244" t="str">
        <f>""</f>
        <v/>
      </c>
      <c r="BQ244" t="str">
        <f>""</f>
        <v/>
      </c>
      <c r="BR244" t="str">
        <f>""</f>
        <v/>
      </c>
      <c r="BS244" t="str">
        <f>""</f>
        <v/>
      </c>
      <c r="BT244" t="str">
        <f>""</f>
        <v/>
      </c>
      <c r="BU244" t="str">
        <f>""</f>
        <v/>
      </c>
      <c r="BV244" t="str">
        <f>""</f>
        <v/>
      </c>
      <c r="BW244" t="str">
        <f>""</f>
        <v/>
      </c>
      <c r="BX244" t="str">
        <f>""</f>
        <v/>
      </c>
      <c r="BY244" t="str">
        <f>""</f>
        <v/>
      </c>
      <c r="BZ244" t="str">
        <f>""</f>
        <v/>
      </c>
      <c r="CA244" t="str">
        <f>""</f>
        <v/>
      </c>
      <c r="CB244" t="str">
        <f>""</f>
        <v/>
      </c>
      <c r="CC244" t="str">
        <f>""</f>
        <v/>
      </c>
      <c r="CD244" t="str">
        <f>""</f>
        <v/>
      </c>
      <c r="CE244" t="str">
        <f>""</f>
        <v/>
      </c>
      <c r="CF244" t="str">
        <f>""</f>
        <v/>
      </c>
      <c r="CG244" t="str">
        <f>""</f>
        <v/>
      </c>
      <c r="CH244" t="str">
        <f>""</f>
        <v/>
      </c>
      <c r="CI244" t="str">
        <f>""</f>
        <v/>
      </c>
      <c r="CJ244" t="str">
        <f>""</f>
        <v/>
      </c>
      <c r="CK244" t="str">
        <f>""</f>
        <v/>
      </c>
      <c r="CL244" t="str">
        <f>""</f>
        <v/>
      </c>
      <c r="CM244" t="str">
        <f>""</f>
        <v/>
      </c>
      <c r="CN244" t="str">
        <f>""</f>
        <v/>
      </c>
      <c r="CO244" t="str">
        <f>""</f>
        <v/>
      </c>
      <c r="CP244" t="str">
        <f>""</f>
        <v/>
      </c>
      <c r="CQ244" t="str">
        <f>""</f>
        <v/>
      </c>
      <c r="CR244" t="str">
        <f>""</f>
        <v/>
      </c>
      <c r="CS244" t="str">
        <f>""</f>
        <v/>
      </c>
      <c r="CT244" t="str">
        <f>""</f>
        <v/>
      </c>
      <c r="CU244" t="str">
        <f>""</f>
        <v/>
      </c>
      <c r="CV244" t="str">
        <f>""</f>
        <v/>
      </c>
      <c r="CW244" t="str">
        <f>""</f>
        <v/>
      </c>
      <c r="CX244" t="str">
        <f>""</f>
        <v/>
      </c>
      <c r="CY244" t="str">
        <f>""</f>
        <v/>
      </c>
      <c r="CZ244" t="str">
        <f>""</f>
        <v/>
      </c>
      <c r="DA244" t="str">
        <f>""</f>
        <v/>
      </c>
      <c r="DB244" t="str">
        <f>""</f>
        <v/>
      </c>
      <c r="DC244" t="str">
        <f>""</f>
        <v/>
      </c>
      <c r="DD244" t="str">
        <f>""</f>
        <v/>
      </c>
      <c r="DE244" t="str">
        <f>""</f>
        <v/>
      </c>
      <c r="DF244" t="str">
        <f>""</f>
        <v/>
      </c>
      <c r="DG244" t="str">
        <f>""</f>
        <v/>
      </c>
      <c r="DH244" t="str">
        <f>""</f>
        <v/>
      </c>
      <c r="DI244" t="str">
        <f>""</f>
        <v/>
      </c>
      <c r="DJ244" t="str">
        <f>""</f>
        <v/>
      </c>
      <c r="DK244" t="str">
        <f>""</f>
        <v/>
      </c>
      <c r="DL244" t="str">
        <f>""</f>
        <v/>
      </c>
      <c r="DM244" t="str">
        <f>""</f>
        <v/>
      </c>
      <c r="DN244" t="str">
        <f>""</f>
        <v/>
      </c>
      <c r="DO244" t="str">
        <f>""</f>
        <v/>
      </c>
      <c r="DP244" t="str">
        <f>""</f>
        <v/>
      </c>
      <c r="DQ244" t="str">
        <f>""</f>
        <v/>
      </c>
      <c r="DR244" t="str">
        <f>""</f>
        <v/>
      </c>
      <c r="DS244" t="str">
        <f>""</f>
        <v/>
      </c>
      <c r="DT244" t="str">
        <f>""</f>
        <v/>
      </c>
      <c r="DU244" t="str">
        <f>""</f>
        <v/>
      </c>
    </row>
    <row r="245" spans="1:125">
      <c r="A245" t="str">
        <f>$A$24</f>
        <v xml:space="preserve">    AvalonBay Communities Inc</v>
      </c>
      <c r="B245" t="str">
        <f>$B$24</f>
        <v>AVB US Equity</v>
      </c>
      <c r="C245" t="str">
        <f>$C$24</f>
        <v>IM281</v>
      </c>
      <c r="D245" t="str">
        <f>$D$24</f>
        <v>IS_NON_REAL_ESTATE_INCOME</v>
      </c>
      <c r="E245" t="str">
        <f>$E$24</f>
        <v>动态</v>
      </c>
      <c r="F245" t="str">
        <f ca="1">BDH($B$24,$C$24,$B$224,$B$225,CONCATENATE("Per=",$B$222),"Dts=H","Dir=H",CONCATENATE("Points=",$B$223),"Sort=R","Days=A","Fill=B",CONCATENATE("FX=", $B$221) )</f>
        <v>#N/A Authorization</v>
      </c>
      <c r="BN245" t="str">
        <f>""</f>
        <v/>
      </c>
      <c r="BO245" t="str">
        <f>""</f>
        <v/>
      </c>
      <c r="BP245" t="str">
        <f>""</f>
        <v/>
      </c>
      <c r="BQ245" t="str">
        <f>""</f>
        <v/>
      </c>
      <c r="BR245" t="str">
        <f>""</f>
        <v/>
      </c>
      <c r="BS245" t="str">
        <f>""</f>
        <v/>
      </c>
      <c r="BT245" t="str">
        <f>""</f>
        <v/>
      </c>
      <c r="BU245" t="str">
        <f>""</f>
        <v/>
      </c>
      <c r="BV245" t="str">
        <f>""</f>
        <v/>
      </c>
      <c r="BW245" t="str">
        <f>""</f>
        <v/>
      </c>
      <c r="BX245" t="str">
        <f>""</f>
        <v/>
      </c>
      <c r="BY245" t="str">
        <f>""</f>
        <v/>
      </c>
      <c r="BZ245" t="str">
        <f>""</f>
        <v/>
      </c>
      <c r="CA245" t="str">
        <f>""</f>
        <v/>
      </c>
      <c r="CB245" t="str">
        <f>""</f>
        <v/>
      </c>
      <c r="CC245" t="str">
        <f>""</f>
        <v/>
      </c>
      <c r="CD245" t="str">
        <f>""</f>
        <v/>
      </c>
      <c r="CE245" t="str">
        <f>""</f>
        <v/>
      </c>
      <c r="CF245" t="str">
        <f>""</f>
        <v/>
      </c>
      <c r="CG245" t="str">
        <f>""</f>
        <v/>
      </c>
      <c r="CH245" t="str">
        <f>""</f>
        <v/>
      </c>
      <c r="CI245" t="str">
        <f>""</f>
        <v/>
      </c>
      <c r="CJ245" t="str">
        <f>""</f>
        <v/>
      </c>
      <c r="CK245" t="str">
        <f>""</f>
        <v/>
      </c>
      <c r="CL245" t="str">
        <f>""</f>
        <v/>
      </c>
      <c r="CM245" t="str">
        <f>""</f>
        <v/>
      </c>
      <c r="CN245" t="str">
        <f>""</f>
        <v/>
      </c>
      <c r="CO245" t="str">
        <f>""</f>
        <v/>
      </c>
      <c r="CP245" t="str">
        <f>""</f>
        <v/>
      </c>
      <c r="CQ245" t="str">
        <f>""</f>
        <v/>
      </c>
      <c r="CR245" t="str">
        <f>""</f>
        <v/>
      </c>
      <c r="CS245" t="str">
        <f>""</f>
        <v/>
      </c>
      <c r="CT245" t="str">
        <f>""</f>
        <v/>
      </c>
      <c r="CU245" t="str">
        <f>""</f>
        <v/>
      </c>
      <c r="CV245" t="str">
        <f>""</f>
        <v/>
      </c>
      <c r="CW245" t="str">
        <f>""</f>
        <v/>
      </c>
      <c r="CX245" t="str">
        <f>""</f>
        <v/>
      </c>
      <c r="CY245" t="str">
        <f>""</f>
        <v/>
      </c>
      <c r="CZ245" t="str">
        <f>""</f>
        <v/>
      </c>
      <c r="DA245" t="str">
        <f>""</f>
        <v/>
      </c>
      <c r="DB245" t="str">
        <f>""</f>
        <v/>
      </c>
      <c r="DC245" t="str">
        <f>""</f>
        <v/>
      </c>
      <c r="DD245" t="str">
        <f>""</f>
        <v/>
      </c>
      <c r="DE245" t="str">
        <f>""</f>
        <v/>
      </c>
      <c r="DF245" t="str">
        <f>""</f>
        <v/>
      </c>
      <c r="DG245" t="str">
        <f>""</f>
        <v/>
      </c>
      <c r="DH245" t="str">
        <f>""</f>
        <v/>
      </c>
      <c r="DI245" t="str">
        <f>""</f>
        <v/>
      </c>
      <c r="DJ245" t="str">
        <f>""</f>
        <v/>
      </c>
      <c r="DK245" t="str">
        <f>""</f>
        <v/>
      </c>
      <c r="DL245" t="str">
        <f>""</f>
        <v/>
      </c>
      <c r="DM245" t="str">
        <f>""</f>
        <v/>
      </c>
      <c r="DN245" t="str">
        <f>""</f>
        <v/>
      </c>
      <c r="DO245" t="str">
        <f>""</f>
        <v/>
      </c>
      <c r="DP245" t="str">
        <f>""</f>
        <v/>
      </c>
      <c r="DQ245" t="str">
        <f>""</f>
        <v/>
      </c>
      <c r="DR245" t="str">
        <f>""</f>
        <v/>
      </c>
      <c r="DS245" t="str">
        <f>""</f>
        <v/>
      </c>
      <c r="DT245" t="str">
        <f>""</f>
        <v/>
      </c>
      <c r="DU245" t="str">
        <f>""</f>
        <v/>
      </c>
    </row>
    <row r="246" spans="1:125">
      <c r="A246" t="str">
        <f>$A$25</f>
        <v xml:space="preserve">    Camden Property Trust</v>
      </c>
      <c r="B246" t="str">
        <f>$B$25</f>
        <v>CPT US Equity</v>
      </c>
      <c r="C246" t="str">
        <f>$C$25</f>
        <v>IM281</v>
      </c>
      <c r="D246" t="str">
        <f>$D$25</f>
        <v>IS_NON_REAL_ESTATE_INCOME</v>
      </c>
      <c r="E246" t="str">
        <f>$E$25</f>
        <v>动态</v>
      </c>
      <c r="F246" t="str">
        <f ca="1">BDH($B$25,$C$25,$B$224,$B$225,CONCATENATE("Per=",$B$222),"Dts=H","Dir=H",CONCATENATE("Points=",$B$223),"Sort=R","Days=A","Fill=B",CONCATENATE("FX=", $B$221) )</f>
        <v>#N/A Authorization</v>
      </c>
      <c r="BN246" t="str">
        <f>""</f>
        <v/>
      </c>
      <c r="BO246" t="str">
        <f>""</f>
        <v/>
      </c>
      <c r="BP246" t="str">
        <f>""</f>
        <v/>
      </c>
      <c r="BQ246" t="str">
        <f>""</f>
        <v/>
      </c>
      <c r="BR246" t="str">
        <f>""</f>
        <v/>
      </c>
      <c r="BS246" t="str">
        <f>""</f>
        <v/>
      </c>
      <c r="BT246" t="str">
        <f>""</f>
        <v/>
      </c>
      <c r="BU246" t="str">
        <f>""</f>
        <v/>
      </c>
      <c r="BV246" t="str">
        <f>""</f>
        <v/>
      </c>
      <c r="BW246" t="str">
        <f>""</f>
        <v/>
      </c>
      <c r="BX246" t="str">
        <f>""</f>
        <v/>
      </c>
      <c r="BY246" t="str">
        <f>""</f>
        <v/>
      </c>
      <c r="BZ246" t="str">
        <f>""</f>
        <v/>
      </c>
      <c r="CA246" t="str">
        <f>""</f>
        <v/>
      </c>
      <c r="CB246" t="str">
        <f>""</f>
        <v/>
      </c>
      <c r="CC246" t="str">
        <f>""</f>
        <v/>
      </c>
      <c r="CD246" t="str">
        <f>""</f>
        <v/>
      </c>
      <c r="CE246" t="str">
        <f>""</f>
        <v/>
      </c>
      <c r="CF246" t="str">
        <f>""</f>
        <v/>
      </c>
      <c r="CG246" t="str">
        <f>""</f>
        <v/>
      </c>
      <c r="CH246" t="str">
        <f>""</f>
        <v/>
      </c>
      <c r="CI246" t="str">
        <f>""</f>
        <v/>
      </c>
      <c r="CJ246" t="str">
        <f>""</f>
        <v/>
      </c>
      <c r="CK246" t="str">
        <f>""</f>
        <v/>
      </c>
      <c r="CL246" t="str">
        <f>""</f>
        <v/>
      </c>
      <c r="CM246" t="str">
        <f>""</f>
        <v/>
      </c>
      <c r="CN246" t="str">
        <f>""</f>
        <v/>
      </c>
      <c r="CO246" t="str">
        <f>""</f>
        <v/>
      </c>
      <c r="CP246" t="str">
        <f>""</f>
        <v/>
      </c>
      <c r="CQ246" t="str">
        <f>""</f>
        <v/>
      </c>
      <c r="CR246" t="str">
        <f>""</f>
        <v/>
      </c>
      <c r="CS246" t="str">
        <f>""</f>
        <v/>
      </c>
      <c r="CT246" t="str">
        <f>""</f>
        <v/>
      </c>
      <c r="CU246" t="str">
        <f>""</f>
        <v/>
      </c>
      <c r="CV246" t="str">
        <f>""</f>
        <v/>
      </c>
      <c r="CW246" t="str">
        <f>""</f>
        <v/>
      </c>
      <c r="CX246" t="str">
        <f>""</f>
        <v/>
      </c>
      <c r="CY246" t="str">
        <f>""</f>
        <v/>
      </c>
      <c r="CZ246" t="str">
        <f>""</f>
        <v/>
      </c>
      <c r="DA246" t="str">
        <f>""</f>
        <v/>
      </c>
      <c r="DB246" t="str">
        <f>""</f>
        <v/>
      </c>
      <c r="DC246" t="str">
        <f>""</f>
        <v/>
      </c>
      <c r="DD246" t="str">
        <f>""</f>
        <v/>
      </c>
      <c r="DE246" t="str">
        <f>""</f>
        <v/>
      </c>
      <c r="DF246" t="str">
        <f>""</f>
        <v/>
      </c>
      <c r="DG246" t="str">
        <f>""</f>
        <v/>
      </c>
      <c r="DH246" t="str">
        <f>""</f>
        <v/>
      </c>
      <c r="DI246" t="str">
        <f>""</f>
        <v/>
      </c>
      <c r="DJ246" t="str">
        <f>""</f>
        <v/>
      </c>
      <c r="DK246" t="str">
        <f>""</f>
        <v/>
      </c>
      <c r="DL246" t="str">
        <f>""</f>
        <v/>
      </c>
      <c r="DM246" t="str">
        <f>""</f>
        <v/>
      </c>
      <c r="DN246" t="str">
        <f>""</f>
        <v/>
      </c>
      <c r="DO246" t="str">
        <f>""</f>
        <v/>
      </c>
      <c r="DP246" t="str">
        <f>""</f>
        <v/>
      </c>
      <c r="DQ246" t="str">
        <f>""</f>
        <v/>
      </c>
      <c r="DR246" t="str">
        <f>""</f>
        <v/>
      </c>
      <c r="DS246" t="str">
        <f>""</f>
        <v/>
      </c>
      <c r="DT246" t="str">
        <f>""</f>
        <v/>
      </c>
      <c r="DU246" t="str">
        <f>""</f>
        <v/>
      </c>
    </row>
    <row r="247" spans="1:125">
      <c r="A247" t="str">
        <f>$A$26</f>
        <v xml:space="preserve">    Education Realty Trust Inc</v>
      </c>
      <c r="B247" t="str">
        <f>$B$26</f>
        <v>EDR US Equity</v>
      </c>
      <c r="C247" t="str">
        <f>$C$26</f>
        <v>IM281</v>
      </c>
      <c r="D247" t="str">
        <f>$D$26</f>
        <v>IS_NON_REAL_ESTATE_INCOME</v>
      </c>
      <c r="E247" t="str">
        <f>$E$26</f>
        <v>动态</v>
      </c>
      <c r="F247" t="str">
        <f ca="1">BDH($B$26,$C$26,$B$224,$B$225,CONCATENATE("Per=",$B$222),"Dts=H","Dir=H",CONCATENATE("Points=",$B$223),"Sort=R","Days=A","Fill=B",CONCATENATE("FX=", $B$221) )</f>
        <v>#N/A Authorization</v>
      </c>
      <c r="BN247" t="str">
        <f>""</f>
        <v/>
      </c>
      <c r="BO247" t="str">
        <f>""</f>
        <v/>
      </c>
      <c r="BP247" t="str">
        <f>""</f>
        <v/>
      </c>
      <c r="BQ247" t="str">
        <f>""</f>
        <v/>
      </c>
      <c r="BR247" t="str">
        <f>""</f>
        <v/>
      </c>
      <c r="BS247" t="str">
        <f>""</f>
        <v/>
      </c>
      <c r="BT247" t="str">
        <f>""</f>
        <v/>
      </c>
      <c r="BU247" t="str">
        <f>""</f>
        <v/>
      </c>
      <c r="BV247" t="str">
        <f>""</f>
        <v/>
      </c>
      <c r="BW247" t="str">
        <f>""</f>
        <v/>
      </c>
      <c r="BX247" t="str">
        <f>""</f>
        <v/>
      </c>
      <c r="BY247" t="str">
        <f>""</f>
        <v/>
      </c>
      <c r="BZ247" t="str">
        <f>""</f>
        <v/>
      </c>
      <c r="CA247" t="str">
        <f>""</f>
        <v/>
      </c>
      <c r="CB247" t="str">
        <f>""</f>
        <v/>
      </c>
      <c r="CC247" t="str">
        <f>""</f>
        <v/>
      </c>
      <c r="CD247" t="str">
        <f>""</f>
        <v/>
      </c>
      <c r="CE247" t="str">
        <f>""</f>
        <v/>
      </c>
      <c r="CF247" t="str">
        <f>""</f>
        <v/>
      </c>
      <c r="CG247" t="str">
        <f>""</f>
        <v/>
      </c>
      <c r="CH247" t="str">
        <f>""</f>
        <v/>
      </c>
      <c r="CI247" t="str">
        <f>""</f>
        <v/>
      </c>
      <c r="CJ247" t="str">
        <f>""</f>
        <v/>
      </c>
      <c r="CK247" t="str">
        <f>""</f>
        <v/>
      </c>
      <c r="CL247" t="str">
        <f>""</f>
        <v/>
      </c>
      <c r="CM247" t="str">
        <f>""</f>
        <v/>
      </c>
      <c r="CN247" t="str">
        <f>""</f>
        <v/>
      </c>
      <c r="CO247" t="str">
        <f>""</f>
        <v/>
      </c>
      <c r="CP247" t="str">
        <f>""</f>
        <v/>
      </c>
      <c r="CQ247" t="str">
        <f>""</f>
        <v/>
      </c>
      <c r="CR247" t="str">
        <f>""</f>
        <v/>
      </c>
      <c r="CS247" t="str">
        <f>""</f>
        <v/>
      </c>
      <c r="CT247" t="str">
        <f>""</f>
        <v/>
      </c>
      <c r="CU247" t="str">
        <f>""</f>
        <v/>
      </c>
      <c r="CV247" t="str">
        <f>""</f>
        <v/>
      </c>
      <c r="CW247" t="str">
        <f>""</f>
        <v/>
      </c>
      <c r="CX247" t="str">
        <f>""</f>
        <v/>
      </c>
      <c r="CY247" t="str">
        <f>""</f>
        <v/>
      </c>
      <c r="CZ247" t="str">
        <f>""</f>
        <v/>
      </c>
      <c r="DA247" t="str">
        <f>""</f>
        <v/>
      </c>
      <c r="DB247" t="str">
        <f>""</f>
        <v/>
      </c>
      <c r="DC247" t="str">
        <f>""</f>
        <v/>
      </c>
      <c r="DD247" t="str">
        <f>""</f>
        <v/>
      </c>
      <c r="DE247" t="str">
        <f>""</f>
        <v/>
      </c>
      <c r="DF247" t="str">
        <f>""</f>
        <v/>
      </c>
      <c r="DG247" t="str">
        <f>""</f>
        <v/>
      </c>
      <c r="DH247" t="str">
        <f>""</f>
        <v/>
      </c>
      <c r="DI247" t="str">
        <f>""</f>
        <v/>
      </c>
      <c r="DJ247" t="str">
        <f>""</f>
        <v/>
      </c>
      <c r="DK247" t="str">
        <f>""</f>
        <v/>
      </c>
      <c r="DL247" t="str">
        <f>""</f>
        <v/>
      </c>
      <c r="DM247" t="str">
        <f>""</f>
        <v/>
      </c>
      <c r="DN247" t="str">
        <f>""</f>
        <v/>
      </c>
      <c r="DO247" t="str">
        <f>""</f>
        <v/>
      </c>
      <c r="DP247" t="str">
        <f>""</f>
        <v/>
      </c>
      <c r="DQ247" t="str">
        <f>""</f>
        <v/>
      </c>
      <c r="DR247" t="str">
        <f>""</f>
        <v/>
      </c>
      <c r="DS247" t="str">
        <f>""</f>
        <v/>
      </c>
      <c r="DT247" t="str">
        <f>""</f>
        <v/>
      </c>
      <c r="DU247" t="str">
        <f>""</f>
        <v/>
      </c>
    </row>
    <row r="248" spans="1:125">
      <c r="A248" t="str">
        <f>$A$27</f>
        <v xml:space="preserve">    Equity Residential</v>
      </c>
      <c r="B248" t="str">
        <f>$B$27</f>
        <v>EQR US Equity</v>
      </c>
      <c r="C248" t="str">
        <f>$C$27</f>
        <v>IM281</v>
      </c>
      <c r="D248" t="str">
        <f>$D$27</f>
        <v>IS_NON_REAL_ESTATE_INCOME</v>
      </c>
      <c r="E248" t="str">
        <f>$E$27</f>
        <v>动态</v>
      </c>
      <c r="F248" t="str">
        <f ca="1">BDH($B$27,$C$27,$B$224,$B$225,CONCATENATE("Per=",$B$222),"Dts=H","Dir=H",CONCATENATE("Points=",$B$223),"Sort=R","Days=A","Fill=B",CONCATENATE("FX=", $B$221) )</f>
        <v>#N/A Authorization</v>
      </c>
      <c r="BN248" t="str">
        <f>""</f>
        <v/>
      </c>
      <c r="BO248" t="str">
        <f>""</f>
        <v/>
      </c>
      <c r="BP248" t="str">
        <f>""</f>
        <v/>
      </c>
      <c r="BQ248" t="str">
        <f>""</f>
        <v/>
      </c>
      <c r="BR248" t="str">
        <f>""</f>
        <v/>
      </c>
      <c r="BS248" t="str">
        <f>""</f>
        <v/>
      </c>
      <c r="BT248" t="str">
        <f>""</f>
        <v/>
      </c>
      <c r="BU248" t="str">
        <f>""</f>
        <v/>
      </c>
      <c r="BV248" t="str">
        <f>""</f>
        <v/>
      </c>
      <c r="BW248" t="str">
        <f>""</f>
        <v/>
      </c>
      <c r="BX248" t="str">
        <f>""</f>
        <v/>
      </c>
      <c r="BY248" t="str">
        <f>""</f>
        <v/>
      </c>
      <c r="BZ248" t="str">
        <f>""</f>
        <v/>
      </c>
      <c r="CA248" t="str">
        <f>""</f>
        <v/>
      </c>
      <c r="CB248" t="str">
        <f>""</f>
        <v/>
      </c>
      <c r="CC248" t="str">
        <f>""</f>
        <v/>
      </c>
      <c r="CD248" t="str">
        <f>""</f>
        <v/>
      </c>
      <c r="CE248" t="str">
        <f>""</f>
        <v/>
      </c>
      <c r="CF248" t="str">
        <f>""</f>
        <v/>
      </c>
      <c r="CG248" t="str">
        <f>""</f>
        <v/>
      </c>
      <c r="CH248" t="str">
        <f>""</f>
        <v/>
      </c>
      <c r="CI248" t="str">
        <f>""</f>
        <v/>
      </c>
      <c r="CJ248" t="str">
        <f>""</f>
        <v/>
      </c>
      <c r="CK248" t="str">
        <f>""</f>
        <v/>
      </c>
      <c r="CL248" t="str">
        <f>""</f>
        <v/>
      </c>
      <c r="CM248" t="str">
        <f>""</f>
        <v/>
      </c>
      <c r="CN248" t="str">
        <f>""</f>
        <v/>
      </c>
      <c r="CO248" t="str">
        <f>""</f>
        <v/>
      </c>
      <c r="CP248" t="str">
        <f>""</f>
        <v/>
      </c>
      <c r="CQ248" t="str">
        <f>""</f>
        <v/>
      </c>
      <c r="CR248" t="str">
        <f>""</f>
        <v/>
      </c>
      <c r="CS248" t="str">
        <f>""</f>
        <v/>
      </c>
      <c r="CT248" t="str">
        <f>""</f>
        <v/>
      </c>
      <c r="CU248" t="str">
        <f>""</f>
        <v/>
      </c>
      <c r="CV248" t="str">
        <f>""</f>
        <v/>
      </c>
      <c r="CW248" t="str">
        <f>""</f>
        <v/>
      </c>
      <c r="CX248" t="str">
        <f>""</f>
        <v/>
      </c>
      <c r="CY248" t="str">
        <f>""</f>
        <v/>
      </c>
      <c r="CZ248" t="str">
        <f>""</f>
        <v/>
      </c>
      <c r="DA248" t="str">
        <f>""</f>
        <v/>
      </c>
      <c r="DB248" t="str">
        <f>""</f>
        <v/>
      </c>
      <c r="DC248" t="str">
        <f>""</f>
        <v/>
      </c>
      <c r="DD248" t="str">
        <f>""</f>
        <v/>
      </c>
      <c r="DE248" t="str">
        <f>""</f>
        <v/>
      </c>
      <c r="DF248" t="str">
        <f>""</f>
        <v/>
      </c>
      <c r="DG248" t="str">
        <f>""</f>
        <v/>
      </c>
      <c r="DH248" t="str">
        <f>""</f>
        <v/>
      </c>
      <c r="DI248" t="str">
        <f>""</f>
        <v/>
      </c>
      <c r="DJ248" t="str">
        <f>""</f>
        <v/>
      </c>
      <c r="DK248" t="str">
        <f>""</f>
        <v/>
      </c>
      <c r="DL248" t="str">
        <f>""</f>
        <v/>
      </c>
      <c r="DM248" t="str">
        <f>""</f>
        <v/>
      </c>
      <c r="DN248" t="str">
        <f>""</f>
        <v/>
      </c>
      <c r="DO248" t="str">
        <f>""</f>
        <v/>
      </c>
      <c r="DP248" t="str">
        <f>""</f>
        <v/>
      </c>
      <c r="DQ248" t="str">
        <f>""</f>
        <v/>
      </c>
      <c r="DR248" t="str">
        <f>""</f>
        <v/>
      </c>
      <c r="DS248" t="str">
        <f>""</f>
        <v/>
      </c>
      <c r="DT248" t="str">
        <f>""</f>
        <v/>
      </c>
      <c r="DU248" t="str">
        <f>""</f>
        <v/>
      </c>
    </row>
    <row r="249" spans="1:125">
      <c r="A249" t="str">
        <f>$A$28</f>
        <v xml:space="preserve">    Essex Property Trust Inc</v>
      </c>
      <c r="B249" t="str">
        <f>$B$28</f>
        <v>ESS US Equity</v>
      </c>
      <c r="C249" t="str">
        <f>$C$28</f>
        <v>IM281</v>
      </c>
      <c r="D249" t="str">
        <f>$D$28</f>
        <v>IS_NON_REAL_ESTATE_INCOME</v>
      </c>
      <c r="E249" t="str">
        <f>$E$28</f>
        <v>动态</v>
      </c>
      <c r="F249" t="str">
        <f ca="1">BDH($B$28,$C$28,$B$224,$B$225,CONCATENATE("Per=",$B$222),"Dts=H","Dir=H",CONCATENATE("Points=",$B$223),"Sort=R","Days=A","Fill=B",CONCATENATE("FX=", $B$221) )</f>
        <v>#N/A Authorization</v>
      </c>
      <c r="BN249" t="str">
        <f>""</f>
        <v/>
      </c>
      <c r="BO249" t="str">
        <f>""</f>
        <v/>
      </c>
      <c r="BP249" t="str">
        <f>""</f>
        <v/>
      </c>
      <c r="BQ249" t="str">
        <f>""</f>
        <v/>
      </c>
      <c r="BR249" t="str">
        <f>""</f>
        <v/>
      </c>
      <c r="BS249" t="str">
        <f>""</f>
        <v/>
      </c>
      <c r="BT249" t="str">
        <f>""</f>
        <v/>
      </c>
      <c r="BU249" t="str">
        <f>""</f>
        <v/>
      </c>
      <c r="BV249" t="str">
        <f>""</f>
        <v/>
      </c>
      <c r="BW249" t="str">
        <f>""</f>
        <v/>
      </c>
      <c r="BX249" t="str">
        <f>""</f>
        <v/>
      </c>
      <c r="BY249" t="str">
        <f>""</f>
        <v/>
      </c>
      <c r="BZ249" t="str">
        <f>""</f>
        <v/>
      </c>
      <c r="CA249" t="str">
        <f>""</f>
        <v/>
      </c>
      <c r="CB249" t="str">
        <f>""</f>
        <v/>
      </c>
      <c r="CC249" t="str">
        <f>""</f>
        <v/>
      </c>
      <c r="CD249" t="str">
        <f>""</f>
        <v/>
      </c>
      <c r="CE249" t="str">
        <f>""</f>
        <v/>
      </c>
      <c r="CF249" t="str">
        <f>""</f>
        <v/>
      </c>
      <c r="CG249" t="str">
        <f>""</f>
        <v/>
      </c>
      <c r="CH249" t="str">
        <f>""</f>
        <v/>
      </c>
      <c r="CI249" t="str">
        <f>""</f>
        <v/>
      </c>
      <c r="CJ249" t="str">
        <f>""</f>
        <v/>
      </c>
      <c r="CK249" t="str">
        <f>""</f>
        <v/>
      </c>
      <c r="CL249" t="str">
        <f>""</f>
        <v/>
      </c>
      <c r="CM249" t="str">
        <f>""</f>
        <v/>
      </c>
      <c r="CN249" t="str">
        <f>""</f>
        <v/>
      </c>
      <c r="CO249" t="str">
        <f>""</f>
        <v/>
      </c>
      <c r="CP249" t="str">
        <f>""</f>
        <v/>
      </c>
      <c r="CQ249" t="str">
        <f>""</f>
        <v/>
      </c>
      <c r="CR249" t="str">
        <f>""</f>
        <v/>
      </c>
      <c r="CS249" t="str">
        <f>""</f>
        <v/>
      </c>
      <c r="CT249" t="str">
        <f>""</f>
        <v/>
      </c>
      <c r="CU249" t="str">
        <f>""</f>
        <v/>
      </c>
      <c r="CV249" t="str">
        <f>""</f>
        <v/>
      </c>
      <c r="CW249" t="str">
        <f>""</f>
        <v/>
      </c>
      <c r="CX249" t="str">
        <f>""</f>
        <v/>
      </c>
      <c r="CY249" t="str">
        <f>""</f>
        <v/>
      </c>
      <c r="CZ249" t="str">
        <f>""</f>
        <v/>
      </c>
      <c r="DA249" t="str">
        <f>""</f>
        <v/>
      </c>
      <c r="DB249" t="str">
        <f>""</f>
        <v/>
      </c>
      <c r="DC249" t="str">
        <f>""</f>
        <v/>
      </c>
      <c r="DD249" t="str">
        <f>""</f>
        <v/>
      </c>
      <c r="DE249" t="str">
        <f>""</f>
        <v/>
      </c>
      <c r="DF249" t="str">
        <f>""</f>
        <v/>
      </c>
      <c r="DG249" t="str">
        <f>""</f>
        <v/>
      </c>
      <c r="DH249" t="str">
        <f>""</f>
        <v/>
      </c>
      <c r="DI249" t="str">
        <f>""</f>
        <v/>
      </c>
      <c r="DJ249" t="str">
        <f>""</f>
        <v/>
      </c>
      <c r="DK249" t="str">
        <f>""</f>
        <v/>
      </c>
      <c r="DL249" t="str">
        <f>""</f>
        <v/>
      </c>
      <c r="DM249" t="str">
        <f>""</f>
        <v/>
      </c>
      <c r="DN249" t="str">
        <f>""</f>
        <v/>
      </c>
      <c r="DO249" t="str">
        <f>""</f>
        <v/>
      </c>
      <c r="DP249" t="str">
        <f>""</f>
        <v/>
      </c>
      <c r="DQ249" t="str">
        <f>""</f>
        <v/>
      </c>
      <c r="DR249" t="str">
        <f>""</f>
        <v/>
      </c>
      <c r="DS249" t="str">
        <f>""</f>
        <v/>
      </c>
      <c r="DT249" t="str">
        <f>""</f>
        <v/>
      </c>
      <c r="DU249" t="str">
        <f>""</f>
        <v/>
      </c>
    </row>
    <row r="250" spans="1:125">
      <c r="A250" t="str">
        <f>$A$29</f>
        <v xml:space="preserve">    Mid-America Apartment Communit</v>
      </c>
      <c r="B250" t="str">
        <f>$B$29</f>
        <v>MAA US Equity</v>
      </c>
      <c r="C250" t="str">
        <f>$C$29</f>
        <v>IM281</v>
      </c>
      <c r="D250" t="str">
        <f>$D$29</f>
        <v>IS_NON_REAL_ESTATE_INCOME</v>
      </c>
      <c r="E250" t="str">
        <f>$E$29</f>
        <v>动态</v>
      </c>
      <c r="F250" t="str">
        <f ca="1">BDH($B$29,$C$29,$B$224,$B$225,CONCATENATE("Per=",$B$222),"Dts=H","Dir=H",CONCATENATE("Points=",$B$223),"Sort=R","Days=A","Fill=B",CONCATENATE("FX=", $B$221) )</f>
        <v>#N/A Authorization</v>
      </c>
      <c r="BN250" t="str">
        <f>""</f>
        <v/>
      </c>
      <c r="BO250" t="str">
        <f>""</f>
        <v/>
      </c>
      <c r="BP250" t="str">
        <f>""</f>
        <v/>
      </c>
      <c r="BQ250" t="str">
        <f>""</f>
        <v/>
      </c>
      <c r="BR250" t="str">
        <f>""</f>
        <v/>
      </c>
      <c r="BS250" t="str">
        <f>""</f>
        <v/>
      </c>
      <c r="BT250" t="str">
        <f>""</f>
        <v/>
      </c>
      <c r="BU250" t="str">
        <f>""</f>
        <v/>
      </c>
      <c r="BV250" t="str">
        <f>""</f>
        <v/>
      </c>
      <c r="BW250" t="str">
        <f>""</f>
        <v/>
      </c>
      <c r="BX250" t="str">
        <f>""</f>
        <v/>
      </c>
      <c r="BY250" t="str">
        <f>""</f>
        <v/>
      </c>
      <c r="BZ250" t="str">
        <f>""</f>
        <v/>
      </c>
      <c r="CA250" t="str">
        <f>""</f>
        <v/>
      </c>
      <c r="CB250" t="str">
        <f>""</f>
        <v/>
      </c>
      <c r="CC250" t="str">
        <f>""</f>
        <v/>
      </c>
      <c r="CD250" t="str">
        <f>""</f>
        <v/>
      </c>
      <c r="CE250" t="str">
        <f>""</f>
        <v/>
      </c>
      <c r="CF250" t="str">
        <f>""</f>
        <v/>
      </c>
      <c r="CG250" t="str">
        <f>""</f>
        <v/>
      </c>
      <c r="CH250" t="str">
        <f>""</f>
        <v/>
      </c>
      <c r="CI250" t="str">
        <f>""</f>
        <v/>
      </c>
      <c r="CJ250" t="str">
        <f>""</f>
        <v/>
      </c>
      <c r="CK250" t="str">
        <f>""</f>
        <v/>
      </c>
      <c r="CL250" t="str">
        <f>""</f>
        <v/>
      </c>
      <c r="CM250" t="str">
        <f>""</f>
        <v/>
      </c>
      <c r="CN250" t="str">
        <f>""</f>
        <v/>
      </c>
      <c r="CO250" t="str">
        <f>""</f>
        <v/>
      </c>
      <c r="CP250" t="str">
        <f>""</f>
        <v/>
      </c>
      <c r="CQ250" t="str">
        <f>""</f>
        <v/>
      </c>
      <c r="CR250" t="str">
        <f>""</f>
        <v/>
      </c>
      <c r="CS250" t="str">
        <f>""</f>
        <v/>
      </c>
      <c r="CT250" t="str">
        <f>""</f>
        <v/>
      </c>
      <c r="CU250" t="str">
        <f>""</f>
        <v/>
      </c>
      <c r="CV250" t="str">
        <f>""</f>
        <v/>
      </c>
      <c r="CW250" t="str">
        <f>""</f>
        <v/>
      </c>
      <c r="CX250" t="str">
        <f>""</f>
        <v/>
      </c>
      <c r="CY250" t="str">
        <f>""</f>
        <v/>
      </c>
      <c r="CZ250" t="str">
        <f>""</f>
        <v/>
      </c>
      <c r="DA250" t="str">
        <f>""</f>
        <v/>
      </c>
      <c r="DB250" t="str">
        <f>""</f>
        <v/>
      </c>
      <c r="DC250" t="str">
        <f>""</f>
        <v/>
      </c>
      <c r="DD250" t="str">
        <f>""</f>
        <v/>
      </c>
      <c r="DE250" t="str">
        <f>""</f>
        <v/>
      </c>
      <c r="DF250" t="str">
        <f>""</f>
        <v/>
      </c>
      <c r="DG250" t="str">
        <f>""</f>
        <v/>
      </c>
      <c r="DH250" t="str">
        <f>""</f>
        <v/>
      </c>
      <c r="DI250" t="str">
        <f>""</f>
        <v/>
      </c>
      <c r="DJ250" t="str">
        <f>""</f>
        <v/>
      </c>
      <c r="DK250" t="str">
        <f>""</f>
        <v/>
      </c>
      <c r="DL250" t="str">
        <f>""</f>
        <v/>
      </c>
      <c r="DM250" t="str">
        <f>""</f>
        <v/>
      </c>
      <c r="DN250" t="str">
        <f>""</f>
        <v/>
      </c>
      <c r="DO250" t="str">
        <f>""</f>
        <v/>
      </c>
      <c r="DP250" t="str">
        <f>""</f>
        <v/>
      </c>
      <c r="DQ250" t="str">
        <f>""</f>
        <v/>
      </c>
      <c r="DR250" t="str">
        <f>""</f>
        <v/>
      </c>
      <c r="DS250" t="str">
        <f>""</f>
        <v/>
      </c>
      <c r="DT250" t="str">
        <f>""</f>
        <v/>
      </c>
      <c r="DU250" t="str">
        <f>""</f>
        <v/>
      </c>
    </row>
    <row r="251" spans="1:125">
      <c r="A251" t="str">
        <f>$A$30</f>
        <v xml:space="preserve">    UDR Inc</v>
      </c>
      <c r="B251" t="str">
        <f>$B$30</f>
        <v>UDR US Equity</v>
      </c>
      <c r="C251" t="str">
        <f>$C$30</f>
        <v>IM281</v>
      </c>
      <c r="D251" t="str">
        <f>$D$30</f>
        <v>IS_NON_REAL_ESTATE_INCOME</v>
      </c>
      <c r="E251" t="str">
        <f>$E$30</f>
        <v>动态</v>
      </c>
      <c r="F251" t="str">
        <f ca="1">BDH($B$30,$C$30,$B$224,$B$225,CONCATENATE("Per=",$B$222),"Dts=H","Dir=H",CONCATENATE("Points=",$B$223),"Sort=R","Days=A","Fill=B",CONCATENATE("FX=", $B$221) )</f>
        <v>#N/A Authorization</v>
      </c>
      <c r="BN251" t="str">
        <f>""</f>
        <v/>
      </c>
      <c r="BO251" t="str">
        <f>""</f>
        <v/>
      </c>
      <c r="BP251" t="str">
        <f>""</f>
        <v/>
      </c>
      <c r="BQ251" t="str">
        <f>""</f>
        <v/>
      </c>
      <c r="BR251" t="str">
        <f>""</f>
        <v/>
      </c>
      <c r="BS251" t="str">
        <f>""</f>
        <v/>
      </c>
      <c r="BT251" t="str">
        <f>""</f>
        <v/>
      </c>
      <c r="BU251" t="str">
        <f>""</f>
        <v/>
      </c>
      <c r="BV251" t="str">
        <f>""</f>
        <v/>
      </c>
      <c r="BW251" t="str">
        <f>""</f>
        <v/>
      </c>
      <c r="BX251" t="str">
        <f>""</f>
        <v/>
      </c>
      <c r="BY251" t="str">
        <f>""</f>
        <v/>
      </c>
      <c r="BZ251" t="str">
        <f>""</f>
        <v/>
      </c>
      <c r="CA251" t="str">
        <f>""</f>
        <v/>
      </c>
      <c r="CB251" t="str">
        <f>""</f>
        <v/>
      </c>
      <c r="CC251" t="str">
        <f>""</f>
        <v/>
      </c>
      <c r="CD251" t="str">
        <f>""</f>
        <v/>
      </c>
      <c r="CE251" t="str">
        <f>""</f>
        <v/>
      </c>
      <c r="CF251" t="str">
        <f>""</f>
        <v/>
      </c>
      <c r="CG251" t="str">
        <f>""</f>
        <v/>
      </c>
      <c r="CH251" t="str">
        <f>""</f>
        <v/>
      </c>
      <c r="CI251" t="str">
        <f>""</f>
        <v/>
      </c>
      <c r="CJ251" t="str">
        <f>""</f>
        <v/>
      </c>
      <c r="CK251" t="str">
        <f>""</f>
        <v/>
      </c>
      <c r="CL251" t="str">
        <f>""</f>
        <v/>
      </c>
      <c r="CM251" t="str">
        <f>""</f>
        <v/>
      </c>
      <c r="CN251" t="str">
        <f>""</f>
        <v/>
      </c>
      <c r="CO251" t="str">
        <f>""</f>
        <v/>
      </c>
      <c r="CP251" t="str">
        <f>""</f>
        <v/>
      </c>
      <c r="CQ251" t="str">
        <f>""</f>
        <v/>
      </c>
      <c r="CR251" t="str">
        <f>""</f>
        <v/>
      </c>
      <c r="CS251" t="str">
        <f>""</f>
        <v/>
      </c>
      <c r="CT251" t="str">
        <f>""</f>
        <v/>
      </c>
      <c r="CU251" t="str">
        <f>""</f>
        <v/>
      </c>
      <c r="CV251" t="str">
        <f>""</f>
        <v/>
      </c>
      <c r="CW251" t="str">
        <f>""</f>
        <v/>
      </c>
      <c r="CX251" t="str">
        <f>""</f>
        <v/>
      </c>
      <c r="CY251" t="str">
        <f>""</f>
        <v/>
      </c>
      <c r="CZ251" t="str">
        <f>""</f>
        <v/>
      </c>
      <c r="DA251" t="str">
        <f>""</f>
        <v/>
      </c>
      <c r="DB251" t="str">
        <f>""</f>
        <v/>
      </c>
      <c r="DC251" t="str">
        <f>""</f>
        <v/>
      </c>
      <c r="DD251" t="str">
        <f>""</f>
        <v/>
      </c>
      <c r="DE251" t="str">
        <f>""</f>
        <v/>
      </c>
      <c r="DF251" t="str">
        <f>""</f>
        <v/>
      </c>
      <c r="DG251" t="str">
        <f>""</f>
        <v/>
      </c>
      <c r="DH251" t="str">
        <f>""</f>
        <v/>
      </c>
      <c r="DI251" t="str">
        <f>""</f>
        <v/>
      </c>
      <c r="DJ251" t="str">
        <f>""</f>
        <v/>
      </c>
      <c r="DK251" t="str">
        <f>""</f>
        <v/>
      </c>
      <c r="DL251" t="str">
        <f>""</f>
        <v/>
      </c>
      <c r="DM251" t="str">
        <f>""</f>
        <v/>
      </c>
      <c r="DN251" t="str">
        <f>""</f>
        <v/>
      </c>
      <c r="DO251" t="str">
        <f>""</f>
        <v/>
      </c>
      <c r="DP251" t="str">
        <f>""</f>
        <v/>
      </c>
      <c r="DQ251" t="str">
        <f>""</f>
        <v/>
      </c>
      <c r="DR251" t="str">
        <f>""</f>
        <v/>
      </c>
      <c r="DS251" t="str">
        <f>""</f>
        <v/>
      </c>
      <c r="DT251" t="str">
        <f>""</f>
        <v/>
      </c>
      <c r="DU251" t="str">
        <f>""</f>
        <v/>
      </c>
    </row>
    <row r="252" spans="1:125">
      <c r="A252" t="str">
        <f>$A$32</f>
        <v xml:space="preserve">    American Campus Communities In</v>
      </c>
      <c r="B252" t="str">
        <f>$B$32</f>
        <v>ACC US Equity</v>
      </c>
      <c r="C252" t="str">
        <f>$C$32</f>
        <v>IS019</v>
      </c>
      <c r="D252" t="str">
        <f>$D$32</f>
        <v>IS_COMM_AND_FEE_EARN_INC_REO</v>
      </c>
      <c r="E252" t="str">
        <f>$E$32</f>
        <v>动态</v>
      </c>
      <c r="F252" t="str">
        <f ca="1">BDH($B$32,$C$32,$B$224,$B$225,CONCATENATE("Per=",$B$222),"Dts=H","Dir=H",CONCATENATE("Points=",$B$223),"Sort=R","Days=A","Fill=B",CONCATENATE("FX=", $B$221) )</f>
        <v>#N/A Authorization</v>
      </c>
      <c r="BN252" t="str">
        <f>""</f>
        <v/>
      </c>
      <c r="BO252" t="str">
        <f>""</f>
        <v/>
      </c>
      <c r="BP252" t="str">
        <f>""</f>
        <v/>
      </c>
      <c r="BQ252" t="str">
        <f>""</f>
        <v/>
      </c>
      <c r="BR252" t="str">
        <f>""</f>
        <v/>
      </c>
      <c r="BS252" t="str">
        <f>""</f>
        <v/>
      </c>
      <c r="BT252" t="str">
        <f>""</f>
        <v/>
      </c>
      <c r="BU252" t="str">
        <f>""</f>
        <v/>
      </c>
      <c r="BV252" t="str">
        <f>""</f>
        <v/>
      </c>
      <c r="BW252" t="str">
        <f>""</f>
        <v/>
      </c>
      <c r="BX252" t="str">
        <f>""</f>
        <v/>
      </c>
      <c r="BY252" t="str">
        <f>""</f>
        <v/>
      </c>
      <c r="BZ252" t="str">
        <f>""</f>
        <v/>
      </c>
      <c r="CA252" t="str">
        <f>""</f>
        <v/>
      </c>
      <c r="CB252" t="str">
        <f>""</f>
        <v/>
      </c>
      <c r="CC252" t="str">
        <f>""</f>
        <v/>
      </c>
      <c r="CD252" t="str">
        <f>""</f>
        <v/>
      </c>
      <c r="CE252" t="str">
        <f>""</f>
        <v/>
      </c>
      <c r="CF252" t="str">
        <f>""</f>
        <v/>
      </c>
      <c r="CG252" t="str">
        <f>""</f>
        <v/>
      </c>
      <c r="CH252" t="str">
        <f>""</f>
        <v/>
      </c>
      <c r="CI252" t="str">
        <f>""</f>
        <v/>
      </c>
      <c r="CJ252" t="str">
        <f>""</f>
        <v/>
      </c>
      <c r="CK252" t="str">
        <f>""</f>
        <v/>
      </c>
      <c r="CL252" t="str">
        <f>""</f>
        <v/>
      </c>
      <c r="CM252" t="str">
        <f>""</f>
        <v/>
      </c>
      <c r="CN252" t="str">
        <f>""</f>
        <v/>
      </c>
      <c r="CO252" t="str">
        <f>""</f>
        <v/>
      </c>
      <c r="CP252" t="str">
        <f>""</f>
        <v/>
      </c>
      <c r="CQ252" t="str">
        <f>""</f>
        <v/>
      </c>
      <c r="CR252" t="str">
        <f>""</f>
        <v/>
      </c>
      <c r="CS252" t="str">
        <f>""</f>
        <v/>
      </c>
      <c r="CT252" t="str">
        <f>""</f>
        <v/>
      </c>
      <c r="CU252" t="str">
        <f>""</f>
        <v/>
      </c>
      <c r="CV252" t="str">
        <f>""</f>
        <v/>
      </c>
      <c r="CW252" t="str">
        <f>""</f>
        <v/>
      </c>
      <c r="CX252" t="str">
        <f>""</f>
        <v/>
      </c>
      <c r="CY252" t="str">
        <f>""</f>
        <v/>
      </c>
      <c r="CZ252" t="str">
        <f>""</f>
        <v/>
      </c>
      <c r="DA252" t="str">
        <f>""</f>
        <v/>
      </c>
      <c r="DB252" t="str">
        <f>""</f>
        <v/>
      </c>
      <c r="DC252" t="str">
        <f>""</f>
        <v/>
      </c>
      <c r="DD252" t="str">
        <f>""</f>
        <v/>
      </c>
      <c r="DE252" t="str">
        <f>""</f>
        <v/>
      </c>
      <c r="DF252" t="str">
        <f>""</f>
        <v/>
      </c>
      <c r="DG252" t="str">
        <f>""</f>
        <v/>
      </c>
      <c r="DH252" t="str">
        <f>""</f>
        <v/>
      </c>
      <c r="DI252" t="str">
        <f>""</f>
        <v/>
      </c>
      <c r="DJ252" t="str">
        <f>""</f>
        <v/>
      </c>
      <c r="DK252" t="str">
        <f>""</f>
        <v/>
      </c>
      <c r="DL252" t="str">
        <f>""</f>
        <v/>
      </c>
      <c r="DM252" t="str">
        <f>""</f>
        <v/>
      </c>
      <c r="DN252" t="str">
        <f>""</f>
        <v/>
      </c>
      <c r="DO252" t="str">
        <f>""</f>
        <v/>
      </c>
      <c r="DP252" t="str">
        <f>""</f>
        <v/>
      </c>
      <c r="DQ252" t="str">
        <f>""</f>
        <v/>
      </c>
      <c r="DR252" t="str">
        <f>""</f>
        <v/>
      </c>
      <c r="DS252" t="str">
        <f>""</f>
        <v/>
      </c>
      <c r="DT252" t="str">
        <f>""</f>
        <v/>
      </c>
      <c r="DU252" t="str">
        <f>""</f>
        <v/>
      </c>
    </row>
    <row r="253" spans="1:125">
      <c r="A253" t="str">
        <f>$A$33</f>
        <v xml:space="preserve">    AvalonBay Communities Inc</v>
      </c>
      <c r="B253" t="str">
        <f>$B$33</f>
        <v>AVB US Equity</v>
      </c>
      <c r="C253" t="str">
        <f>$C$33</f>
        <v>IS019</v>
      </c>
      <c r="D253" t="str">
        <f>$D$33</f>
        <v>IS_COMM_AND_FEE_EARN_INC_REO</v>
      </c>
      <c r="E253" t="str">
        <f>$E$33</f>
        <v>动态</v>
      </c>
      <c r="F253" t="str">
        <f ca="1">BDH($B$33,$C$33,$B$224,$B$225,CONCATENATE("Per=",$B$222),"Dts=H","Dir=H",CONCATENATE("Points=",$B$223),"Sort=R","Days=A","Fill=B",CONCATENATE("FX=", $B$221) )</f>
        <v>#N/A Authorization</v>
      </c>
      <c r="BN253" t="str">
        <f>""</f>
        <v/>
      </c>
      <c r="BO253" t="str">
        <f>""</f>
        <v/>
      </c>
      <c r="BP253" t="str">
        <f>""</f>
        <v/>
      </c>
      <c r="BQ253" t="str">
        <f>""</f>
        <v/>
      </c>
      <c r="BR253" t="str">
        <f>""</f>
        <v/>
      </c>
      <c r="BS253" t="str">
        <f>""</f>
        <v/>
      </c>
      <c r="BT253" t="str">
        <f>""</f>
        <v/>
      </c>
      <c r="BU253" t="str">
        <f>""</f>
        <v/>
      </c>
      <c r="BV253" t="str">
        <f>""</f>
        <v/>
      </c>
      <c r="BW253" t="str">
        <f>""</f>
        <v/>
      </c>
      <c r="BX253" t="str">
        <f>""</f>
        <v/>
      </c>
      <c r="BY253" t="str">
        <f>""</f>
        <v/>
      </c>
      <c r="BZ253" t="str">
        <f>""</f>
        <v/>
      </c>
      <c r="CA253" t="str">
        <f>""</f>
        <v/>
      </c>
      <c r="CB253" t="str">
        <f>""</f>
        <v/>
      </c>
      <c r="CC253" t="str">
        <f>""</f>
        <v/>
      </c>
      <c r="CD253" t="str">
        <f>""</f>
        <v/>
      </c>
      <c r="CE253" t="str">
        <f>""</f>
        <v/>
      </c>
      <c r="CF253" t="str">
        <f>""</f>
        <v/>
      </c>
      <c r="CG253" t="str">
        <f>""</f>
        <v/>
      </c>
      <c r="CH253" t="str">
        <f>""</f>
        <v/>
      </c>
      <c r="CI253" t="str">
        <f>""</f>
        <v/>
      </c>
      <c r="CJ253" t="str">
        <f>""</f>
        <v/>
      </c>
      <c r="CK253" t="str">
        <f>""</f>
        <v/>
      </c>
      <c r="CL253" t="str">
        <f>""</f>
        <v/>
      </c>
      <c r="CM253" t="str">
        <f>""</f>
        <v/>
      </c>
      <c r="CN253" t="str">
        <f>""</f>
        <v/>
      </c>
      <c r="CO253" t="str">
        <f>""</f>
        <v/>
      </c>
      <c r="CP253" t="str">
        <f>""</f>
        <v/>
      </c>
      <c r="CQ253" t="str">
        <f>""</f>
        <v/>
      </c>
      <c r="CR253" t="str">
        <f>""</f>
        <v/>
      </c>
      <c r="CS253" t="str">
        <f>""</f>
        <v/>
      </c>
      <c r="CT253" t="str">
        <f>""</f>
        <v/>
      </c>
      <c r="CU253" t="str">
        <f>""</f>
        <v/>
      </c>
      <c r="CV253" t="str">
        <f>""</f>
        <v/>
      </c>
      <c r="CW253" t="str">
        <f>""</f>
        <v/>
      </c>
      <c r="CX253" t="str">
        <f>""</f>
        <v/>
      </c>
      <c r="CY253" t="str">
        <f>""</f>
        <v/>
      </c>
      <c r="CZ253" t="str">
        <f>""</f>
        <v/>
      </c>
      <c r="DA253" t="str">
        <f>""</f>
        <v/>
      </c>
      <c r="DB253" t="str">
        <f>""</f>
        <v/>
      </c>
      <c r="DC253" t="str">
        <f>""</f>
        <v/>
      </c>
      <c r="DD253" t="str">
        <f>""</f>
        <v/>
      </c>
      <c r="DE253" t="str">
        <f>""</f>
        <v/>
      </c>
      <c r="DF253" t="str">
        <f>""</f>
        <v/>
      </c>
      <c r="DG253" t="str">
        <f>""</f>
        <v/>
      </c>
      <c r="DH253" t="str">
        <f>""</f>
        <v/>
      </c>
      <c r="DI253" t="str">
        <f>""</f>
        <v/>
      </c>
      <c r="DJ253" t="str">
        <f>""</f>
        <v/>
      </c>
      <c r="DK253" t="str">
        <f>""</f>
        <v/>
      </c>
      <c r="DL253" t="str">
        <f>""</f>
        <v/>
      </c>
      <c r="DM253" t="str">
        <f>""</f>
        <v/>
      </c>
      <c r="DN253" t="str">
        <f>""</f>
        <v/>
      </c>
      <c r="DO253" t="str">
        <f>""</f>
        <v/>
      </c>
      <c r="DP253" t="str">
        <f>""</f>
        <v/>
      </c>
      <c r="DQ253" t="str">
        <f>""</f>
        <v/>
      </c>
      <c r="DR253" t="str">
        <f>""</f>
        <v/>
      </c>
      <c r="DS253" t="str">
        <f>""</f>
        <v/>
      </c>
      <c r="DT253" t="str">
        <f>""</f>
        <v/>
      </c>
      <c r="DU253" t="str">
        <f>""</f>
        <v/>
      </c>
    </row>
    <row r="254" spans="1:125">
      <c r="A254" t="str">
        <f>$A$34</f>
        <v xml:space="preserve">    Camden Property Trust</v>
      </c>
      <c r="B254" t="str">
        <f>$B$34</f>
        <v>CPT US Equity</v>
      </c>
      <c r="C254" t="str">
        <f>$C$34</f>
        <v>IS019</v>
      </c>
      <c r="D254" t="str">
        <f>$D$34</f>
        <v>IS_COMM_AND_FEE_EARN_INC_REO</v>
      </c>
      <c r="E254" t="str">
        <f>$E$34</f>
        <v>动态</v>
      </c>
      <c r="F254" t="str">
        <f ca="1">BDH($B$34,$C$34,$B$224,$B$225,CONCATENATE("Per=",$B$222),"Dts=H","Dir=H",CONCATENATE("Points=",$B$223),"Sort=R","Days=A","Fill=B",CONCATENATE("FX=", $B$221) )</f>
        <v>#N/A Authorization</v>
      </c>
      <c r="BN254" t="str">
        <f>""</f>
        <v/>
      </c>
      <c r="BO254" t="str">
        <f>""</f>
        <v/>
      </c>
      <c r="BP254" t="str">
        <f>""</f>
        <v/>
      </c>
      <c r="BQ254" t="str">
        <f>""</f>
        <v/>
      </c>
      <c r="BR254" t="str">
        <f>""</f>
        <v/>
      </c>
      <c r="BS254" t="str">
        <f>""</f>
        <v/>
      </c>
      <c r="BT254" t="str">
        <f>""</f>
        <v/>
      </c>
      <c r="BU254" t="str">
        <f>""</f>
        <v/>
      </c>
      <c r="BV254" t="str">
        <f>""</f>
        <v/>
      </c>
      <c r="BW254" t="str">
        <f>""</f>
        <v/>
      </c>
      <c r="BX254" t="str">
        <f>""</f>
        <v/>
      </c>
      <c r="BY254" t="str">
        <f>""</f>
        <v/>
      </c>
      <c r="BZ254" t="str">
        <f>""</f>
        <v/>
      </c>
      <c r="CA254" t="str">
        <f>""</f>
        <v/>
      </c>
      <c r="CB254" t="str">
        <f>""</f>
        <v/>
      </c>
      <c r="CC254" t="str">
        <f>""</f>
        <v/>
      </c>
      <c r="CD254" t="str">
        <f>""</f>
        <v/>
      </c>
      <c r="CE254" t="str">
        <f>""</f>
        <v/>
      </c>
      <c r="CF254" t="str">
        <f>""</f>
        <v/>
      </c>
      <c r="CG254" t="str">
        <f>""</f>
        <v/>
      </c>
      <c r="CH254" t="str">
        <f>""</f>
        <v/>
      </c>
      <c r="CI254" t="str">
        <f>""</f>
        <v/>
      </c>
      <c r="CJ254" t="str">
        <f>""</f>
        <v/>
      </c>
      <c r="CK254" t="str">
        <f>""</f>
        <v/>
      </c>
      <c r="CL254" t="str">
        <f>""</f>
        <v/>
      </c>
      <c r="CM254" t="str">
        <f>""</f>
        <v/>
      </c>
      <c r="CN254" t="str">
        <f>""</f>
        <v/>
      </c>
      <c r="CO254" t="str">
        <f>""</f>
        <v/>
      </c>
      <c r="CP254" t="str">
        <f>""</f>
        <v/>
      </c>
      <c r="CQ254" t="str">
        <f>""</f>
        <v/>
      </c>
      <c r="CR254" t="str">
        <f>""</f>
        <v/>
      </c>
      <c r="CS254" t="str">
        <f>""</f>
        <v/>
      </c>
      <c r="CT254" t="str">
        <f>""</f>
        <v/>
      </c>
      <c r="CU254" t="str">
        <f>""</f>
        <v/>
      </c>
      <c r="CV254" t="str">
        <f>""</f>
        <v/>
      </c>
      <c r="CW254" t="str">
        <f>""</f>
        <v/>
      </c>
      <c r="CX254" t="str">
        <f>""</f>
        <v/>
      </c>
      <c r="CY254" t="str">
        <f>""</f>
        <v/>
      </c>
      <c r="CZ254" t="str">
        <f>""</f>
        <v/>
      </c>
      <c r="DA254" t="str">
        <f>""</f>
        <v/>
      </c>
      <c r="DB254" t="str">
        <f>""</f>
        <v/>
      </c>
      <c r="DC254" t="str">
        <f>""</f>
        <v/>
      </c>
      <c r="DD254" t="str">
        <f>""</f>
        <v/>
      </c>
      <c r="DE254" t="str">
        <f>""</f>
        <v/>
      </c>
      <c r="DF254" t="str">
        <f>""</f>
        <v/>
      </c>
      <c r="DG254" t="str">
        <f>""</f>
        <v/>
      </c>
      <c r="DH254" t="str">
        <f>""</f>
        <v/>
      </c>
      <c r="DI254" t="str">
        <f>""</f>
        <v/>
      </c>
      <c r="DJ254" t="str">
        <f>""</f>
        <v/>
      </c>
      <c r="DK254" t="str">
        <f>""</f>
        <v/>
      </c>
      <c r="DL254" t="str">
        <f>""</f>
        <v/>
      </c>
      <c r="DM254" t="str">
        <f>""</f>
        <v/>
      </c>
      <c r="DN254" t="str">
        <f>""</f>
        <v/>
      </c>
      <c r="DO254" t="str">
        <f>""</f>
        <v/>
      </c>
      <c r="DP254" t="str">
        <f>""</f>
        <v/>
      </c>
      <c r="DQ254" t="str">
        <f>""</f>
        <v/>
      </c>
      <c r="DR254" t="str">
        <f>""</f>
        <v/>
      </c>
      <c r="DS254" t="str">
        <f>""</f>
        <v/>
      </c>
      <c r="DT254" t="str">
        <f>""</f>
        <v/>
      </c>
      <c r="DU254" t="str">
        <f>""</f>
        <v/>
      </c>
    </row>
    <row r="255" spans="1:125">
      <c r="A255" t="str">
        <f>$A$35</f>
        <v xml:space="preserve">    Education Realty Trust Inc</v>
      </c>
      <c r="B255" t="str">
        <f>$B$35</f>
        <v>EDR US Equity</v>
      </c>
      <c r="C255" t="str">
        <f>$C$35</f>
        <v>IS019</v>
      </c>
      <c r="D255" t="str">
        <f>$D$35</f>
        <v>IS_COMM_AND_FEE_EARN_INC_REO</v>
      </c>
      <c r="E255" t="str">
        <f>$E$35</f>
        <v>动态</v>
      </c>
      <c r="F255" t="str">
        <f ca="1">BDH($B$35,$C$35,$B$224,$B$225,CONCATENATE("Per=",$B$222),"Dts=H","Dir=H",CONCATENATE("Points=",$B$223),"Sort=R","Days=A","Fill=B",CONCATENATE("FX=", $B$221) )</f>
        <v>#N/A Authorization</v>
      </c>
      <c r="BN255" t="str">
        <f>""</f>
        <v/>
      </c>
      <c r="BO255" t="str">
        <f>""</f>
        <v/>
      </c>
      <c r="BP255" t="str">
        <f>""</f>
        <v/>
      </c>
      <c r="BQ255" t="str">
        <f>""</f>
        <v/>
      </c>
      <c r="BR255" t="str">
        <f>""</f>
        <v/>
      </c>
      <c r="BS255" t="str">
        <f>""</f>
        <v/>
      </c>
      <c r="BT255" t="str">
        <f>""</f>
        <v/>
      </c>
      <c r="BU255" t="str">
        <f>""</f>
        <v/>
      </c>
      <c r="BV255" t="str">
        <f>""</f>
        <v/>
      </c>
      <c r="BW255" t="str">
        <f>""</f>
        <v/>
      </c>
      <c r="BX255" t="str">
        <f>""</f>
        <v/>
      </c>
      <c r="BY255" t="str">
        <f>""</f>
        <v/>
      </c>
      <c r="BZ255" t="str">
        <f>""</f>
        <v/>
      </c>
      <c r="CA255" t="str">
        <f>""</f>
        <v/>
      </c>
      <c r="CB255" t="str">
        <f>""</f>
        <v/>
      </c>
      <c r="CC255" t="str">
        <f>""</f>
        <v/>
      </c>
      <c r="CD255" t="str">
        <f>""</f>
        <v/>
      </c>
      <c r="CE255" t="str">
        <f>""</f>
        <v/>
      </c>
      <c r="CF255" t="str">
        <f>""</f>
        <v/>
      </c>
      <c r="CG255" t="str">
        <f>""</f>
        <v/>
      </c>
      <c r="CH255" t="str">
        <f>""</f>
        <v/>
      </c>
      <c r="CI255" t="str">
        <f>""</f>
        <v/>
      </c>
      <c r="CJ255" t="str">
        <f>""</f>
        <v/>
      </c>
      <c r="CK255" t="str">
        <f>""</f>
        <v/>
      </c>
      <c r="CL255" t="str">
        <f>""</f>
        <v/>
      </c>
      <c r="CM255" t="str">
        <f>""</f>
        <v/>
      </c>
      <c r="CN255" t="str">
        <f>""</f>
        <v/>
      </c>
      <c r="CO255" t="str">
        <f>""</f>
        <v/>
      </c>
      <c r="CP255" t="str">
        <f>""</f>
        <v/>
      </c>
      <c r="CQ255" t="str">
        <f>""</f>
        <v/>
      </c>
      <c r="CR255" t="str">
        <f>""</f>
        <v/>
      </c>
      <c r="CS255" t="str">
        <f>""</f>
        <v/>
      </c>
      <c r="CT255" t="str">
        <f>""</f>
        <v/>
      </c>
      <c r="CU255" t="str">
        <f>""</f>
        <v/>
      </c>
      <c r="CV255" t="str">
        <f>""</f>
        <v/>
      </c>
      <c r="CW255" t="str">
        <f>""</f>
        <v/>
      </c>
      <c r="CX255" t="str">
        <f>""</f>
        <v/>
      </c>
      <c r="CY255" t="str">
        <f>""</f>
        <v/>
      </c>
      <c r="CZ255" t="str">
        <f>""</f>
        <v/>
      </c>
      <c r="DA255" t="str">
        <f>""</f>
        <v/>
      </c>
      <c r="DB255" t="str">
        <f>""</f>
        <v/>
      </c>
      <c r="DC255" t="str">
        <f>""</f>
        <v/>
      </c>
      <c r="DD255" t="str">
        <f>""</f>
        <v/>
      </c>
      <c r="DE255" t="str">
        <f>""</f>
        <v/>
      </c>
      <c r="DF255" t="str">
        <f>""</f>
        <v/>
      </c>
      <c r="DG255" t="str">
        <f>""</f>
        <v/>
      </c>
      <c r="DH255" t="str">
        <f>""</f>
        <v/>
      </c>
      <c r="DI255" t="str">
        <f>""</f>
        <v/>
      </c>
      <c r="DJ255" t="str">
        <f>""</f>
        <v/>
      </c>
      <c r="DK255" t="str">
        <f>""</f>
        <v/>
      </c>
      <c r="DL255" t="str">
        <f>""</f>
        <v/>
      </c>
      <c r="DM255" t="str">
        <f>""</f>
        <v/>
      </c>
      <c r="DN255" t="str">
        <f>""</f>
        <v/>
      </c>
      <c r="DO255" t="str">
        <f>""</f>
        <v/>
      </c>
      <c r="DP255" t="str">
        <f>""</f>
        <v/>
      </c>
      <c r="DQ255" t="str">
        <f>""</f>
        <v/>
      </c>
      <c r="DR255" t="str">
        <f>""</f>
        <v/>
      </c>
      <c r="DS255" t="str">
        <f>""</f>
        <v/>
      </c>
      <c r="DT255" t="str">
        <f>""</f>
        <v/>
      </c>
      <c r="DU255" t="str">
        <f>""</f>
        <v/>
      </c>
    </row>
    <row r="256" spans="1:125">
      <c r="A256" t="str">
        <f>$A$36</f>
        <v xml:space="preserve">    Equity Residential</v>
      </c>
      <c r="B256" t="str">
        <f>$B$36</f>
        <v>EQR US Equity</v>
      </c>
      <c r="C256" t="str">
        <f>$C$36</f>
        <v>IS019</v>
      </c>
      <c r="D256" t="str">
        <f>$D$36</f>
        <v>IS_COMM_AND_FEE_EARN_INC_REO</v>
      </c>
      <c r="E256" t="str">
        <f>$E$36</f>
        <v>动态</v>
      </c>
      <c r="F256" t="str">
        <f ca="1">BDH($B$36,$C$36,$B$224,$B$225,CONCATENATE("Per=",$B$222),"Dts=H","Dir=H",CONCATENATE("Points=",$B$223),"Sort=R","Days=A","Fill=B",CONCATENATE("FX=", $B$221) )</f>
        <v>#N/A Authorization</v>
      </c>
      <c r="BN256" t="str">
        <f>""</f>
        <v/>
      </c>
      <c r="BO256" t="str">
        <f>""</f>
        <v/>
      </c>
      <c r="BP256" t="str">
        <f>""</f>
        <v/>
      </c>
      <c r="BQ256" t="str">
        <f>""</f>
        <v/>
      </c>
      <c r="BR256" t="str">
        <f>""</f>
        <v/>
      </c>
      <c r="BS256" t="str">
        <f>""</f>
        <v/>
      </c>
      <c r="BT256" t="str">
        <f>""</f>
        <v/>
      </c>
      <c r="BU256" t="str">
        <f>""</f>
        <v/>
      </c>
      <c r="BV256" t="str">
        <f>""</f>
        <v/>
      </c>
      <c r="BW256" t="str">
        <f>""</f>
        <v/>
      </c>
      <c r="BX256" t="str">
        <f>""</f>
        <v/>
      </c>
      <c r="BY256" t="str">
        <f>""</f>
        <v/>
      </c>
      <c r="BZ256" t="str">
        <f>""</f>
        <v/>
      </c>
      <c r="CA256" t="str">
        <f>""</f>
        <v/>
      </c>
      <c r="CB256" t="str">
        <f>""</f>
        <v/>
      </c>
      <c r="CC256" t="str">
        <f>""</f>
        <v/>
      </c>
      <c r="CD256" t="str">
        <f>""</f>
        <v/>
      </c>
      <c r="CE256" t="str">
        <f>""</f>
        <v/>
      </c>
      <c r="CF256" t="str">
        <f>""</f>
        <v/>
      </c>
      <c r="CG256" t="str">
        <f>""</f>
        <v/>
      </c>
      <c r="CH256" t="str">
        <f>""</f>
        <v/>
      </c>
      <c r="CI256" t="str">
        <f>""</f>
        <v/>
      </c>
      <c r="CJ256" t="str">
        <f>""</f>
        <v/>
      </c>
      <c r="CK256" t="str">
        <f>""</f>
        <v/>
      </c>
      <c r="CL256" t="str">
        <f>""</f>
        <v/>
      </c>
      <c r="CM256" t="str">
        <f>""</f>
        <v/>
      </c>
      <c r="CN256" t="str">
        <f>""</f>
        <v/>
      </c>
      <c r="CO256" t="str">
        <f>""</f>
        <v/>
      </c>
      <c r="CP256" t="str">
        <f>""</f>
        <v/>
      </c>
      <c r="CQ256" t="str">
        <f>""</f>
        <v/>
      </c>
      <c r="CR256" t="str">
        <f>""</f>
        <v/>
      </c>
      <c r="CS256" t="str">
        <f>""</f>
        <v/>
      </c>
      <c r="CT256" t="str">
        <f>""</f>
        <v/>
      </c>
      <c r="CU256" t="str">
        <f>""</f>
        <v/>
      </c>
      <c r="CV256" t="str">
        <f>""</f>
        <v/>
      </c>
      <c r="CW256" t="str">
        <f>""</f>
        <v/>
      </c>
      <c r="CX256" t="str">
        <f>""</f>
        <v/>
      </c>
      <c r="CY256" t="str">
        <f>""</f>
        <v/>
      </c>
      <c r="CZ256" t="str">
        <f>""</f>
        <v/>
      </c>
      <c r="DA256" t="str">
        <f>""</f>
        <v/>
      </c>
      <c r="DB256" t="str">
        <f>""</f>
        <v/>
      </c>
      <c r="DC256" t="str">
        <f>""</f>
        <v/>
      </c>
      <c r="DD256" t="str">
        <f>""</f>
        <v/>
      </c>
      <c r="DE256" t="str">
        <f>""</f>
        <v/>
      </c>
      <c r="DF256" t="str">
        <f>""</f>
        <v/>
      </c>
      <c r="DG256" t="str">
        <f>""</f>
        <v/>
      </c>
      <c r="DH256" t="str">
        <f>""</f>
        <v/>
      </c>
      <c r="DI256" t="str">
        <f>""</f>
        <v/>
      </c>
      <c r="DJ256" t="str">
        <f>""</f>
        <v/>
      </c>
      <c r="DK256" t="str">
        <f>""</f>
        <v/>
      </c>
      <c r="DL256" t="str">
        <f>""</f>
        <v/>
      </c>
      <c r="DM256" t="str">
        <f>""</f>
        <v/>
      </c>
      <c r="DN256" t="str">
        <f>""</f>
        <v/>
      </c>
      <c r="DO256" t="str">
        <f>""</f>
        <v/>
      </c>
      <c r="DP256" t="str">
        <f>""</f>
        <v/>
      </c>
      <c r="DQ256" t="str">
        <f>""</f>
        <v/>
      </c>
      <c r="DR256" t="str">
        <f>""</f>
        <v/>
      </c>
      <c r="DS256" t="str">
        <f>""</f>
        <v/>
      </c>
      <c r="DT256" t="str">
        <f>""</f>
        <v/>
      </c>
      <c r="DU256" t="str">
        <f>""</f>
        <v/>
      </c>
    </row>
    <row r="257" spans="1:125">
      <c r="A257" t="str">
        <f>$A$37</f>
        <v xml:space="preserve">    Essex Property Trust Inc</v>
      </c>
      <c r="B257" t="str">
        <f>$B$37</f>
        <v>ESS US Equity</v>
      </c>
      <c r="C257" t="str">
        <f>$C$37</f>
        <v>IS019</v>
      </c>
      <c r="D257" t="str">
        <f>$D$37</f>
        <v>IS_COMM_AND_FEE_EARN_INC_REO</v>
      </c>
      <c r="E257" t="str">
        <f>$E$37</f>
        <v>动态</v>
      </c>
      <c r="F257" t="str">
        <f ca="1">BDH($B$37,$C$37,$B$224,$B$225,CONCATENATE("Per=",$B$222),"Dts=H","Dir=H",CONCATENATE("Points=",$B$223),"Sort=R","Days=A","Fill=B",CONCATENATE("FX=", $B$221) )</f>
        <v>#N/A Authorization</v>
      </c>
      <c r="BN257" t="str">
        <f>""</f>
        <v/>
      </c>
      <c r="BO257" t="str">
        <f>""</f>
        <v/>
      </c>
      <c r="BP257" t="str">
        <f>""</f>
        <v/>
      </c>
      <c r="BQ257" t="str">
        <f>""</f>
        <v/>
      </c>
      <c r="BR257" t="str">
        <f>""</f>
        <v/>
      </c>
      <c r="BS257" t="str">
        <f>""</f>
        <v/>
      </c>
      <c r="BT257" t="str">
        <f>""</f>
        <v/>
      </c>
      <c r="BU257" t="str">
        <f>""</f>
        <v/>
      </c>
      <c r="BV257" t="str">
        <f>""</f>
        <v/>
      </c>
      <c r="BW257" t="str">
        <f>""</f>
        <v/>
      </c>
      <c r="BX257" t="str">
        <f>""</f>
        <v/>
      </c>
      <c r="BY257" t="str">
        <f>""</f>
        <v/>
      </c>
      <c r="BZ257" t="str">
        <f>""</f>
        <v/>
      </c>
      <c r="CA257" t="str">
        <f>""</f>
        <v/>
      </c>
      <c r="CB257" t="str">
        <f>""</f>
        <v/>
      </c>
      <c r="CC257" t="str">
        <f>""</f>
        <v/>
      </c>
      <c r="CD257" t="str">
        <f>""</f>
        <v/>
      </c>
      <c r="CE257" t="str">
        <f>""</f>
        <v/>
      </c>
      <c r="CF257" t="str">
        <f>""</f>
        <v/>
      </c>
      <c r="CG257" t="str">
        <f>""</f>
        <v/>
      </c>
      <c r="CH257" t="str">
        <f>""</f>
        <v/>
      </c>
      <c r="CI257" t="str">
        <f>""</f>
        <v/>
      </c>
      <c r="CJ257" t="str">
        <f>""</f>
        <v/>
      </c>
      <c r="CK257" t="str">
        <f>""</f>
        <v/>
      </c>
      <c r="CL257" t="str">
        <f>""</f>
        <v/>
      </c>
      <c r="CM257" t="str">
        <f>""</f>
        <v/>
      </c>
      <c r="CN257" t="str">
        <f>""</f>
        <v/>
      </c>
      <c r="CO257" t="str">
        <f>""</f>
        <v/>
      </c>
      <c r="CP257" t="str">
        <f>""</f>
        <v/>
      </c>
      <c r="CQ257" t="str">
        <f>""</f>
        <v/>
      </c>
      <c r="CR257" t="str">
        <f>""</f>
        <v/>
      </c>
      <c r="CS257" t="str">
        <f>""</f>
        <v/>
      </c>
      <c r="CT257" t="str">
        <f>""</f>
        <v/>
      </c>
      <c r="CU257" t="str">
        <f>""</f>
        <v/>
      </c>
      <c r="CV257" t="str">
        <f>""</f>
        <v/>
      </c>
      <c r="CW257" t="str">
        <f>""</f>
        <v/>
      </c>
      <c r="CX257" t="str">
        <f>""</f>
        <v/>
      </c>
      <c r="CY257" t="str">
        <f>""</f>
        <v/>
      </c>
      <c r="CZ257" t="str">
        <f>""</f>
        <v/>
      </c>
      <c r="DA257" t="str">
        <f>""</f>
        <v/>
      </c>
      <c r="DB257" t="str">
        <f>""</f>
        <v/>
      </c>
      <c r="DC257" t="str">
        <f>""</f>
        <v/>
      </c>
      <c r="DD257" t="str">
        <f>""</f>
        <v/>
      </c>
      <c r="DE257" t="str">
        <f>""</f>
        <v/>
      </c>
      <c r="DF257" t="str">
        <f>""</f>
        <v/>
      </c>
      <c r="DG257" t="str">
        <f>""</f>
        <v/>
      </c>
      <c r="DH257" t="str">
        <f>""</f>
        <v/>
      </c>
      <c r="DI257" t="str">
        <f>""</f>
        <v/>
      </c>
      <c r="DJ257" t="str">
        <f>""</f>
        <v/>
      </c>
      <c r="DK257" t="str">
        <f>""</f>
        <v/>
      </c>
      <c r="DL257" t="str">
        <f>""</f>
        <v/>
      </c>
      <c r="DM257" t="str">
        <f>""</f>
        <v/>
      </c>
      <c r="DN257" t="str">
        <f>""</f>
        <v/>
      </c>
      <c r="DO257" t="str">
        <f>""</f>
        <v/>
      </c>
      <c r="DP257" t="str">
        <f>""</f>
        <v/>
      </c>
      <c r="DQ257" t="str">
        <f>""</f>
        <v/>
      </c>
      <c r="DR257" t="str">
        <f>""</f>
        <v/>
      </c>
      <c r="DS257" t="str">
        <f>""</f>
        <v/>
      </c>
      <c r="DT257" t="str">
        <f>""</f>
        <v/>
      </c>
      <c r="DU257" t="str">
        <f>""</f>
        <v/>
      </c>
    </row>
    <row r="258" spans="1:125">
      <c r="A258" t="str">
        <f>$A$38</f>
        <v xml:space="preserve">    Mid-America Apartment Communit</v>
      </c>
      <c r="B258" t="str">
        <f>$B$38</f>
        <v>MAA US Equity</v>
      </c>
      <c r="C258" t="str">
        <f>$C$38</f>
        <v>IS019</v>
      </c>
      <c r="D258" t="str">
        <f>$D$38</f>
        <v>IS_COMM_AND_FEE_EARN_INC_REO</v>
      </c>
      <c r="E258" t="str">
        <f>$E$38</f>
        <v>动态</v>
      </c>
      <c r="F258" t="str">
        <f ca="1">BDH($B$38,$C$38,$B$224,$B$225,CONCATENATE("Per=",$B$222),"Dts=H","Dir=H",CONCATENATE("Points=",$B$223),"Sort=R","Days=A","Fill=B",CONCATENATE("FX=", $B$221) )</f>
        <v>#N/A Authorization</v>
      </c>
      <c r="BN258" t="str">
        <f>""</f>
        <v/>
      </c>
      <c r="BO258" t="str">
        <f>""</f>
        <v/>
      </c>
      <c r="BP258" t="str">
        <f>""</f>
        <v/>
      </c>
      <c r="BQ258" t="str">
        <f>""</f>
        <v/>
      </c>
      <c r="BR258" t="str">
        <f>""</f>
        <v/>
      </c>
      <c r="BS258" t="str">
        <f>""</f>
        <v/>
      </c>
      <c r="BT258" t="str">
        <f>""</f>
        <v/>
      </c>
      <c r="BU258" t="str">
        <f>""</f>
        <v/>
      </c>
      <c r="BV258" t="str">
        <f>""</f>
        <v/>
      </c>
      <c r="BW258" t="str">
        <f>""</f>
        <v/>
      </c>
      <c r="BX258" t="str">
        <f>""</f>
        <v/>
      </c>
      <c r="BY258" t="str">
        <f>""</f>
        <v/>
      </c>
      <c r="BZ258" t="str">
        <f>""</f>
        <v/>
      </c>
      <c r="CA258" t="str">
        <f>""</f>
        <v/>
      </c>
      <c r="CB258" t="str">
        <f>""</f>
        <v/>
      </c>
      <c r="CC258" t="str">
        <f>""</f>
        <v/>
      </c>
      <c r="CD258" t="str">
        <f>""</f>
        <v/>
      </c>
      <c r="CE258" t="str">
        <f>""</f>
        <v/>
      </c>
      <c r="CF258" t="str">
        <f>""</f>
        <v/>
      </c>
      <c r="CG258" t="str">
        <f>""</f>
        <v/>
      </c>
      <c r="CH258" t="str">
        <f>""</f>
        <v/>
      </c>
      <c r="CI258" t="str">
        <f>""</f>
        <v/>
      </c>
      <c r="CJ258" t="str">
        <f>""</f>
        <v/>
      </c>
      <c r="CK258" t="str">
        <f>""</f>
        <v/>
      </c>
      <c r="CL258" t="str">
        <f>""</f>
        <v/>
      </c>
      <c r="CM258" t="str">
        <f>""</f>
        <v/>
      </c>
      <c r="CN258" t="str">
        <f>""</f>
        <v/>
      </c>
      <c r="CO258" t="str">
        <f>""</f>
        <v/>
      </c>
      <c r="CP258" t="str">
        <f>""</f>
        <v/>
      </c>
      <c r="CQ258" t="str">
        <f>""</f>
        <v/>
      </c>
      <c r="CR258" t="str">
        <f>""</f>
        <v/>
      </c>
      <c r="CS258" t="str">
        <f>""</f>
        <v/>
      </c>
      <c r="CT258" t="str">
        <f>""</f>
        <v/>
      </c>
      <c r="CU258" t="str">
        <f>""</f>
        <v/>
      </c>
      <c r="CV258" t="str">
        <f>""</f>
        <v/>
      </c>
      <c r="CW258" t="str">
        <f>""</f>
        <v/>
      </c>
      <c r="CX258" t="str">
        <f>""</f>
        <v/>
      </c>
      <c r="CY258" t="str">
        <f>""</f>
        <v/>
      </c>
      <c r="CZ258" t="str">
        <f>""</f>
        <v/>
      </c>
      <c r="DA258" t="str">
        <f>""</f>
        <v/>
      </c>
      <c r="DB258" t="str">
        <f>""</f>
        <v/>
      </c>
      <c r="DC258" t="str">
        <f>""</f>
        <v/>
      </c>
      <c r="DD258" t="str">
        <f>""</f>
        <v/>
      </c>
      <c r="DE258" t="str">
        <f>""</f>
        <v/>
      </c>
      <c r="DF258" t="str">
        <f>""</f>
        <v/>
      </c>
      <c r="DG258" t="str">
        <f>""</f>
        <v/>
      </c>
      <c r="DH258" t="str">
        <f>""</f>
        <v/>
      </c>
      <c r="DI258" t="str">
        <f>""</f>
        <v/>
      </c>
      <c r="DJ258" t="str">
        <f>""</f>
        <v/>
      </c>
      <c r="DK258" t="str">
        <f>""</f>
        <v/>
      </c>
      <c r="DL258" t="str">
        <f>""</f>
        <v/>
      </c>
      <c r="DM258" t="str">
        <f>""</f>
        <v/>
      </c>
      <c r="DN258" t="str">
        <f>""</f>
        <v/>
      </c>
      <c r="DO258" t="str">
        <f>""</f>
        <v/>
      </c>
      <c r="DP258" t="str">
        <f>""</f>
        <v/>
      </c>
      <c r="DQ258" t="str">
        <f>""</f>
        <v/>
      </c>
      <c r="DR258" t="str">
        <f>""</f>
        <v/>
      </c>
      <c r="DS258" t="str">
        <f>""</f>
        <v/>
      </c>
      <c r="DT258" t="str">
        <f>""</f>
        <v/>
      </c>
      <c r="DU258" t="str">
        <f>""</f>
        <v/>
      </c>
    </row>
    <row r="259" spans="1:125">
      <c r="A259" t="str">
        <f>$A$39</f>
        <v xml:space="preserve">    UDR Inc</v>
      </c>
      <c r="B259" t="str">
        <f>$B$39</f>
        <v>UDR US Equity</v>
      </c>
      <c r="C259" t="str">
        <f>$C$39</f>
        <v>IS019</v>
      </c>
      <c r="D259" t="str">
        <f>$D$39</f>
        <v>IS_COMM_AND_FEE_EARN_INC_REO</v>
      </c>
      <c r="E259" t="str">
        <f>$E$39</f>
        <v>动态</v>
      </c>
      <c r="F259" t="str">
        <f ca="1">BDH($B$39,$C$39,$B$224,$B$225,CONCATENATE("Per=",$B$222),"Dts=H","Dir=H",CONCATENATE("Points=",$B$223),"Sort=R","Days=A","Fill=B",CONCATENATE("FX=", $B$221) )</f>
        <v>#N/A Authorization</v>
      </c>
      <c r="BN259" t="str">
        <f>""</f>
        <v/>
      </c>
      <c r="BO259" t="str">
        <f>""</f>
        <v/>
      </c>
      <c r="BP259" t="str">
        <f>""</f>
        <v/>
      </c>
      <c r="BQ259" t="str">
        <f>""</f>
        <v/>
      </c>
      <c r="BR259" t="str">
        <f>""</f>
        <v/>
      </c>
      <c r="BS259" t="str">
        <f>""</f>
        <v/>
      </c>
      <c r="BT259" t="str">
        <f>""</f>
        <v/>
      </c>
      <c r="BU259" t="str">
        <f>""</f>
        <v/>
      </c>
      <c r="BV259" t="str">
        <f>""</f>
        <v/>
      </c>
      <c r="BW259" t="str">
        <f>""</f>
        <v/>
      </c>
      <c r="BX259" t="str">
        <f>""</f>
        <v/>
      </c>
      <c r="BY259" t="str">
        <f>""</f>
        <v/>
      </c>
      <c r="BZ259" t="str">
        <f>""</f>
        <v/>
      </c>
      <c r="CA259" t="str">
        <f>""</f>
        <v/>
      </c>
      <c r="CB259" t="str">
        <f>""</f>
        <v/>
      </c>
      <c r="CC259" t="str">
        <f>""</f>
        <v/>
      </c>
      <c r="CD259" t="str">
        <f>""</f>
        <v/>
      </c>
      <c r="CE259" t="str">
        <f>""</f>
        <v/>
      </c>
      <c r="CF259" t="str">
        <f>""</f>
        <v/>
      </c>
      <c r="CG259" t="str">
        <f>""</f>
        <v/>
      </c>
      <c r="CH259" t="str">
        <f>""</f>
        <v/>
      </c>
      <c r="CI259" t="str">
        <f>""</f>
        <v/>
      </c>
      <c r="CJ259" t="str">
        <f>""</f>
        <v/>
      </c>
      <c r="CK259" t="str">
        <f>""</f>
        <v/>
      </c>
      <c r="CL259" t="str">
        <f>""</f>
        <v/>
      </c>
      <c r="CM259" t="str">
        <f>""</f>
        <v/>
      </c>
      <c r="CN259" t="str">
        <f>""</f>
        <v/>
      </c>
      <c r="CO259" t="str">
        <f>""</f>
        <v/>
      </c>
      <c r="CP259" t="str">
        <f>""</f>
        <v/>
      </c>
      <c r="CQ259" t="str">
        <f>""</f>
        <v/>
      </c>
      <c r="CR259" t="str">
        <f>""</f>
        <v/>
      </c>
      <c r="CS259" t="str">
        <f>""</f>
        <v/>
      </c>
      <c r="CT259" t="str">
        <f>""</f>
        <v/>
      </c>
      <c r="CU259" t="str">
        <f>""</f>
        <v/>
      </c>
      <c r="CV259" t="str">
        <f>""</f>
        <v/>
      </c>
      <c r="CW259" t="str">
        <f>""</f>
        <v/>
      </c>
      <c r="CX259" t="str">
        <f>""</f>
        <v/>
      </c>
      <c r="CY259" t="str">
        <f>""</f>
        <v/>
      </c>
      <c r="CZ259" t="str">
        <f>""</f>
        <v/>
      </c>
      <c r="DA259" t="str">
        <f>""</f>
        <v/>
      </c>
      <c r="DB259" t="str">
        <f>""</f>
        <v/>
      </c>
      <c r="DC259" t="str">
        <f>""</f>
        <v/>
      </c>
      <c r="DD259" t="str">
        <f>""</f>
        <v/>
      </c>
      <c r="DE259" t="str">
        <f>""</f>
        <v/>
      </c>
      <c r="DF259" t="str">
        <f>""</f>
        <v/>
      </c>
      <c r="DG259" t="str">
        <f>""</f>
        <v/>
      </c>
      <c r="DH259" t="str">
        <f>""</f>
        <v/>
      </c>
      <c r="DI259" t="str">
        <f>""</f>
        <v/>
      </c>
      <c r="DJ259" t="str">
        <f>""</f>
        <v/>
      </c>
      <c r="DK259" t="str">
        <f>""</f>
        <v/>
      </c>
      <c r="DL259" t="str">
        <f>""</f>
        <v/>
      </c>
      <c r="DM259" t="str">
        <f>""</f>
        <v/>
      </c>
      <c r="DN259" t="str">
        <f>""</f>
        <v/>
      </c>
      <c r="DO259" t="str">
        <f>""</f>
        <v/>
      </c>
      <c r="DP259" t="str">
        <f>""</f>
        <v/>
      </c>
      <c r="DQ259" t="str">
        <f>""</f>
        <v/>
      </c>
      <c r="DR259" t="str">
        <f>""</f>
        <v/>
      </c>
      <c r="DS259" t="str">
        <f>""</f>
        <v/>
      </c>
      <c r="DT259" t="str">
        <f>""</f>
        <v/>
      </c>
      <c r="DU259" t="str">
        <f>""</f>
        <v/>
      </c>
    </row>
    <row r="260" spans="1:125">
      <c r="A260" t="str">
        <f>$A$41</f>
        <v xml:space="preserve">    American Campus Communities In</v>
      </c>
      <c r="B260" t="str">
        <f>$B$41</f>
        <v>ACC US Equity</v>
      </c>
      <c r="C260" t="str">
        <f>$C$41</f>
        <v>IS010</v>
      </c>
      <c r="D260" t="str">
        <f>$D$41</f>
        <v>SALES_REV_TURN</v>
      </c>
      <c r="E260" t="str">
        <f>$E$41</f>
        <v>动态</v>
      </c>
      <c r="F260" t="str">
        <f ca="1">BDH($B$41,$C$41,$B$224,$B$225,CONCATENATE("Per=",$B$222),"Dts=H","Dir=H",CONCATENATE("Points=",$B$223),"Sort=R","Days=A","Fill=B",CONCATENATE("FX=", $B$221) )</f>
        <v>#N/A Authorization</v>
      </c>
      <c r="BN260" t="str">
        <f>""</f>
        <v/>
      </c>
      <c r="BO260" t="str">
        <f>""</f>
        <v/>
      </c>
      <c r="BP260" t="str">
        <f>""</f>
        <v/>
      </c>
      <c r="BQ260" t="str">
        <f>""</f>
        <v/>
      </c>
      <c r="BR260" t="str">
        <f>""</f>
        <v/>
      </c>
      <c r="BS260" t="str">
        <f>""</f>
        <v/>
      </c>
      <c r="BT260" t="str">
        <f>""</f>
        <v/>
      </c>
      <c r="BU260" t="str">
        <f>""</f>
        <v/>
      </c>
      <c r="BV260" t="str">
        <f>""</f>
        <v/>
      </c>
      <c r="BW260" t="str">
        <f>""</f>
        <v/>
      </c>
      <c r="BX260" t="str">
        <f>""</f>
        <v/>
      </c>
      <c r="BY260" t="str">
        <f>""</f>
        <v/>
      </c>
      <c r="BZ260" t="str">
        <f>""</f>
        <v/>
      </c>
      <c r="CA260" t="str">
        <f>""</f>
        <v/>
      </c>
      <c r="CB260" t="str">
        <f>""</f>
        <v/>
      </c>
      <c r="CC260" t="str">
        <f>""</f>
        <v/>
      </c>
      <c r="CD260" t="str">
        <f>""</f>
        <v/>
      </c>
      <c r="CE260" t="str">
        <f>""</f>
        <v/>
      </c>
      <c r="CF260" t="str">
        <f>""</f>
        <v/>
      </c>
      <c r="CG260" t="str">
        <f>""</f>
        <v/>
      </c>
      <c r="CH260" t="str">
        <f>""</f>
        <v/>
      </c>
      <c r="CI260" t="str">
        <f>""</f>
        <v/>
      </c>
      <c r="CJ260" t="str">
        <f>""</f>
        <v/>
      </c>
      <c r="CK260" t="str">
        <f>""</f>
        <v/>
      </c>
      <c r="CL260" t="str">
        <f>""</f>
        <v/>
      </c>
      <c r="CM260" t="str">
        <f>""</f>
        <v/>
      </c>
      <c r="CN260" t="str">
        <f>""</f>
        <v/>
      </c>
      <c r="CO260" t="str">
        <f>""</f>
        <v/>
      </c>
      <c r="CP260" t="str">
        <f>""</f>
        <v/>
      </c>
      <c r="CQ260" t="str">
        <f>""</f>
        <v/>
      </c>
      <c r="CR260" t="str">
        <f>""</f>
        <v/>
      </c>
      <c r="CS260" t="str">
        <f>""</f>
        <v/>
      </c>
      <c r="CT260" t="str">
        <f>""</f>
        <v/>
      </c>
      <c r="CU260" t="str">
        <f>""</f>
        <v/>
      </c>
      <c r="CV260" t="str">
        <f>""</f>
        <v/>
      </c>
      <c r="CW260" t="str">
        <f>""</f>
        <v/>
      </c>
      <c r="CX260" t="str">
        <f>""</f>
        <v/>
      </c>
      <c r="CY260" t="str">
        <f>""</f>
        <v/>
      </c>
      <c r="CZ260" t="str">
        <f>""</f>
        <v/>
      </c>
      <c r="DA260" t="str">
        <f>""</f>
        <v/>
      </c>
      <c r="DB260" t="str">
        <f>""</f>
        <v/>
      </c>
      <c r="DC260" t="str">
        <f>""</f>
        <v/>
      </c>
      <c r="DD260" t="str">
        <f>""</f>
        <v/>
      </c>
      <c r="DE260" t="str">
        <f>""</f>
        <v/>
      </c>
      <c r="DF260" t="str">
        <f>""</f>
        <v/>
      </c>
      <c r="DG260" t="str">
        <f>""</f>
        <v/>
      </c>
      <c r="DH260" t="str">
        <f>""</f>
        <v/>
      </c>
      <c r="DI260" t="str">
        <f>""</f>
        <v/>
      </c>
      <c r="DJ260" t="str">
        <f>""</f>
        <v/>
      </c>
      <c r="DK260" t="str">
        <f>""</f>
        <v/>
      </c>
      <c r="DL260" t="str">
        <f>""</f>
        <v/>
      </c>
      <c r="DM260" t="str">
        <f>""</f>
        <v/>
      </c>
      <c r="DN260" t="str">
        <f>""</f>
        <v/>
      </c>
      <c r="DO260" t="str">
        <f>""</f>
        <v/>
      </c>
      <c r="DP260" t="str">
        <f>""</f>
        <v/>
      </c>
      <c r="DQ260" t="str">
        <f>""</f>
        <v/>
      </c>
      <c r="DR260" t="str">
        <f>""</f>
        <v/>
      </c>
      <c r="DS260" t="str">
        <f>""</f>
        <v/>
      </c>
      <c r="DT260" t="str">
        <f>""</f>
        <v/>
      </c>
      <c r="DU260" t="str">
        <f>""</f>
        <v/>
      </c>
    </row>
    <row r="261" spans="1:125">
      <c r="A261" t="str">
        <f>$A$42</f>
        <v xml:space="preserve">    AvalonBay Communities Inc</v>
      </c>
      <c r="B261" t="str">
        <f>$B$42</f>
        <v>AVB US Equity</v>
      </c>
      <c r="C261" t="str">
        <f>$C$42</f>
        <v>IS010</v>
      </c>
      <c r="D261" t="str">
        <f>$D$42</f>
        <v>SALES_REV_TURN</v>
      </c>
      <c r="E261" t="str">
        <f>$E$42</f>
        <v>动态</v>
      </c>
      <c r="F261" t="str">
        <f ca="1">BDH($B$42,$C$42,$B$224,$B$225,CONCATENATE("Per=",$B$222),"Dts=H","Dir=H",CONCATENATE("Points=",$B$223),"Sort=R","Days=A","Fill=B",CONCATENATE("FX=", $B$221) )</f>
        <v>#N/A Authorization</v>
      </c>
      <c r="BN261" t="str">
        <f>""</f>
        <v/>
      </c>
      <c r="BO261" t="str">
        <f>""</f>
        <v/>
      </c>
      <c r="BP261" t="str">
        <f>""</f>
        <v/>
      </c>
      <c r="BQ261" t="str">
        <f>""</f>
        <v/>
      </c>
      <c r="BR261" t="str">
        <f>""</f>
        <v/>
      </c>
      <c r="BS261" t="str">
        <f>""</f>
        <v/>
      </c>
      <c r="BT261" t="str">
        <f>""</f>
        <v/>
      </c>
      <c r="BU261" t="str">
        <f>""</f>
        <v/>
      </c>
      <c r="BV261" t="str">
        <f>""</f>
        <v/>
      </c>
      <c r="BW261" t="str">
        <f>""</f>
        <v/>
      </c>
      <c r="BX261" t="str">
        <f>""</f>
        <v/>
      </c>
      <c r="BY261" t="str">
        <f>""</f>
        <v/>
      </c>
      <c r="BZ261" t="str">
        <f>""</f>
        <v/>
      </c>
      <c r="CA261" t="str">
        <f>""</f>
        <v/>
      </c>
      <c r="CB261" t="str">
        <f>""</f>
        <v/>
      </c>
      <c r="CC261" t="str">
        <f>""</f>
        <v/>
      </c>
      <c r="CD261" t="str">
        <f>""</f>
        <v/>
      </c>
      <c r="CE261" t="str">
        <f>""</f>
        <v/>
      </c>
      <c r="CF261" t="str">
        <f>""</f>
        <v/>
      </c>
      <c r="CG261" t="str">
        <f>""</f>
        <v/>
      </c>
      <c r="CH261" t="str">
        <f>""</f>
        <v/>
      </c>
      <c r="CI261" t="str">
        <f>""</f>
        <v/>
      </c>
      <c r="CJ261" t="str">
        <f>""</f>
        <v/>
      </c>
      <c r="CK261" t="str">
        <f>""</f>
        <v/>
      </c>
      <c r="CL261" t="str">
        <f>""</f>
        <v/>
      </c>
      <c r="CM261" t="str">
        <f>""</f>
        <v/>
      </c>
      <c r="CN261" t="str">
        <f>""</f>
        <v/>
      </c>
      <c r="CO261" t="str">
        <f>""</f>
        <v/>
      </c>
      <c r="CP261" t="str">
        <f>""</f>
        <v/>
      </c>
      <c r="CQ261" t="str">
        <f>""</f>
        <v/>
      </c>
      <c r="CR261" t="str">
        <f>""</f>
        <v/>
      </c>
      <c r="CS261" t="str">
        <f>""</f>
        <v/>
      </c>
      <c r="CT261" t="str">
        <f>""</f>
        <v/>
      </c>
      <c r="CU261" t="str">
        <f>""</f>
        <v/>
      </c>
      <c r="CV261" t="str">
        <f>""</f>
        <v/>
      </c>
      <c r="CW261" t="str">
        <f>""</f>
        <v/>
      </c>
      <c r="CX261" t="str">
        <f>""</f>
        <v/>
      </c>
      <c r="CY261" t="str">
        <f>""</f>
        <v/>
      </c>
      <c r="CZ261" t="str">
        <f>""</f>
        <v/>
      </c>
      <c r="DA261" t="str">
        <f>""</f>
        <v/>
      </c>
      <c r="DB261" t="str">
        <f>""</f>
        <v/>
      </c>
      <c r="DC261" t="str">
        <f>""</f>
        <v/>
      </c>
      <c r="DD261" t="str">
        <f>""</f>
        <v/>
      </c>
      <c r="DE261" t="str">
        <f>""</f>
        <v/>
      </c>
      <c r="DF261" t="str">
        <f>""</f>
        <v/>
      </c>
      <c r="DG261" t="str">
        <f>""</f>
        <v/>
      </c>
      <c r="DH261" t="str">
        <f>""</f>
        <v/>
      </c>
      <c r="DI261" t="str">
        <f>""</f>
        <v/>
      </c>
      <c r="DJ261" t="str">
        <f>""</f>
        <v/>
      </c>
      <c r="DK261" t="str">
        <f>""</f>
        <v/>
      </c>
      <c r="DL261" t="str">
        <f>""</f>
        <v/>
      </c>
      <c r="DM261" t="str">
        <f>""</f>
        <v/>
      </c>
      <c r="DN261" t="str">
        <f>""</f>
        <v/>
      </c>
      <c r="DO261" t="str">
        <f>""</f>
        <v/>
      </c>
      <c r="DP261" t="str">
        <f>""</f>
        <v/>
      </c>
      <c r="DQ261" t="str">
        <f>""</f>
        <v/>
      </c>
      <c r="DR261" t="str">
        <f>""</f>
        <v/>
      </c>
      <c r="DS261" t="str">
        <f>""</f>
        <v/>
      </c>
      <c r="DT261" t="str">
        <f>""</f>
        <v/>
      </c>
      <c r="DU261" t="str">
        <f>""</f>
        <v/>
      </c>
    </row>
    <row r="262" spans="1:125">
      <c r="A262" t="str">
        <f>$A$43</f>
        <v xml:space="preserve">    Camden Property Trust</v>
      </c>
      <c r="B262" t="str">
        <f>$B$43</f>
        <v>CPT US Equity</v>
      </c>
      <c r="C262" t="str">
        <f>$C$43</f>
        <v>IS010</v>
      </c>
      <c r="D262" t="str">
        <f>$D$43</f>
        <v>SALES_REV_TURN</v>
      </c>
      <c r="E262" t="str">
        <f>$E$43</f>
        <v>动态</v>
      </c>
      <c r="F262" t="str">
        <f ca="1">BDH($B$43,$C$43,$B$224,$B$225,CONCATENATE("Per=",$B$222),"Dts=H","Dir=H",CONCATENATE("Points=",$B$223),"Sort=R","Days=A","Fill=B",CONCATENATE("FX=", $B$221) )</f>
        <v>#N/A Authorization</v>
      </c>
      <c r="BN262" t="str">
        <f>""</f>
        <v/>
      </c>
      <c r="BO262" t="str">
        <f>""</f>
        <v/>
      </c>
      <c r="BP262" t="str">
        <f>""</f>
        <v/>
      </c>
      <c r="BQ262" t="str">
        <f>""</f>
        <v/>
      </c>
      <c r="BR262" t="str">
        <f>""</f>
        <v/>
      </c>
      <c r="BS262" t="str">
        <f>""</f>
        <v/>
      </c>
      <c r="BT262" t="str">
        <f>""</f>
        <v/>
      </c>
      <c r="BU262" t="str">
        <f>""</f>
        <v/>
      </c>
      <c r="BV262" t="str">
        <f>""</f>
        <v/>
      </c>
      <c r="BW262" t="str">
        <f>""</f>
        <v/>
      </c>
      <c r="BX262" t="str">
        <f>""</f>
        <v/>
      </c>
      <c r="BY262" t="str">
        <f>""</f>
        <v/>
      </c>
      <c r="BZ262" t="str">
        <f>""</f>
        <v/>
      </c>
      <c r="CA262" t="str">
        <f>""</f>
        <v/>
      </c>
      <c r="CB262" t="str">
        <f>""</f>
        <v/>
      </c>
      <c r="CC262" t="str">
        <f>""</f>
        <v/>
      </c>
      <c r="CD262" t="str">
        <f>""</f>
        <v/>
      </c>
      <c r="CE262" t="str">
        <f>""</f>
        <v/>
      </c>
      <c r="CF262" t="str">
        <f>""</f>
        <v/>
      </c>
      <c r="CG262" t="str">
        <f>""</f>
        <v/>
      </c>
      <c r="CH262" t="str">
        <f>""</f>
        <v/>
      </c>
      <c r="CI262" t="str">
        <f>""</f>
        <v/>
      </c>
      <c r="CJ262" t="str">
        <f>""</f>
        <v/>
      </c>
      <c r="CK262" t="str">
        <f>""</f>
        <v/>
      </c>
      <c r="CL262" t="str">
        <f>""</f>
        <v/>
      </c>
      <c r="CM262" t="str">
        <f>""</f>
        <v/>
      </c>
      <c r="CN262" t="str">
        <f>""</f>
        <v/>
      </c>
      <c r="CO262" t="str">
        <f>""</f>
        <v/>
      </c>
      <c r="CP262" t="str">
        <f>""</f>
        <v/>
      </c>
      <c r="CQ262" t="str">
        <f>""</f>
        <v/>
      </c>
      <c r="CR262" t="str">
        <f>""</f>
        <v/>
      </c>
      <c r="CS262" t="str">
        <f>""</f>
        <v/>
      </c>
      <c r="CT262" t="str">
        <f>""</f>
        <v/>
      </c>
      <c r="CU262" t="str">
        <f>""</f>
        <v/>
      </c>
      <c r="CV262" t="str">
        <f>""</f>
        <v/>
      </c>
      <c r="CW262" t="str">
        <f>""</f>
        <v/>
      </c>
      <c r="CX262" t="str">
        <f>""</f>
        <v/>
      </c>
      <c r="CY262" t="str">
        <f>""</f>
        <v/>
      </c>
      <c r="CZ262" t="str">
        <f>""</f>
        <v/>
      </c>
      <c r="DA262" t="str">
        <f>""</f>
        <v/>
      </c>
      <c r="DB262" t="str">
        <f>""</f>
        <v/>
      </c>
      <c r="DC262" t="str">
        <f>""</f>
        <v/>
      </c>
      <c r="DD262" t="str">
        <f>""</f>
        <v/>
      </c>
      <c r="DE262" t="str">
        <f>""</f>
        <v/>
      </c>
      <c r="DF262" t="str">
        <f>""</f>
        <v/>
      </c>
      <c r="DG262" t="str">
        <f>""</f>
        <v/>
      </c>
      <c r="DH262" t="str">
        <f>""</f>
        <v/>
      </c>
      <c r="DI262" t="str">
        <f>""</f>
        <v/>
      </c>
      <c r="DJ262" t="str">
        <f>""</f>
        <v/>
      </c>
      <c r="DK262" t="str">
        <f>""</f>
        <v/>
      </c>
      <c r="DL262" t="str">
        <f>""</f>
        <v/>
      </c>
      <c r="DM262" t="str">
        <f>""</f>
        <v/>
      </c>
      <c r="DN262" t="str">
        <f>""</f>
        <v/>
      </c>
      <c r="DO262" t="str">
        <f>""</f>
        <v/>
      </c>
      <c r="DP262" t="str">
        <f>""</f>
        <v/>
      </c>
      <c r="DQ262" t="str">
        <f>""</f>
        <v/>
      </c>
      <c r="DR262" t="str">
        <f>""</f>
        <v/>
      </c>
      <c r="DS262" t="str">
        <f>""</f>
        <v/>
      </c>
      <c r="DT262" t="str">
        <f>""</f>
        <v/>
      </c>
      <c r="DU262" t="str">
        <f>""</f>
        <v/>
      </c>
    </row>
    <row r="263" spans="1:125">
      <c r="A263" t="str">
        <f>$A$44</f>
        <v xml:space="preserve">    Education Realty Trust Inc</v>
      </c>
      <c r="B263" t="str">
        <f>$B$44</f>
        <v>EDR US Equity</v>
      </c>
      <c r="C263" t="str">
        <f>$C$44</f>
        <v>IS010</v>
      </c>
      <c r="D263" t="str">
        <f>$D$44</f>
        <v>SALES_REV_TURN</v>
      </c>
      <c r="E263" t="str">
        <f>$E$44</f>
        <v>动态</v>
      </c>
      <c r="F263" t="str">
        <f ca="1">BDH($B$44,$C$44,$B$224,$B$225,CONCATENATE("Per=",$B$222),"Dts=H","Dir=H",CONCATENATE("Points=",$B$223),"Sort=R","Days=A","Fill=B",CONCATENATE("FX=", $B$221) )</f>
        <v>#N/A Authorization</v>
      </c>
      <c r="BN263" t="str">
        <f>""</f>
        <v/>
      </c>
      <c r="BO263" t="str">
        <f>""</f>
        <v/>
      </c>
      <c r="BP263" t="str">
        <f>""</f>
        <v/>
      </c>
      <c r="BQ263" t="str">
        <f>""</f>
        <v/>
      </c>
      <c r="BR263" t="str">
        <f>""</f>
        <v/>
      </c>
      <c r="BS263" t="str">
        <f>""</f>
        <v/>
      </c>
      <c r="BT263" t="str">
        <f>""</f>
        <v/>
      </c>
      <c r="BU263" t="str">
        <f>""</f>
        <v/>
      </c>
      <c r="BV263" t="str">
        <f>""</f>
        <v/>
      </c>
      <c r="BW263" t="str">
        <f>""</f>
        <v/>
      </c>
      <c r="BX263" t="str">
        <f>""</f>
        <v/>
      </c>
      <c r="BY263" t="str">
        <f>""</f>
        <v/>
      </c>
      <c r="BZ263" t="str">
        <f>""</f>
        <v/>
      </c>
      <c r="CA263" t="str">
        <f>""</f>
        <v/>
      </c>
      <c r="CB263" t="str">
        <f>""</f>
        <v/>
      </c>
      <c r="CC263" t="str">
        <f>""</f>
        <v/>
      </c>
      <c r="CD263" t="str">
        <f>""</f>
        <v/>
      </c>
      <c r="CE263" t="str">
        <f>""</f>
        <v/>
      </c>
      <c r="CF263" t="str">
        <f>""</f>
        <v/>
      </c>
      <c r="CG263" t="str">
        <f>""</f>
        <v/>
      </c>
      <c r="CH263" t="str">
        <f>""</f>
        <v/>
      </c>
      <c r="CI263" t="str">
        <f>""</f>
        <v/>
      </c>
      <c r="CJ263" t="str">
        <f>""</f>
        <v/>
      </c>
      <c r="CK263" t="str">
        <f>""</f>
        <v/>
      </c>
      <c r="CL263" t="str">
        <f>""</f>
        <v/>
      </c>
      <c r="CM263" t="str">
        <f>""</f>
        <v/>
      </c>
      <c r="CN263" t="str">
        <f>""</f>
        <v/>
      </c>
      <c r="CO263" t="str">
        <f>""</f>
        <v/>
      </c>
      <c r="CP263" t="str">
        <f>""</f>
        <v/>
      </c>
      <c r="CQ263" t="str">
        <f>""</f>
        <v/>
      </c>
      <c r="CR263" t="str">
        <f>""</f>
        <v/>
      </c>
      <c r="CS263" t="str">
        <f>""</f>
        <v/>
      </c>
      <c r="CT263" t="str">
        <f>""</f>
        <v/>
      </c>
      <c r="CU263" t="str">
        <f>""</f>
        <v/>
      </c>
      <c r="CV263" t="str">
        <f>""</f>
        <v/>
      </c>
      <c r="CW263" t="str">
        <f>""</f>
        <v/>
      </c>
      <c r="CX263" t="str">
        <f>""</f>
        <v/>
      </c>
      <c r="CY263" t="str">
        <f>""</f>
        <v/>
      </c>
      <c r="CZ263" t="str">
        <f>""</f>
        <v/>
      </c>
      <c r="DA263" t="str">
        <f>""</f>
        <v/>
      </c>
      <c r="DB263" t="str">
        <f>""</f>
        <v/>
      </c>
      <c r="DC263" t="str">
        <f>""</f>
        <v/>
      </c>
      <c r="DD263" t="str">
        <f>""</f>
        <v/>
      </c>
      <c r="DE263" t="str">
        <f>""</f>
        <v/>
      </c>
      <c r="DF263" t="str">
        <f>""</f>
        <v/>
      </c>
      <c r="DG263" t="str">
        <f>""</f>
        <v/>
      </c>
      <c r="DH263" t="str">
        <f>""</f>
        <v/>
      </c>
      <c r="DI263" t="str">
        <f>""</f>
        <v/>
      </c>
      <c r="DJ263" t="str">
        <f>""</f>
        <v/>
      </c>
      <c r="DK263" t="str">
        <f>""</f>
        <v/>
      </c>
      <c r="DL263" t="str">
        <f>""</f>
        <v/>
      </c>
      <c r="DM263" t="str">
        <f>""</f>
        <v/>
      </c>
      <c r="DN263" t="str">
        <f>""</f>
        <v/>
      </c>
      <c r="DO263" t="str">
        <f>""</f>
        <v/>
      </c>
      <c r="DP263" t="str">
        <f>""</f>
        <v/>
      </c>
      <c r="DQ263" t="str">
        <f>""</f>
        <v/>
      </c>
      <c r="DR263" t="str">
        <f>""</f>
        <v/>
      </c>
      <c r="DS263" t="str">
        <f>""</f>
        <v/>
      </c>
      <c r="DT263" t="str">
        <f>""</f>
        <v/>
      </c>
      <c r="DU263" t="str">
        <f>""</f>
        <v/>
      </c>
    </row>
    <row r="264" spans="1:125">
      <c r="A264" t="str">
        <f>$A$45</f>
        <v xml:space="preserve">    Equity Residential</v>
      </c>
      <c r="B264" t="str">
        <f>$B$45</f>
        <v>EQR US Equity</v>
      </c>
      <c r="C264" t="str">
        <f>$C$45</f>
        <v>IS010</v>
      </c>
      <c r="D264" t="str">
        <f>$D$45</f>
        <v>SALES_REV_TURN</v>
      </c>
      <c r="E264" t="str">
        <f>$E$45</f>
        <v>动态</v>
      </c>
      <c r="F264" t="str">
        <f ca="1">BDH($B$45,$C$45,$B$224,$B$225,CONCATENATE("Per=",$B$222),"Dts=H","Dir=H",CONCATENATE("Points=",$B$223),"Sort=R","Days=A","Fill=B",CONCATENATE("FX=", $B$221) )</f>
        <v>#N/A Authorization</v>
      </c>
      <c r="BN264" t="str">
        <f>""</f>
        <v/>
      </c>
      <c r="BO264" t="str">
        <f>""</f>
        <v/>
      </c>
      <c r="BP264" t="str">
        <f>""</f>
        <v/>
      </c>
      <c r="BQ264" t="str">
        <f>""</f>
        <v/>
      </c>
      <c r="BR264" t="str">
        <f>""</f>
        <v/>
      </c>
      <c r="BS264" t="str">
        <f>""</f>
        <v/>
      </c>
      <c r="BT264" t="str">
        <f>""</f>
        <v/>
      </c>
      <c r="BU264" t="str">
        <f>""</f>
        <v/>
      </c>
      <c r="BV264" t="str">
        <f>""</f>
        <v/>
      </c>
      <c r="BW264" t="str">
        <f>""</f>
        <v/>
      </c>
      <c r="BX264" t="str">
        <f>""</f>
        <v/>
      </c>
      <c r="BY264" t="str">
        <f>""</f>
        <v/>
      </c>
      <c r="BZ264" t="str">
        <f>""</f>
        <v/>
      </c>
      <c r="CA264" t="str">
        <f>""</f>
        <v/>
      </c>
      <c r="CB264" t="str">
        <f>""</f>
        <v/>
      </c>
      <c r="CC264" t="str">
        <f>""</f>
        <v/>
      </c>
      <c r="CD264" t="str">
        <f>""</f>
        <v/>
      </c>
      <c r="CE264" t="str">
        <f>""</f>
        <v/>
      </c>
      <c r="CF264" t="str">
        <f>""</f>
        <v/>
      </c>
      <c r="CG264" t="str">
        <f>""</f>
        <v/>
      </c>
      <c r="CH264" t="str">
        <f>""</f>
        <v/>
      </c>
      <c r="CI264" t="str">
        <f>""</f>
        <v/>
      </c>
      <c r="CJ264" t="str">
        <f>""</f>
        <v/>
      </c>
      <c r="CK264" t="str">
        <f>""</f>
        <v/>
      </c>
      <c r="CL264" t="str">
        <f>""</f>
        <v/>
      </c>
      <c r="CM264" t="str">
        <f>""</f>
        <v/>
      </c>
      <c r="CN264" t="str">
        <f>""</f>
        <v/>
      </c>
      <c r="CO264" t="str">
        <f>""</f>
        <v/>
      </c>
      <c r="CP264" t="str">
        <f>""</f>
        <v/>
      </c>
      <c r="CQ264" t="str">
        <f>""</f>
        <v/>
      </c>
      <c r="CR264" t="str">
        <f>""</f>
        <v/>
      </c>
      <c r="CS264" t="str">
        <f>""</f>
        <v/>
      </c>
      <c r="CT264" t="str">
        <f>""</f>
        <v/>
      </c>
      <c r="CU264" t="str">
        <f>""</f>
        <v/>
      </c>
      <c r="CV264" t="str">
        <f>""</f>
        <v/>
      </c>
      <c r="CW264" t="str">
        <f>""</f>
        <v/>
      </c>
      <c r="CX264" t="str">
        <f>""</f>
        <v/>
      </c>
      <c r="CY264" t="str">
        <f>""</f>
        <v/>
      </c>
      <c r="CZ264" t="str">
        <f>""</f>
        <v/>
      </c>
      <c r="DA264" t="str">
        <f>""</f>
        <v/>
      </c>
      <c r="DB264" t="str">
        <f>""</f>
        <v/>
      </c>
      <c r="DC264" t="str">
        <f>""</f>
        <v/>
      </c>
      <c r="DD264" t="str">
        <f>""</f>
        <v/>
      </c>
      <c r="DE264" t="str">
        <f>""</f>
        <v/>
      </c>
      <c r="DF264" t="str">
        <f>""</f>
        <v/>
      </c>
      <c r="DG264" t="str">
        <f>""</f>
        <v/>
      </c>
      <c r="DH264" t="str">
        <f>""</f>
        <v/>
      </c>
      <c r="DI264" t="str">
        <f>""</f>
        <v/>
      </c>
      <c r="DJ264" t="str">
        <f>""</f>
        <v/>
      </c>
      <c r="DK264" t="str">
        <f>""</f>
        <v/>
      </c>
      <c r="DL264" t="str">
        <f>""</f>
        <v/>
      </c>
      <c r="DM264" t="str">
        <f>""</f>
        <v/>
      </c>
      <c r="DN264" t="str">
        <f>""</f>
        <v/>
      </c>
      <c r="DO264" t="str">
        <f>""</f>
        <v/>
      </c>
      <c r="DP264" t="str">
        <f>""</f>
        <v/>
      </c>
      <c r="DQ264" t="str">
        <f>""</f>
        <v/>
      </c>
      <c r="DR264" t="str">
        <f>""</f>
        <v/>
      </c>
      <c r="DS264" t="str">
        <f>""</f>
        <v/>
      </c>
      <c r="DT264" t="str">
        <f>""</f>
        <v/>
      </c>
      <c r="DU264" t="str">
        <f>""</f>
        <v/>
      </c>
    </row>
    <row r="265" spans="1:125">
      <c r="A265" t="str">
        <f>$A$46</f>
        <v xml:space="preserve">    Essex Property Trust Inc</v>
      </c>
      <c r="B265" t="str">
        <f>$B$46</f>
        <v>ESS US Equity</v>
      </c>
      <c r="C265" t="str">
        <f>$C$46</f>
        <v>IS010</v>
      </c>
      <c r="D265" t="str">
        <f>$D$46</f>
        <v>SALES_REV_TURN</v>
      </c>
      <c r="E265" t="str">
        <f>$E$46</f>
        <v>动态</v>
      </c>
      <c r="F265" t="str">
        <f ca="1">BDH($B$46,$C$46,$B$224,$B$225,CONCATENATE("Per=",$B$222),"Dts=H","Dir=H",CONCATENATE("Points=",$B$223),"Sort=R","Days=A","Fill=B",CONCATENATE("FX=", $B$221) )</f>
        <v>#N/A Authorization</v>
      </c>
      <c r="BN265" t="str">
        <f>""</f>
        <v/>
      </c>
      <c r="BO265" t="str">
        <f>""</f>
        <v/>
      </c>
      <c r="BP265" t="str">
        <f>""</f>
        <v/>
      </c>
      <c r="BQ265" t="str">
        <f>""</f>
        <v/>
      </c>
      <c r="BR265" t="str">
        <f>""</f>
        <v/>
      </c>
      <c r="BS265" t="str">
        <f>""</f>
        <v/>
      </c>
      <c r="BT265" t="str">
        <f>""</f>
        <v/>
      </c>
      <c r="BU265" t="str">
        <f>""</f>
        <v/>
      </c>
      <c r="BV265" t="str">
        <f>""</f>
        <v/>
      </c>
      <c r="BW265" t="str">
        <f>""</f>
        <v/>
      </c>
      <c r="BX265" t="str">
        <f>""</f>
        <v/>
      </c>
      <c r="BY265" t="str">
        <f>""</f>
        <v/>
      </c>
      <c r="BZ265" t="str">
        <f>""</f>
        <v/>
      </c>
      <c r="CA265" t="str">
        <f>""</f>
        <v/>
      </c>
      <c r="CB265" t="str">
        <f>""</f>
        <v/>
      </c>
      <c r="CC265" t="str">
        <f>""</f>
        <v/>
      </c>
      <c r="CD265" t="str">
        <f>""</f>
        <v/>
      </c>
      <c r="CE265" t="str">
        <f>""</f>
        <v/>
      </c>
      <c r="CF265" t="str">
        <f>""</f>
        <v/>
      </c>
      <c r="CG265" t="str">
        <f>""</f>
        <v/>
      </c>
      <c r="CH265" t="str">
        <f>""</f>
        <v/>
      </c>
      <c r="CI265" t="str">
        <f>""</f>
        <v/>
      </c>
      <c r="CJ265" t="str">
        <f>""</f>
        <v/>
      </c>
      <c r="CK265" t="str">
        <f>""</f>
        <v/>
      </c>
      <c r="CL265" t="str">
        <f>""</f>
        <v/>
      </c>
      <c r="CM265" t="str">
        <f>""</f>
        <v/>
      </c>
      <c r="CN265" t="str">
        <f>""</f>
        <v/>
      </c>
      <c r="CO265" t="str">
        <f>""</f>
        <v/>
      </c>
      <c r="CP265" t="str">
        <f>""</f>
        <v/>
      </c>
      <c r="CQ265" t="str">
        <f>""</f>
        <v/>
      </c>
      <c r="CR265" t="str">
        <f>""</f>
        <v/>
      </c>
      <c r="CS265" t="str">
        <f>""</f>
        <v/>
      </c>
      <c r="CT265" t="str">
        <f>""</f>
        <v/>
      </c>
      <c r="CU265" t="str">
        <f>""</f>
        <v/>
      </c>
      <c r="CV265" t="str">
        <f>""</f>
        <v/>
      </c>
      <c r="CW265" t="str">
        <f>""</f>
        <v/>
      </c>
      <c r="CX265" t="str">
        <f>""</f>
        <v/>
      </c>
      <c r="CY265" t="str">
        <f>""</f>
        <v/>
      </c>
      <c r="CZ265" t="str">
        <f>""</f>
        <v/>
      </c>
      <c r="DA265" t="str">
        <f>""</f>
        <v/>
      </c>
      <c r="DB265" t="str">
        <f>""</f>
        <v/>
      </c>
      <c r="DC265" t="str">
        <f>""</f>
        <v/>
      </c>
      <c r="DD265" t="str">
        <f>""</f>
        <v/>
      </c>
      <c r="DE265" t="str">
        <f>""</f>
        <v/>
      </c>
      <c r="DF265" t="str">
        <f>""</f>
        <v/>
      </c>
      <c r="DG265" t="str">
        <f>""</f>
        <v/>
      </c>
      <c r="DH265" t="str">
        <f>""</f>
        <v/>
      </c>
      <c r="DI265" t="str">
        <f>""</f>
        <v/>
      </c>
      <c r="DJ265" t="str">
        <f>""</f>
        <v/>
      </c>
      <c r="DK265" t="str">
        <f>""</f>
        <v/>
      </c>
      <c r="DL265" t="str">
        <f>""</f>
        <v/>
      </c>
      <c r="DM265" t="str">
        <f>""</f>
        <v/>
      </c>
      <c r="DN265" t="str">
        <f>""</f>
        <v/>
      </c>
      <c r="DO265" t="str">
        <f>""</f>
        <v/>
      </c>
      <c r="DP265" t="str">
        <f>""</f>
        <v/>
      </c>
      <c r="DQ265" t="str">
        <f>""</f>
        <v/>
      </c>
      <c r="DR265" t="str">
        <f>""</f>
        <v/>
      </c>
      <c r="DS265" t="str">
        <f>""</f>
        <v/>
      </c>
      <c r="DT265" t="str">
        <f>""</f>
        <v/>
      </c>
      <c r="DU265" t="str">
        <f>""</f>
        <v/>
      </c>
    </row>
    <row r="266" spans="1:125">
      <c r="A266" t="str">
        <f>$A$47</f>
        <v xml:space="preserve">    Mid-America Apartment Communit</v>
      </c>
      <c r="B266" t="str">
        <f>$B$47</f>
        <v>MAA US Equity</v>
      </c>
      <c r="C266" t="str">
        <f>$C$47</f>
        <v>IS010</v>
      </c>
      <c r="D266" t="str">
        <f>$D$47</f>
        <v>SALES_REV_TURN</v>
      </c>
      <c r="E266" t="str">
        <f>$E$47</f>
        <v>动态</v>
      </c>
      <c r="F266" t="str">
        <f ca="1">BDH($B$47,$C$47,$B$224,$B$225,CONCATENATE("Per=",$B$222),"Dts=H","Dir=H",CONCATENATE("Points=",$B$223),"Sort=R","Days=A","Fill=B",CONCATENATE("FX=", $B$221) )</f>
        <v>#N/A Authorization</v>
      </c>
      <c r="BN266" t="str">
        <f>""</f>
        <v/>
      </c>
      <c r="BO266" t="str">
        <f>""</f>
        <v/>
      </c>
      <c r="BP266" t="str">
        <f>""</f>
        <v/>
      </c>
      <c r="BQ266" t="str">
        <f>""</f>
        <v/>
      </c>
      <c r="BR266" t="str">
        <f>""</f>
        <v/>
      </c>
      <c r="BS266" t="str">
        <f>""</f>
        <v/>
      </c>
      <c r="BT266" t="str">
        <f>""</f>
        <v/>
      </c>
      <c r="BU266" t="str">
        <f>""</f>
        <v/>
      </c>
      <c r="BV266" t="str">
        <f>""</f>
        <v/>
      </c>
      <c r="BW266" t="str">
        <f>""</f>
        <v/>
      </c>
      <c r="BX266" t="str">
        <f>""</f>
        <v/>
      </c>
      <c r="BY266" t="str">
        <f>""</f>
        <v/>
      </c>
      <c r="BZ266" t="str">
        <f>""</f>
        <v/>
      </c>
      <c r="CA266" t="str">
        <f>""</f>
        <v/>
      </c>
      <c r="CB266" t="str">
        <f>""</f>
        <v/>
      </c>
      <c r="CC266" t="str">
        <f>""</f>
        <v/>
      </c>
      <c r="CD266" t="str">
        <f>""</f>
        <v/>
      </c>
      <c r="CE266" t="str">
        <f>""</f>
        <v/>
      </c>
      <c r="CF266" t="str">
        <f>""</f>
        <v/>
      </c>
      <c r="CG266" t="str">
        <f>""</f>
        <v/>
      </c>
      <c r="CH266" t="str">
        <f>""</f>
        <v/>
      </c>
      <c r="CI266" t="str">
        <f>""</f>
        <v/>
      </c>
      <c r="CJ266" t="str">
        <f>""</f>
        <v/>
      </c>
      <c r="CK266" t="str">
        <f>""</f>
        <v/>
      </c>
      <c r="CL266" t="str">
        <f>""</f>
        <v/>
      </c>
      <c r="CM266" t="str">
        <f>""</f>
        <v/>
      </c>
      <c r="CN266" t="str">
        <f>""</f>
        <v/>
      </c>
      <c r="CO266" t="str">
        <f>""</f>
        <v/>
      </c>
      <c r="CP266" t="str">
        <f>""</f>
        <v/>
      </c>
      <c r="CQ266" t="str">
        <f>""</f>
        <v/>
      </c>
      <c r="CR266" t="str">
        <f>""</f>
        <v/>
      </c>
      <c r="CS266" t="str">
        <f>""</f>
        <v/>
      </c>
      <c r="CT266" t="str">
        <f>""</f>
        <v/>
      </c>
      <c r="CU266" t="str">
        <f>""</f>
        <v/>
      </c>
      <c r="CV266" t="str">
        <f>""</f>
        <v/>
      </c>
      <c r="CW266" t="str">
        <f>""</f>
        <v/>
      </c>
      <c r="CX266" t="str">
        <f>""</f>
        <v/>
      </c>
      <c r="CY266" t="str">
        <f>""</f>
        <v/>
      </c>
      <c r="CZ266" t="str">
        <f>""</f>
        <v/>
      </c>
      <c r="DA266" t="str">
        <f>""</f>
        <v/>
      </c>
      <c r="DB266" t="str">
        <f>""</f>
        <v/>
      </c>
      <c r="DC266" t="str">
        <f>""</f>
        <v/>
      </c>
      <c r="DD266" t="str">
        <f>""</f>
        <v/>
      </c>
      <c r="DE266" t="str">
        <f>""</f>
        <v/>
      </c>
      <c r="DF266" t="str">
        <f>""</f>
        <v/>
      </c>
      <c r="DG266" t="str">
        <f>""</f>
        <v/>
      </c>
      <c r="DH266" t="str">
        <f>""</f>
        <v/>
      </c>
      <c r="DI266" t="str">
        <f>""</f>
        <v/>
      </c>
      <c r="DJ266" t="str">
        <f>""</f>
        <v/>
      </c>
      <c r="DK266" t="str">
        <f>""</f>
        <v/>
      </c>
      <c r="DL266" t="str">
        <f>""</f>
        <v/>
      </c>
      <c r="DM266" t="str">
        <f>""</f>
        <v/>
      </c>
      <c r="DN266" t="str">
        <f>""</f>
        <v/>
      </c>
      <c r="DO266" t="str">
        <f>""</f>
        <v/>
      </c>
      <c r="DP266" t="str">
        <f>""</f>
        <v/>
      </c>
      <c r="DQ266" t="str">
        <f>""</f>
        <v/>
      </c>
      <c r="DR266" t="str">
        <f>""</f>
        <v/>
      </c>
      <c r="DS266" t="str">
        <f>""</f>
        <v/>
      </c>
      <c r="DT266" t="str">
        <f>""</f>
        <v/>
      </c>
      <c r="DU266" t="str">
        <f>""</f>
        <v/>
      </c>
    </row>
    <row r="267" spans="1:125">
      <c r="A267" t="str">
        <f>$A$48</f>
        <v xml:space="preserve">    UDR Inc</v>
      </c>
      <c r="B267" t="str">
        <f>$B$48</f>
        <v>UDR US Equity</v>
      </c>
      <c r="C267" t="str">
        <f>$C$48</f>
        <v>IS010</v>
      </c>
      <c r="D267" t="str">
        <f>$D$48</f>
        <v>SALES_REV_TURN</v>
      </c>
      <c r="E267" t="str">
        <f>$E$48</f>
        <v>动态</v>
      </c>
      <c r="F267" t="str">
        <f ca="1">BDH($B$48,$C$48,$B$224,$B$225,CONCATENATE("Per=",$B$222),"Dts=H","Dir=H",CONCATENATE("Points=",$B$223),"Sort=R","Days=A","Fill=B",CONCATENATE("FX=", $B$221) )</f>
        <v>#N/A Authorization</v>
      </c>
      <c r="BN267" t="str">
        <f>""</f>
        <v/>
      </c>
      <c r="BO267" t="str">
        <f>""</f>
        <v/>
      </c>
      <c r="BP267" t="str">
        <f>""</f>
        <v/>
      </c>
      <c r="BQ267" t="str">
        <f>""</f>
        <v/>
      </c>
      <c r="BR267" t="str">
        <f>""</f>
        <v/>
      </c>
      <c r="BS267" t="str">
        <f>""</f>
        <v/>
      </c>
      <c r="BT267" t="str">
        <f>""</f>
        <v/>
      </c>
      <c r="BU267" t="str">
        <f>""</f>
        <v/>
      </c>
      <c r="BV267" t="str">
        <f>""</f>
        <v/>
      </c>
      <c r="BW267" t="str">
        <f>""</f>
        <v/>
      </c>
      <c r="BX267" t="str">
        <f>""</f>
        <v/>
      </c>
      <c r="BY267" t="str">
        <f>""</f>
        <v/>
      </c>
      <c r="BZ267" t="str">
        <f>""</f>
        <v/>
      </c>
      <c r="CA267" t="str">
        <f>""</f>
        <v/>
      </c>
      <c r="CB267" t="str">
        <f>""</f>
        <v/>
      </c>
      <c r="CC267" t="str">
        <f>""</f>
        <v/>
      </c>
      <c r="CD267" t="str">
        <f>""</f>
        <v/>
      </c>
      <c r="CE267" t="str">
        <f>""</f>
        <v/>
      </c>
      <c r="CF267" t="str">
        <f>""</f>
        <v/>
      </c>
      <c r="CG267" t="str">
        <f>""</f>
        <v/>
      </c>
      <c r="CH267" t="str">
        <f>""</f>
        <v/>
      </c>
      <c r="CI267" t="str">
        <f>""</f>
        <v/>
      </c>
      <c r="CJ267" t="str">
        <f>""</f>
        <v/>
      </c>
      <c r="CK267" t="str">
        <f>""</f>
        <v/>
      </c>
      <c r="CL267" t="str">
        <f>""</f>
        <v/>
      </c>
      <c r="CM267" t="str">
        <f>""</f>
        <v/>
      </c>
      <c r="CN267" t="str">
        <f>""</f>
        <v/>
      </c>
      <c r="CO267" t="str">
        <f>""</f>
        <v/>
      </c>
      <c r="CP267" t="str">
        <f>""</f>
        <v/>
      </c>
      <c r="CQ267" t="str">
        <f>""</f>
        <v/>
      </c>
      <c r="CR267" t="str">
        <f>""</f>
        <v/>
      </c>
      <c r="CS267" t="str">
        <f>""</f>
        <v/>
      </c>
      <c r="CT267" t="str">
        <f>""</f>
        <v/>
      </c>
      <c r="CU267" t="str">
        <f>""</f>
        <v/>
      </c>
      <c r="CV267" t="str">
        <f>""</f>
        <v/>
      </c>
      <c r="CW267" t="str">
        <f>""</f>
        <v/>
      </c>
      <c r="CX267" t="str">
        <f>""</f>
        <v/>
      </c>
      <c r="CY267" t="str">
        <f>""</f>
        <v/>
      </c>
      <c r="CZ267" t="str">
        <f>""</f>
        <v/>
      </c>
      <c r="DA267" t="str">
        <f>""</f>
        <v/>
      </c>
      <c r="DB267" t="str">
        <f>""</f>
        <v/>
      </c>
      <c r="DC267" t="str">
        <f>""</f>
        <v/>
      </c>
      <c r="DD267" t="str">
        <f>""</f>
        <v/>
      </c>
      <c r="DE267" t="str">
        <f>""</f>
        <v/>
      </c>
      <c r="DF267" t="str">
        <f>""</f>
        <v/>
      </c>
      <c r="DG267" t="str">
        <f>""</f>
        <v/>
      </c>
      <c r="DH267" t="str">
        <f>""</f>
        <v/>
      </c>
      <c r="DI267" t="str">
        <f>""</f>
        <v/>
      </c>
      <c r="DJ267" t="str">
        <f>""</f>
        <v/>
      </c>
      <c r="DK267" t="str">
        <f>""</f>
        <v/>
      </c>
      <c r="DL267" t="str">
        <f>""</f>
        <v/>
      </c>
      <c r="DM267" t="str">
        <f>""</f>
        <v/>
      </c>
      <c r="DN267" t="str">
        <f>""</f>
        <v/>
      </c>
      <c r="DO267" t="str">
        <f>""</f>
        <v/>
      </c>
      <c r="DP267" t="str">
        <f>""</f>
        <v/>
      </c>
      <c r="DQ267" t="str">
        <f>""</f>
        <v/>
      </c>
      <c r="DR267" t="str">
        <f>""</f>
        <v/>
      </c>
      <c r="DS267" t="str">
        <f>""</f>
        <v/>
      </c>
      <c r="DT267" t="str">
        <f>""</f>
        <v/>
      </c>
      <c r="DU267" t="str">
        <f>""</f>
        <v/>
      </c>
    </row>
    <row r="268" spans="1:125">
      <c r="A268" t="str">
        <f>$A$50</f>
        <v xml:space="preserve">    American Campus Communities In</v>
      </c>
      <c r="B268" t="str">
        <f>$B$50</f>
        <v>ACC US Equity</v>
      </c>
      <c r="C268" t="str">
        <f>$C$50</f>
        <v>RR502</v>
      </c>
      <c r="D268" t="str">
        <f>$D$50</f>
        <v>NET_OPER_INCOME</v>
      </c>
      <c r="E268" t="str">
        <f>$E$50</f>
        <v>动态</v>
      </c>
      <c r="F268" t="str">
        <f ca="1">BDH($B$50,$C$50,$B$224,$B$225,CONCATENATE("Per=",$B$222),"Dts=H","Dir=H",CONCATENATE("Points=",$B$223),"Sort=R","Days=A","Fill=B",CONCATENATE("FX=", $B$221) )</f>
        <v>#N/A Authorization</v>
      </c>
      <c r="BN268" t="str">
        <f>""</f>
        <v/>
      </c>
      <c r="BO268" t="str">
        <f>""</f>
        <v/>
      </c>
      <c r="BP268" t="str">
        <f>""</f>
        <v/>
      </c>
      <c r="BQ268" t="str">
        <f>""</f>
        <v/>
      </c>
      <c r="BR268" t="str">
        <f>""</f>
        <v/>
      </c>
      <c r="BS268" t="str">
        <f>""</f>
        <v/>
      </c>
      <c r="BT268" t="str">
        <f>""</f>
        <v/>
      </c>
      <c r="BU268" t="str">
        <f>""</f>
        <v/>
      </c>
      <c r="BV268" t="str">
        <f>""</f>
        <v/>
      </c>
      <c r="BW268" t="str">
        <f>""</f>
        <v/>
      </c>
      <c r="BX268" t="str">
        <f>""</f>
        <v/>
      </c>
      <c r="BY268" t="str">
        <f>""</f>
        <v/>
      </c>
      <c r="BZ268" t="str">
        <f>""</f>
        <v/>
      </c>
      <c r="CA268" t="str">
        <f>""</f>
        <v/>
      </c>
      <c r="CB268" t="str">
        <f>""</f>
        <v/>
      </c>
      <c r="CC268" t="str">
        <f>""</f>
        <v/>
      </c>
      <c r="CD268" t="str">
        <f>""</f>
        <v/>
      </c>
      <c r="CE268" t="str">
        <f>""</f>
        <v/>
      </c>
      <c r="CF268" t="str">
        <f>""</f>
        <v/>
      </c>
      <c r="CG268" t="str">
        <f>""</f>
        <v/>
      </c>
      <c r="CH268" t="str">
        <f>""</f>
        <v/>
      </c>
      <c r="CI268" t="str">
        <f>""</f>
        <v/>
      </c>
      <c r="CJ268" t="str">
        <f>""</f>
        <v/>
      </c>
      <c r="CK268" t="str">
        <f>""</f>
        <v/>
      </c>
      <c r="CL268" t="str">
        <f>""</f>
        <v/>
      </c>
      <c r="CM268" t="str">
        <f>""</f>
        <v/>
      </c>
      <c r="CN268" t="str">
        <f>""</f>
        <v/>
      </c>
      <c r="CO268" t="str">
        <f>""</f>
        <v/>
      </c>
      <c r="CP268" t="str">
        <f>""</f>
        <v/>
      </c>
      <c r="CQ268" t="str">
        <f>""</f>
        <v/>
      </c>
      <c r="CR268" t="str">
        <f>""</f>
        <v/>
      </c>
      <c r="CS268" t="str">
        <f>""</f>
        <v/>
      </c>
      <c r="CT268" t="str">
        <f>""</f>
        <v/>
      </c>
      <c r="CU268" t="str">
        <f>""</f>
        <v/>
      </c>
      <c r="CV268" t="str">
        <f>""</f>
        <v/>
      </c>
      <c r="CW268" t="str">
        <f>""</f>
        <v/>
      </c>
      <c r="CX268" t="str">
        <f>""</f>
        <v/>
      </c>
      <c r="CY268" t="str">
        <f>""</f>
        <v/>
      </c>
      <c r="CZ268" t="str">
        <f>""</f>
        <v/>
      </c>
      <c r="DA268" t="str">
        <f>""</f>
        <v/>
      </c>
      <c r="DB268" t="str">
        <f>""</f>
        <v/>
      </c>
      <c r="DC268" t="str">
        <f>""</f>
        <v/>
      </c>
      <c r="DD268" t="str">
        <f>""</f>
        <v/>
      </c>
      <c r="DE268" t="str">
        <f>""</f>
        <v/>
      </c>
      <c r="DF268" t="str">
        <f>""</f>
        <v/>
      </c>
      <c r="DG268" t="str">
        <f>""</f>
        <v/>
      </c>
      <c r="DH268" t="str">
        <f>""</f>
        <v/>
      </c>
      <c r="DI268" t="str">
        <f>""</f>
        <v/>
      </c>
      <c r="DJ268" t="str">
        <f>""</f>
        <v/>
      </c>
      <c r="DK268" t="str">
        <f>""</f>
        <v/>
      </c>
      <c r="DL268" t="str">
        <f>""</f>
        <v/>
      </c>
      <c r="DM268" t="str">
        <f>""</f>
        <v/>
      </c>
      <c r="DN268" t="str">
        <f>""</f>
        <v/>
      </c>
      <c r="DO268" t="str">
        <f>""</f>
        <v/>
      </c>
      <c r="DP268" t="str">
        <f>""</f>
        <v/>
      </c>
      <c r="DQ268" t="str">
        <f>""</f>
        <v/>
      </c>
      <c r="DR268" t="str">
        <f>""</f>
        <v/>
      </c>
      <c r="DS268" t="str">
        <f>""</f>
        <v/>
      </c>
      <c r="DT268" t="str">
        <f>""</f>
        <v/>
      </c>
      <c r="DU268" t="str">
        <f>""</f>
        <v/>
      </c>
    </row>
    <row r="269" spans="1:125">
      <c r="A269" t="str">
        <f>$A$51</f>
        <v xml:space="preserve">    AvalonBay Communities Inc</v>
      </c>
      <c r="B269" t="str">
        <f>$B$51</f>
        <v>AVB US Equity</v>
      </c>
      <c r="C269" t="str">
        <f>$C$51</f>
        <v>RR502</v>
      </c>
      <c r="D269" t="str">
        <f>$D$51</f>
        <v>NET_OPER_INCOME</v>
      </c>
      <c r="E269" t="str">
        <f>$E$51</f>
        <v>动态</v>
      </c>
      <c r="F269" t="str">
        <f ca="1">BDH($B$51,$C$51,$B$224,$B$225,CONCATENATE("Per=",$B$222),"Dts=H","Dir=H",CONCATENATE("Points=",$B$223),"Sort=R","Days=A","Fill=B",CONCATENATE("FX=", $B$221) )</f>
        <v>#N/A Authorization</v>
      </c>
      <c r="BN269" t="str">
        <f>""</f>
        <v/>
      </c>
      <c r="BO269" t="str">
        <f>""</f>
        <v/>
      </c>
      <c r="BP269" t="str">
        <f>""</f>
        <v/>
      </c>
      <c r="BQ269" t="str">
        <f>""</f>
        <v/>
      </c>
      <c r="BR269" t="str">
        <f>""</f>
        <v/>
      </c>
      <c r="BS269" t="str">
        <f>""</f>
        <v/>
      </c>
      <c r="BT269" t="str">
        <f>""</f>
        <v/>
      </c>
      <c r="BU269" t="str">
        <f>""</f>
        <v/>
      </c>
      <c r="BV269" t="str">
        <f>""</f>
        <v/>
      </c>
      <c r="BW269" t="str">
        <f>""</f>
        <v/>
      </c>
      <c r="BX269" t="str">
        <f>""</f>
        <v/>
      </c>
      <c r="BY269" t="str">
        <f>""</f>
        <v/>
      </c>
      <c r="BZ269" t="str">
        <f>""</f>
        <v/>
      </c>
      <c r="CA269" t="str">
        <f>""</f>
        <v/>
      </c>
      <c r="CB269" t="str">
        <f>""</f>
        <v/>
      </c>
      <c r="CC269" t="str">
        <f>""</f>
        <v/>
      </c>
      <c r="CD269" t="str">
        <f>""</f>
        <v/>
      </c>
      <c r="CE269" t="str">
        <f>""</f>
        <v/>
      </c>
      <c r="CF269" t="str">
        <f>""</f>
        <v/>
      </c>
      <c r="CG269" t="str">
        <f>""</f>
        <v/>
      </c>
      <c r="CH269" t="str">
        <f>""</f>
        <v/>
      </c>
      <c r="CI269" t="str">
        <f>""</f>
        <v/>
      </c>
      <c r="CJ269" t="str">
        <f>""</f>
        <v/>
      </c>
      <c r="CK269" t="str">
        <f>""</f>
        <v/>
      </c>
      <c r="CL269" t="str">
        <f>""</f>
        <v/>
      </c>
      <c r="CM269" t="str">
        <f>""</f>
        <v/>
      </c>
      <c r="CN269" t="str">
        <f>""</f>
        <v/>
      </c>
      <c r="CO269" t="str">
        <f>""</f>
        <v/>
      </c>
      <c r="CP269" t="str">
        <f>""</f>
        <v/>
      </c>
      <c r="CQ269" t="str">
        <f>""</f>
        <v/>
      </c>
      <c r="CR269" t="str">
        <f>""</f>
        <v/>
      </c>
      <c r="CS269" t="str">
        <f>""</f>
        <v/>
      </c>
      <c r="CT269" t="str">
        <f>""</f>
        <v/>
      </c>
      <c r="CU269" t="str">
        <f>""</f>
        <v/>
      </c>
      <c r="CV269" t="str">
        <f>""</f>
        <v/>
      </c>
      <c r="CW269" t="str">
        <f>""</f>
        <v/>
      </c>
      <c r="CX269" t="str">
        <f>""</f>
        <v/>
      </c>
      <c r="CY269" t="str">
        <f>""</f>
        <v/>
      </c>
      <c r="CZ269" t="str">
        <f>""</f>
        <v/>
      </c>
      <c r="DA269" t="str">
        <f>""</f>
        <v/>
      </c>
      <c r="DB269" t="str">
        <f>""</f>
        <v/>
      </c>
      <c r="DC269" t="str">
        <f>""</f>
        <v/>
      </c>
      <c r="DD269" t="str">
        <f>""</f>
        <v/>
      </c>
      <c r="DE269" t="str">
        <f>""</f>
        <v/>
      </c>
      <c r="DF269" t="str">
        <f>""</f>
        <v/>
      </c>
      <c r="DG269" t="str">
        <f>""</f>
        <v/>
      </c>
      <c r="DH269" t="str">
        <f>""</f>
        <v/>
      </c>
      <c r="DI269" t="str">
        <f>""</f>
        <v/>
      </c>
      <c r="DJ269" t="str">
        <f>""</f>
        <v/>
      </c>
      <c r="DK269" t="str">
        <f>""</f>
        <v/>
      </c>
      <c r="DL269" t="str">
        <f>""</f>
        <v/>
      </c>
      <c r="DM269" t="str">
        <f>""</f>
        <v/>
      </c>
      <c r="DN269" t="str">
        <f>""</f>
        <v/>
      </c>
      <c r="DO269" t="str">
        <f>""</f>
        <v/>
      </c>
      <c r="DP269" t="str">
        <f>""</f>
        <v/>
      </c>
      <c r="DQ269" t="str">
        <f>""</f>
        <v/>
      </c>
      <c r="DR269" t="str">
        <f>""</f>
        <v/>
      </c>
      <c r="DS269" t="str">
        <f>""</f>
        <v/>
      </c>
      <c r="DT269" t="str">
        <f>""</f>
        <v/>
      </c>
      <c r="DU269" t="str">
        <f>""</f>
        <v/>
      </c>
    </row>
    <row r="270" spans="1:125">
      <c r="A270" t="str">
        <f>$A$52</f>
        <v xml:space="preserve">    Camden Property Trust</v>
      </c>
      <c r="B270" t="str">
        <f>$B$52</f>
        <v>CPT US Equity</v>
      </c>
      <c r="C270" t="str">
        <f>$C$52</f>
        <v>RR502</v>
      </c>
      <c r="D270" t="str">
        <f>$D$52</f>
        <v>NET_OPER_INCOME</v>
      </c>
      <c r="E270" t="str">
        <f>$E$52</f>
        <v>动态</v>
      </c>
      <c r="F270" t="str">
        <f ca="1">BDH($B$52,$C$52,$B$224,$B$225,CONCATENATE("Per=",$B$222),"Dts=H","Dir=H",CONCATENATE("Points=",$B$223),"Sort=R","Days=A","Fill=B",CONCATENATE("FX=", $B$221) )</f>
        <v>#N/A Authorization</v>
      </c>
      <c r="BN270" t="str">
        <f>""</f>
        <v/>
      </c>
      <c r="BO270" t="str">
        <f>""</f>
        <v/>
      </c>
      <c r="BP270" t="str">
        <f>""</f>
        <v/>
      </c>
      <c r="BQ270" t="str">
        <f>""</f>
        <v/>
      </c>
      <c r="BR270" t="str">
        <f>""</f>
        <v/>
      </c>
      <c r="BS270" t="str">
        <f>""</f>
        <v/>
      </c>
      <c r="BT270" t="str">
        <f>""</f>
        <v/>
      </c>
      <c r="BU270" t="str">
        <f>""</f>
        <v/>
      </c>
      <c r="BV270" t="str">
        <f>""</f>
        <v/>
      </c>
      <c r="BW270" t="str">
        <f>""</f>
        <v/>
      </c>
      <c r="BX270" t="str">
        <f>""</f>
        <v/>
      </c>
      <c r="BY270" t="str">
        <f>""</f>
        <v/>
      </c>
      <c r="BZ270" t="str">
        <f>""</f>
        <v/>
      </c>
      <c r="CA270" t="str">
        <f>""</f>
        <v/>
      </c>
      <c r="CB270" t="str">
        <f>""</f>
        <v/>
      </c>
      <c r="CC270" t="str">
        <f>""</f>
        <v/>
      </c>
      <c r="CD270" t="str">
        <f>""</f>
        <v/>
      </c>
      <c r="CE270" t="str">
        <f>""</f>
        <v/>
      </c>
      <c r="CF270" t="str">
        <f>""</f>
        <v/>
      </c>
      <c r="CG270" t="str">
        <f>""</f>
        <v/>
      </c>
      <c r="CH270" t="str">
        <f>""</f>
        <v/>
      </c>
      <c r="CI270" t="str">
        <f>""</f>
        <v/>
      </c>
      <c r="CJ270" t="str">
        <f>""</f>
        <v/>
      </c>
      <c r="CK270" t="str">
        <f>""</f>
        <v/>
      </c>
      <c r="CL270" t="str">
        <f>""</f>
        <v/>
      </c>
      <c r="CM270" t="str">
        <f>""</f>
        <v/>
      </c>
      <c r="CN270" t="str">
        <f>""</f>
        <v/>
      </c>
      <c r="CO270" t="str">
        <f>""</f>
        <v/>
      </c>
      <c r="CP270" t="str">
        <f>""</f>
        <v/>
      </c>
      <c r="CQ270" t="str">
        <f>""</f>
        <v/>
      </c>
      <c r="CR270" t="str">
        <f>""</f>
        <v/>
      </c>
      <c r="CS270" t="str">
        <f>""</f>
        <v/>
      </c>
      <c r="CT270" t="str">
        <f>""</f>
        <v/>
      </c>
      <c r="CU270" t="str">
        <f>""</f>
        <v/>
      </c>
      <c r="CV270" t="str">
        <f>""</f>
        <v/>
      </c>
      <c r="CW270" t="str">
        <f>""</f>
        <v/>
      </c>
      <c r="CX270" t="str">
        <f>""</f>
        <v/>
      </c>
      <c r="CY270" t="str">
        <f>""</f>
        <v/>
      </c>
      <c r="CZ270" t="str">
        <f>""</f>
        <v/>
      </c>
      <c r="DA270" t="str">
        <f>""</f>
        <v/>
      </c>
      <c r="DB270" t="str">
        <f>""</f>
        <v/>
      </c>
      <c r="DC270" t="str">
        <f>""</f>
        <v/>
      </c>
      <c r="DD270" t="str">
        <f>""</f>
        <v/>
      </c>
      <c r="DE270" t="str">
        <f>""</f>
        <v/>
      </c>
      <c r="DF270" t="str">
        <f>""</f>
        <v/>
      </c>
      <c r="DG270" t="str">
        <f>""</f>
        <v/>
      </c>
      <c r="DH270" t="str">
        <f>""</f>
        <v/>
      </c>
      <c r="DI270" t="str">
        <f>""</f>
        <v/>
      </c>
      <c r="DJ270" t="str">
        <f>""</f>
        <v/>
      </c>
      <c r="DK270" t="str">
        <f>""</f>
        <v/>
      </c>
      <c r="DL270" t="str">
        <f>""</f>
        <v/>
      </c>
      <c r="DM270" t="str">
        <f>""</f>
        <v/>
      </c>
      <c r="DN270" t="str">
        <f>""</f>
        <v/>
      </c>
      <c r="DO270" t="str">
        <f>""</f>
        <v/>
      </c>
      <c r="DP270" t="str">
        <f>""</f>
        <v/>
      </c>
      <c r="DQ270" t="str">
        <f>""</f>
        <v/>
      </c>
      <c r="DR270" t="str">
        <f>""</f>
        <v/>
      </c>
      <c r="DS270" t="str">
        <f>""</f>
        <v/>
      </c>
      <c r="DT270" t="str">
        <f>""</f>
        <v/>
      </c>
      <c r="DU270" t="str">
        <f>""</f>
        <v/>
      </c>
    </row>
    <row r="271" spans="1:125">
      <c r="A271" t="str">
        <f>$A$53</f>
        <v xml:space="preserve">    Education Realty Trust Inc</v>
      </c>
      <c r="B271" t="str">
        <f>$B$53</f>
        <v>EDR US Equity</v>
      </c>
      <c r="C271" t="str">
        <f>$C$53</f>
        <v>RR502</v>
      </c>
      <c r="D271" t="str">
        <f>$D$53</f>
        <v>NET_OPER_INCOME</v>
      </c>
      <c r="E271" t="str">
        <f>$E$53</f>
        <v>动态</v>
      </c>
      <c r="F271" t="str">
        <f ca="1">BDH($B$53,$C$53,$B$224,$B$225,CONCATENATE("Per=",$B$222),"Dts=H","Dir=H",CONCATENATE("Points=",$B$223),"Sort=R","Days=A","Fill=B",CONCATENATE("FX=", $B$221) )</f>
        <v>#N/A Authorization</v>
      </c>
      <c r="BN271" t="str">
        <f>""</f>
        <v/>
      </c>
      <c r="BO271" t="str">
        <f>""</f>
        <v/>
      </c>
      <c r="BP271" t="str">
        <f>""</f>
        <v/>
      </c>
      <c r="BQ271" t="str">
        <f>""</f>
        <v/>
      </c>
      <c r="BR271" t="str">
        <f>""</f>
        <v/>
      </c>
      <c r="BS271" t="str">
        <f>""</f>
        <v/>
      </c>
      <c r="BT271" t="str">
        <f>""</f>
        <v/>
      </c>
      <c r="BU271" t="str">
        <f>""</f>
        <v/>
      </c>
      <c r="BV271" t="str">
        <f>""</f>
        <v/>
      </c>
      <c r="BW271" t="str">
        <f>""</f>
        <v/>
      </c>
      <c r="BX271" t="str">
        <f>""</f>
        <v/>
      </c>
      <c r="BY271" t="str">
        <f>""</f>
        <v/>
      </c>
      <c r="BZ271" t="str">
        <f>""</f>
        <v/>
      </c>
      <c r="CA271" t="str">
        <f>""</f>
        <v/>
      </c>
      <c r="CB271" t="str">
        <f>""</f>
        <v/>
      </c>
      <c r="CC271" t="str">
        <f>""</f>
        <v/>
      </c>
      <c r="CD271" t="str">
        <f>""</f>
        <v/>
      </c>
      <c r="CE271" t="str">
        <f>""</f>
        <v/>
      </c>
      <c r="CF271" t="str">
        <f>""</f>
        <v/>
      </c>
      <c r="CG271" t="str">
        <f>""</f>
        <v/>
      </c>
      <c r="CH271" t="str">
        <f>""</f>
        <v/>
      </c>
      <c r="CI271" t="str">
        <f>""</f>
        <v/>
      </c>
      <c r="CJ271" t="str">
        <f>""</f>
        <v/>
      </c>
      <c r="CK271" t="str">
        <f>""</f>
        <v/>
      </c>
      <c r="CL271" t="str">
        <f>""</f>
        <v/>
      </c>
      <c r="CM271" t="str">
        <f>""</f>
        <v/>
      </c>
      <c r="CN271" t="str">
        <f>""</f>
        <v/>
      </c>
      <c r="CO271" t="str">
        <f>""</f>
        <v/>
      </c>
      <c r="CP271" t="str">
        <f>""</f>
        <v/>
      </c>
      <c r="CQ271" t="str">
        <f>""</f>
        <v/>
      </c>
      <c r="CR271" t="str">
        <f>""</f>
        <v/>
      </c>
      <c r="CS271" t="str">
        <f>""</f>
        <v/>
      </c>
      <c r="CT271" t="str">
        <f>""</f>
        <v/>
      </c>
      <c r="CU271" t="str">
        <f>""</f>
        <v/>
      </c>
      <c r="CV271" t="str">
        <f>""</f>
        <v/>
      </c>
      <c r="CW271" t="str">
        <f>""</f>
        <v/>
      </c>
      <c r="CX271" t="str">
        <f>""</f>
        <v/>
      </c>
      <c r="CY271" t="str">
        <f>""</f>
        <v/>
      </c>
      <c r="CZ271" t="str">
        <f>""</f>
        <v/>
      </c>
      <c r="DA271" t="str">
        <f>""</f>
        <v/>
      </c>
      <c r="DB271" t="str">
        <f>""</f>
        <v/>
      </c>
      <c r="DC271" t="str">
        <f>""</f>
        <v/>
      </c>
      <c r="DD271" t="str">
        <f>""</f>
        <v/>
      </c>
      <c r="DE271" t="str">
        <f>""</f>
        <v/>
      </c>
      <c r="DF271" t="str">
        <f>""</f>
        <v/>
      </c>
      <c r="DG271" t="str">
        <f>""</f>
        <v/>
      </c>
      <c r="DH271" t="str">
        <f>""</f>
        <v/>
      </c>
      <c r="DI271" t="str">
        <f>""</f>
        <v/>
      </c>
      <c r="DJ271" t="str">
        <f>""</f>
        <v/>
      </c>
      <c r="DK271" t="str">
        <f>""</f>
        <v/>
      </c>
      <c r="DL271" t="str">
        <f>""</f>
        <v/>
      </c>
      <c r="DM271" t="str">
        <f>""</f>
        <v/>
      </c>
      <c r="DN271" t="str">
        <f>""</f>
        <v/>
      </c>
      <c r="DO271" t="str">
        <f>""</f>
        <v/>
      </c>
      <c r="DP271" t="str">
        <f>""</f>
        <v/>
      </c>
      <c r="DQ271" t="str">
        <f>""</f>
        <v/>
      </c>
      <c r="DR271" t="str">
        <f>""</f>
        <v/>
      </c>
      <c r="DS271" t="str">
        <f>""</f>
        <v/>
      </c>
      <c r="DT271" t="str">
        <f>""</f>
        <v/>
      </c>
      <c r="DU271" t="str">
        <f>""</f>
        <v/>
      </c>
    </row>
    <row r="272" spans="1:125">
      <c r="A272" t="str">
        <f>$A$54</f>
        <v xml:space="preserve">    Equity Residential</v>
      </c>
      <c r="B272" t="str">
        <f>$B$54</f>
        <v>EQR US Equity</v>
      </c>
      <c r="C272" t="str">
        <f>$C$54</f>
        <v>RR502</v>
      </c>
      <c r="D272" t="str">
        <f>$D$54</f>
        <v>NET_OPER_INCOME</v>
      </c>
      <c r="E272" t="str">
        <f>$E$54</f>
        <v>动态</v>
      </c>
      <c r="F272" t="str">
        <f ca="1">BDH($B$54,$C$54,$B$224,$B$225,CONCATENATE("Per=",$B$222),"Dts=H","Dir=H",CONCATENATE("Points=",$B$223),"Sort=R","Days=A","Fill=B",CONCATENATE("FX=", $B$221) )</f>
        <v>#N/A Authorization</v>
      </c>
      <c r="BN272" t="str">
        <f>""</f>
        <v/>
      </c>
      <c r="BO272" t="str">
        <f>""</f>
        <v/>
      </c>
      <c r="BP272" t="str">
        <f>""</f>
        <v/>
      </c>
      <c r="BQ272" t="str">
        <f>""</f>
        <v/>
      </c>
      <c r="BR272" t="str">
        <f>""</f>
        <v/>
      </c>
      <c r="BS272" t="str">
        <f>""</f>
        <v/>
      </c>
      <c r="BT272" t="str">
        <f>""</f>
        <v/>
      </c>
      <c r="BU272" t="str">
        <f>""</f>
        <v/>
      </c>
      <c r="BV272" t="str">
        <f>""</f>
        <v/>
      </c>
      <c r="BW272" t="str">
        <f>""</f>
        <v/>
      </c>
      <c r="BX272" t="str">
        <f>""</f>
        <v/>
      </c>
      <c r="BY272" t="str">
        <f>""</f>
        <v/>
      </c>
      <c r="BZ272" t="str">
        <f>""</f>
        <v/>
      </c>
      <c r="CA272" t="str">
        <f>""</f>
        <v/>
      </c>
      <c r="CB272" t="str">
        <f>""</f>
        <v/>
      </c>
      <c r="CC272" t="str">
        <f>""</f>
        <v/>
      </c>
      <c r="CD272" t="str">
        <f>""</f>
        <v/>
      </c>
      <c r="CE272" t="str">
        <f>""</f>
        <v/>
      </c>
      <c r="CF272" t="str">
        <f>""</f>
        <v/>
      </c>
      <c r="CG272" t="str">
        <f>""</f>
        <v/>
      </c>
      <c r="CH272" t="str">
        <f>""</f>
        <v/>
      </c>
      <c r="CI272" t="str">
        <f>""</f>
        <v/>
      </c>
      <c r="CJ272" t="str">
        <f>""</f>
        <v/>
      </c>
      <c r="CK272" t="str">
        <f>""</f>
        <v/>
      </c>
      <c r="CL272" t="str">
        <f>""</f>
        <v/>
      </c>
      <c r="CM272" t="str">
        <f>""</f>
        <v/>
      </c>
      <c r="CN272" t="str">
        <f>""</f>
        <v/>
      </c>
      <c r="CO272" t="str">
        <f>""</f>
        <v/>
      </c>
      <c r="CP272" t="str">
        <f>""</f>
        <v/>
      </c>
      <c r="CQ272" t="str">
        <f>""</f>
        <v/>
      </c>
      <c r="CR272" t="str">
        <f>""</f>
        <v/>
      </c>
      <c r="CS272" t="str">
        <f>""</f>
        <v/>
      </c>
      <c r="CT272" t="str">
        <f>""</f>
        <v/>
      </c>
      <c r="CU272" t="str">
        <f>""</f>
        <v/>
      </c>
      <c r="CV272" t="str">
        <f>""</f>
        <v/>
      </c>
      <c r="CW272" t="str">
        <f>""</f>
        <v/>
      </c>
      <c r="CX272" t="str">
        <f>""</f>
        <v/>
      </c>
      <c r="CY272" t="str">
        <f>""</f>
        <v/>
      </c>
      <c r="CZ272" t="str">
        <f>""</f>
        <v/>
      </c>
      <c r="DA272" t="str">
        <f>""</f>
        <v/>
      </c>
      <c r="DB272" t="str">
        <f>""</f>
        <v/>
      </c>
      <c r="DC272" t="str">
        <f>""</f>
        <v/>
      </c>
      <c r="DD272" t="str">
        <f>""</f>
        <v/>
      </c>
      <c r="DE272" t="str">
        <f>""</f>
        <v/>
      </c>
      <c r="DF272" t="str">
        <f>""</f>
        <v/>
      </c>
      <c r="DG272" t="str">
        <f>""</f>
        <v/>
      </c>
      <c r="DH272" t="str">
        <f>""</f>
        <v/>
      </c>
      <c r="DI272" t="str">
        <f>""</f>
        <v/>
      </c>
      <c r="DJ272" t="str">
        <f>""</f>
        <v/>
      </c>
      <c r="DK272" t="str">
        <f>""</f>
        <v/>
      </c>
      <c r="DL272" t="str">
        <f>""</f>
        <v/>
      </c>
      <c r="DM272" t="str">
        <f>""</f>
        <v/>
      </c>
      <c r="DN272" t="str">
        <f>""</f>
        <v/>
      </c>
      <c r="DO272" t="str">
        <f>""</f>
        <v/>
      </c>
      <c r="DP272" t="str">
        <f>""</f>
        <v/>
      </c>
      <c r="DQ272" t="str">
        <f>""</f>
        <v/>
      </c>
      <c r="DR272" t="str">
        <f>""</f>
        <v/>
      </c>
      <c r="DS272" t="str">
        <f>""</f>
        <v/>
      </c>
      <c r="DT272" t="str">
        <f>""</f>
        <v/>
      </c>
      <c r="DU272" t="str">
        <f>""</f>
        <v/>
      </c>
    </row>
    <row r="273" spans="1:125">
      <c r="A273" t="str">
        <f>$A$55</f>
        <v xml:space="preserve">    Essex Property Trust Inc</v>
      </c>
      <c r="B273" t="str">
        <f>$B$55</f>
        <v>ESS US Equity</v>
      </c>
      <c r="C273" t="str">
        <f>$C$55</f>
        <v>RR502</v>
      </c>
      <c r="D273" t="str">
        <f>$D$55</f>
        <v>NET_OPER_INCOME</v>
      </c>
      <c r="E273" t="str">
        <f>$E$55</f>
        <v>动态</v>
      </c>
      <c r="F273" t="str">
        <f ca="1">BDH($B$55,$C$55,$B$224,$B$225,CONCATENATE("Per=",$B$222),"Dts=H","Dir=H",CONCATENATE("Points=",$B$223),"Sort=R","Days=A","Fill=B",CONCATENATE("FX=", $B$221) )</f>
        <v>#N/A Authorization</v>
      </c>
      <c r="BN273" t="str">
        <f>""</f>
        <v/>
      </c>
      <c r="BO273" t="str">
        <f>""</f>
        <v/>
      </c>
      <c r="BP273" t="str">
        <f>""</f>
        <v/>
      </c>
      <c r="BQ273" t="str">
        <f>""</f>
        <v/>
      </c>
      <c r="BR273" t="str">
        <f>""</f>
        <v/>
      </c>
      <c r="BS273" t="str">
        <f>""</f>
        <v/>
      </c>
      <c r="BT273" t="str">
        <f>""</f>
        <v/>
      </c>
      <c r="BU273" t="str">
        <f>""</f>
        <v/>
      </c>
      <c r="BV273" t="str">
        <f>""</f>
        <v/>
      </c>
      <c r="BW273" t="str">
        <f>""</f>
        <v/>
      </c>
      <c r="BX273" t="str">
        <f>""</f>
        <v/>
      </c>
      <c r="BY273" t="str">
        <f>""</f>
        <v/>
      </c>
      <c r="BZ273" t="str">
        <f>""</f>
        <v/>
      </c>
      <c r="CA273" t="str">
        <f>""</f>
        <v/>
      </c>
      <c r="CB273" t="str">
        <f>""</f>
        <v/>
      </c>
      <c r="CC273" t="str">
        <f>""</f>
        <v/>
      </c>
      <c r="CD273" t="str">
        <f>""</f>
        <v/>
      </c>
      <c r="CE273" t="str">
        <f>""</f>
        <v/>
      </c>
      <c r="CF273" t="str">
        <f>""</f>
        <v/>
      </c>
      <c r="CG273" t="str">
        <f>""</f>
        <v/>
      </c>
      <c r="CH273" t="str">
        <f>""</f>
        <v/>
      </c>
      <c r="CI273" t="str">
        <f>""</f>
        <v/>
      </c>
      <c r="CJ273" t="str">
        <f>""</f>
        <v/>
      </c>
      <c r="CK273" t="str">
        <f>""</f>
        <v/>
      </c>
      <c r="CL273" t="str">
        <f>""</f>
        <v/>
      </c>
      <c r="CM273" t="str">
        <f>""</f>
        <v/>
      </c>
      <c r="CN273" t="str">
        <f>""</f>
        <v/>
      </c>
      <c r="CO273" t="str">
        <f>""</f>
        <v/>
      </c>
      <c r="CP273" t="str">
        <f>""</f>
        <v/>
      </c>
      <c r="CQ273" t="str">
        <f>""</f>
        <v/>
      </c>
      <c r="CR273" t="str">
        <f>""</f>
        <v/>
      </c>
      <c r="CS273" t="str">
        <f>""</f>
        <v/>
      </c>
      <c r="CT273" t="str">
        <f>""</f>
        <v/>
      </c>
      <c r="CU273" t="str">
        <f>""</f>
        <v/>
      </c>
      <c r="CV273" t="str">
        <f>""</f>
        <v/>
      </c>
      <c r="CW273" t="str">
        <f>""</f>
        <v/>
      </c>
      <c r="CX273" t="str">
        <f>""</f>
        <v/>
      </c>
      <c r="CY273" t="str">
        <f>""</f>
        <v/>
      </c>
      <c r="CZ273" t="str">
        <f>""</f>
        <v/>
      </c>
      <c r="DA273" t="str">
        <f>""</f>
        <v/>
      </c>
      <c r="DB273" t="str">
        <f>""</f>
        <v/>
      </c>
      <c r="DC273" t="str">
        <f>""</f>
        <v/>
      </c>
      <c r="DD273" t="str">
        <f>""</f>
        <v/>
      </c>
      <c r="DE273" t="str">
        <f>""</f>
        <v/>
      </c>
      <c r="DF273" t="str">
        <f>""</f>
        <v/>
      </c>
      <c r="DG273" t="str">
        <f>""</f>
        <v/>
      </c>
      <c r="DH273" t="str">
        <f>""</f>
        <v/>
      </c>
      <c r="DI273" t="str">
        <f>""</f>
        <v/>
      </c>
      <c r="DJ273" t="str">
        <f>""</f>
        <v/>
      </c>
      <c r="DK273" t="str">
        <f>""</f>
        <v/>
      </c>
      <c r="DL273" t="str">
        <f>""</f>
        <v/>
      </c>
      <c r="DM273" t="str">
        <f>""</f>
        <v/>
      </c>
      <c r="DN273" t="str">
        <f>""</f>
        <v/>
      </c>
      <c r="DO273" t="str">
        <f>""</f>
        <v/>
      </c>
      <c r="DP273" t="str">
        <f>""</f>
        <v/>
      </c>
      <c r="DQ273" t="str">
        <f>""</f>
        <v/>
      </c>
      <c r="DR273" t="str">
        <f>""</f>
        <v/>
      </c>
      <c r="DS273" t="str">
        <f>""</f>
        <v/>
      </c>
      <c r="DT273" t="str">
        <f>""</f>
        <v/>
      </c>
      <c r="DU273" t="str">
        <f>""</f>
        <v/>
      </c>
    </row>
    <row r="274" spans="1:125">
      <c r="A274" t="str">
        <f>$A$56</f>
        <v xml:space="preserve">    Mid-America Apartment Communit</v>
      </c>
      <c r="B274" t="str">
        <f>$B$56</f>
        <v>MAA US Equity</v>
      </c>
      <c r="C274" t="str">
        <f>$C$56</f>
        <v>RR502</v>
      </c>
      <c r="D274" t="str">
        <f>$D$56</f>
        <v>NET_OPER_INCOME</v>
      </c>
      <c r="E274" t="str">
        <f>$E$56</f>
        <v>动态</v>
      </c>
      <c r="F274" t="str">
        <f ca="1">BDH($B$56,$C$56,$B$224,$B$225,CONCATENATE("Per=",$B$222),"Dts=H","Dir=H",CONCATENATE("Points=",$B$223),"Sort=R","Days=A","Fill=B",CONCATENATE("FX=", $B$221) )</f>
        <v>#N/A Authorization</v>
      </c>
      <c r="BN274" t="str">
        <f>""</f>
        <v/>
      </c>
      <c r="BO274" t="str">
        <f>""</f>
        <v/>
      </c>
      <c r="BP274" t="str">
        <f>""</f>
        <v/>
      </c>
      <c r="BQ274" t="str">
        <f>""</f>
        <v/>
      </c>
      <c r="BR274" t="str">
        <f>""</f>
        <v/>
      </c>
      <c r="BS274" t="str">
        <f>""</f>
        <v/>
      </c>
      <c r="BT274" t="str">
        <f>""</f>
        <v/>
      </c>
      <c r="BU274" t="str">
        <f>""</f>
        <v/>
      </c>
      <c r="BV274" t="str">
        <f>""</f>
        <v/>
      </c>
      <c r="BW274" t="str">
        <f>""</f>
        <v/>
      </c>
      <c r="BX274" t="str">
        <f>""</f>
        <v/>
      </c>
      <c r="BY274" t="str">
        <f>""</f>
        <v/>
      </c>
      <c r="BZ274" t="str">
        <f>""</f>
        <v/>
      </c>
      <c r="CA274" t="str">
        <f>""</f>
        <v/>
      </c>
      <c r="CB274" t="str">
        <f>""</f>
        <v/>
      </c>
      <c r="CC274" t="str">
        <f>""</f>
        <v/>
      </c>
      <c r="CD274" t="str">
        <f>""</f>
        <v/>
      </c>
      <c r="CE274" t="str">
        <f>""</f>
        <v/>
      </c>
      <c r="CF274" t="str">
        <f>""</f>
        <v/>
      </c>
      <c r="CG274" t="str">
        <f>""</f>
        <v/>
      </c>
      <c r="CH274" t="str">
        <f>""</f>
        <v/>
      </c>
      <c r="CI274" t="str">
        <f>""</f>
        <v/>
      </c>
      <c r="CJ274" t="str">
        <f>""</f>
        <v/>
      </c>
      <c r="CK274" t="str">
        <f>""</f>
        <v/>
      </c>
      <c r="CL274" t="str">
        <f>""</f>
        <v/>
      </c>
      <c r="CM274" t="str">
        <f>""</f>
        <v/>
      </c>
      <c r="CN274" t="str">
        <f>""</f>
        <v/>
      </c>
      <c r="CO274" t="str">
        <f>""</f>
        <v/>
      </c>
      <c r="CP274" t="str">
        <f>""</f>
        <v/>
      </c>
      <c r="CQ274" t="str">
        <f>""</f>
        <v/>
      </c>
      <c r="CR274" t="str">
        <f>""</f>
        <v/>
      </c>
      <c r="CS274" t="str">
        <f>""</f>
        <v/>
      </c>
      <c r="CT274" t="str">
        <f>""</f>
        <v/>
      </c>
      <c r="CU274" t="str">
        <f>""</f>
        <v/>
      </c>
      <c r="CV274" t="str">
        <f>""</f>
        <v/>
      </c>
      <c r="CW274" t="str">
        <f>""</f>
        <v/>
      </c>
      <c r="CX274" t="str">
        <f>""</f>
        <v/>
      </c>
      <c r="CY274" t="str">
        <f>""</f>
        <v/>
      </c>
      <c r="CZ274" t="str">
        <f>""</f>
        <v/>
      </c>
      <c r="DA274" t="str">
        <f>""</f>
        <v/>
      </c>
      <c r="DB274" t="str">
        <f>""</f>
        <v/>
      </c>
      <c r="DC274" t="str">
        <f>""</f>
        <v/>
      </c>
      <c r="DD274" t="str">
        <f>""</f>
        <v/>
      </c>
      <c r="DE274" t="str">
        <f>""</f>
        <v/>
      </c>
      <c r="DF274" t="str">
        <f>""</f>
        <v/>
      </c>
      <c r="DG274" t="str">
        <f>""</f>
        <v/>
      </c>
      <c r="DH274" t="str">
        <f>""</f>
        <v/>
      </c>
      <c r="DI274" t="str">
        <f>""</f>
        <v/>
      </c>
      <c r="DJ274" t="str">
        <f>""</f>
        <v/>
      </c>
      <c r="DK274" t="str">
        <f>""</f>
        <v/>
      </c>
      <c r="DL274" t="str">
        <f>""</f>
        <v/>
      </c>
      <c r="DM274" t="str">
        <f>""</f>
        <v/>
      </c>
      <c r="DN274" t="str">
        <f>""</f>
        <v/>
      </c>
      <c r="DO274" t="str">
        <f>""</f>
        <v/>
      </c>
      <c r="DP274" t="str">
        <f>""</f>
        <v/>
      </c>
      <c r="DQ274" t="str">
        <f>""</f>
        <v/>
      </c>
      <c r="DR274" t="str">
        <f>""</f>
        <v/>
      </c>
      <c r="DS274" t="str">
        <f>""</f>
        <v/>
      </c>
      <c r="DT274" t="str">
        <f>""</f>
        <v/>
      </c>
      <c r="DU274" t="str">
        <f>""</f>
        <v/>
      </c>
    </row>
    <row r="275" spans="1:125">
      <c r="A275" t="str">
        <f>$A$57</f>
        <v xml:space="preserve">    UDR Inc</v>
      </c>
      <c r="B275" t="str">
        <f>$B$57</f>
        <v>UDR US Equity</v>
      </c>
      <c r="C275" t="str">
        <f>$C$57</f>
        <v>RR502</v>
      </c>
      <c r="D275" t="str">
        <f>$D$57</f>
        <v>NET_OPER_INCOME</v>
      </c>
      <c r="E275" t="str">
        <f>$E$57</f>
        <v>动态</v>
      </c>
      <c r="F275" t="str">
        <f ca="1">BDH($B$57,$C$57,$B$224,$B$225,CONCATENATE("Per=",$B$222),"Dts=H","Dir=H",CONCATENATE("Points=",$B$223),"Sort=R","Days=A","Fill=B",CONCATENATE("FX=", $B$221) )</f>
        <v>#N/A Authorization</v>
      </c>
      <c r="BN275" t="str">
        <f>""</f>
        <v/>
      </c>
      <c r="BO275" t="str">
        <f>""</f>
        <v/>
      </c>
      <c r="BP275" t="str">
        <f>""</f>
        <v/>
      </c>
      <c r="BQ275" t="str">
        <f>""</f>
        <v/>
      </c>
      <c r="BR275" t="str">
        <f>""</f>
        <v/>
      </c>
      <c r="BS275" t="str">
        <f>""</f>
        <v/>
      </c>
      <c r="BT275" t="str">
        <f>""</f>
        <v/>
      </c>
      <c r="BU275" t="str">
        <f>""</f>
        <v/>
      </c>
      <c r="BV275" t="str">
        <f>""</f>
        <v/>
      </c>
      <c r="BW275" t="str">
        <f>""</f>
        <v/>
      </c>
      <c r="BX275" t="str">
        <f>""</f>
        <v/>
      </c>
      <c r="BY275" t="str">
        <f>""</f>
        <v/>
      </c>
      <c r="BZ275" t="str">
        <f>""</f>
        <v/>
      </c>
      <c r="CA275" t="str">
        <f>""</f>
        <v/>
      </c>
      <c r="CB275" t="str">
        <f>""</f>
        <v/>
      </c>
      <c r="CC275" t="str">
        <f>""</f>
        <v/>
      </c>
      <c r="CD275" t="str">
        <f>""</f>
        <v/>
      </c>
      <c r="CE275" t="str">
        <f>""</f>
        <v/>
      </c>
      <c r="CF275" t="str">
        <f>""</f>
        <v/>
      </c>
      <c r="CG275" t="str">
        <f>""</f>
        <v/>
      </c>
      <c r="CH275" t="str">
        <f>""</f>
        <v/>
      </c>
      <c r="CI275" t="str">
        <f>""</f>
        <v/>
      </c>
      <c r="CJ275" t="str">
        <f>""</f>
        <v/>
      </c>
      <c r="CK275" t="str">
        <f>""</f>
        <v/>
      </c>
      <c r="CL275" t="str">
        <f>""</f>
        <v/>
      </c>
      <c r="CM275" t="str">
        <f>""</f>
        <v/>
      </c>
      <c r="CN275" t="str">
        <f>""</f>
        <v/>
      </c>
      <c r="CO275" t="str">
        <f>""</f>
        <v/>
      </c>
      <c r="CP275" t="str">
        <f>""</f>
        <v/>
      </c>
      <c r="CQ275" t="str">
        <f>""</f>
        <v/>
      </c>
      <c r="CR275" t="str">
        <f>""</f>
        <v/>
      </c>
      <c r="CS275" t="str">
        <f>""</f>
        <v/>
      </c>
      <c r="CT275" t="str">
        <f>""</f>
        <v/>
      </c>
      <c r="CU275" t="str">
        <f>""</f>
        <v/>
      </c>
      <c r="CV275" t="str">
        <f>""</f>
        <v/>
      </c>
      <c r="CW275" t="str">
        <f>""</f>
        <v/>
      </c>
      <c r="CX275" t="str">
        <f>""</f>
        <v/>
      </c>
      <c r="CY275" t="str">
        <f>""</f>
        <v/>
      </c>
      <c r="CZ275" t="str">
        <f>""</f>
        <v/>
      </c>
      <c r="DA275" t="str">
        <f>""</f>
        <v/>
      </c>
      <c r="DB275" t="str">
        <f>""</f>
        <v/>
      </c>
      <c r="DC275" t="str">
        <f>""</f>
        <v/>
      </c>
      <c r="DD275" t="str">
        <f>""</f>
        <v/>
      </c>
      <c r="DE275" t="str">
        <f>""</f>
        <v/>
      </c>
      <c r="DF275" t="str">
        <f>""</f>
        <v/>
      </c>
      <c r="DG275" t="str">
        <f>""</f>
        <v/>
      </c>
      <c r="DH275" t="str">
        <f>""</f>
        <v/>
      </c>
      <c r="DI275" t="str">
        <f>""</f>
        <v/>
      </c>
      <c r="DJ275" t="str">
        <f>""</f>
        <v/>
      </c>
      <c r="DK275" t="str">
        <f>""</f>
        <v/>
      </c>
      <c r="DL275" t="str">
        <f>""</f>
        <v/>
      </c>
      <c r="DM275" t="str">
        <f>""</f>
        <v/>
      </c>
      <c r="DN275" t="str">
        <f>""</f>
        <v/>
      </c>
      <c r="DO275" t="str">
        <f>""</f>
        <v/>
      </c>
      <c r="DP275" t="str">
        <f>""</f>
        <v/>
      </c>
      <c r="DQ275" t="str">
        <f>""</f>
        <v/>
      </c>
      <c r="DR275" t="str">
        <f>""</f>
        <v/>
      </c>
      <c r="DS275" t="str">
        <f>""</f>
        <v/>
      </c>
      <c r="DT275" t="str">
        <f>""</f>
        <v/>
      </c>
      <c r="DU275" t="str">
        <f>""</f>
        <v/>
      </c>
    </row>
    <row r="276" spans="1:125">
      <c r="A276" t="str">
        <f>$A$59</f>
        <v xml:space="preserve">    American Campus Communities In</v>
      </c>
      <c r="B276" t="str">
        <f>$B$59</f>
        <v>ACC US Equity</v>
      </c>
      <c r="C276" t="str">
        <f>$C$59</f>
        <v>RR009</v>
      </c>
      <c r="D276" t="str">
        <f>$D$59</f>
        <v>EBITDA</v>
      </c>
      <c r="E276" t="str">
        <f>$E$59</f>
        <v>动态</v>
      </c>
      <c r="F276" t="str">
        <f ca="1">BDH($B$59,$C$59,$B$224,$B$225,CONCATENATE("Per=",$B$222),"Dts=H","Dir=H",CONCATENATE("Points=",$B$223),"Sort=R","Days=A","Fill=B",CONCATENATE("FX=", $B$221) )</f>
        <v>#N/A Authorization</v>
      </c>
      <c r="BN276" t="str">
        <f>""</f>
        <v/>
      </c>
      <c r="BO276" t="str">
        <f>""</f>
        <v/>
      </c>
      <c r="BP276" t="str">
        <f>""</f>
        <v/>
      </c>
      <c r="BQ276" t="str">
        <f>""</f>
        <v/>
      </c>
      <c r="BR276" t="str">
        <f>""</f>
        <v/>
      </c>
      <c r="BS276" t="str">
        <f>""</f>
        <v/>
      </c>
      <c r="BT276" t="str">
        <f>""</f>
        <v/>
      </c>
      <c r="BU276" t="str">
        <f>""</f>
        <v/>
      </c>
      <c r="BV276" t="str">
        <f>""</f>
        <v/>
      </c>
      <c r="BW276" t="str">
        <f>""</f>
        <v/>
      </c>
      <c r="BX276" t="str">
        <f>""</f>
        <v/>
      </c>
      <c r="BY276" t="str">
        <f>""</f>
        <v/>
      </c>
      <c r="BZ276" t="str">
        <f>""</f>
        <v/>
      </c>
      <c r="CA276" t="str">
        <f>""</f>
        <v/>
      </c>
      <c r="CB276" t="str">
        <f>""</f>
        <v/>
      </c>
      <c r="CC276" t="str">
        <f>""</f>
        <v/>
      </c>
      <c r="CD276" t="str">
        <f>""</f>
        <v/>
      </c>
      <c r="CE276" t="str">
        <f>""</f>
        <v/>
      </c>
      <c r="CF276" t="str">
        <f>""</f>
        <v/>
      </c>
      <c r="CG276" t="str">
        <f>""</f>
        <v/>
      </c>
      <c r="CH276" t="str">
        <f>""</f>
        <v/>
      </c>
      <c r="CI276" t="str">
        <f>""</f>
        <v/>
      </c>
      <c r="CJ276" t="str">
        <f>""</f>
        <v/>
      </c>
      <c r="CK276" t="str">
        <f>""</f>
        <v/>
      </c>
      <c r="CL276" t="str">
        <f>""</f>
        <v/>
      </c>
      <c r="CM276" t="str">
        <f>""</f>
        <v/>
      </c>
      <c r="CN276" t="str">
        <f>""</f>
        <v/>
      </c>
      <c r="CO276" t="str">
        <f>""</f>
        <v/>
      </c>
      <c r="CP276" t="str">
        <f>""</f>
        <v/>
      </c>
      <c r="CQ276" t="str">
        <f>""</f>
        <v/>
      </c>
      <c r="CR276" t="str">
        <f>""</f>
        <v/>
      </c>
      <c r="CS276" t="str">
        <f>""</f>
        <v/>
      </c>
      <c r="CT276" t="str">
        <f>""</f>
        <v/>
      </c>
      <c r="CU276" t="str">
        <f>""</f>
        <v/>
      </c>
      <c r="CV276" t="str">
        <f>""</f>
        <v/>
      </c>
      <c r="CW276" t="str">
        <f>""</f>
        <v/>
      </c>
      <c r="CX276" t="str">
        <f>""</f>
        <v/>
      </c>
      <c r="CY276" t="str">
        <f>""</f>
        <v/>
      </c>
      <c r="CZ276" t="str">
        <f>""</f>
        <v/>
      </c>
      <c r="DA276" t="str">
        <f>""</f>
        <v/>
      </c>
      <c r="DB276" t="str">
        <f>""</f>
        <v/>
      </c>
      <c r="DC276" t="str">
        <f>""</f>
        <v/>
      </c>
      <c r="DD276" t="str">
        <f>""</f>
        <v/>
      </c>
      <c r="DE276" t="str">
        <f>""</f>
        <v/>
      </c>
      <c r="DF276" t="str">
        <f>""</f>
        <v/>
      </c>
      <c r="DG276" t="str">
        <f>""</f>
        <v/>
      </c>
      <c r="DH276" t="str">
        <f>""</f>
        <v/>
      </c>
      <c r="DI276" t="str">
        <f>""</f>
        <v/>
      </c>
      <c r="DJ276" t="str">
        <f>""</f>
        <v/>
      </c>
      <c r="DK276" t="str">
        <f>""</f>
        <v/>
      </c>
      <c r="DL276" t="str">
        <f>""</f>
        <v/>
      </c>
      <c r="DM276" t="str">
        <f>""</f>
        <v/>
      </c>
      <c r="DN276" t="str">
        <f>""</f>
        <v/>
      </c>
      <c r="DO276" t="str">
        <f>""</f>
        <v/>
      </c>
      <c r="DP276" t="str">
        <f>""</f>
        <v/>
      </c>
      <c r="DQ276" t="str">
        <f>""</f>
        <v/>
      </c>
      <c r="DR276" t="str">
        <f>""</f>
        <v/>
      </c>
      <c r="DS276" t="str">
        <f>""</f>
        <v/>
      </c>
      <c r="DT276" t="str">
        <f>""</f>
        <v/>
      </c>
      <c r="DU276" t="str">
        <f>""</f>
        <v/>
      </c>
    </row>
    <row r="277" spans="1:125">
      <c r="A277" t="str">
        <f>$A$60</f>
        <v xml:space="preserve">    AvalonBay Communities Inc</v>
      </c>
      <c r="B277" t="str">
        <f>$B$60</f>
        <v>AVB US Equity</v>
      </c>
      <c r="C277" t="str">
        <f>$C$60</f>
        <v>RR009</v>
      </c>
      <c r="D277" t="str">
        <f>$D$60</f>
        <v>EBITDA</v>
      </c>
      <c r="E277" t="str">
        <f>$E$60</f>
        <v>动态</v>
      </c>
      <c r="F277" t="str">
        <f ca="1">BDH($B$60,$C$60,$B$224,$B$225,CONCATENATE("Per=",$B$222),"Dts=H","Dir=H",CONCATENATE("Points=",$B$223),"Sort=R","Days=A","Fill=B",CONCATENATE("FX=", $B$221) )</f>
        <v>#N/A Authorization</v>
      </c>
      <c r="BN277" t="str">
        <f>""</f>
        <v/>
      </c>
      <c r="BO277" t="str">
        <f>""</f>
        <v/>
      </c>
      <c r="BP277" t="str">
        <f>""</f>
        <v/>
      </c>
      <c r="BQ277" t="str">
        <f>""</f>
        <v/>
      </c>
      <c r="BR277" t="str">
        <f>""</f>
        <v/>
      </c>
      <c r="BS277" t="str">
        <f>""</f>
        <v/>
      </c>
      <c r="BT277" t="str">
        <f>""</f>
        <v/>
      </c>
      <c r="BU277" t="str">
        <f>""</f>
        <v/>
      </c>
      <c r="BV277" t="str">
        <f>""</f>
        <v/>
      </c>
      <c r="BW277" t="str">
        <f>""</f>
        <v/>
      </c>
      <c r="BX277" t="str">
        <f>""</f>
        <v/>
      </c>
      <c r="BY277" t="str">
        <f>""</f>
        <v/>
      </c>
      <c r="BZ277" t="str">
        <f>""</f>
        <v/>
      </c>
      <c r="CA277" t="str">
        <f>""</f>
        <v/>
      </c>
      <c r="CB277" t="str">
        <f>""</f>
        <v/>
      </c>
      <c r="CC277" t="str">
        <f>""</f>
        <v/>
      </c>
      <c r="CD277" t="str">
        <f>""</f>
        <v/>
      </c>
      <c r="CE277" t="str">
        <f>""</f>
        <v/>
      </c>
      <c r="CF277" t="str">
        <f>""</f>
        <v/>
      </c>
      <c r="CG277" t="str">
        <f>""</f>
        <v/>
      </c>
      <c r="CH277" t="str">
        <f>""</f>
        <v/>
      </c>
      <c r="CI277" t="str">
        <f>""</f>
        <v/>
      </c>
      <c r="CJ277" t="str">
        <f>""</f>
        <v/>
      </c>
      <c r="CK277" t="str">
        <f>""</f>
        <v/>
      </c>
      <c r="CL277" t="str">
        <f>""</f>
        <v/>
      </c>
      <c r="CM277" t="str">
        <f>""</f>
        <v/>
      </c>
      <c r="CN277" t="str">
        <f>""</f>
        <v/>
      </c>
      <c r="CO277" t="str">
        <f>""</f>
        <v/>
      </c>
      <c r="CP277" t="str">
        <f>""</f>
        <v/>
      </c>
      <c r="CQ277" t="str">
        <f>""</f>
        <v/>
      </c>
      <c r="CR277" t="str">
        <f>""</f>
        <v/>
      </c>
      <c r="CS277" t="str">
        <f>""</f>
        <v/>
      </c>
      <c r="CT277" t="str">
        <f>""</f>
        <v/>
      </c>
      <c r="CU277" t="str">
        <f>""</f>
        <v/>
      </c>
      <c r="CV277" t="str">
        <f>""</f>
        <v/>
      </c>
      <c r="CW277" t="str">
        <f>""</f>
        <v/>
      </c>
      <c r="CX277" t="str">
        <f>""</f>
        <v/>
      </c>
      <c r="CY277" t="str">
        <f>""</f>
        <v/>
      </c>
      <c r="CZ277" t="str">
        <f>""</f>
        <v/>
      </c>
      <c r="DA277" t="str">
        <f>""</f>
        <v/>
      </c>
      <c r="DB277" t="str">
        <f>""</f>
        <v/>
      </c>
      <c r="DC277" t="str">
        <f>""</f>
        <v/>
      </c>
      <c r="DD277" t="str">
        <f>""</f>
        <v/>
      </c>
      <c r="DE277" t="str">
        <f>""</f>
        <v/>
      </c>
      <c r="DF277" t="str">
        <f>""</f>
        <v/>
      </c>
      <c r="DG277" t="str">
        <f>""</f>
        <v/>
      </c>
      <c r="DH277" t="str">
        <f>""</f>
        <v/>
      </c>
      <c r="DI277" t="str">
        <f>""</f>
        <v/>
      </c>
      <c r="DJ277" t="str">
        <f>""</f>
        <v/>
      </c>
      <c r="DK277" t="str">
        <f>""</f>
        <v/>
      </c>
      <c r="DL277" t="str">
        <f>""</f>
        <v/>
      </c>
      <c r="DM277" t="str">
        <f>""</f>
        <v/>
      </c>
      <c r="DN277" t="str">
        <f>""</f>
        <v/>
      </c>
      <c r="DO277" t="str">
        <f>""</f>
        <v/>
      </c>
      <c r="DP277" t="str">
        <f>""</f>
        <v/>
      </c>
      <c r="DQ277" t="str">
        <f>""</f>
        <v/>
      </c>
      <c r="DR277" t="str">
        <f>""</f>
        <v/>
      </c>
      <c r="DS277" t="str">
        <f>""</f>
        <v/>
      </c>
      <c r="DT277" t="str">
        <f>""</f>
        <v/>
      </c>
      <c r="DU277" t="str">
        <f>""</f>
        <v/>
      </c>
    </row>
    <row r="278" spans="1:125">
      <c r="A278" t="str">
        <f>$A$61</f>
        <v xml:space="preserve">    Camden Property Trust</v>
      </c>
      <c r="B278" t="str">
        <f>$B$61</f>
        <v>CPT US Equity</v>
      </c>
      <c r="C278" t="str">
        <f>$C$61</f>
        <v>RR009</v>
      </c>
      <c r="D278" t="str">
        <f>$D$61</f>
        <v>EBITDA</v>
      </c>
      <c r="E278" t="str">
        <f>$E$61</f>
        <v>动态</v>
      </c>
      <c r="F278" t="str">
        <f ca="1">BDH($B$61,$C$61,$B$224,$B$225,CONCATENATE("Per=",$B$222),"Dts=H","Dir=H",CONCATENATE("Points=",$B$223),"Sort=R","Days=A","Fill=B",CONCATENATE("FX=", $B$221) )</f>
        <v>#N/A Authorization</v>
      </c>
      <c r="BN278" t="str">
        <f>""</f>
        <v/>
      </c>
      <c r="BO278" t="str">
        <f>""</f>
        <v/>
      </c>
      <c r="BP278" t="str">
        <f>""</f>
        <v/>
      </c>
      <c r="BQ278" t="str">
        <f>""</f>
        <v/>
      </c>
      <c r="BR278" t="str">
        <f>""</f>
        <v/>
      </c>
      <c r="BS278" t="str">
        <f>""</f>
        <v/>
      </c>
      <c r="BT278" t="str">
        <f>""</f>
        <v/>
      </c>
      <c r="BU278" t="str">
        <f>""</f>
        <v/>
      </c>
      <c r="BV278" t="str">
        <f>""</f>
        <v/>
      </c>
      <c r="BW278" t="str">
        <f>""</f>
        <v/>
      </c>
      <c r="BX278" t="str">
        <f>""</f>
        <v/>
      </c>
      <c r="BY278" t="str">
        <f>""</f>
        <v/>
      </c>
      <c r="BZ278" t="str">
        <f>""</f>
        <v/>
      </c>
      <c r="CA278" t="str">
        <f>""</f>
        <v/>
      </c>
      <c r="CB278" t="str">
        <f>""</f>
        <v/>
      </c>
      <c r="CC278" t="str">
        <f>""</f>
        <v/>
      </c>
      <c r="CD278" t="str">
        <f>""</f>
        <v/>
      </c>
      <c r="CE278" t="str">
        <f>""</f>
        <v/>
      </c>
      <c r="CF278" t="str">
        <f>""</f>
        <v/>
      </c>
      <c r="CG278" t="str">
        <f>""</f>
        <v/>
      </c>
      <c r="CH278" t="str">
        <f>""</f>
        <v/>
      </c>
      <c r="CI278" t="str">
        <f>""</f>
        <v/>
      </c>
      <c r="CJ278" t="str">
        <f>""</f>
        <v/>
      </c>
      <c r="CK278" t="str">
        <f>""</f>
        <v/>
      </c>
      <c r="CL278" t="str">
        <f>""</f>
        <v/>
      </c>
      <c r="CM278" t="str">
        <f>""</f>
        <v/>
      </c>
      <c r="CN278" t="str">
        <f>""</f>
        <v/>
      </c>
      <c r="CO278" t="str">
        <f>""</f>
        <v/>
      </c>
      <c r="CP278" t="str">
        <f>""</f>
        <v/>
      </c>
      <c r="CQ278" t="str">
        <f>""</f>
        <v/>
      </c>
      <c r="CR278" t="str">
        <f>""</f>
        <v/>
      </c>
      <c r="CS278" t="str">
        <f>""</f>
        <v/>
      </c>
      <c r="CT278" t="str">
        <f>""</f>
        <v/>
      </c>
      <c r="CU278" t="str">
        <f>""</f>
        <v/>
      </c>
      <c r="CV278" t="str">
        <f>""</f>
        <v/>
      </c>
      <c r="CW278" t="str">
        <f>""</f>
        <v/>
      </c>
      <c r="CX278" t="str">
        <f>""</f>
        <v/>
      </c>
      <c r="CY278" t="str">
        <f>""</f>
        <v/>
      </c>
      <c r="CZ278" t="str">
        <f>""</f>
        <v/>
      </c>
      <c r="DA278" t="str">
        <f>""</f>
        <v/>
      </c>
      <c r="DB278" t="str">
        <f>""</f>
        <v/>
      </c>
      <c r="DC278" t="str">
        <f>""</f>
        <v/>
      </c>
      <c r="DD278" t="str">
        <f>""</f>
        <v/>
      </c>
      <c r="DE278" t="str">
        <f>""</f>
        <v/>
      </c>
      <c r="DF278" t="str">
        <f>""</f>
        <v/>
      </c>
      <c r="DG278" t="str">
        <f>""</f>
        <v/>
      </c>
      <c r="DH278" t="str">
        <f>""</f>
        <v/>
      </c>
      <c r="DI278" t="str">
        <f>""</f>
        <v/>
      </c>
      <c r="DJ278" t="str">
        <f>""</f>
        <v/>
      </c>
      <c r="DK278" t="str">
        <f>""</f>
        <v/>
      </c>
      <c r="DL278" t="str">
        <f>""</f>
        <v/>
      </c>
      <c r="DM278" t="str">
        <f>""</f>
        <v/>
      </c>
      <c r="DN278" t="str">
        <f>""</f>
        <v/>
      </c>
      <c r="DO278" t="str">
        <f>""</f>
        <v/>
      </c>
      <c r="DP278" t="str">
        <f>""</f>
        <v/>
      </c>
      <c r="DQ278" t="str">
        <f>""</f>
        <v/>
      </c>
      <c r="DR278" t="str">
        <f>""</f>
        <v/>
      </c>
      <c r="DS278" t="str">
        <f>""</f>
        <v/>
      </c>
      <c r="DT278" t="str">
        <f>""</f>
        <v/>
      </c>
      <c r="DU278" t="str">
        <f>""</f>
        <v/>
      </c>
    </row>
    <row r="279" spans="1:125">
      <c r="A279" t="str">
        <f>$A$62</f>
        <v xml:space="preserve">    Education Realty Trust Inc</v>
      </c>
      <c r="B279" t="str">
        <f>$B$62</f>
        <v>EDR US Equity</v>
      </c>
      <c r="C279" t="str">
        <f>$C$62</f>
        <v>RR009</v>
      </c>
      <c r="D279" t="str">
        <f>$D$62</f>
        <v>EBITDA</v>
      </c>
      <c r="E279" t="str">
        <f>$E$62</f>
        <v>动态</v>
      </c>
      <c r="F279" t="str">
        <f ca="1">BDH($B$62,$C$62,$B$224,$B$225,CONCATENATE("Per=",$B$222),"Dts=H","Dir=H",CONCATENATE("Points=",$B$223),"Sort=R","Days=A","Fill=B",CONCATENATE("FX=", $B$221) )</f>
        <v>#N/A Authorization</v>
      </c>
      <c r="BN279" t="str">
        <f>""</f>
        <v/>
      </c>
      <c r="BO279" t="str">
        <f>""</f>
        <v/>
      </c>
      <c r="BP279" t="str">
        <f>""</f>
        <v/>
      </c>
      <c r="BQ279" t="str">
        <f>""</f>
        <v/>
      </c>
      <c r="BR279" t="str">
        <f>""</f>
        <v/>
      </c>
      <c r="BS279" t="str">
        <f>""</f>
        <v/>
      </c>
      <c r="BT279" t="str">
        <f>""</f>
        <v/>
      </c>
      <c r="BU279" t="str">
        <f>""</f>
        <v/>
      </c>
      <c r="BV279" t="str">
        <f>""</f>
        <v/>
      </c>
      <c r="BW279" t="str">
        <f>""</f>
        <v/>
      </c>
      <c r="BX279" t="str">
        <f>""</f>
        <v/>
      </c>
      <c r="BY279" t="str">
        <f>""</f>
        <v/>
      </c>
      <c r="BZ279" t="str">
        <f>""</f>
        <v/>
      </c>
      <c r="CA279" t="str">
        <f>""</f>
        <v/>
      </c>
      <c r="CB279" t="str">
        <f>""</f>
        <v/>
      </c>
      <c r="CC279" t="str">
        <f>""</f>
        <v/>
      </c>
      <c r="CD279" t="str">
        <f>""</f>
        <v/>
      </c>
      <c r="CE279" t="str">
        <f>""</f>
        <v/>
      </c>
      <c r="CF279" t="str">
        <f>""</f>
        <v/>
      </c>
      <c r="CG279" t="str">
        <f>""</f>
        <v/>
      </c>
      <c r="CH279" t="str">
        <f>""</f>
        <v/>
      </c>
      <c r="CI279" t="str">
        <f>""</f>
        <v/>
      </c>
      <c r="CJ279" t="str">
        <f>""</f>
        <v/>
      </c>
      <c r="CK279" t="str">
        <f>""</f>
        <v/>
      </c>
      <c r="CL279" t="str">
        <f>""</f>
        <v/>
      </c>
      <c r="CM279" t="str">
        <f>""</f>
        <v/>
      </c>
      <c r="CN279" t="str">
        <f>""</f>
        <v/>
      </c>
      <c r="CO279" t="str">
        <f>""</f>
        <v/>
      </c>
      <c r="CP279" t="str">
        <f>""</f>
        <v/>
      </c>
      <c r="CQ279" t="str">
        <f>""</f>
        <v/>
      </c>
      <c r="CR279" t="str">
        <f>""</f>
        <v/>
      </c>
      <c r="CS279" t="str">
        <f>""</f>
        <v/>
      </c>
      <c r="CT279" t="str">
        <f>""</f>
        <v/>
      </c>
      <c r="CU279" t="str">
        <f>""</f>
        <v/>
      </c>
      <c r="CV279" t="str">
        <f>""</f>
        <v/>
      </c>
      <c r="CW279" t="str">
        <f>""</f>
        <v/>
      </c>
      <c r="CX279" t="str">
        <f>""</f>
        <v/>
      </c>
      <c r="CY279" t="str">
        <f>""</f>
        <v/>
      </c>
      <c r="CZ279" t="str">
        <f>""</f>
        <v/>
      </c>
      <c r="DA279" t="str">
        <f>""</f>
        <v/>
      </c>
      <c r="DB279" t="str">
        <f>""</f>
        <v/>
      </c>
      <c r="DC279" t="str">
        <f>""</f>
        <v/>
      </c>
      <c r="DD279" t="str">
        <f>""</f>
        <v/>
      </c>
      <c r="DE279" t="str">
        <f>""</f>
        <v/>
      </c>
      <c r="DF279" t="str">
        <f>""</f>
        <v/>
      </c>
      <c r="DG279" t="str">
        <f>""</f>
        <v/>
      </c>
      <c r="DH279" t="str">
        <f>""</f>
        <v/>
      </c>
      <c r="DI279" t="str">
        <f>""</f>
        <v/>
      </c>
      <c r="DJ279" t="str">
        <f>""</f>
        <v/>
      </c>
      <c r="DK279" t="str">
        <f>""</f>
        <v/>
      </c>
      <c r="DL279" t="str">
        <f>""</f>
        <v/>
      </c>
      <c r="DM279" t="str">
        <f>""</f>
        <v/>
      </c>
      <c r="DN279" t="str">
        <f>""</f>
        <v/>
      </c>
      <c r="DO279" t="str">
        <f>""</f>
        <v/>
      </c>
      <c r="DP279" t="str">
        <f>""</f>
        <v/>
      </c>
      <c r="DQ279" t="str">
        <f>""</f>
        <v/>
      </c>
      <c r="DR279" t="str">
        <f>""</f>
        <v/>
      </c>
      <c r="DS279" t="str">
        <f>""</f>
        <v/>
      </c>
      <c r="DT279" t="str">
        <f>""</f>
        <v/>
      </c>
      <c r="DU279" t="str">
        <f>""</f>
        <v/>
      </c>
    </row>
    <row r="280" spans="1:125">
      <c r="A280" t="str">
        <f>$A$63</f>
        <v xml:space="preserve">    Equity Residential</v>
      </c>
      <c r="B280" t="str">
        <f>$B$63</f>
        <v>EQR US Equity</v>
      </c>
      <c r="C280" t="str">
        <f>$C$63</f>
        <v>RR009</v>
      </c>
      <c r="D280" t="str">
        <f>$D$63</f>
        <v>EBITDA</v>
      </c>
      <c r="E280" t="str">
        <f>$E$63</f>
        <v>动态</v>
      </c>
      <c r="F280" t="str">
        <f ca="1">BDH($B$63,$C$63,$B$224,$B$225,CONCATENATE("Per=",$B$222),"Dts=H","Dir=H",CONCATENATE("Points=",$B$223),"Sort=R","Days=A","Fill=B",CONCATENATE("FX=", $B$221) )</f>
        <v>#N/A Authorization</v>
      </c>
      <c r="BN280" t="str">
        <f>""</f>
        <v/>
      </c>
      <c r="BO280" t="str">
        <f>""</f>
        <v/>
      </c>
      <c r="BP280" t="str">
        <f>""</f>
        <v/>
      </c>
      <c r="BQ280" t="str">
        <f>""</f>
        <v/>
      </c>
      <c r="BR280" t="str">
        <f>""</f>
        <v/>
      </c>
      <c r="BS280" t="str">
        <f>""</f>
        <v/>
      </c>
      <c r="BT280" t="str">
        <f>""</f>
        <v/>
      </c>
      <c r="BU280" t="str">
        <f>""</f>
        <v/>
      </c>
      <c r="BV280" t="str">
        <f>""</f>
        <v/>
      </c>
      <c r="BW280" t="str">
        <f>""</f>
        <v/>
      </c>
      <c r="BX280" t="str">
        <f>""</f>
        <v/>
      </c>
      <c r="BY280" t="str">
        <f>""</f>
        <v/>
      </c>
      <c r="BZ280" t="str">
        <f>""</f>
        <v/>
      </c>
      <c r="CA280" t="str">
        <f>""</f>
        <v/>
      </c>
      <c r="CB280" t="str">
        <f>""</f>
        <v/>
      </c>
      <c r="CC280" t="str">
        <f>""</f>
        <v/>
      </c>
      <c r="CD280" t="str">
        <f>""</f>
        <v/>
      </c>
      <c r="CE280" t="str">
        <f>""</f>
        <v/>
      </c>
      <c r="CF280" t="str">
        <f>""</f>
        <v/>
      </c>
      <c r="CG280" t="str">
        <f>""</f>
        <v/>
      </c>
      <c r="CH280" t="str">
        <f>""</f>
        <v/>
      </c>
      <c r="CI280" t="str">
        <f>""</f>
        <v/>
      </c>
      <c r="CJ280" t="str">
        <f>""</f>
        <v/>
      </c>
      <c r="CK280" t="str">
        <f>""</f>
        <v/>
      </c>
      <c r="CL280" t="str">
        <f>""</f>
        <v/>
      </c>
      <c r="CM280" t="str">
        <f>""</f>
        <v/>
      </c>
      <c r="CN280" t="str">
        <f>""</f>
        <v/>
      </c>
      <c r="CO280" t="str">
        <f>""</f>
        <v/>
      </c>
      <c r="CP280" t="str">
        <f>""</f>
        <v/>
      </c>
      <c r="CQ280" t="str">
        <f>""</f>
        <v/>
      </c>
      <c r="CR280" t="str">
        <f>""</f>
        <v/>
      </c>
      <c r="CS280" t="str">
        <f>""</f>
        <v/>
      </c>
      <c r="CT280" t="str">
        <f>""</f>
        <v/>
      </c>
      <c r="CU280" t="str">
        <f>""</f>
        <v/>
      </c>
      <c r="CV280" t="str">
        <f>""</f>
        <v/>
      </c>
      <c r="CW280" t="str">
        <f>""</f>
        <v/>
      </c>
      <c r="CX280" t="str">
        <f>""</f>
        <v/>
      </c>
      <c r="CY280" t="str">
        <f>""</f>
        <v/>
      </c>
      <c r="CZ280" t="str">
        <f>""</f>
        <v/>
      </c>
      <c r="DA280" t="str">
        <f>""</f>
        <v/>
      </c>
      <c r="DB280" t="str">
        <f>""</f>
        <v/>
      </c>
      <c r="DC280" t="str">
        <f>""</f>
        <v/>
      </c>
      <c r="DD280" t="str">
        <f>""</f>
        <v/>
      </c>
      <c r="DE280" t="str">
        <f>""</f>
        <v/>
      </c>
      <c r="DF280" t="str">
        <f>""</f>
        <v/>
      </c>
      <c r="DG280" t="str">
        <f>""</f>
        <v/>
      </c>
      <c r="DH280" t="str">
        <f>""</f>
        <v/>
      </c>
      <c r="DI280" t="str">
        <f>""</f>
        <v/>
      </c>
      <c r="DJ280" t="str">
        <f>""</f>
        <v/>
      </c>
      <c r="DK280" t="str">
        <f>""</f>
        <v/>
      </c>
      <c r="DL280" t="str">
        <f>""</f>
        <v/>
      </c>
      <c r="DM280" t="str">
        <f>""</f>
        <v/>
      </c>
      <c r="DN280" t="str">
        <f>""</f>
        <v/>
      </c>
      <c r="DO280" t="str">
        <f>""</f>
        <v/>
      </c>
      <c r="DP280" t="str">
        <f>""</f>
        <v/>
      </c>
      <c r="DQ280" t="str">
        <f>""</f>
        <v/>
      </c>
      <c r="DR280" t="str">
        <f>""</f>
        <v/>
      </c>
      <c r="DS280" t="str">
        <f>""</f>
        <v/>
      </c>
      <c r="DT280" t="str">
        <f>""</f>
        <v/>
      </c>
      <c r="DU280" t="str">
        <f>""</f>
        <v/>
      </c>
    </row>
    <row r="281" spans="1:125">
      <c r="A281" t="str">
        <f>$A$64</f>
        <v xml:space="preserve">    Essex Property Trust Inc</v>
      </c>
      <c r="B281" t="str">
        <f>$B$64</f>
        <v>ESS US Equity</v>
      </c>
      <c r="C281" t="str">
        <f>$C$64</f>
        <v>RR009</v>
      </c>
      <c r="D281" t="str">
        <f>$D$64</f>
        <v>EBITDA</v>
      </c>
      <c r="E281" t="str">
        <f>$E$64</f>
        <v>动态</v>
      </c>
      <c r="F281" t="str">
        <f ca="1">BDH($B$64,$C$64,$B$224,$B$225,CONCATENATE("Per=",$B$222),"Dts=H","Dir=H",CONCATENATE("Points=",$B$223),"Sort=R","Days=A","Fill=B",CONCATENATE("FX=", $B$221) )</f>
        <v>#N/A Authorization</v>
      </c>
      <c r="BN281" t="str">
        <f>""</f>
        <v/>
      </c>
      <c r="BO281" t="str">
        <f>""</f>
        <v/>
      </c>
      <c r="BP281" t="str">
        <f>""</f>
        <v/>
      </c>
      <c r="BQ281" t="str">
        <f>""</f>
        <v/>
      </c>
      <c r="BR281" t="str">
        <f>""</f>
        <v/>
      </c>
      <c r="BS281" t="str">
        <f>""</f>
        <v/>
      </c>
      <c r="BT281" t="str">
        <f>""</f>
        <v/>
      </c>
      <c r="BU281" t="str">
        <f>""</f>
        <v/>
      </c>
      <c r="BV281" t="str">
        <f>""</f>
        <v/>
      </c>
      <c r="BW281" t="str">
        <f>""</f>
        <v/>
      </c>
      <c r="BX281" t="str">
        <f>""</f>
        <v/>
      </c>
      <c r="BY281" t="str">
        <f>""</f>
        <v/>
      </c>
      <c r="BZ281" t="str">
        <f>""</f>
        <v/>
      </c>
      <c r="CA281" t="str">
        <f>""</f>
        <v/>
      </c>
      <c r="CB281" t="str">
        <f>""</f>
        <v/>
      </c>
      <c r="CC281" t="str">
        <f>""</f>
        <v/>
      </c>
      <c r="CD281" t="str">
        <f>""</f>
        <v/>
      </c>
      <c r="CE281" t="str">
        <f>""</f>
        <v/>
      </c>
      <c r="CF281" t="str">
        <f>""</f>
        <v/>
      </c>
      <c r="CG281" t="str">
        <f>""</f>
        <v/>
      </c>
      <c r="CH281" t="str">
        <f>""</f>
        <v/>
      </c>
      <c r="CI281" t="str">
        <f>""</f>
        <v/>
      </c>
      <c r="CJ281" t="str">
        <f>""</f>
        <v/>
      </c>
      <c r="CK281" t="str">
        <f>""</f>
        <v/>
      </c>
      <c r="CL281" t="str">
        <f>""</f>
        <v/>
      </c>
      <c r="CM281" t="str">
        <f>""</f>
        <v/>
      </c>
      <c r="CN281" t="str">
        <f>""</f>
        <v/>
      </c>
      <c r="CO281" t="str">
        <f>""</f>
        <v/>
      </c>
      <c r="CP281" t="str">
        <f>""</f>
        <v/>
      </c>
      <c r="CQ281" t="str">
        <f>""</f>
        <v/>
      </c>
      <c r="CR281" t="str">
        <f>""</f>
        <v/>
      </c>
      <c r="CS281" t="str">
        <f>""</f>
        <v/>
      </c>
      <c r="CT281" t="str">
        <f>""</f>
        <v/>
      </c>
      <c r="CU281" t="str">
        <f>""</f>
        <v/>
      </c>
      <c r="CV281" t="str">
        <f>""</f>
        <v/>
      </c>
      <c r="CW281" t="str">
        <f>""</f>
        <v/>
      </c>
      <c r="CX281" t="str">
        <f>""</f>
        <v/>
      </c>
      <c r="CY281" t="str">
        <f>""</f>
        <v/>
      </c>
      <c r="CZ281" t="str">
        <f>""</f>
        <v/>
      </c>
      <c r="DA281" t="str">
        <f>""</f>
        <v/>
      </c>
      <c r="DB281" t="str">
        <f>""</f>
        <v/>
      </c>
      <c r="DC281" t="str">
        <f>""</f>
        <v/>
      </c>
      <c r="DD281" t="str">
        <f>""</f>
        <v/>
      </c>
      <c r="DE281" t="str">
        <f>""</f>
        <v/>
      </c>
      <c r="DF281" t="str">
        <f>""</f>
        <v/>
      </c>
      <c r="DG281" t="str">
        <f>""</f>
        <v/>
      </c>
      <c r="DH281" t="str">
        <f>""</f>
        <v/>
      </c>
      <c r="DI281" t="str">
        <f>""</f>
        <v/>
      </c>
      <c r="DJ281" t="str">
        <f>""</f>
        <v/>
      </c>
      <c r="DK281" t="str">
        <f>""</f>
        <v/>
      </c>
      <c r="DL281" t="str">
        <f>""</f>
        <v/>
      </c>
      <c r="DM281" t="str">
        <f>""</f>
        <v/>
      </c>
      <c r="DN281" t="str">
        <f>""</f>
        <v/>
      </c>
      <c r="DO281" t="str">
        <f>""</f>
        <v/>
      </c>
      <c r="DP281" t="str">
        <f>""</f>
        <v/>
      </c>
      <c r="DQ281" t="str">
        <f>""</f>
        <v/>
      </c>
      <c r="DR281" t="str">
        <f>""</f>
        <v/>
      </c>
      <c r="DS281" t="str">
        <f>""</f>
        <v/>
      </c>
      <c r="DT281" t="str">
        <f>""</f>
        <v/>
      </c>
      <c r="DU281" t="str">
        <f>""</f>
        <v/>
      </c>
    </row>
    <row r="282" spans="1:125">
      <c r="A282" t="str">
        <f>$A$65</f>
        <v xml:space="preserve">    Mid-America Apartment Communit</v>
      </c>
      <c r="B282" t="str">
        <f>$B$65</f>
        <v>MAA US Equity</v>
      </c>
      <c r="C282" t="str">
        <f>$C$65</f>
        <v>RR009</v>
      </c>
      <c r="D282" t="str">
        <f>$D$65</f>
        <v>EBITDA</v>
      </c>
      <c r="E282" t="str">
        <f>$E$65</f>
        <v>动态</v>
      </c>
      <c r="F282" t="str">
        <f ca="1">BDH($B$65,$C$65,$B$224,$B$225,CONCATENATE("Per=",$B$222),"Dts=H","Dir=H",CONCATENATE("Points=",$B$223),"Sort=R","Days=A","Fill=B",CONCATENATE("FX=", $B$221) )</f>
        <v>#N/A Authorization</v>
      </c>
      <c r="BN282" t="str">
        <f>""</f>
        <v/>
      </c>
      <c r="BO282" t="str">
        <f>""</f>
        <v/>
      </c>
      <c r="BP282" t="str">
        <f>""</f>
        <v/>
      </c>
      <c r="BQ282" t="str">
        <f>""</f>
        <v/>
      </c>
      <c r="BR282" t="str">
        <f>""</f>
        <v/>
      </c>
      <c r="BS282" t="str">
        <f>""</f>
        <v/>
      </c>
      <c r="BT282" t="str">
        <f>""</f>
        <v/>
      </c>
      <c r="BU282" t="str">
        <f>""</f>
        <v/>
      </c>
      <c r="BV282" t="str">
        <f>""</f>
        <v/>
      </c>
      <c r="BW282" t="str">
        <f>""</f>
        <v/>
      </c>
      <c r="BX282" t="str">
        <f>""</f>
        <v/>
      </c>
      <c r="BY282" t="str">
        <f>""</f>
        <v/>
      </c>
      <c r="BZ282" t="str">
        <f>""</f>
        <v/>
      </c>
      <c r="CA282" t="str">
        <f>""</f>
        <v/>
      </c>
      <c r="CB282" t="str">
        <f>""</f>
        <v/>
      </c>
      <c r="CC282" t="str">
        <f>""</f>
        <v/>
      </c>
      <c r="CD282" t="str">
        <f>""</f>
        <v/>
      </c>
      <c r="CE282" t="str">
        <f>""</f>
        <v/>
      </c>
      <c r="CF282" t="str">
        <f>""</f>
        <v/>
      </c>
      <c r="CG282" t="str">
        <f>""</f>
        <v/>
      </c>
      <c r="CH282" t="str">
        <f>""</f>
        <v/>
      </c>
      <c r="CI282" t="str">
        <f>""</f>
        <v/>
      </c>
      <c r="CJ282" t="str">
        <f>""</f>
        <v/>
      </c>
      <c r="CK282" t="str">
        <f>""</f>
        <v/>
      </c>
      <c r="CL282" t="str">
        <f>""</f>
        <v/>
      </c>
      <c r="CM282" t="str">
        <f>""</f>
        <v/>
      </c>
      <c r="CN282" t="str">
        <f>""</f>
        <v/>
      </c>
      <c r="CO282" t="str">
        <f>""</f>
        <v/>
      </c>
      <c r="CP282" t="str">
        <f>""</f>
        <v/>
      </c>
      <c r="CQ282" t="str">
        <f>""</f>
        <v/>
      </c>
      <c r="CR282" t="str">
        <f>""</f>
        <v/>
      </c>
      <c r="CS282" t="str">
        <f>""</f>
        <v/>
      </c>
      <c r="CT282" t="str">
        <f>""</f>
        <v/>
      </c>
      <c r="CU282" t="str">
        <f>""</f>
        <v/>
      </c>
      <c r="CV282" t="str">
        <f>""</f>
        <v/>
      </c>
      <c r="CW282" t="str">
        <f>""</f>
        <v/>
      </c>
      <c r="CX282" t="str">
        <f>""</f>
        <v/>
      </c>
      <c r="CY282" t="str">
        <f>""</f>
        <v/>
      </c>
      <c r="CZ282" t="str">
        <f>""</f>
        <v/>
      </c>
      <c r="DA282" t="str">
        <f>""</f>
        <v/>
      </c>
      <c r="DB282" t="str">
        <f>""</f>
        <v/>
      </c>
      <c r="DC282" t="str">
        <f>""</f>
        <v/>
      </c>
      <c r="DD282" t="str">
        <f>""</f>
        <v/>
      </c>
      <c r="DE282" t="str">
        <f>""</f>
        <v/>
      </c>
      <c r="DF282" t="str">
        <f>""</f>
        <v/>
      </c>
      <c r="DG282" t="str">
        <f>""</f>
        <v/>
      </c>
      <c r="DH282" t="str">
        <f>""</f>
        <v/>
      </c>
      <c r="DI282" t="str">
        <f>""</f>
        <v/>
      </c>
      <c r="DJ282" t="str">
        <f>""</f>
        <v/>
      </c>
      <c r="DK282" t="str">
        <f>""</f>
        <v/>
      </c>
      <c r="DL282" t="str">
        <f>""</f>
        <v/>
      </c>
      <c r="DM282" t="str">
        <f>""</f>
        <v/>
      </c>
      <c r="DN282" t="str">
        <f>""</f>
        <v/>
      </c>
      <c r="DO282" t="str">
        <f>""</f>
        <v/>
      </c>
      <c r="DP282" t="str">
        <f>""</f>
        <v/>
      </c>
      <c r="DQ282" t="str">
        <f>""</f>
        <v/>
      </c>
      <c r="DR282" t="str">
        <f>""</f>
        <v/>
      </c>
      <c r="DS282" t="str">
        <f>""</f>
        <v/>
      </c>
      <c r="DT282" t="str">
        <f>""</f>
        <v/>
      </c>
      <c r="DU282" t="str">
        <f>""</f>
        <v/>
      </c>
    </row>
    <row r="283" spans="1:125">
      <c r="A283" t="str">
        <f>$A$66</f>
        <v xml:space="preserve">    UDR Inc</v>
      </c>
      <c r="B283" t="str">
        <f>$B$66</f>
        <v>UDR US Equity</v>
      </c>
      <c r="C283" t="str">
        <f>$C$66</f>
        <v>RR009</v>
      </c>
      <c r="D283" t="str">
        <f>$D$66</f>
        <v>EBITDA</v>
      </c>
      <c r="E283" t="str">
        <f>$E$66</f>
        <v>动态</v>
      </c>
      <c r="F283" t="str">
        <f ca="1">BDH($B$66,$C$66,$B$224,$B$225,CONCATENATE("Per=",$B$222),"Dts=H","Dir=H",CONCATENATE("Points=",$B$223),"Sort=R","Days=A","Fill=B",CONCATENATE("FX=", $B$221) )</f>
        <v>#N/A Authorization</v>
      </c>
      <c r="BN283" t="str">
        <f>""</f>
        <v/>
      </c>
      <c r="BO283" t="str">
        <f>""</f>
        <v/>
      </c>
      <c r="BP283" t="str">
        <f>""</f>
        <v/>
      </c>
      <c r="BQ283" t="str">
        <f>""</f>
        <v/>
      </c>
      <c r="BR283" t="str">
        <f>""</f>
        <v/>
      </c>
      <c r="BS283" t="str">
        <f>""</f>
        <v/>
      </c>
      <c r="BT283" t="str">
        <f>""</f>
        <v/>
      </c>
      <c r="BU283" t="str">
        <f>""</f>
        <v/>
      </c>
      <c r="BV283" t="str">
        <f>""</f>
        <v/>
      </c>
      <c r="BW283" t="str">
        <f>""</f>
        <v/>
      </c>
      <c r="BX283" t="str">
        <f>""</f>
        <v/>
      </c>
      <c r="BY283" t="str">
        <f>""</f>
        <v/>
      </c>
      <c r="BZ283" t="str">
        <f>""</f>
        <v/>
      </c>
      <c r="CA283" t="str">
        <f>""</f>
        <v/>
      </c>
      <c r="CB283" t="str">
        <f>""</f>
        <v/>
      </c>
      <c r="CC283" t="str">
        <f>""</f>
        <v/>
      </c>
      <c r="CD283" t="str">
        <f>""</f>
        <v/>
      </c>
      <c r="CE283" t="str">
        <f>""</f>
        <v/>
      </c>
      <c r="CF283" t="str">
        <f>""</f>
        <v/>
      </c>
      <c r="CG283" t="str">
        <f>""</f>
        <v/>
      </c>
      <c r="CH283" t="str">
        <f>""</f>
        <v/>
      </c>
      <c r="CI283" t="str">
        <f>""</f>
        <v/>
      </c>
      <c r="CJ283" t="str">
        <f>""</f>
        <v/>
      </c>
      <c r="CK283" t="str">
        <f>""</f>
        <v/>
      </c>
      <c r="CL283" t="str">
        <f>""</f>
        <v/>
      </c>
      <c r="CM283" t="str">
        <f>""</f>
        <v/>
      </c>
      <c r="CN283" t="str">
        <f>""</f>
        <v/>
      </c>
      <c r="CO283" t="str">
        <f>""</f>
        <v/>
      </c>
      <c r="CP283" t="str">
        <f>""</f>
        <v/>
      </c>
      <c r="CQ283" t="str">
        <f>""</f>
        <v/>
      </c>
      <c r="CR283" t="str">
        <f>""</f>
        <v/>
      </c>
      <c r="CS283" t="str">
        <f>""</f>
        <v/>
      </c>
      <c r="CT283" t="str">
        <f>""</f>
        <v/>
      </c>
      <c r="CU283" t="str">
        <f>""</f>
        <v/>
      </c>
      <c r="CV283" t="str">
        <f>""</f>
        <v/>
      </c>
      <c r="CW283" t="str">
        <f>""</f>
        <v/>
      </c>
      <c r="CX283" t="str">
        <f>""</f>
        <v/>
      </c>
      <c r="CY283" t="str">
        <f>""</f>
        <v/>
      </c>
      <c r="CZ283" t="str">
        <f>""</f>
        <v/>
      </c>
      <c r="DA283" t="str">
        <f>""</f>
        <v/>
      </c>
      <c r="DB283" t="str">
        <f>""</f>
        <v/>
      </c>
      <c r="DC283" t="str">
        <f>""</f>
        <v/>
      </c>
      <c r="DD283" t="str">
        <f>""</f>
        <v/>
      </c>
      <c r="DE283" t="str">
        <f>""</f>
        <v/>
      </c>
      <c r="DF283" t="str">
        <f>""</f>
        <v/>
      </c>
      <c r="DG283" t="str">
        <f>""</f>
        <v/>
      </c>
      <c r="DH283" t="str">
        <f>""</f>
        <v/>
      </c>
      <c r="DI283" t="str">
        <f>""</f>
        <v/>
      </c>
      <c r="DJ283" t="str">
        <f>""</f>
        <v/>
      </c>
      <c r="DK283" t="str">
        <f>""</f>
        <v/>
      </c>
      <c r="DL283" t="str">
        <f>""</f>
        <v/>
      </c>
      <c r="DM283" t="str">
        <f>""</f>
        <v/>
      </c>
      <c r="DN283" t="str">
        <f>""</f>
        <v/>
      </c>
      <c r="DO283" t="str">
        <f>""</f>
        <v/>
      </c>
      <c r="DP283" t="str">
        <f>""</f>
        <v/>
      </c>
      <c r="DQ283" t="str">
        <f>""</f>
        <v/>
      </c>
      <c r="DR283" t="str">
        <f>""</f>
        <v/>
      </c>
      <c r="DS283" t="str">
        <f>""</f>
        <v/>
      </c>
      <c r="DT283" t="str">
        <f>""</f>
        <v/>
      </c>
      <c r="DU283" t="str">
        <f>""</f>
        <v/>
      </c>
    </row>
    <row r="284" spans="1:125">
      <c r="A284" t="str">
        <f>$A$68</f>
        <v xml:space="preserve">    American Campus Communities In</v>
      </c>
      <c r="B284" t="str">
        <f>$B$68</f>
        <v>ACC US Equity</v>
      </c>
      <c r="C284" t="str">
        <f>$C$68</f>
        <v>IS972</v>
      </c>
      <c r="D284" t="str">
        <f>$D$68</f>
        <v>IS_ADJUSTED_EBITDA_AS_REPORTED</v>
      </c>
      <c r="E284" t="str">
        <f>$E$68</f>
        <v>动态</v>
      </c>
      <c r="F284" t="str">
        <f ca="1">BDH($B$68,$C$68,$B$224,$B$225,CONCATENATE("Per=",$B$222),"Dts=H","Dir=H",CONCATENATE("Points=",$B$223),"Sort=R","Days=A","Fill=B",CONCATENATE("FX=", $B$221) )</f>
        <v>#N/A Authorization</v>
      </c>
      <c r="BN284" t="str">
        <f>""</f>
        <v/>
      </c>
      <c r="BO284" t="str">
        <f>""</f>
        <v/>
      </c>
      <c r="BP284" t="str">
        <f>""</f>
        <v/>
      </c>
      <c r="BQ284" t="str">
        <f>""</f>
        <v/>
      </c>
      <c r="BR284" t="str">
        <f>""</f>
        <v/>
      </c>
      <c r="BS284" t="str">
        <f>""</f>
        <v/>
      </c>
      <c r="BT284" t="str">
        <f>""</f>
        <v/>
      </c>
      <c r="BU284" t="str">
        <f>""</f>
        <v/>
      </c>
      <c r="BV284" t="str">
        <f>""</f>
        <v/>
      </c>
      <c r="BW284" t="str">
        <f>""</f>
        <v/>
      </c>
      <c r="BX284" t="str">
        <f>""</f>
        <v/>
      </c>
      <c r="BY284" t="str">
        <f>""</f>
        <v/>
      </c>
      <c r="BZ284" t="str">
        <f>""</f>
        <v/>
      </c>
      <c r="CA284" t="str">
        <f>""</f>
        <v/>
      </c>
      <c r="CB284" t="str">
        <f>""</f>
        <v/>
      </c>
      <c r="CC284" t="str">
        <f>""</f>
        <v/>
      </c>
      <c r="CD284" t="str">
        <f>""</f>
        <v/>
      </c>
      <c r="CE284" t="str">
        <f>""</f>
        <v/>
      </c>
      <c r="CF284" t="str">
        <f>""</f>
        <v/>
      </c>
      <c r="CG284" t="str">
        <f>""</f>
        <v/>
      </c>
      <c r="CH284" t="str">
        <f>""</f>
        <v/>
      </c>
      <c r="CI284" t="str">
        <f>""</f>
        <v/>
      </c>
      <c r="CJ284" t="str">
        <f>""</f>
        <v/>
      </c>
      <c r="CK284" t="str">
        <f>""</f>
        <v/>
      </c>
      <c r="CL284" t="str">
        <f>""</f>
        <v/>
      </c>
      <c r="CM284" t="str">
        <f>""</f>
        <v/>
      </c>
      <c r="CN284" t="str">
        <f>""</f>
        <v/>
      </c>
      <c r="CO284" t="str">
        <f>""</f>
        <v/>
      </c>
      <c r="CP284" t="str">
        <f>""</f>
        <v/>
      </c>
      <c r="CQ284" t="str">
        <f>""</f>
        <v/>
      </c>
      <c r="CR284" t="str">
        <f>""</f>
        <v/>
      </c>
      <c r="CS284" t="str">
        <f>""</f>
        <v/>
      </c>
      <c r="CT284" t="str">
        <f>""</f>
        <v/>
      </c>
      <c r="CU284" t="str">
        <f>""</f>
        <v/>
      </c>
      <c r="CV284" t="str">
        <f>""</f>
        <v/>
      </c>
      <c r="CW284" t="str">
        <f>""</f>
        <v/>
      </c>
      <c r="CX284" t="str">
        <f>""</f>
        <v/>
      </c>
      <c r="CY284" t="str">
        <f>""</f>
        <v/>
      </c>
      <c r="CZ284" t="str">
        <f>""</f>
        <v/>
      </c>
      <c r="DA284" t="str">
        <f>""</f>
        <v/>
      </c>
      <c r="DB284" t="str">
        <f>""</f>
        <v/>
      </c>
      <c r="DC284" t="str">
        <f>""</f>
        <v/>
      </c>
      <c r="DD284" t="str">
        <f>""</f>
        <v/>
      </c>
      <c r="DE284" t="str">
        <f>""</f>
        <v/>
      </c>
      <c r="DF284" t="str">
        <f>""</f>
        <v/>
      </c>
      <c r="DG284" t="str">
        <f>""</f>
        <v/>
      </c>
      <c r="DH284" t="str">
        <f>""</f>
        <v/>
      </c>
      <c r="DI284" t="str">
        <f>""</f>
        <v/>
      </c>
      <c r="DJ284" t="str">
        <f>""</f>
        <v/>
      </c>
      <c r="DK284" t="str">
        <f>""</f>
        <v/>
      </c>
      <c r="DL284" t="str">
        <f>""</f>
        <v/>
      </c>
      <c r="DM284" t="str">
        <f>""</f>
        <v/>
      </c>
      <c r="DN284" t="str">
        <f>""</f>
        <v/>
      </c>
      <c r="DO284" t="str">
        <f>""</f>
        <v/>
      </c>
      <c r="DP284" t="str">
        <f>""</f>
        <v/>
      </c>
      <c r="DQ284" t="str">
        <f>""</f>
        <v/>
      </c>
      <c r="DR284" t="str">
        <f>""</f>
        <v/>
      </c>
      <c r="DS284" t="str">
        <f>""</f>
        <v/>
      </c>
      <c r="DT284" t="str">
        <f>""</f>
        <v/>
      </c>
      <c r="DU284" t="str">
        <f>""</f>
        <v/>
      </c>
    </row>
    <row r="285" spans="1:125">
      <c r="A285" t="str">
        <f>$A$69</f>
        <v xml:space="preserve">    AvalonBay Communities Inc</v>
      </c>
      <c r="B285" t="str">
        <f>$B$69</f>
        <v>AVB US Equity</v>
      </c>
      <c r="C285" t="str">
        <f>$C$69</f>
        <v>IS972</v>
      </c>
      <c r="D285" t="str">
        <f>$D$69</f>
        <v>IS_ADJUSTED_EBITDA_AS_REPORTED</v>
      </c>
      <c r="E285" t="str">
        <f>$E$69</f>
        <v>动态</v>
      </c>
      <c r="F285" t="str">
        <f ca="1">BDH($B$69,$C$69,$B$224,$B$225,CONCATENATE("Per=",$B$222),"Dts=H","Dir=H",CONCATENATE("Points=",$B$223),"Sort=R","Days=A","Fill=B",CONCATENATE("FX=", $B$221) )</f>
        <v>#N/A Authorization</v>
      </c>
      <c r="BN285" t="str">
        <f>""</f>
        <v/>
      </c>
      <c r="BO285" t="str">
        <f>""</f>
        <v/>
      </c>
      <c r="BP285" t="str">
        <f>""</f>
        <v/>
      </c>
      <c r="BQ285" t="str">
        <f>""</f>
        <v/>
      </c>
      <c r="BR285" t="str">
        <f>""</f>
        <v/>
      </c>
      <c r="BS285" t="str">
        <f>""</f>
        <v/>
      </c>
      <c r="BT285" t="str">
        <f>""</f>
        <v/>
      </c>
      <c r="BU285" t="str">
        <f>""</f>
        <v/>
      </c>
      <c r="BV285" t="str">
        <f>""</f>
        <v/>
      </c>
      <c r="BW285" t="str">
        <f>""</f>
        <v/>
      </c>
      <c r="BX285" t="str">
        <f>""</f>
        <v/>
      </c>
      <c r="BY285" t="str">
        <f>""</f>
        <v/>
      </c>
      <c r="BZ285" t="str">
        <f>""</f>
        <v/>
      </c>
      <c r="CA285" t="str">
        <f>""</f>
        <v/>
      </c>
      <c r="CB285" t="str">
        <f>""</f>
        <v/>
      </c>
      <c r="CC285" t="str">
        <f>""</f>
        <v/>
      </c>
      <c r="CD285" t="str">
        <f>""</f>
        <v/>
      </c>
      <c r="CE285" t="str">
        <f>""</f>
        <v/>
      </c>
      <c r="CF285" t="str">
        <f>""</f>
        <v/>
      </c>
      <c r="CG285" t="str">
        <f>""</f>
        <v/>
      </c>
      <c r="CH285" t="str">
        <f>""</f>
        <v/>
      </c>
      <c r="CI285" t="str">
        <f>""</f>
        <v/>
      </c>
      <c r="CJ285" t="str">
        <f>""</f>
        <v/>
      </c>
      <c r="CK285" t="str">
        <f>""</f>
        <v/>
      </c>
      <c r="CL285" t="str">
        <f>""</f>
        <v/>
      </c>
      <c r="CM285" t="str">
        <f>""</f>
        <v/>
      </c>
      <c r="CN285" t="str">
        <f>""</f>
        <v/>
      </c>
      <c r="CO285" t="str">
        <f>""</f>
        <v/>
      </c>
      <c r="CP285" t="str">
        <f>""</f>
        <v/>
      </c>
      <c r="CQ285" t="str">
        <f>""</f>
        <v/>
      </c>
      <c r="CR285" t="str">
        <f>""</f>
        <v/>
      </c>
      <c r="CS285" t="str">
        <f>""</f>
        <v/>
      </c>
      <c r="CT285" t="str">
        <f>""</f>
        <v/>
      </c>
      <c r="CU285" t="str">
        <f>""</f>
        <v/>
      </c>
      <c r="CV285" t="str">
        <f>""</f>
        <v/>
      </c>
      <c r="CW285" t="str">
        <f>""</f>
        <v/>
      </c>
      <c r="CX285" t="str">
        <f>""</f>
        <v/>
      </c>
      <c r="CY285" t="str">
        <f>""</f>
        <v/>
      </c>
      <c r="CZ285" t="str">
        <f>""</f>
        <v/>
      </c>
      <c r="DA285" t="str">
        <f>""</f>
        <v/>
      </c>
      <c r="DB285" t="str">
        <f>""</f>
        <v/>
      </c>
      <c r="DC285" t="str">
        <f>""</f>
        <v/>
      </c>
      <c r="DD285" t="str">
        <f>""</f>
        <v/>
      </c>
      <c r="DE285" t="str">
        <f>""</f>
        <v/>
      </c>
      <c r="DF285" t="str">
        <f>""</f>
        <v/>
      </c>
      <c r="DG285" t="str">
        <f>""</f>
        <v/>
      </c>
      <c r="DH285" t="str">
        <f>""</f>
        <v/>
      </c>
      <c r="DI285" t="str">
        <f>""</f>
        <v/>
      </c>
      <c r="DJ285" t="str">
        <f>""</f>
        <v/>
      </c>
      <c r="DK285" t="str">
        <f>""</f>
        <v/>
      </c>
      <c r="DL285" t="str">
        <f>""</f>
        <v/>
      </c>
      <c r="DM285" t="str">
        <f>""</f>
        <v/>
      </c>
      <c r="DN285" t="str">
        <f>""</f>
        <v/>
      </c>
      <c r="DO285" t="str">
        <f>""</f>
        <v/>
      </c>
      <c r="DP285" t="str">
        <f>""</f>
        <v/>
      </c>
      <c r="DQ285" t="str">
        <f>""</f>
        <v/>
      </c>
      <c r="DR285" t="str">
        <f>""</f>
        <v/>
      </c>
      <c r="DS285" t="str">
        <f>""</f>
        <v/>
      </c>
      <c r="DT285" t="str">
        <f>""</f>
        <v/>
      </c>
      <c r="DU285" t="str">
        <f>""</f>
        <v/>
      </c>
    </row>
    <row r="286" spans="1:125">
      <c r="A286" t="str">
        <f>$A$70</f>
        <v xml:space="preserve">    Camden Property Trust</v>
      </c>
      <c r="B286" t="str">
        <f>$B$70</f>
        <v>CPT US Equity</v>
      </c>
      <c r="C286" t="str">
        <f>$C$70</f>
        <v>IS972</v>
      </c>
      <c r="D286" t="str">
        <f>$D$70</f>
        <v>IS_ADJUSTED_EBITDA_AS_REPORTED</v>
      </c>
      <c r="E286" t="str">
        <f>$E$70</f>
        <v>动态</v>
      </c>
      <c r="F286" t="str">
        <f ca="1">BDH($B$70,$C$70,$B$224,$B$225,CONCATENATE("Per=",$B$222),"Dts=H","Dir=H",CONCATENATE("Points=",$B$223),"Sort=R","Days=A","Fill=B",CONCATENATE("FX=", $B$221) )</f>
        <v>#N/A Authorization</v>
      </c>
      <c r="BN286" t="str">
        <f>""</f>
        <v/>
      </c>
      <c r="BO286" t="str">
        <f>""</f>
        <v/>
      </c>
      <c r="BP286" t="str">
        <f>""</f>
        <v/>
      </c>
      <c r="BQ286" t="str">
        <f>""</f>
        <v/>
      </c>
      <c r="BR286" t="str">
        <f>""</f>
        <v/>
      </c>
      <c r="BS286" t="str">
        <f>""</f>
        <v/>
      </c>
      <c r="BT286" t="str">
        <f>""</f>
        <v/>
      </c>
      <c r="BU286" t="str">
        <f>""</f>
        <v/>
      </c>
      <c r="BV286" t="str">
        <f>""</f>
        <v/>
      </c>
      <c r="BW286" t="str">
        <f>""</f>
        <v/>
      </c>
      <c r="BX286" t="str">
        <f>""</f>
        <v/>
      </c>
      <c r="BY286" t="str">
        <f>""</f>
        <v/>
      </c>
      <c r="BZ286" t="str">
        <f>""</f>
        <v/>
      </c>
      <c r="CA286" t="str">
        <f>""</f>
        <v/>
      </c>
      <c r="CB286" t="str">
        <f>""</f>
        <v/>
      </c>
      <c r="CC286" t="str">
        <f>""</f>
        <v/>
      </c>
      <c r="CD286" t="str">
        <f>""</f>
        <v/>
      </c>
      <c r="CE286" t="str">
        <f>""</f>
        <v/>
      </c>
      <c r="CF286" t="str">
        <f>""</f>
        <v/>
      </c>
      <c r="CG286" t="str">
        <f>""</f>
        <v/>
      </c>
      <c r="CH286" t="str">
        <f>""</f>
        <v/>
      </c>
      <c r="CI286" t="str">
        <f>""</f>
        <v/>
      </c>
      <c r="CJ286" t="str">
        <f>""</f>
        <v/>
      </c>
      <c r="CK286" t="str">
        <f>""</f>
        <v/>
      </c>
      <c r="CL286" t="str">
        <f>""</f>
        <v/>
      </c>
      <c r="CM286" t="str">
        <f>""</f>
        <v/>
      </c>
      <c r="CN286" t="str">
        <f>""</f>
        <v/>
      </c>
      <c r="CO286" t="str">
        <f>""</f>
        <v/>
      </c>
      <c r="CP286" t="str">
        <f>""</f>
        <v/>
      </c>
      <c r="CQ286" t="str">
        <f>""</f>
        <v/>
      </c>
      <c r="CR286" t="str">
        <f>""</f>
        <v/>
      </c>
      <c r="CS286" t="str">
        <f>""</f>
        <v/>
      </c>
      <c r="CT286" t="str">
        <f>""</f>
        <v/>
      </c>
      <c r="CU286" t="str">
        <f>""</f>
        <v/>
      </c>
      <c r="CV286" t="str">
        <f>""</f>
        <v/>
      </c>
      <c r="CW286" t="str">
        <f>""</f>
        <v/>
      </c>
      <c r="CX286" t="str">
        <f>""</f>
        <v/>
      </c>
      <c r="CY286" t="str">
        <f>""</f>
        <v/>
      </c>
      <c r="CZ286" t="str">
        <f>""</f>
        <v/>
      </c>
      <c r="DA286" t="str">
        <f>""</f>
        <v/>
      </c>
      <c r="DB286" t="str">
        <f>""</f>
        <v/>
      </c>
      <c r="DC286" t="str">
        <f>""</f>
        <v/>
      </c>
      <c r="DD286" t="str">
        <f>""</f>
        <v/>
      </c>
      <c r="DE286" t="str">
        <f>""</f>
        <v/>
      </c>
      <c r="DF286" t="str">
        <f>""</f>
        <v/>
      </c>
      <c r="DG286" t="str">
        <f>""</f>
        <v/>
      </c>
      <c r="DH286" t="str">
        <f>""</f>
        <v/>
      </c>
      <c r="DI286" t="str">
        <f>""</f>
        <v/>
      </c>
      <c r="DJ286" t="str">
        <f>""</f>
        <v/>
      </c>
      <c r="DK286" t="str">
        <f>""</f>
        <v/>
      </c>
      <c r="DL286" t="str">
        <f>""</f>
        <v/>
      </c>
      <c r="DM286" t="str">
        <f>""</f>
        <v/>
      </c>
      <c r="DN286" t="str">
        <f>""</f>
        <v/>
      </c>
      <c r="DO286" t="str">
        <f>""</f>
        <v/>
      </c>
      <c r="DP286" t="str">
        <f>""</f>
        <v/>
      </c>
      <c r="DQ286" t="str">
        <f>""</f>
        <v/>
      </c>
      <c r="DR286" t="str">
        <f>""</f>
        <v/>
      </c>
      <c r="DS286" t="str">
        <f>""</f>
        <v/>
      </c>
      <c r="DT286" t="str">
        <f>""</f>
        <v/>
      </c>
      <c r="DU286" t="str">
        <f>""</f>
        <v/>
      </c>
    </row>
    <row r="287" spans="1:125">
      <c r="A287" t="str">
        <f>$A$71</f>
        <v xml:space="preserve">    Education Realty Trust Inc</v>
      </c>
      <c r="B287" t="str">
        <f>$B$71</f>
        <v>EDR US Equity</v>
      </c>
      <c r="C287" t="str">
        <f>$C$71</f>
        <v>IS972</v>
      </c>
      <c r="D287" t="str">
        <f>$D$71</f>
        <v>IS_ADJUSTED_EBITDA_AS_REPORTED</v>
      </c>
      <c r="E287" t="str">
        <f>$E$71</f>
        <v>动态</v>
      </c>
      <c r="F287" t="str">
        <f ca="1">BDH($B$71,$C$71,$B$224,$B$225,CONCATENATE("Per=",$B$222),"Dts=H","Dir=H",CONCATENATE("Points=",$B$223),"Sort=R","Days=A","Fill=B",CONCATENATE("FX=", $B$221) )</f>
        <v>#N/A Authorization</v>
      </c>
      <c r="BN287" t="str">
        <f>""</f>
        <v/>
      </c>
      <c r="BO287" t="str">
        <f>""</f>
        <v/>
      </c>
      <c r="BP287" t="str">
        <f>""</f>
        <v/>
      </c>
      <c r="BQ287" t="str">
        <f>""</f>
        <v/>
      </c>
      <c r="BR287" t="str">
        <f>""</f>
        <v/>
      </c>
      <c r="BS287" t="str">
        <f>""</f>
        <v/>
      </c>
      <c r="BT287" t="str">
        <f>""</f>
        <v/>
      </c>
      <c r="BU287" t="str">
        <f>""</f>
        <v/>
      </c>
      <c r="BV287" t="str">
        <f>""</f>
        <v/>
      </c>
      <c r="BW287" t="str">
        <f>""</f>
        <v/>
      </c>
      <c r="BX287" t="str">
        <f>""</f>
        <v/>
      </c>
      <c r="BY287" t="str">
        <f>""</f>
        <v/>
      </c>
      <c r="BZ287" t="str">
        <f>""</f>
        <v/>
      </c>
      <c r="CA287" t="str">
        <f>""</f>
        <v/>
      </c>
      <c r="CB287" t="str">
        <f>""</f>
        <v/>
      </c>
      <c r="CC287" t="str">
        <f>""</f>
        <v/>
      </c>
      <c r="CD287" t="str">
        <f>""</f>
        <v/>
      </c>
      <c r="CE287" t="str">
        <f>""</f>
        <v/>
      </c>
      <c r="CF287" t="str">
        <f>""</f>
        <v/>
      </c>
      <c r="CG287" t="str">
        <f>""</f>
        <v/>
      </c>
      <c r="CH287" t="str">
        <f>""</f>
        <v/>
      </c>
      <c r="CI287" t="str">
        <f>""</f>
        <v/>
      </c>
      <c r="CJ287" t="str">
        <f>""</f>
        <v/>
      </c>
      <c r="CK287" t="str">
        <f>""</f>
        <v/>
      </c>
      <c r="CL287" t="str">
        <f>""</f>
        <v/>
      </c>
      <c r="CM287" t="str">
        <f>""</f>
        <v/>
      </c>
      <c r="CN287" t="str">
        <f>""</f>
        <v/>
      </c>
      <c r="CO287" t="str">
        <f>""</f>
        <v/>
      </c>
      <c r="CP287" t="str">
        <f>""</f>
        <v/>
      </c>
      <c r="CQ287" t="str">
        <f>""</f>
        <v/>
      </c>
      <c r="CR287" t="str">
        <f>""</f>
        <v/>
      </c>
      <c r="CS287" t="str">
        <f>""</f>
        <v/>
      </c>
      <c r="CT287" t="str">
        <f>""</f>
        <v/>
      </c>
      <c r="CU287" t="str">
        <f>""</f>
        <v/>
      </c>
      <c r="CV287" t="str">
        <f>""</f>
        <v/>
      </c>
      <c r="CW287" t="str">
        <f>""</f>
        <v/>
      </c>
      <c r="CX287" t="str">
        <f>""</f>
        <v/>
      </c>
      <c r="CY287" t="str">
        <f>""</f>
        <v/>
      </c>
      <c r="CZ287" t="str">
        <f>""</f>
        <v/>
      </c>
      <c r="DA287" t="str">
        <f>""</f>
        <v/>
      </c>
      <c r="DB287" t="str">
        <f>""</f>
        <v/>
      </c>
      <c r="DC287" t="str">
        <f>""</f>
        <v/>
      </c>
      <c r="DD287" t="str">
        <f>""</f>
        <v/>
      </c>
      <c r="DE287" t="str">
        <f>""</f>
        <v/>
      </c>
      <c r="DF287" t="str">
        <f>""</f>
        <v/>
      </c>
      <c r="DG287" t="str">
        <f>""</f>
        <v/>
      </c>
      <c r="DH287" t="str">
        <f>""</f>
        <v/>
      </c>
      <c r="DI287" t="str">
        <f>""</f>
        <v/>
      </c>
      <c r="DJ287" t="str">
        <f>""</f>
        <v/>
      </c>
      <c r="DK287" t="str">
        <f>""</f>
        <v/>
      </c>
      <c r="DL287" t="str">
        <f>""</f>
        <v/>
      </c>
      <c r="DM287" t="str">
        <f>""</f>
        <v/>
      </c>
      <c r="DN287" t="str">
        <f>""</f>
        <v/>
      </c>
      <c r="DO287" t="str">
        <f>""</f>
        <v/>
      </c>
      <c r="DP287" t="str">
        <f>""</f>
        <v/>
      </c>
      <c r="DQ287" t="str">
        <f>""</f>
        <v/>
      </c>
      <c r="DR287" t="str">
        <f>""</f>
        <v/>
      </c>
      <c r="DS287" t="str">
        <f>""</f>
        <v/>
      </c>
      <c r="DT287" t="str">
        <f>""</f>
        <v/>
      </c>
      <c r="DU287" t="str">
        <f>""</f>
        <v/>
      </c>
    </row>
    <row r="288" spans="1:125">
      <c r="A288" t="str">
        <f>$A$72</f>
        <v xml:space="preserve">    Equity Residential</v>
      </c>
      <c r="B288" t="str">
        <f>$B$72</f>
        <v>EQR US Equity</v>
      </c>
      <c r="C288" t="str">
        <f>$C$72</f>
        <v>IS972</v>
      </c>
      <c r="D288" t="str">
        <f>$D$72</f>
        <v>IS_ADJUSTED_EBITDA_AS_REPORTED</v>
      </c>
      <c r="E288" t="str">
        <f>$E$72</f>
        <v>动态</v>
      </c>
      <c r="F288" t="str">
        <f ca="1">BDH($B$72,$C$72,$B$224,$B$225,CONCATENATE("Per=",$B$222),"Dts=H","Dir=H",CONCATENATE("Points=",$B$223),"Sort=R","Days=A","Fill=B",CONCATENATE("FX=", $B$221) )</f>
        <v>#N/A Authorization</v>
      </c>
      <c r="BN288" t="str">
        <f>""</f>
        <v/>
      </c>
      <c r="BO288" t="str">
        <f>""</f>
        <v/>
      </c>
      <c r="BP288" t="str">
        <f>""</f>
        <v/>
      </c>
      <c r="BQ288" t="str">
        <f>""</f>
        <v/>
      </c>
      <c r="BR288" t="str">
        <f>""</f>
        <v/>
      </c>
      <c r="BS288" t="str">
        <f>""</f>
        <v/>
      </c>
      <c r="BT288" t="str">
        <f>""</f>
        <v/>
      </c>
      <c r="BU288" t="str">
        <f>""</f>
        <v/>
      </c>
      <c r="BV288" t="str">
        <f>""</f>
        <v/>
      </c>
      <c r="BW288" t="str">
        <f>""</f>
        <v/>
      </c>
      <c r="BX288" t="str">
        <f>""</f>
        <v/>
      </c>
      <c r="BY288" t="str">
        <f>""</f>
        <v/>
      </c>
      <c r="BZ288" t="str">
        <f>""</f>
        <v/>
      </c>
      <c r="CA288" t="str">
        <f>""</f>
        <v/>
      </c>
      <c r="CB288" t="str">
        <f>""</f>
        <v/>
      </c>
      <c r="CC288" t="str">
        <f>""</f>
        <v/>
      </c>
      <c r="CD288" t="str">
        <f>""</f>
        <v/>
      </c>
      <c r="CE288" t="str">
        <f>""</f>
        <v/>
      </c>
      <c r="CF288" t="str">
        <f>""</f>
        <v/>
      </c>
      <c r="CG288" t="str">
        <f>""</f>
        <v/>
      </c>
      <c r="CH288" t="str">
        <f>""</f>
        <v/>
      </c>
      <c r="CI288" t="str">
        <f>""</f>
        <v/>
      </c>
      <c r="CJ288" t="str">
        <f>""</f>
        <v/>
      </c>
      <c r="CK288" t="str">
        <f>""</f>
        <v/>
      </c>
      <c r="CL288" t="str">
        <f>""</f>
        <v/>
      </c>
      <c r="CM288" t="str">
        <f>""</f>
        <v/>
      </c>
      <c r="CN288" t="str">
        <f>""</f>
        <v/>
      </c>
      <c r="CO288" t="str">
        <f>""</f>
        <v/>
      </c>
      <c r="CP288" t="str">
        <f>""</f>
        <v/>
      </c>
      <c r="CQ288" t="str">
        <f>""</f>
        <v/>
      </c>
      <c r="CR288" t="str">
        <f>""</f>
        <v/>
      </c>
      <c r="CS288" t="str">
        <f>""</f>
        <v/>
      </c>
      <c r="CT288" t="str">
        <f>""</f>
        <v/>
      </c>
      <c r="CU288" t="str">
        <f>""</f>
        <v/>
      </c>
      <c r="CV288" t="str">
        <f>""</f>
        <v/>
      </c>
      <c r="CW288" t="str">
        <f>""</f>
        <v/>
      </c>
      <c r="CX288" t="str">
        <f>""</f>
        <v/>
      </c>
      <c r="CY288" t="str">
        <f>""</f>
        <v/>
      </c>
      <c r="CZ288" t="str">
        <f>""</f>
        <v/>
      </c>
      <c r="DA288" t="str">
        <f>""</f>
        <v/>
      </c>
      <c r="DB288" t="str">
        <f>""</f>
        <v/>
      </c>
      <c r="DC288" t="str">
        <f>""</f>
        <v/>
      </c>
      <c r="DD288" t="str">
        <f>""</f>
        <v/>
      </c>
      <c r="DE288" t="str">
        <f>""</f>
        <v/>
      </c>
      <c r="DF288" t="str">
        <f>""</f>
        <v/>
      </c>
      <c r="DG288" t="str">
        <f>""</f>
        <v/>
      </c>
      <c r="DH288" t="str">
        <f>""</f>
        <v/>
      </c>
      <c r="DI288" t="str">
        <f>""</f>
        <v/>
      </c>
      <c r="DJ288" t="str">
        <f>""</f>
        <v/>
      </c>
      <c r="DK288" t="str">
        <f>""</f>
        <v/>
      </c>
      <c r="DL288" t="str">
        <f>""</f>
        <v/>
      </c>
      <c r="DM288" t="str">
        <f>""</f>
        <v/>
      </c>
      <c r="DN288" t="str">
        <f>""</f>
        <v/>
      </c>
      <c r="DO288" t="str">
        <f>""</f>
        <v/>
      </c>
      <c r="DP288" t="str">
        <f>""</f>
        <v/>
      </c>
      <c r="DQ288" t="str">
        <f>""</f>
        <v/>
      </c>
      <c r="DR288" t="str">
        <f>""</f>
        <v/>
      </c>
      <c r="DS288" t="str">
        <f>""</f>
        <v/>
      </c>
      <c r="DT288" t="str">
        <f>""</f>
        <v/>
      </c>
      <c r="DU288" t="str">
        <f>""</f>
        <v/>
      </c>
    </row>
    <row r="289" spans="1:125">
      <c r="A289" t="str">
        <f>$A$73</f>
        <v xml:space="preserve">    Essex Property Trust Inc</v>
      </c>
      <c r="B289" t="str">
        <f>$B$73</f>
        <v>ESS US Equity</v>
      </c>
      <c r="C289" t="str">
        <f>$C$73</f>
        <v>IS972</v>
      </c>
      <c r="D289" t="str">
        <f>$D$73</f>
        <v>IS_ADJUSTED_EBITDA_AS_REPORTED</v>
      </c>
      <c r="E289" t="str">
        <f>$E$73</f>
        <v>动态</v>
      </c>
      <c r="F289" t="str">
        <f ca="1">BDH($B$73,$C$73,$B$224,$B$225,CONCATENATE("Per=",$B$222),"Dts=H","Dir=H",CONCATENATE("Points=",$B$223),"Sort=R","Days=A","Fill=B",CONCATENATE("FX=", $B$221) )</f>
        <v>#N/A Authorization</v>
      </c>
      <c r="BN289" t="str">
        <f>""</f>
        <v/>
      </c>
      <c r="BO289" t="str">
        <f>""</f>
        <v/>
      </c>
      <c r="BP289" t="str">
        <f>""</f>
        <v/>
      </c>
      <c r="BQ289" t="str">
        <f>""</f>
        <v/>
      </c>
      <c r="BR289" t="str">
        <f>""</f>
        <v/>
      </c>
      <c r="BS289" t="str">
        <f>""</f>
        <v/>
      </c>
      <c r="BT289" t="str">
        <f>""</f>
        <v/>
      </c>
      <c r="BU289" t="str">
        <f>""</f>
        <v/>
      </c>
      <c r="BV289" t="str">
        <f>""</f>
        <v/>
      </c>
      <c r="BW289" t="str">
        <f>""</f>
        <v/>
      </c>
      <c r="BX289" t="str">
        <f>""</f>
        <v/>
      </c>
      <c r="BY289" t="str">
        <f>""</f>
        <v/>
      </c>
      <c r="BZ289" t="str">
        <f>""</f>
        <v/>
      </c>
      <c r="CA289" t="str">
        <f>""</f>
        <v/>
      </c>
      <c r="CB289" t="str">
        <f>""</f>
        <v/>
      </c>
      <c r="CC289" t="str">
        <f>""</f>
        <v/>
      </c>
      <c r="CD289" t="str">
        <f>""</f>
        <v/>
      </c>
      <c r="CE289" t="str">
        <f>""</f>
        <v/>
      </c>
      <c r="CF289" t="str">
        <f>""</f>
        <v/>
      </c>
      <c r="CG289" t="str">
        <f>""</f>
        <v/>
      </c>
      <c r="CH289" t="str">
        <f>""</f>
        <v/>
      </c>
      <c r="CI289" t="str">
        <f>""</f>
        <v/>
      </c>
      <c r="CJ289" t="str">
        <f>""</f>
        <v/>
      </c>
      <c r="CK289" t="str">
        <f>""</f>
        <v/>
      </c>
      <c r="CL289" t="str">
        <f>""</f>
        <v/>
      </c>
      <c r="CM289" t="str">
        <f>""</f>
        <v/>
      </c>
      <c r="CN289" t="str">
        <f>""</f>
        <v/>
      </c>
      <c r="CO289" t="str">
        <f>""</f>
        <v/>
      </c>
      <c r="CP289" t="str">
        <f>""</f>
        <v/>
      </c>
      <c r="CQ289" t="str">
        <f>""</f>
        <v/>
      </c>
      <c r="CR289" t="str">
        <f>""</f>
        <v/>
      </c>
      <c r="CS289" t="str">
        <f>""</f>
        <v/>
      </c>
      <c r="CT289" t="str">
        <f>""</f>
        <v/>
      </c>
      <c r="CU289" t="str">
        <f>""</f>
        <v/>
      </c>
      <c r="CV289" t="str">
        <f>""</f>
        <v/>
      </c>
      <c r="CW289" t="str">
        <f>""</f>
        <v/>
      </c>
      <c r="CX289" t="str">
        <f>""</f>
        <v/>
      </c>
      <c r="CY289" t="str">
        <f>""</f>
        <v/>
      </c>
      <c r="CZ289" t="str">
        <f>""</f>
        <v/>
      </c>
      <c r="DA289" t="str">
        <f>""</f>
        <v/>
      </c>
      <c r="DB289" t="str">
        <f>""</f>
        <v/>
      </c>
      <c r="DC289" t="str">
        <f>""</f>
        <v/>
      </c>
      <c r="DD289" t="str">
        <f>""</f>
        <v/>
      </c>
      <c r="DE289" t="str">
        <f>""</f>
        <v/>
      </c>
      <c r="DF289" t="str">
        <f>""</f>
        <v/>
      </c>
      <c r="DG289" t="str">
        <f>""</f>
        <v/>
      </c>
      <c r="DH289" t="str">
        <f>""</f>
        <v/>
      </c>
      <c r="DI289" t="str">
        <f>""</f>
        <v/>
      </c>
      <c r="DJ289" t="str">
        <f>""</f>
        <v/>
      </c>
      <c r="DK289" t="str">
        <f>""</f>
        <v/>
      </c>
      <c r="DL289" t="str">
        <f>""</f>
        <v/>
      </c>
      <c r="DM289" t="str">
        <f>""</f>
        <v/>
      </c>
      <c r="DN289" t="str">
        <f>""</f>
        <v/>
      </c>
      <c r="DO289" t="str">
        <f>""</f>
        <v/>
      </c>
      <c r="DP289" t="str">
        <f>""</f>
        <v/>
      </c>
      <c r="DQ289" t="str">
        <f>""</f>
        <v/>
      </c>
      <c r="DR289" t="str">
        <f>""</f>
        <v/>
      </c>
      <c r="DS289" t="str">
        <f>""</f>
        <v/>
      </c>
      <c r="DT289" t="str">
        <f>""</f>
        <v/>
      </c>
      <c r="DU289" t="str">
        <f>""</f>
        <v/>
      </c>
    </row>
    <row r="290" spans="1:125">
      <c r="A290" t="str">
        <f>$A$74</f>
        <v xml:space="preserve">    Mid-America Apartment Communit</v>
      </c>
      <c r="B290" t="str">
        <f>$B$74</f>
        <v>MAA US Equity</v>
      </c>
      <c r="C290" t="str">
        <f>$C$74</f>
        <v>IS972</v>
      </c>
      <c r="D290" t="str">
        <f>$D$74</f>
        <v>IS_ADJUSTED_EBITDA_AS_REPORTED</v>
      </c>
      <c r="E290" t="str">
        <f>$E$74</f>
        <v>动态</v>
      </c>
      <c r="F290" t="str">
        <f ca="1">BDH($B$74,$C$74,$B$224,$B$225,CONCATENATE("Per=",$B$222),"Dts=H","Dir=H",CONCATENATE("Points=",$B$223),"Sort=R","Days=A","Fill=B",CONCATENATE("FX=", $B$221) )</f>
        <v>#N/A Authorization</v>
      </c>
      <c r="BN290" t="str">
        <f>""</f>
        <v/>
      </c>
      <c r="BO290" t="str">
        <f>""</f>
        <v/>
      </c>
      <c r="BP290" t="str">
        <f>""</f>
        <v/>
      </c>
      <c r="BQ290" t="str">
        <f>""</f>
        <v/>
      </c>
      <c r="BR290" t="str">
        <f>""</f>
        <v/>
      </c>
      <c r="BS290" t="str">
        <f>""</f>
        <v/>
      </c>
      <c r="BT290" t="str">
        <f>""</f>
        <v/>
      </c>
      <c r="BU290" t="str">
        <f>""</f>
        <v/>
      </c>
      <c r="BV290" t="str">
        <f>""</f>
        <v/>
      </c>
      <c r="BW290" t="str">
        <f>""</f>
        <v/>
      </c>
      <c r="BX290" t="str">
        <f>""</f>
        <v/>
      </c>
      <c r="BY290" t="str">
        <f>""</f>
        <v/>
      </c>
      <c r="BZ290" t="str">
        <f>""</f>
        <v/>
      </c>
      <c r="CA290" t="str">
        <f>""</f>
        <v/>
      </c>
      <c r="CB290" t="str">
        <f>""</f>
        <v/>
      </c>
      <c r="CC290" t="str">
        <f>""</f>
        <v/>
      </c>
      <c r="CD290" t="str">
        <f>""</f>
        <v/>
      </c>
      <c r="CE290" t="str">
        <f>""</f>
        <v/>
      </c>
      <c r="CF290" t="str">
        <f>""</f>
        <v/>
      </c>
      <c r="CG290" t="str">
        <f>""</f>
        <v/>
      </c>
      <c r="CH290" t="str">
        <f>""</f>
        <v/>
      </c>
      <c r="CI290" t="str">
        <f>""</f>
        <v/>
      </c>
      <c r="CJ290" t="str">
        <f>""</f>
        <v/>
      </c>
      <c r="CK290" t="str">
        <f>""</f>
        <v/>
      </c>
      <c r="CL290" t="str">
        <f>""</f>
        <v/>
      </c>
      <c r="CM290" t="str">
        <f>""</f>
        <v/>
      </c>
      <c r="CN290" t="str">
        <f>""</f>
        <v/>
      </c>
      <c r="CO290" t="str">
        <f>""</f>
        <v/>
      </c>
      <c r="CP290" t="str">
        <f>""</f>
        <v/>
      </c>
      <c r="CQ290" t="str">
        <f>""</f>
        <v/>
      </c>
      <c r="CR290" t="str">
        <f>""</f>
        <v/>
      </c>
      <c r="CS290" t="str">
        <f>""</f>
        <v/>
      </c>
      <c r="CT290" t="str">
        <f>""</f>
        <v/>
      </c>
      <c r="CU290" t="str">
        <f>""</f>
        <v/>
      </c>
      <c r="CV290" t="str">
        <f>""</f>
        <v/>
      </c>
      <c r="CW290" t="str">
        <f>""</f>
        <v/>
      </c>
      <c r="CX290" t="str">
        <f>""</f>
        <v/>
      </c>
      <c r="CY290" t="str">
        <f>""</f>
        <v/>
      </c>
      <c r="CZ290" t="str">
        <f>""</f>
        <v/>
      </c>
      <c r="DA290" t="str">
        <f>""</f>
        <v/>
      </c>
      <c r="DB290" t="str">
        <f>""</f>
        <v/>
      </c>
      <c r="DC290" t="str">
        <f>""</f>
        <v/>
      </c>
      <c r="DD290" t="str">
        <f>""</f>
        <v/>
      </c>
      <c r="DE290" t="str">
        <f>""</f>
        <v/>
      </c>
      <c r="DF290" t="str">
        <f>""</f>
        <v/>
      </c>
      <c r="DG290" t="str">
        <f>""</f>
        <v/>
      </c>
      <c r="DH290" t="str">
        <f>""</f>
        <v/>
      </c>
      <c r="DI290" t="str">
        <f>""</f>
        <v/>
      </c>
      <c r="DJ290" t="str">
        <f>""</f>
        <v/>
      </c>
      <c r="DK290" t="str">
        <f>""</f>
        <v/>
      </c>
      <c r="DL290" t="str">
        <f>""</f>
        <v/>
      </c>
      <c r="DM290" t="str">
        <f>""</f>
        <v/>
      </c>
      <c r="DN290" t="str">
        <f>""</f>
        <v/>
      </c>
      <c r="DO290" t="str">
        <f>""</f>
        <v/>
      </c>
      <c r="DP290" t="str">
        <f>""</f>
        <v/>
      </c>
      <c r="DQ290" t="str">
        <f>""</f>
        <v/>
      </c>
      <c r="DR290" t="str">
        <f>""</f>
        <v/>
      </c>
      <c r="DS290" t="str">
        <f>""</f>
        <v/>
      </c>
      <c r="DT290" t="str">
        <f>""</f>
        <v/>
      </c>
      <c r="DU290" t="str">
        <f>""</f>
        <v/>
      </c>
    </row>
    <row r="291" spans="1:125">
      <c r="A291" t="str">
        <f>$A$75</f>
        <v xml:space="preserve">    UDR Inc</v>
      </c>
      <c r="B291" t="str">
        <f>$B$75</f>
        <v>UDR US Equity</v>
      </c>
      <c r="C291" t="str">
        <f>$C$75</f>
        <v>IS972</v>
      </c>
      <c r="D291" t="str">
        <f>$D$75</f>
        <v>IS_ADJUSTED_EBITDA_AS_REPORTED</v>
      </c>
      <c r="E291" t="str">
        <f>$E$75</f>
        <v>动态</v>
      </c>
      <c r="F291" t="str">
        <f ca="1">BDH($B$75,$C$75,$B$224,$B$225,CONCATENATE("Per=",$B$222),"Dts=H","Dir=H",CONCATENATE("Points=",$B$223),"Sort=R","Days=A","Fill=B",CONCATENATE("FX=", $B$221) )</f>
        <v>#N/A Authorization</v>
      </c>
      <c r="BN291" t="str">
        <f>""</f>
        <v/>
      </c>
      <c r="BO291" t="str">
        <f>""</f>
        <v/>
      </c>
      <c r="BP291" t="str">
        <f>""</f>
        <v/>
      </c>
      <c r="BQ291" t="str">
        <f>""</f>
        <v/>
      </c>
      <c r="BR291" t="str">
        <f>""</f>
        <v/>
      </c>
      <c r="BS291" t="str">
        <f>""</f>
        <v/>
      </c>
      <c r="BT291" t="str">
        <f>""</f>
        <v/>
      </c>
      <c r="BU291" t="str">
        <f>""</f>
        <v/>
      </c>
      <c r="BV291" t="str">
        <f>""</f>
        <v/>
      </c>
      <c r="BW291" t="str">
        <f>""</f>
        <v/>
      </c>
      <c r="BX291" t="str">
        <f>""</f>
        <v/>
      </c>
      <c r="BY291" t="str">
        <f>""</f>
        <v/>
      </c>
      <c r="BZ291" t="str">
        <f>""</f>
        <v/>
      </c>
      <c r="CA291" t="str">
        <f>""</f>
        <v/>
      </c>
      <c r="CB291" t="str">
        <f>""</f>
        <v/>
      </c>
      <c r="CC291" t="str">
        <f>""</f>
        <v/>
      </c>
      <c r="CD291" t="str">
        <f>""</f>
        <v/>
      </c>
      <c r="CE291" t="str">
        <f>""</f>
        <v/>
      </c>
      <c r="CF291" t="str">
        <f>""</f>
        <v/>
      </c>
      <c r="CG291" t="str">
        <f>""</f>
        <v/>
      </c>
      <c r="CH291" t="str">
        <f>""</f>
        <v/>
      </c>
      <c r="CI291" t="str">
        <f>""</f>
        <v/>
      </c>
      <c r="CJ291" t="str">
        <f>""</f>
        <v/>
      </c>
      <c r="CK291" t="str">
        <f>""</f>
        <v/>
      </c>
      <c r="CL291" t="str">
        <f>""</f>
        <v/>
      </c>
      <c r="CM291" t="str">
        <f>""</f>
        <v/>
      </c>
      <c r="CN291" t="str">
        <f>""</f>
        <v/>
      </c>
      <c r="CO291" t="str">
        <f>""</f>
        <v/>
      </c>
      <c r="CP291" t="str">
        <f>""</f>
        <v/>
      </c>
      <c r="CQ291" t="str">
        <f>""</f>
        <v/>
      </c>
      <c r="CR291" t="str">
        <f>""</f>
        <v/>
      </c>
      <c r="CS291" t="str">
        <f>""</f>
        <v/>
      </c>
      <c r="CT291" t="str">
        <f>""</f>
        <v/>
      </c>
      <c r="CU291" t="str">
        <f>""</f>
        <v/>
      </c>
      <c r="CV291" t="str">
        <f>""</f>
        <v/>
      </c>
      <c r="CW291" t="str">
        <f>""</f>
        <v/>
      </c>
      <c r="CX291" t="str">
        <f>""</f>
        <v/>
      </c>
      <c r="CY291" t="str">
        <f>""</f>
        <v/>
      </c>
      <c r="CZ291" t="str">
        <f>""</f>
        <v/>
      </c>
      <c r="DA291" t="str">
        <f>""</f>
        <v/>
      </c>
      <c r="DB291" t="str">
        <f>""</f>
        <v/>
      </c>
      <c r="DC291" t="str">
        <f>""</f>
        <v/>
      </c>
      <c r="DD291" t="str">
        <f>""</f>
        <v/>
      </c>
      <c r="DE291" t="str">
        <f>""</f>
        <v/>
      </c>
      <c r="DF291" t="str">
        <f>""</f>
        <v/>
      </c>
      <c r="DG291" t="str">
        <f>""</f>
        <v/>
      </c>
      <c r="DH291" t="str">
        <f>""</f>
        <v/>
      </c>
      <c r="DI291" t="str">
        <f>""</f>
        <v/>
      </c>
      <c r="DJ291" t="str">
        <f>""</f>
        <v/>
      </c>
      <c r="DK291" t="str">
        <f>""</f>
        <v/>
      </c>
      <c r="DL291" t="str">
        <f>""</f>
        <v/>
      </c>
      <c r="DM291" t="str">
        <f>""</f>
        <v/>
      </c>
      <c r="DN291" t="str">
        <f>""</f>
        <v/>
      </c>
      <c r="DO291" t="str">
        <f>""</f>
        <v/>
      </c>
      <c r="DP291" t="str">
        <f>""</f>
        <v/>
      </c>
      <c r="DQ291" t="str">
        <f>""</f>
        <v/>
      </c>
      <c r="DR291" t="str">
        <f>""</f>
        <v/>
      </c>
      <c r="DS291" t="str">
        <f>""</f>
        <v/>
      </c>
      <c r="DT291" t="str">
        <f>""</f>
        <v/>
      </c>
      <c r="DU291" t="str">
        <f>""</f>
        <v/>
      </c>
    </row>
    <row r="292" spans="1:125">
      <c r="A292" t="str">
        <f>$A$77</f>
        <v xml:space="preserve">    American Campus Communities In</v>
      </c>
      <c r="B292" t="str">
        <f>$B$77</f>
        <v>ACC US Equity</v>
      </c>
      <c r="C292" t="str">
        <f>$C$77</f>
        <v>CF039</v>
      </c>
      <c r="D292" t="str">
        <f>$D$77</f>
        <v>CF_FFO</v>
      </c>
      <c r="E292" t="str">
        <f>$E$77</f>
        <v>动态</v>
      </c>
      <c r="F292" t="str">
        <f ca="1">BDH($B$77,$C$77,$B$224,$B$225,CONCATENATE("Per=",$B$222),"Dts=H","Dir=H",CONCATENATE("Points=",$B$223),"Sort=R","Days=A","Fill=B",CONCATENATE("FX=", $B$221) )</f>
        <v>#N/A Authorization</v>
      </c>
      <c r="BN292" t="str">
        <f>""</f>
        <v/>
      </c>
      <c r="BO292" t="str">
        <f>""</f>
        <v/>
      </c>
      <c r="BP292" t="str">
        <f>""</f>
        <v/>
      </c>
      <c r="BQ292" t="str">
        <f>""</f>
        <v/>
      </c>
      <c r="BR292" t="str">
        <f>""</f>
        <v/>
      </c>
      <c r="BS292" t="str">
        <f>""</f>
        <v/>
      </c>
      <c r="BT292" t="str">
        <f>""</f>
        <v/>
      </c>
      <c r="BU292" t="str">
        <f>""</f>
        <v/>
      </c>
      <c r="BV292" t="str">
        <f>""</f>
        <v/>
      </c>
      <c r="BW292" t="str">
        <f>""</f>
        <v/>
      </c>
      <c r="BX292" t="str">
        <f>""</f>
        <v/>
      </c>
      <c r="BY292" t="str">
        <f>""</f>
        <v/>
      </c>
      <c r="BZ292" t="str">
        <f>""</f>
        <v/>
      </c>
      <c r="CA292" t="str">
        <f>""</f>
        <v/>
      </c>
      <c r="CB292" t="str">
        <f>""</f>
        <v/>
      </c>
      <c r="CC292" t="str">
        <f>""</f>
        <v/>
      </c>
      <c r="CD292" t="str">
        <f>""</f>
        <v/>
      </c>
      <c r="CE292" t="str">
        <f>""</f>
        <v/>
      </c>
      <c r="CF292" t="str">
        <f>""</f>
        <v/>
      </c>
      <c r="CG292" t="str">
        <f>""</f>
        <v/>
      </c>
      <c r="CH292" t="str">
        <f>""</f>
        <v/>
      </c>
      <c r="CI292" t="str">
        <f>""</f>
        <v/>
      </c>
      <c r="CJ292" t="str">
        <f>""</f>
        <v/>
      </c>
      <c r="CK292" t="str">
        <f>""</f>
        <v/>
      </c>
      <c r="CL292" t="str">
        <f>""</f>
        <v/>
      </c>
      <c r="CM292" t="str">
        <f>""</f>
        <v/>
      </c>
      <c r="CN292" t="str">
        <f>""</f>
        <v/>
      </c>
      <c r="CO292" t="str">
        <f>""</f>
        <v/>
      </c>
      <c r="CP292" t="str">
        <f>""</f>
        <v/>
      </c>
      <c r="CQ292" t="str">
        <f>""</f>
        <v/>
      </c>
      <c r="CR292" t="str">
        <f>""</f>
        <v/>
      </c>
      <c r="CS292" t="str">
        <f>""</f>
        <v/>
      </c>
      <c r="CT292" t="str">
        <f>""</f>
        <v/>
      </c>
      <c r="CU292" t="str">
        <f>""</f>
        <v/>
      </c>
      <c r="CV292" t="str">
        <f>""</f>
        <v/>
      </c>
      <c r="CW292" t="str">
        <f>""</f>
        <v/>
      </c>
      <c r="CX292" t="str">
        <f>""</f>
        <v/>
      </c>
      <c r="CY292" t="str">
        <f>""</f>
        <v/>
      </c>
      <c r="CZ292" t="str">
        <f>""</f>
        <v/>
      </c>
      <c r="DA292" t="str">
        <f>""</f>
        <v/>
      </c>
      <c r="DB292" t="str">
        <f>""</f>
        <v/>
      </c>
      <c r="DC292" t="str">
        <f>""</f>
        <v/>
      </c>
      <c r="DD292" t="str">
        <f>""</f>
        <v/>
      </c>
      <c r="DE292" t="str">
        <f>""</f>
        <v/>
      </c>
      <c r="DF292" t="str">
        <f>""</f>
        <v/>
      </c>
      <c r="DG292" t="str">
        <f>""</f>
        <v/>
      </c>
      <c r="DH292" t="str">
        <f>""</f>
        <v/>
      </c>
      <c r="DI292" t="str">
        <f>""</f>
        <v/>
      </c>
      <c r="DJ292" t="str">
        <f>""</f>
        <v/>
      </c>
      <c r="DK292" t="str">
        <f>""</f>
        <v/>
      </c>
      <c r="DL292" t="str">
        <f>""</f>
        <v/>
      </c>
      <c r="DM292" t="str">
        <f>""</f>
        <v/>
      </c>
      <c r="DN292" t="str">
        <f>""</f>
        <v/>
      </c>
      <c r="DO292" t="str">
        <f>""</f>
        <v/>
      </c>
      <c r="DP292" t="str">
        <f>""</f>
        <v/>
      </c>
      <c r="DQ292" t="str">
        <f>""</f>
        <v/>
      </c>
      <c r="DR292" t="str">
        <f>""</f>
        <v/>
      </c>
      <c r="DS292" t="str">
        <f>""</f>
        <v/>
      </c>
      <c r="DT292" t="str">
        <f>""</f>
        <v/>
      </c>
      <c r="DU292" t="str">
        <f>""</f>
        <v/>
      </c>
    </row>
    <row r="293" spans="1:125">
      <c r="A293" t="str">
        <f>$A$78</f>
        <v xml:space="preserve">    AvalonBay Communities Inc</v>
      </c>
      <c r="B293" t="str">
        <f>$B$78</f>
        <v>AVB US Equity</v>
      </c>
      <c r="C293" t="str">
        <f>$C$78</f>
        <v>CF039</v>
      </c>
      <c r="D293" t="str">
        <f>$D$78</f>
        <v>CF_FFO</v>
      </c>
      <c r="E293" t="str">
        <f>$E$78</f>
        <v>动态</v>
      </c>
      <c r="F293" t="str">
        <f ca="1">BDH($B$78,$C$78,$B$224,$B$225,CONCATENATE("Per=",$B$222),"Dts=H","Dir=H",CONCATENATE("Points=",$B$223),"Sort=R","Days=A","Fill=B",CONCATENATE("FX=", $B$221) )</f>
        <v>#N/A Authorization</v>
      </c>
      <c r="BN293" t="str">
        <f>""</f>
        <v/>
      </c>
      <c r="BO293" t="str">
        <f>""</f>
        <v/>
      </c>
      <c r="BP293" t="str">
        <f>""</f>
        <v/>
      </c>
      <c r="BQ293" t="str">
        <f>""</f>
        <v/>
      </c>
      <c r="BR293" t="str">
        <f>""</f>
        <v/>
      </c>
      <c r="BS293" t="str">
        <f>""</f>
        <v/>
      </c>
      <c r="BT293" t="str">
        <f>""</f>
        <v/>
      </c>
      <c r="BU293" t="str">
        <f>""</f>
        <v/>
      </c>
      <c r="BV293" t="str">
        <f>""</f>
        <v/>
      </c>
      <c r="BW293" t="str">
        <f>""</f>
        <v/>
      </c>
      <c r="BX293" t="str">
        <f>""</f>
        <v/>
      </c>
      <c r="BY293" t="str">
        <f>""</f>
        <v/>
      </c>
      <c r="BZ293" t="str">
        <f>""</f>
        <v/>
      </c>
      <c r="CA293" t="str">
        <f>""</f>
        <v/>
      </c>
      <c r="CB293" t="str">
        <f>""</f>
        <v/>
      </c>
      <c r="CC293" t="str">
        <f>""</f>
        <v/>
      </c>
      <c r="CD293" t="str">
        <f>""</f>
        <v/>
      </c>
      <c r="CE293" t="str">
        <f>""</f>
        <v/>
      </c>
      <c r="CF293" t="str">
        <f>""</f>
        <v/>
      </c>
      <c r="CG293" t="str">
        <f>""</f>
        <v/>
      </c>
      <c r="CH293" t="str">
        <f>""</f>
        <v/>
      </c>
      <c r="CI293" t="str">
        <f>""</f>
        <v/>
      </c>
      <c r="CJ293" t="str">
        <f>""</f>
        <v/>
      </c>
      <c r="CK293" t="str">
        <f>""</f>
        <v/>
      </c>
      <c r="CL293" t="str">
        <f>""</f>
        <v/>
      </c>
      <c r="CM293" t="str">
        <f>""</f>
        <v/>
      </c>
      <c r="CN293" t="str">
        <f>""</f>
        <v/>
      </c>
      <c r="CO293" t="str">
        <f>""</f>
        <v/>
      </c>
      <c r="CP293" t="str">
        <f>""</f>
        <v/>
      </c>
      <c r="CQ293" t="str">
        <f>""</f>
        <v/>
      </c>
      <c r="CR293" t="str">
        <f>""</f>
        <v/>
      </c>
      <c r="CS293" t="str">
        <f>""</f>
        <v/>
      </c>
      <c r="CT293" t="str">
        <f>""</f>
        <v/>
      </c>
      <c r="CU293" t="str">
        <f>""</f>
        <v/>
      </c>
      <c r="CV293" t="str">
        <f>""</f>
        <v/>
      </c>
      <c r="CW293" t="str">
        <f>""</f>
        <v/>
      </c>
      <c r="CX293" t="str">
        <f>""</f>
        <v/>
      </c>
      <c r="CY293" t="str">
        <f>""</f>
        <v/>
      </c>
      <c r="CZ293" t="str">
        <f>""</f>
        <v/>
      </c>
      <c r="DA293" t="str">
        <f>""</f>
        <v/>
      </c>
      <c r="DB293" t="str">
        <f>""</f>
        <v/>
      </c>
      <c r="DC293" t="str">
        <f>""</f>
        <v/>
      </c>
      <c r="DD293" t="str">
        <f>""</f>
        <v/>
      </c>
      <c r="DE293" t="str">
        <f>""</f>
        <v/>
      </c>
      <c r="DF293" t="str">
        <f>""</f>
        <v/>
      </c>
      <c r="DG293" t="str">
        <f>""</f>
        <v/>
      </c>
      <c r="DH293" t="str">
        <f>""</f>
        <v/>
      </c>
      <c r="DI293" t="str">
        <f>""</f>
        <v/>
      </c>
      <c r="DJ293" t="str">
        <f>""</f>
        <v/>
      </c>
      <c r="DK293" t="str">
        <f>""</f>
        <v/>
      </c>
      <c r="DL293" t="str">
        <f>""</f>
        <v/>
      </c>
      <c r="DM293" t="str">
        <f>""</f>
        <v/>
      </c>
      <c r="DN293" t="str">
        <f>""</f>
        <v/>
      </c>
      <c r="DO293" t="str">
        <f>""</f>
        <v/>
      </c>
      <c r="DP293" t="str">
        <f>""</f>
        <v/>
      </c>
      <c r="DQ293" t="str">
        <f>""</f>
        <v/>
      </c>
      <c r="DR293" t="str">
        <f>""</f>
        <v/>
      </c>
      <c r="DS293" t="str">
        <f>""</f>
        <v/>
      </c>
      <c r="DT293" t="str">
        <f>""</f>
        <v/>
      </c>
      <c r="DU293" t="str">
        <f>""</f>
        <v/>
      </c>
    </row>
    <row r="294" spans="1:125">
      <c r="A294" t="str">
        <f>$A$79</f>
        <v xml:space="preserve">    Camden Property Trust</v>
      </c>
      <c r="B294" t="str">
        <f>$B$79</f>
        <v>CPT US Equity</v>
      </c>
      <c r="C294" t="str">
        <f>$C$79</f>
        <v>CF039</v>
      </c>
      <c r="D294" t="str">
        <f>$D$79</f>
        <v>CF_FFO</v>
      </c>
      <c r="E294" t="str">
        <f>$E$79</f>
        <v>动态</v>
      </c>
      <c r="F294" t="str">
        <f ca="1">BDH($B$79,$C$79,$B$224,$B$225,CONCATENATE("Per=",$B$222),"Dts=H","Dir=H",CONCATENATE("Points=",$B$223),"Sort=R","Days=A","Fill=B",CONCATENATE("FX=", $B$221) )</f>
        <v>#N/A Authorization</v>
      </c>
      <c r="BN294" t="str">
        <f>""</f>
        <v/>
      </c>
      <c r="BO294" t="str">
        <f>""</f>
        <v/>
      </c>
      <c r="BP294" t="str">
        <f>""</f>
        <v/>
      </c>
      <c r="BQ294" t="str">
        <f>""</f>
        <v/>
      </c>
      <c r="BR294" t="str">
        <f>""</f>
        <v/>
      </c>
      <c r="BS294" t="str">
        <f>""</f>
        <v/>
      </c>
      <c r="BT294" t="str">
        <f>""</f>
        <v/>
      </c>
      <c r="BU294" t="str">
        <f>""</f>
        <v/>
      </c>
      <c r="BV294" t="str">
        <f>""</f>
        <v/>
      </c>
      <c r="BW294" t="str">
        <f>""</f>
        <v/>
      </c>
      <c r="BX294" t="str">
        <f>""</f>
        <v/>
      </c>
      <c r="BY294" t="str">
        <f>""</f>
        <v/>
      </c>
      <c r="BZ294" t="str">
        <f>""</f>
        <v/>
      </c>
      <c r="CA294" t="str">
        <f>""</f>
        <v/>
      </c>
      <c r="CB294" t="str">
        <f>""</f>
        <v/>
      </c>
      <c r="CC294" t="str">
        <f>""</f>
        <v/>
      </c>
      <c r="CD294" t="str">
        <f>""</f>
        <v/>
      </c>
      <c r="CE294" t="str">
        <f>""</f>
        <v/>
      </c>
      <c r="CF294" t="str">
        <f>""</f>
        <v/>
      </c>
      <c r="CG294" t="str">
        <f>""</f>
        <v/>
      </c>
      <c r="CH294" t="str">
        <f>""</f>
        <v/>
      </c>
      <c r="CI294" t="str">
        <f>""</f>
        <v/>
      </c>
      <c r="CJ294" t="str">
        <f>""</f>
        <v/>
      </c>
      <c r="CK294" t="str">
        <f>""</f>
        <v/>
      </c>
      <c r="CL294" t="str">
        <f>""</f>
        <v/>
      </c>
      <c r="CM294" t="str">
        <f>""</f>
        <v/>
      </c>
      <c r="CN294" t="str">
        <f>""</f>
        <v/>
      </c>
      <c r="CO294" t="str">
        <f>""</f>
        <v/>
      </c>
      <c r="CP294" t="str">
        <f>""</f>
        <v/>
      </c>
      <c r="CQ294" t="str">
        <f>""</f>
        <v/>
      </c>
      <c r="CR294" t="str">
        <f>""</f>
        <v/>
      </c>
      <c r="CS294" t="str">
        <f>""</f>
        <v/>
      </c>
      <c r="CT294" t="str">
        <f>""</f>
        <v/>
      </c>
      <c r="CU294" t="str">
        <f>""</f>
        <v/>
      </c>
      <c r="CV294" t="str">
        <f>""</f>
        <v/>
      </c>
      <c r="CW294" t="str">
        <f>""</f>
        <v/>
      </c>
      <c r="CX294" t="str">
        <f>""</f>
        <v/>
      </c>
      <c r="CY294" t="str">
        <f>""</f>
        <v/>
      </c>
      <c r="CZ294" t="str">
        <f>""</f>
        <v/>
      </c>
      <c r="DA294" t="str">
        <f>""</f>
        <v/>
      </c>
      <c r="DB294" t="str">
        <f>""</f>
        <v/>
      </c>
      <c r="DC294" t="str">
        <f>""</f>
        <v/>
      </c>
      <c r="DD294" t="str">
        <f>""</f>
        <v/>
      </c>
      <c r="DE294" t="str">
        <f>""</f>
        <v/>
      </c>
      <c r="DF294" t="str">
        <f>""</f>
        <v/>
      </c>
      <c r="DG294" t="str">
        <f>""</f>
        <v/>
      </c>
      <c r="DH294" t="str">
        <f>""</f>
        <v/>
      </c>
      <c r="DI294" t="str">
        <f>""</f>
        <v/>
      </c>
      <c r="DJ294" t="str">
        <f>""</f>
        <v/>
      </c>
      <c r="DK294" t="str">
        <f>""</f>
        <v/>
      </c>
      <c r="DL294" t="str">
        <f>""</f>
        <v/>
      </c>
      <c r="DM294" t="str">
        <f>""</f>
        <v/>
      </c>
      <c r="DN294" t="str">
        <f>""</f>
        <v/>
      </c>
      <c r="DO294" t="str">
        <f>""</f>
        <v/>
      </c>
      <c r="DP294" t="str">
        <f>""</f>
        <v/>
      </c>
      <c r="DQ294" t="str">
        <f>""</f>
        <v/>
      </c>
      <c r="DR294" t="str">
        <f>""</f>
        <v/>
      </c>
      <c r="DS294" t="str">
        <f>""</f>
        <v/>
      </c>
      <c r="DT294" t="str">
        <f>""</f>
        <v/>
      </c>
      <c r="DU294" t="str">
        <f>""</f>
        <v/>
      </c>
    </row>
    <row r="295" spans="1:125">
      <c r="A295" t="str">
        <f>$A$80</f>
        <v xml:space="preserve">    Education Realty Trust Inc</v>
      </c>
      <c r="B295" t="str">
        <f>$B$80</f>
        <v>EDR US Equity</v>
      </c>
      <c r="C295" t="str">
        <f>$C$80</f>
        <v>CF039</v>
      </c>
      <c r="D295" t="str">
        <f>$D$80</f>
        <v>CF_FFO</v>
      </c>
      <c r="E295" t="str">
        <f>$E$80</f>
        <v>动态</v>
      </c>
      <c r="F295" t="str">
        <f ca="1">BDH($B$80,$C$80,$B$224,$B$225,CONCATENATE("Per=",$B$222),"Dts=H","Dir=H",CONCATENATE("Points=",$B$223),"Sort=R","Days=A","Fill=B",CONCATENATE("FX=", $B$221) )</f>
        <v>#N/A Authorization</v>
      </c>
      <c r="BN295" t="str">
        <f>""</f>
        <v/>
      </c>
      <c r="BO295" t="str">
        <f>""</f>
        <v/>
      </c>
      <c r="BP295" t="str">
        <f>""</f>
        <v/>
      </c>
      <c r="BQ295" t="str">
        <f>""</f>
        <v/>
      </c>
      <c r="BR295" t="str">
        <f>""</f>
        <v/>
      </c>
      <c r="BS295" t="str">
        <f>""</f>
        <v/>
      </c>
      <c r="BT295" t="str">
        <f>""</f>
        <v/>
      </c>
      <c r="BU295" t="str">
        <f>""</f>
        <v/>
      </c>
      <c r="BV295" t="str">
        <f>""</f>
        <v/>
      </c>
      <c r="BW295" t="str">
        <f>""</f>
        <v/>
      </c>
      <c r="BX295" t="str">
        <f>""</f>
        <v/>
      </c>
      <c r="BY295" t="str">
        <f>""</f>
        <v/>
      </c>
      <c r="BZ295" t="str">
        <f>""</f>
        <v/>
      </c>
      <c r="CA295" t="str">
        <f>""</f>
        <v/>
      </c>
      <c r="CB295" t="str">
        <f>""</f>
        <v/>
      </c>
      <c r="CC295" t="str">
        <f>""</f>
        <v/>
      </c>
      <c r="CD295" t="str">
        <f>""</f>
        <v/>
      </c>
      <c r="CE295" t="str">
        <f>""</f>
        <v/>
      </c>
      <c r="CF295" t="str">
        <f>""</f>
        <v/>
      </c>
      <c r="CG295" t="str">
        <f>""</f>
        <v/>
      </c>
      <c r="CH295" t="str">
        <f>""</f>
        <v/>
      </c>
      <c r="CI295" t="str">
        <f>""</f>
        <v/>
      </c>
      <c r="CJ295" t="str">
        <f>""</f>
        <v/>
      </c>
      <c r="CK295" t="str">
        <f>""</f>
        <v/>
      </c>
      <c r="CL295" t="str">
        <f>""</f>
        <v/>
      </c>
      <c r="CM295" t="str">
        <f>""</f>
        <v/>
      </c>
      <c r="CN295" t="str">
        <f>""</f>
        <v/>
      </c>
      <c r="CO295" t="str">
        <f>""</f>
        <v/>
      </c>
      <c r="CP295" t="str">
        <f>""</f>
        <v/>
      </c>
      <c r="CQ295" t="str">
        <f>""</f>
        <v/>
      </c>
      <c r="CR295" t="str">
        <f>""</f>
        <v/>
      </c>
      <c r="CS295" t="str">
        <f>""</f>
        <v/>
      </c>
      <c r="CT295" t="str">
        <f>""</f>
        <v/>
      </c>
      <c r="CU295" t="str">
        <f>""</f>
        <v/>
      </c>
      <c r="CV295" t="str">
        <f>""</f>
        <v/>
      </c>
      <c r="CW295" t="str">
        <f>""</f>
        <v/>
      </c>
      <c r="CX295" t="str">
        <f>""</f>
        <v/>
      </c>
      <c r="CY295" t="str">
        <f>""</f>
        <v/>
      </c>
      <c r="CZ295" t="str">
        <f>""</f>
        <v/>
      </c>
      <c r="DA295" t="str">
        <f>""</f>
        <v/>
      </c>
      <c r="DB295" t="str">
        <f>""</f>
        <v/>
      </c>
      <c r="DC295" t="str">
        <f>""</f>
        <v/>
      </c>
      <c r="DD295" t="str">
        <f>""</f>
        <v/>
      </c>
      <c r="DE295" t="str">
        <f>""</f>
        <v/>
      </c>
      <c r="DF295" t="str">
        <f>""</f>
        <v/>
      </c>
      <c r="DG295" t="str">
        <f>""</f>
        <v/>
      </c>
      <c r="DH295" t="str">
        <f>""</f>
        <v/>
      </c>
      <c r="DI295" t="str">
        <f>""</f>
        <v/>
      </c>
      <c r="DJ295" t="str">
        <f>""</f>
        <v/>
      </c>
      <c r="DK295" t="str">
        <f>""</f>
        <v/>
      </c>
      <c r="DL295" t="str">
        <f>""</f>
        <v/>
      </c>
      <c r="DM295" t="str">
        <f>""</f>
        <v/>
      </c>
      <c r="DN295" t="str">
        <f>""</f>
        <v/>
      </c>
      <c r="DO295" t="str">
        <f>""</f>
        <v/>
      </c>
      <c r="DP295" t="str">
        <f>""</f>
        <v/>
      </c>
      <c r="DQ295" t="str">
        <f>""</f>
        <v/>
      </c>
      <c r="DR295" t="str">
        <f>""</f>
        <v/>
      </c>
      <c r="DS295" t="str">
        <f>""</f>
        <v/>
      </c>
      <c r="DT295" t="str">
        <f>""</f>
        <v/>
      </c>
      <c r="DU295" t="str">
        <f>""</f>
        <v/>
      </c>
    </row>
    <row r="296" spans="1:125">
      <c r="A296" t="str">
        <f>$A$81</f>
        <v xml:space="preserve">    Equity Residential</v>
      </c>
      <c r="B296" t="str">
        <f>$B$81</f>
        <v>EQR US Equity</v>
      </c>
      <c r="C296" t="str">
        <f>$C$81</f>
        <v>CF039</v>
      </c>
      <c r="D296" t="str">
        <f>$D$81</f>
        <v>CF_FFO</v>
      </c>
      <c r="E296" t="str">
        <f>$E$81</f>
        <v>动态</v>
      </c>
      <c r="F296" t="str">
        <f ca="1">BDH($B$81,$C$81,$B$224,$B$225,CONCATENATE("Per=",$B$222),"Dts=H","Dir=H",CONCATENATE("Points=",$B$223),"Sort=R","Days=A","Fill=B",CONCATENATE("FX=", $B$221) )</f>
        <v>#N/A Authorization</v>
      </c>
      <c r="BN296" t="str">
        <f>""</f>
        <v/>
      </c>
      <c r="BO296" t="str">
        <f>""</f>
        <v/>
      </c>
      <c r="BP296" t="str">
        <f>""</f>
        <v/>
      </c>
      <c r="BQ296" t="str">
        <f>""</f>
        <v/>
      </c>
      <c r="BR296" t="str">
        <f>""</f>
        <v/>
      </c>
      <c r="BS296" t="str">
        <f>""</f>
        <v/>
      </c>
      <c r="BT296" t="str">
        <f>""</f>
        <v/>
      </c>
      <c r="BU296" t="str">
        <f>""</f>
        <v/>
      </c>
      <c r="BV296" t="str">
        <f>""</f>
        <v/>
      </c>
      <c r="BW296" t="str">
        <f>""</f>
        <v/>
      </c>
      <c r="BX296" t="str">
        <f>""</f>
        <v/>
      </c>
      <c r="BY296" t="str">
        <f>""</f>
        <v/>
      </c>
      <c r="BZ296" t="str">
        <f>""</f>
        <v/>
      </c>
      <c r="CA296" t="str">
        <f>""</f>
        <v/>
      </c>
      <c r="CB296" t="str">
        <f>""</f>
        <v/>
      </c>
      <c r="CC296" t="str">
        <f>""</f>
        <v/>
      </c>
      <c r="CD296" t="str">
        <f>""</f>
        <v/>
      </c>
      <c r="CE296" t="str">
        <f>""</f>
        <v/>
      </c>
      <c r="CF296" t="str">
        <f>""</f>
        <v/>
      </c>
      <c r="CG296" t="str">
        <f>""</f>
        <v/>
      </c>
      <c r="CH296" t="str">
        <f>""</f>
        <v/>
      </c>
      <c r="CI296" t="str">
        <f>""</f>
        <v/>
      </c>
      <c r="CJ296" t="str">
        <f>""</f>
        <v/>
      </c>
      <c r="CK296" t="str">
        <f>""</f>
        <v/>
      </c>
      <c r="CL296" t="str">
        <f>""</f>
        <v/>
      </c>
      <c r="CM296" t="str">
        <f>""</f>
        <v/>
      </c>
      <c r="CN296" t="str">
        <f>""</f>
        <v/>
      </c>
      <c r="CO296" t="str">
        <f>""</f>
        <v/>
      </c>
      <c r="CP296" t="str">
        <f>""</f>
        <v/>
      </c>
      <c r="CQ296" t="str">
        <f>""</f>
        <v/>
      </c>
      <c r="CR296" t="str">
        <f>""</f>
        <v/>
      </c>
      <c r="CS296" t="str">
        <f>""</f>
        <v/>
      </c>
      <c r="CT296" t="str">
        <f>""</f>
        <v/>
      </c>
      <c r="CU296" t="str">
        <f>""</f>
        <v/>
      </c>
      <c r="CV296" t="str">
        <f>""</f>
        <v/>
      </c>
      <c r="CW296" t="str">
        <f>""</f>
        <v/>
      </c>
      <c r="CX296" t="str">
        <f>""</f>
        <v/>
      </c>
      <c r="CY296" t="str">
        <f>""</f>
        <v/>
      </c>
      <c r="CZ296" t="str">
        <f>""</f>
        <v/>
      </c>
      <c r="DA296" t="str">
        <f>""</f>
        <v/>
      </c>
      <c r="DB296" t="str">
        <f>""</f>
        <v/>
      </c>
      <c r="DC296" t="str">
        <f>""</f>
        <v/>
      </c>
      <c r="DD296" t="str">
        <f>""</f>
        <v/>
      </c>
      <c r="DE296" t="str">
        <f>""</f>
        <v/>
      </c>
      <c r="DF296" t="str">
        <f>""</f>
        <v/>
      </c>
      <c r="DG296" t="str">
        <f>""</f>
        <v/>
      </c>
      <c r="DH296" t="str">
        <f>""</f>
        <v/>
      </c>
      <c r="DI296" t="str">
        <f>""</f>
        <v/>
      </c>
      <c r="DJ296" t="str">
        <f>""</f>
        <v/>
      </c>
      <c r="DK296" t="str">
        <f>""</f>
        <v/>
      </c>
      <c r="DL296" t="str">
        <f>""</f>
        <v/>
      </c>
      <c r="DM296" t="str">
        <f>""</f>
        <v/>
      </c>
      <c r="DN296" t="str">
        <f>""</f>
        <v/>
      </c>
      <c r="DO296" t="str">
        <f>""</f>
        <v/>
      </c>
      <c r="DP296" t="str">
        <f>""</f>
        <v/>
      </c>
      <c r="DQ296" t="str">
        <f>""</f>
        <v/>
      </c>
      <c r="DR296" t="str">
        <f>""</f>
        <v/>
      </c>
      <c r="DS296" t="str">
        <f>""</f>
        <v/>
      </c>
      <c r="DT296" t="str">
        <f>""</f>
        <v/>
      </c>
      <c r="DU296" t="str">
        <f>""</f>
        <v/>
      </c>
    </row>
    <row r="297" spans="1:125">
      <c r="A297" t="str">
        <f>$A$82</f>
        <v xml:space="preserve">    Essex Property Trust Inc</v>
      </c>
      <c r="B297" t="str">
        <f>$B$82</f>
        <v>ESS US Equity</v>
      </c>
      <c r="C297" t="str">
        <f>$C$82</f>
        <v>CF039</v>
      </c>
      <c r="D297" t="str">
        <f>$D$82</f>
        <v>CF_FFO</v>
      </c>
      <c r="E297" t="str">
        <f>$E$82</f>
        <v>动态</v>
      </c>
      <c r="F297" t="str">
        <f ca="1">BDH($B$82,$C$82,$B$224,$B$225,CONCATENATE("Per=",$B$222),"Dts=H","Dir=H",CONCATENATE("Points=",$B$223),"Sort=R","Days=A","Fill=B",CONCATENATE("FX=", $B$221) )</f>
        <v>#N/A Authorization</v>
      </c>
      <c r="BN297" t="str">
        <f>""</f>
        <v/>
      </c>
      <c r="BO297" t="str">
        <f>""</f>
        <v/>
      </c>
      <c r="BP297" t="str">
        <f>""</f>
        <v/>
      </c>
      <c r="BQ297" t="str">
        <f>""</f>
        <v/>
      </c>
      <c r="BR297" t="str">
        <f>""</f>
        <v/>
      </c>
      <c r="BS297" t="str">
        <f>""</f>
        <v/>
      </c>
      <c r="BT297" t="str">
        <f>""</f>
        <v/>
      </c>
      <c r="BU297" t="str">
        <f>""</f>
        <v/>
      </c>
      <c r="BV297" t="str">
        <f>""</f>
        <v/>
      </c>
      <c r="BW297" t="str">
        <f>""</f>
        <v/>
      </c>
      <c r="BX297" t="str">
        <f>""</f>
        <v/>
      </c>
      <c r="BY297" t="str">
        <f>""</f>
        <v/>
      </c>
      <c r="BZ297" t="str">
        <f>""</f>
        <v/>
      </c>
      <c r="CA297" t="str">
        <f>""</f>
        <v/>
      </c>
      <c r="CB297" t="str">
        <f>""</f>
        <v/>
      </c>
      <c r="CC297" t="str">
        <f>""</f>
        <v/>
      </c>
      <c r="CD297" t="str">
        <f>""</f>
        <v/>
      </c>
      <c r="CE297" t="str">
        <f>""</f>
        <v/>
      </c>
      <c r="CF297" t="str">
        <f>""</f>
        <v/>
      </c>
      <c r="CG297" t="str">
        <f>""</f>
        <v/>
      </c>
      <c r="CH297" t="str">
        <f>""</f>
        <v/>
      </c>
      <c r="CI297" t="str">
        <f>""</f>
        <v/>
      </c>
      <c r="CJ297" t="str">
        <f>""</f>
        <v/>
      </c>
      <c r="CK297" t="str">
        <f>""</f>
        <v/>
      </c>
      <c r="CL297" t="str">
        <f>""</f>
        <v/>
      </c>
      <c r="CM297" t="str">
        <f>""</f>
        <v/>
      </c>
      <c r="CN297" t="str">
        <f>""</f>
        <v/>
      </c>
      <c r="CO297" t="str">
        <f>""</f>
        <v/>
      </c>
      <c r="CP297" t="str">
        <f>""</f>
        <v/>
      </c>
      <c r="CQ297" t="str">
        <f>""</f>
        <v/>
      </c>
      <c r="CR297" t="str">
        <f>""</f>
        <v/>
      </c>
      <c r="CS297" t="str">
        <f>""</f>
        <v/>
      </c>
      <c r="CT297" t="str">
        <f>""</f>
        <v/>
      </c>
      <c r="CU297" t="str">
        <f>""</f>
        <v/>
      </c>
      <c r="CV297" t="str">
        <f>""</f>
        <v/>
      </c>
      <c r="CW297" t="str">
        <f>""</f>
        <v/>
      </c>
      <c r="CX297" t="str">
        <f>""</f>
        <v/>
      </c>
      <c r="CY297" t="str">
        <f>""</f>
        <v/>
      </c>
      <c r="CZ297" t="str">
        <f>""</f>
        <v/>
      </c>
      <c r="DA297" t="str">
        <f>""</f>
        <v/>
      </c>
      <c r="DB297" t="str">
        <f>""</f>
        <v/>
      </c>
      <c r="DC297" t="str">
        <f>""</f>
        <v/>
      </c>
      <c r="DD297" t="str">
        <f>""</f>
        <v/>
      </c>
      <c r="DE297" t="str">
        <f>""</f>
        <v/>
      </c>
      <c r="DF297" t="str">
        <f>""</f>
        <v/>
      </c>
      <c r="DG297" t="str">
        <f>""</f>
        <v/>
      </c>
      <c r="DH297" t="str">
        <f>""</f>
        <v/>
      </c>
      <c r="DI297" t="str">
        <f>""</f>
        <v/>
      </c>
      <c r="DJ297" t="str">
        <f>""</f>
        <v/>
      </c>
      <c r="DK297" t="str">
        <f>""</f>
        <v/>
      </c>
      <c r="DL297" t="str">
        <f>""</f>
        <v/>
      </c>
      <c r="DM297" t="str">
        <f>""</f>
        <v/>
      </c>
      <c r="DN297" t="str">
        <f>""</f>
        <v/>
      </c>
      <c r="DO297" t="str">
        <f>""</f>
        <v/>
      </c>
      <c r="DP297" t="str">
        <f>""</f>
        <v/>
      </c>
      <c r="DQ297" t="str">
        <f>""</f>
        <v/>
      </c>
      <c r="DR297" t="str">
        <f>""</f>
        <v/>
      </c>
      <c r="DS297" t="str">
        <f>""</f>
        <v/>
      </c>
      <c r="DT297" t="str">
        <f>""</f>
        <v/>
      </c>
      <c r="DU297" t="str">
        <f>""</f>
        <v/>
      </c>
    </row>
    <row r="298" spans="1:125">
      <c r="A298" t="str">
        <f>$A$83</f>
        <v xml:space="preserve">    Mid-America Apartment Communit</v>
      </c>
      <c r="B298" t="str">
        <f>$B$83</f>
        <v>MAA US Equity</v>
      </c>
      <c r="C298" t="str">
        <f>$C$83</f>
        <v>CF039</v>
      </c>
      <c r="D298" t="str">
        <f>$D$83</f>
        <v>CF_FFO</v>
      </c>
      <c r="E298" t="str">
        <f>$E$83</f>
        <v>动态</v>
      </c>
      <c r="F298" t="str">
        <f ca="1">BDH($B$83,$C$83,$B$224,$B$225,CONCATENATE("Per=",$B$222),"Dts=H","Dir=H",CONCATENATE("Points=",$B$223),"Sort=R","Days=A","Fill=B",CONCATENATE("FX=", $B$221) )</f>
        <v>#N/A Authorization</v>
      </c>
      <c r="BN298" t="str">
        <f>""</f>
        <v/>
      </c>
      <c r="BO298" t="str">
        <f>""</f>
        <v/>
      </c>
      <c r="BP298" t="str">
        <f>""</f>
        <v/>
      </c>
      <c r="BQ298" t="str">
        <f>""</f>
        <v/>
      </c>
      <c r="BR298" t="str">
        <f>""</f>
        <v/>
      </c>
      <c r="BS298" t="str">
        <f>""</f>
        <v/>
      </c>
      <c r="BT298" t="str">
        <f>""</f>
        <v/>
      </c>
      <c r="BU298" t="str">
        <f>""</f>
        <v/>
      </c>
      <c r="BV298" t="str">
        <f>""</f>
        <v/>
      </c>
      <c r="BW298" t="str">
        <f>""</f>
        <v/>
      </c>
      <c r="BX298" t="str">
        <f>""</f>
        <v/>
      </c>
      <c r="BY298" t="str">
        <f>""</f>
        <v/>
      </c>
      <c r="BZ298" t="str">
        <f>""</f>
        <v/>
      </c>
      <c r="CA298" t="str">
        <f>""</f>
        <v/>
      </c>
      <c r="CB298" t="str">
        <f>""</f>
        <v/>
      </c>
      <c r="CC298" t="str">
        <f>""</f>
        <v/>
      </c>
      <c r="CD298" t="str">
        <f>""</f>
        <v/>
      </c>
      <c r="CE298" t="str">
        <f>""</f>
        <v/>
      </c>
      <c r="CF298" t="str">
        <f>""</f>
        <v/>
      </c>
      <c r="CG298" t="str">
        <f>""</f>
        <v/>
      </c>
      <c r="CH298" t="str">
        <f>""</f>
        <v/>
      </c>
      <c r="CI298" t="str">
        <f>""</f>
        <v/>
      </c>
      <c r="CJ298" t="str">
        <f>""</f>
        <v/>
      </c>
      <c r="CK298" t="str">
        <f>""</f>
        <v/>
      </c>
      <c r="CL298" t="str">
        <f>""</f>
        <v/>
      </c>
      <c r="CM298" t="str">
        <f>""</f>
        <v/>
      </c>
      <c r="CN298" t="str">
        <f>""</f>
        <v/>
      </c>
      <c r="CO298" t="str">
        <f>""</f>
        <v/>
      </c>
      <c r="CP298" t="str">
        <f>""</f>
        <v/>
      </c>
      <c r="CQ298" t="str">
        <f>""</f>
        <v/>
      </c>
      <c r="CR298" t="str">
        <f>""</f>
        <v/>
      </c>
      <c r="CS298" t="str">
        <f>""</f>
        <v/>
      </c>
      <c r="CT298" t="str">
        <f>""</f>
        <v/>
      </c>
      <c r="CU298" t="str">
        <f>""</f>
        <v/>
      </c>
      <c r="CV298" t="str">
        <f>""</f>
        <v/>
      </c>
      <c r="CW298" t="str">
        <f>""</f>
        <v/>
      </c>
      <c r="CX298" t="str">
        <f>""</f>
        <v/>
      </c>
      <c r="CY298" t="str">
        <f>""</f>
        <v/>
      </c>
      <c r="CZ298" t="str">
        <f>""</f>
        <v/>
      </c>
      <c r="DA298" t="str">
        <f>""</f>
        <v/>
      </c>
      <c r="DB298" t="str">
        <f>""</f>
        <v/>
      </c>
      <c r="DC298" t="str">
        <f>""</f>
        <v/>
      </c>
      <c r="DD298" t="str">
        <f>""</f>
        <v/>
      </c>
      <c r="DE298" t="str">
        <f>""</f>
        <v/>
      </c>
      <c r="DF298" t="str">
        <f>""</f>
        <v/>
      </c>
      <c r="DG298" t="str">
        <f>""</f>
        <v/>
      </c>
      <c r="DH298" t="str">
        <f>""</f>
        <v/>
      </c>
      <c r="DI298" t="str">
        <f>""</f>
        <v/>
      </c>
      <c r="DJ298" t="str">
        <f>""</f>
        <v/>
      </c>
      <c r="DK298" t="str">
        <f>""</f>
        <v/>
      </c>
      <c r="DL298" t="str">
        <f>""</f>
        <v/>
      </c>
      <c r="DM298" t="str">
        <f>""</f>
        <v/>
      </c>
      <c r="DN298" t="str">
        <f>""</f>
        <v/>
      </c>
      <c r="DO298" t="str">
        <f>""</f>
        <v/>
      </c>
      <c r="DP298" t="str">
        <f>""</f>
        <v/>
      </c>
      <c r="DQ298" t="str">
        <f>""</f>
        <v/>
      </c>
      <c r="DR298" t="str">
        <f>""</f>
        <v/>
      </c>
      <c r="DS298" t="str">
        <f>""</f>
        <v/>
      </c>
      <c r="DT298" t="str">
        <f>""</f>
        <v/>
      </c>
      <c r="DU298" t="str">
        <f>""</f>
        <v/>
      </c>
    </row>
    <row r="299" spans="1:125">
      <c r="A299" t="str">
        <f>$A$84</f>
        <v xml:space="preserve">    UDR Inc</v>
      </c>
      <c r="B299" t="str">
        <f>$B$84</f>
        <v>UDR US Equity</v>
      </c>
      <c r="C299" t="str">
        <f>$C$84</f>
        <v>CF039</v>
      </c>
      <c r="D299" t="str">
        <f>$D$84</f>
        <v>CF_FFO</v>
      </c>
      <c r="E299" t="str">
        <f>$E$84</f>
        <v>动态</v>
      </c>
      <c r="F299" t="str">
        <f ca="1">BDH($B$84,$C$84,$B$224,$B$225,CONCATENATE("Per=",$B$222),"Dts=H","Dir=H",CONCATENATE("Points=",$B$223),"Sort=R","Days=A","Fill=B",CONCATENATE("FX=", $B$221) )</f>
        <v>#N/A Authorization</v>
      </c>
      <c r="BN299" t="str">
        <f>""</f>
        <v/>
      </c>
      <c r="BO299" t="str">
        <f>""</f>
        <v/>
      </c>
      <c r="BP299" t="str">
        <f>""</f>
        <v/>
      </c>
      <c r="BQ299" t="str">
        <f>""</f>
        <v/>
      </c>
      <c r="BR299" t="str">
        <f>""</f>
        <v/>
      </c>
      <c r="BS299" t="str">
        <f>""</f>
        <v/>
      </c>
      <c r="BT299" t="str">
        <f>""</f>
        <v/>
      </c>
      <c r="BU299" t="str">
        <f>""</f>
        <v/>
      </c>
      <c r="BV299" t="str">
        <f>""</f>
        <v/>
      </c>
      <c r="BW299" t="str">
        <f>""</f>
        <v/>
      </c>
      <c r="BX299" t="str">
        <f>""</f>
        <v/>
      </c>
      <c r="BY299" t="str">
        <f>""</f>
        <v/>
      </c>
      <c r="BZ299" t="str">
        <f>""</f>
        <v/>
      </c>
      <c r="CA299" t="str">
        <f>""</f>
        <v/>
      </c>
      <c r="CB299" t="str">
        <f>""</f>
        <v/>
      </c>
      <c r="CC299" t="str">
        <f>""</f>
        <v/>
      </c>
      <c r="CD299" t="str">
        <f>""</f>
        <v/>
      </c>
      <c r="CE299" t="str">
        <f>""</f>
        <v/>
      </c>
      <c r="CF299" t="str">
        <f>""</f>
        <v/>
      </c>
      <c r="CG299" t="str">
        <f>""</f>
        <v/>
      </c>
      <c r="CH299" t="str">
        <f>""</f>
        <v/>
      </c>
      <c r="CI299" t="str">
        <f>""</f>
        <v/>
      </c>
      <c r="CJ299" t="str">
        <f>""</f>
        <v/>
      </c>
      <c r="CK299" t="str">
        <f>""</f>
        <v/>
      </c>
      <c r="CL299" t="str">
        <f>""</f>
        <v/>
      </c>
      <c r="CM299" t="str">
        <f>""</f>
        <v/>
      </c>
      <c r="CN299" t="str">
        <f>""</f>
        <v/>
      </c>
      <c r="CO299" t="str">
        <f>""</f>
        <v/>
      </c>
      <c r="CP299" t="str">
        <f>""</f>
        <v/>
      </c>
      <c r="CQ299" t="str">
        <f>""</f>
        <v/>
      </c>
      <c r="CR299" t="str">
        <f>""</f>
        <v/>
      </c>
      <c r="CS299" t="str">
        <f>""</f>
        <v/>
      </c>
      <c r="CT299" t="str">
        <f>""</f>
        <v/>
      </c>
      <c r="CU299" t="str">
        <f>""</f>
        <v/>
      </c>
      <c r="CV299" t="str">
        <f>""</f>
        <v/>
      </c>
      <c r="CW299" t="str">
        <f>""</f>
        <v/>
      </c>
      <c r="CX299" t="str">
        <f>""</f>
        <v/>
      </c>
      <c r="CY299" t="str">
        <f>""</f>
        <v/>
      </c>
      <c r="CZ299" t="str">
        <f>""</f>
        <v/>
      </c>
      <c r="DA299" t="str">
        <f>""</f>
        <v/>
      </c>
      <c r="DB299" t="str">
        <f>""</f>
        <v/>
      </c>
      <c r="DC299" t="str">
        <f>""</f>
        <v/>
      </c>
      <c r="DD299" t="str">
        <f>""</f>
        <v/>
      </c>
      <c r="DE299" t="str">
        <f>""</f>
        <v/>
      </c>
      <c r="DF299" t="str">
        <f>""</f>
        <v/>
      </c>
      <c r="DG299" t="str">
        <f>""</f>
        <v/>
      </c>
      <c r="DH299" t="str">
        <f>""</f>
        <v/>
      </c>
      <c r="DI299" t="str">
        <f>""</f>
        <v/>
      </c>
      <c r="DJ299" t="str">
        <f>""</f>
        <v/>
      </c>
      <c r="DK299" t="str">
        <f>""</f>
        <v/>
      </c>
      <c r="DL299" t="str">
        <f>""</f>
        <v/>
      </c>
      <c r="DM299" t="str">
        <f>""</f>
        <v/>
      </c>
      <c r="DN299" t="str">
        <f>""</f>
        <v/>
      </c>
      <c r="DO299" t="str">
        <f>""</f>
        <v/>
      </c>
      <c r="DP299" t="str">
        <f>""</f>
        <v/>
      </c>
      <c r="DQ299" t="str">
        <f>""</f>
        <v/>
      </c>
      <c r="DR299" t="str">
        <f>""</f>
        <v/>
      </c>
      <c r="DS299" t="str">
        <f>""</f>
        <v/>
      </c>
      <c r="DT299" t="str">
        <f>""</f>
        <v/>
      </c>
      <c r="DU299" t="str">
        <f>""</f>
        <v/>
      </c>
    </row>
    <row r="300" spans="1:125">
      <c r="A300" t="str">
        <f>$A$86</f>
        <v xml:space="preserve">    American Campus Communities In</v>
      </c>
      <c r="B300" t="str">
        <f>$B$86</f>
        <v>ACC US Equity</v>
      </c>
      <c r="C300" t="str">
        <f>$C$86</f>
        <v>F0578</v>
      </c>
      <c r="D300" t="str">
        <f>$D$86</f>
        <v>FUNDS_AVAILABLE_FOR_DISTRIBUTION</v>
      </c>
      <c r="E300" t="str">
        <f>$E$86</f>
        <v>动态</v>
      </c>
      <c r="F300" t="str">
        <f ca="1">BDH($B$86,$C$86,$B$224,$B$225,CONCATENATE("Per=",$B$222),"Dts=H","Dir=H",CONCATENATE("Points=",$B$223),"Sort=R","Days=A","Fill=B",CONCATENATE("FX=", $B$221) )</f>
        <v>#N/A Authorization</v>
      </c>
      <c r="BN300" t="str">
        <f>""</f>
        <v/>
      </c>
      <c r="BO300" t="str">
        <f>""</f>
        <v/>
      </c>
      <c r="BP300" t="str">
        <f>""</f>
        <v/>
      </c>
      <c r="BQ300" t="str">
        <f>""</f>
        <v/>
      </c>
      <c r="BR300" t="str">
        <f>""</f>
        <v/>
      </c>
      <c r="BS300" t="str">
        <f>""</f>
        <v/>
      </c>
      <c r="BT300" t="str">
        <f>""</f>
        <v/>
      </c>
      <c r="BU300" t="str">
        <f>""</f>
        <v/>
      </c>
      <c r="BV300" t="str">
        <f>""</f>
        <v/>
      </c>
      <c r="BW300" t="str">
        <f>""</f>
        <v/>
      </c>
      <c r="BX300" t="str">
        <f>""</f>
        <v/>
      </c>
      <c r="BY300" t="str">
        <f>""</f>
        <v/>
      </c>
      <c r="BZ300" t="str">
        <f>""</f>
        <v/>
      </c>
      <c r="CA300" t="str">
        <f>""</f>
        <v/>
      </c>
      <c r="CB300" t="str">
        <f>""</f>
        <v/>
      </c>
      <c r="CC300" t="str">
        <f>""</f>
        <v/>
      </c>
      <c r="CD300" t="str">
        <f>""</f>
        <v/>
      </c>
      <c r="CE300" t="str">
        <f>""</f>
        <v/>
      </c>
      <c r="CF300" t="str">
        <f>""</f>
        <v/>
      </c>
      <c r="CG300" t="str">
        <f>""</f>
        <v/>
      </c>
      <c r="CH300" t="str">
        <f>""</f>
        <v/>
      </c>
      <c r="CI300" t="str">
        <f>""</f>
        <v/>
      </c>
      <c r="CJ300" t="str">
        <f>""</f>
        <v/>
      </c>
      <c r="CK300" t="str">
        <f>""</f>
        <v/>
      </c>
      <c r="CL300" t="str">
        <f>""</f>
        <v/>
      </c>
      <c r="CM300" t="str">
        <f>""</f>
        <v/>
      </c>
      <c r="CN300" t="str">
        <f>""</f>
        <v/>
      </c>
      <c r="CO300" t="str">
        <f>""</f>
        <v/>
      </c>
      <c r="CP300" t="str">
        <f>""</f>
        <v/>
      </c>
      <c r="CQ300" t="str">
        <f>""</f>
        <v/>
      </c>
      <c r="CR300" t="str">
        <f>""</f>
        <v/>
      </c>
      <c r="CS300" t="str">
        <f>""</f>
        <v/>
      </c>
      <c r="CT300" t="str">
        <f>""</f>
        <v/>
      </c>
      <c r="CU300" t="str">
        <f>""</f>
        <v/>
      </c>
      <c r="CV300" t="str">
        <f>""</f>
        <v/>
      </c>
      <c r="CW300" t="str">
        <f>""</f>
        <v/>
      </c>
      <c r="CX300" t="str">
        <f>""</f>
        <v/>
      </c>
      <c r="CY300" t="str">
        <f>""</f>
        <v/>
      </c>
      <c r="CZ300" t="str">
        <f>""</f>
        <v/>
      </c>
      <c r="DA300" t="str">
        <f>""</f>
        <v/>
      </c>
      <c r="DB300" t="str">
        <f>""</f>
        <v/>
      </c>
      <c r="DC300" t="str">
        <f>""</f>
        <v/>
      </c>
      <c r="DD300" t="str">
        <f>""</f>
        <v/>
      </c>
      <c r="DE300" t="str">
        <f>""</f>
        <v/>
      </c>
      <c r="DF300" t="str">
        <f>""</f>
        <v/>
      </c>
      <c r="DG300" t="str">
        <f>""</f>
        <v/>
      </c>
      <c r="DH300" t="str">
        <f>""</f>
        <v/>
      </c>
      <c r="DI300" t="str">
        <f>""</f>
        <v/>
      </c>
      <c r="DJ300" t="str">
        <f>""</f>
        <v/>
      </c>
      <c r="DK300" t="str">
        <f>""</f>
        <v/>
      </c>
      <c r="DL300" t="str">
        <f>""</f>
        <v/>
      </c>
      <c r="DM300" t="str">
        <f>""</f>
        <v/>
      </c>
      <c r="DN300" t="str">
        <f>""</f>
        <v/>
      </c>
      <c r="DO300" t="str">
        <f>""</f>
        <v/>
      </c>
      <c r="DP300" t="str">
        <f>""</f>
        <v/>
      </c>
      <c r="DQ300" t="str">
        <f>""</f>
        <v/>
      </c>
      <c r="DR300" t="str">
        <f>""</f>
        <v/>
      </c>
      <c r="DS300" t="str">
        <f>""</f>
        <v/>
      </c>
      <c r="DT300" t="str">
        <f>""</f>
        <v/>
      </c>
      <c r="DU300" t="str">
        <f>""</f>
        <v/>
      </c>
    </row>
    <row r="301" spans="1:125">
      <c r="A301" t="str">
        <f>$A$87</f>
        <v xml:space="preserve">    AvalonBay Communities Inc</v>
      </c>
      <c r="B301" t="str">
        <f>$B$87</f>
        <v>AVB US Equity</v>
      </c>
      <c r="C301" t="str">
        <f>$C$87</f>
        <v>F0578</v>
      </c>
      <c r="D301" t="str">
        <f>$D$87</f>
        <v>FUNDS_AVAILABLE_FOR_DISTRIBUTION</v>
      </c>
      <c r="E301" t="str">
        <f>$E$87</f>
        <v>动态</v>
      </c>
      <c r="F301" t="str">
        <f ca="1">BDH($B$87,$C$87,$B$224,$B$225,CONCATENATE("Per=",$B$222),"Dts=H","Dir=H",CONCATENATE("Points=",$B$223),"Sort=R","Days=A","Fill=B",CONCATENATE("FX=", $B$221) )</f>
        <v>#N/A Authorization</v>
      </c>
      <c r="BN301" t="str">
        <f>""</f>
        <v/>
      </c>
      <c r="BO301" t="str">
        <f>""</f>
        <v/>
      </c>
      <c r="BP301" t="str">
        <f>""</f>
        <v/>
      </c>
      <c r="BQ301" t="str">
        <f>""</f>
        <v/>
      </c>
      <c r="BR301" t="str">
        <f>""</f>
        <v/>
      </c>
      <c r="BS301" t="str">
        <f>""</f>
        <v/>
      </c>
      <c r="BT301" t="str">
        <f>""</f>
        <v/>
      </c>
      <c r="BU301" t="str">
        <f>""</f>
        <v/>
      </c>
      <c r="BV301" t="str">
        <f>""</f>
        <v/>
      </c>
      <c r="BW301" t="str">
        <f>""</f>
        <v/>
      </c>
      <c r="BX301" t="str">
        <f>""</f>
        <v/>
      </c>
      <c r="BY301" t="str">
        <f>""</f>
        <v/>
      </c>
      <c r="BZ301" t="str">
        <f>""</f>
        <v/>
      </c>
      <c r="CA301" t="str">
        <f>""</f>
        <v/>
      </c>
      <c r="CB301" t="str">
        <f>""</f>
        <v/>
      </c>
      <c r="CC301" t="str">
        <f>""</f>
        <v/>
      </c>
      <c r="CD301" t="str">
        <f>""</f>
        <v/>
      </c>
      <c r="CE301" t="str">
        <f>""</f>
        <v/>
      </c>
      <c r="CF301" t="str">
        <f>""</f>
        <v/>
      </c>
      <c r="CG301" t="str">
        <f>""</f>
        <v/>
      </c>
      <c r="CH301" t="str">
        <f>""</f>
        <v/>
      </c>
      <c r="CI301" t="str">
        <f>""</f>
        <v/>
      </c>
      <c r="CJ301" t="str">
        <f>""</f>
        <v/>
      </c>
      <c r="CK301" t="str">
        <f>""</f>
        <v/>
      </c>
      <c r="CL301" t="str">
        <f>""</f>
        <v/>
      </c>
      <c r="CM301" t="str">
        <f>""</f>
        <v/>
      </c>
      <c r="CN301" t="str">
        <f>""</f>
        <v/>
      </c>
      <c r="CO301" t="str">
        <f>""</f>
        <v/>
      </c>
      <c r="CP301" t="str">
        <f>""</f>
        <v/>
      </c>
      <c r="CQ301" t="str">
        <f>""</f>
        <v/>
      </c>
      <c r="CR301" t="str">
        <f>""</f>
        <v/>
      </c>
      <c r="CS301" t="str">
        <f>""</f>
        <v/>
      </c>
      <c r="CT301" t="str">
        <f>""</f>
        <v/>
      </c>
      <c r="CU301" t="str">
        <f>""</f>
        <v/>
      </c>
      <c r="CV301" t="str">
        <f>""</f>
        <v/>
      </c>
      <c r="CW301" t="str">
        <f>""</f>
        <v/>
      </c>
      <c r="CX301" t="str">
        <f>""</f>
        <v/>
      </c>
      <c r="CY301" t="str">
        <f>""</f>
        <v/>
      </c>
      <c r="CZ301" t="str">
        <f>""</f>
        <v/>
      </c>
      <c r="DA301" t="str">
        <f>""</f>
        <v/>
      </c>
      <c r="DB301" t="str">
        <f>""</f>
        <v/>
      </c>
      <c r="DC301" t="str">
        <f>""</f>
        <v/>
      </c>
      <c r="DD301" t="str">
        <f>""</f>
        <v/>
      </c>
      <c r="DE301" t="str">
        <f>""</f>
        <v/>
      </c>
      <c r="DF301" t="str">
        <f>""</f>
        <v/>
      </c>
      <c r="DG301" t="str">
        <f>""</f>
        <v/>
      </c>
      <c r="DH301" t="str">
        <f>""</f>
        <v/>
      </c>
      <c r="DI301" t="str">
        <f>""</f>
        <v/>
      </c>
      <c r="DJ301" t="str">
        <f>""</f>
        <v/>
      </c>
      <c r="DK301" t="str">
        <f>""</f>
        <v/>
      </c>
      <c r="DL301" t="str">
        <f>""</f>
        <v/>
      </c>
      <c r="DM301" t="str">
        <f>""</f>
        <v/>
      </c>
      <c r="DN301" t="str">
        <f>""</f>
        <v/>
      </c>
      <c r="DO301" t="str">
        <f>""</f>
        <v/>
      </c>
      <c r="DP301" t="str">
        <f>""</f>
        <v/>
      </c>
      <c r="DQ301" t="str">
        <f>""</f>
        <v/>
      </c>
      <c r="DR301" t="str">
        <f>""</f>
        <v/>
      </c>
      <c r="DS301" t="str">
        <f>""</f>
        <v/>
      </c>
      <c r="DT301" t="str">
        <f>""</f>
        <v/>
      </c>
      <c r="DU301" t="str">
        <f>""</f>
        <v/>
      </c>
    </row>
    <row r="302" spans="1:125">
      <c r="A302" t="str">
        <f>$A$88</f>
        <v xml:space="preserve">    Camden Property Trust</v>
      </c>
      <c r="B302" t="str">
        <f>$B$88</f>
        <v>CPT US Equity</v>
      </c>
      <c r="C302" t="str">
        <f>$C$88</f>
        <v>F0578</v>
      </c>
      <c r="D302" t="str">
        <f>$D$88</f>
        <v>FUNDS_AVAILABLE_FOR_DISTRIBUTION</v>
      </c>
      <c r="E302" t="str">
        <f>$E$88</f>
        <v>动态</v>
      </c>
      <c r="F302" t="str">
        <f ca="1">BDH($B$88,$C$88,$B$224,$B$225,CONCATENATE("Per=",$B$222),"Dts=H","Dir=H",CONCATENATE("Points=",$B$223),"Sort=R","Days=A","Fill=B",CONCATENATE("FX=", $B$221) )</f>
        <v>#N/A Authorization</v>
      </c>
      <c r="BN302" t="str">
        <f>""</f>
        <v/>
      </c>
      <c r="BO302" t="str">
        <f>""</f>
        <v/>
      </c>
      <c r="BP302" t="str">
        <f>""</f>
        <v/>
      </c>
      <c r="BQ302" t="str">
        <f>""</f>
        <v/>
      </c>
      <c r="BR302" t="str">
        <f>""</f>
        <v/>
      </c>
      <c r="BS302" t="str">
        <f>""</f>
        <v/>
      </c>
      <c r="BT302" t="str">
        <f>""</f>
        <v/>
      </c>
      <c r="BU302" t="str">
        <f>""</f>
        <v/>
      </c>
      <c r="BV302" t="str">
        <f>""</f>
        <v/>
      </c>
      <c r="BW302" t="str">
        <f>""</f>
        <v/>
      </c>
      <c r="BX302" t="str">
        <f>""</f>
        <v/>
      </c>
      <c r="BY302" t="str">
        <f>""</f>
        <v/>
      </c>
      <c r="BZ302" t="str">
        <f>""</f>
        <v/>
      </c>
      <c r="CA302" t="str">
        <f>""</f>
        <v/>
      </c>
      <c r="CB302" t="str">
        <f>""</f>
        <v/>
      </c>
      <c r="CC302" t="str">
        <f>""</f>
        <v/>
      </c>
      <c r="CD302" t="str">
        <f>""</f>
        <v/>
      </c>
      <c r="CE302" t="str">
        <f>""</f>
        <v/>
      </c>
      <c r="CF302" t="str">
        <f>""</f>
        <v/>
      </c>
      <c r="CG302" t="str">
        <f>""</f>
        <v/>
      </c>
      <c r="CH302" t="str">
        <f>""</f>
        <v/>
      </c>
      <c r="CI302" t="str">
        <f>""</f>
        <v/>
      </c>
      <c r="CJ302" t="str">
        <f>""</f>
        <v/>
      </c>
      <c r="CK302" t="str">
        <f>""</f>
        <v/>
      </c>
      <c r="CL302" t="str">
        <f>""</f>
        <v/>
      </c>
      <c r="CM302" t="str">
        <f>""</f>
        <v/>
      </c>
      <c r="CN302" t="str">
        <f>""</f>
        <v/>
      </c>
      <c r="CO302" t="str">
        <f>""</f>
        <v/>
      </c>
      <c r="CP302" t="str">
        <f>""</f>
        <v/>
      </c>
      <c r="CQ302" t="str">
        <f>""</f>
        <v/>
      </c>
      <c r="CR302" t="str">
        <f>""</f>
        <v/>
      </c>
      <c r="CS302" t="str">
        <f>""</f>
        <v/>
      </c>
      <c r="CT302" t="str">
        <f>""</f>
        <v/>
      </c>
      <c r="CU302" t="str">
        <f>""</f>
        <v/>
      </c>
      <c r="CV302" t="str">
        <f>""</f>
        <v/>
      </c>
      <c r="CW302" t="str">
        <f>""</f>
        <v/>
      </c>
      <c r="CX302" t="str">
        <f>""</f>
        <v/>
      </c>
      <c r="CY302" t="str">
        <f>""</f>
        <v/>
      </c>
      <c r="CZ302" t="str">
        <f>""</f>
        <v/>
      </c>
      <c r="DA302" t="str">
        <f>""</f>
        <v/>
      </c>
      <c r="DB302" t="str">
        <f>""</f>
        <v/>
      </c>
      <c r="DC302" t="str">
        <f>""</f>
        <v/>
      </c>
      <c r="DD302" t="str">
        <f>""</f>
        <v/>
      </c>
      <c r="DE302" t="str">
        <f>""</f>
        <v/>
      </c>
      <c r="DF302" t="str">
        <f>""</f>
        <v/>
      </c>
      <c r="DG302" t="str">
        <f>""</f>
        <v/>
      </c>
      <c r="DH302" t="str">
        <f>""</f>
        <v/>
      </c>
      <c r="DI302" t="str">
        <f>""</f>
        <v/>
      </c>
      <c r="DJ302" t="str">
        <f>""</f>
        <v/>
      </c>
      <c r="DK302" t="str">
        <f>""</f>
        <v/>
      </c>
      <c r="DL302" t="str">
        <f>""</f>
        <v/>
      </c>
      <c r="DM302" t="str">
        <f>""</f>
        <v/>
      </c>
      <c r="DN302" t="str">
        <f>""</f>
        <v/>
      </c>
      <c r="DO302" t="str">
        <f>""</f>
        <v/>
      </c>
      <c r="DP302" t="str">
        <f>""</f>
        <v/>
      </c>
      <c r="DQ302" t="str">
        <f>""</f>
        <v/>
      </c>
      <c r="DR302" t="str">
        <f>""</f>
        <v/>
      </c>
      <c r="DS302" t="str">
        <f>""</f>
        <v/>
      </c>
      <c r="DT302" t="str">
        <f>""</f>
        <v/>
      </c>
      <c r="DU302" t="str">
        <f>""</f>
        <v/>
      </c>
    </row>
    <row r="303" spans="1:125">
      <c r="A303" t="str">
        <f>$A$89</f>
        <v xml:space="preserve">    Education Realty Trust Inc</v>
      </c>
      <c r="B303" t="str">
        <f>$B$89</f>
        <v>EDR US Equity</v>
      </c>
      <c r="C303" t="str">
        <f>$C$89</f>
        <v>F0578</v>
      </c>
      <c r="D303" t="str">
        <f>$D$89</f>
        <v>FUNDS_AVAILABLE_FOR_DISTRIBUTION</v>
      </c>
      <c r="E303" t="str">
        <f>$E$89</f>
        <v>动态</v>
      </c>
      <c r="F303" t="str">
        <f ca="1">BDH($B$89,$C$89,$B$224,$B$225,CONCATENATE("Per=",$B$222),"Dts=H","Dir=H",CONCATENATE("Points=",$B$223),"Sort=R","Days=A","Fill=B",CONCATENATE("FX=", $B$221) )</f>
        <v>#N/A Authorization</v>
      </c>
      <c r="BN303" t="str">
        <f>""</f>
        <v/>
      </c>
      <c r="BO303" t="str">
        <f>""</f>
        <v/>
      </c>
      <c r="BP303" t="str">
        <f>""</f>
        <v/>
      </c>
      <c r="BQ303" t="str">
        <f>""</f>
        <v/>
      </c>
      <c r="BR303" t="str">
        <f>""</f>
        <v/>
      </c>
      <c r="BS303" t="str">
        <f>""</f>
        <v/>
      </c>
      <c r="BT303" t="str">
        <f>""</f>
        <v/>
      </c>
      <c r="BU303" t="str">
        <f>""</f>
        <v/>
      </c>
      <c r="BV303" t="str">
        <f>""</f>
        <v/>
      </c>
      <c r="BW303" t="str">
        <f>""</f>
        <v/>
      </c>
      <c r="BX303" t="str">
        <f>""</f>
        <v/>
      </c>
      <c r="BY303" t="str">
        <f>""</f>
        <v/>
      </c>
      <c r="BZ303" t="str">
        <f>""</f>
        <v/>
      </c>
      <c r="CA303" t="str">
        <f>""</f>
        <v/>
      </c>
      <c r="CB303" t="str">
        <f>""</f>
        <v/>
      </c>
      <c r="CC303" t="str">
        <f>""</f>
        <v/>
      </c>
      <c r="CD303" t="str">
        <f>""</f>
        <v/>
      </c>
      <c r="CE303" t="str">
        <f>""</f>
        <v/>
      </c>
      <c r="CF303" t="str">
        <f>""</f>
        <v/>
      </c>
      <c r="CG303" t="str">
        <f>""</f>
        <v/>
      </c>
      <c r="CH303" t="str">
        <f>""</f>
        <v/>
      </c>
      <c r="CI303" t="str">
        <f>""</f>
        <v/>
      </c>
      <c r="CJ303" t="str">
        <f>""</f>
        <v/>
      </c>
      <c r="CK303" t="str">
        <f>""</f>
        <v/>
      </c>
      <c r="CL303" t="str">
        <f>""</f>
        <v/>
      </c>
      <c r="CM303" t="str">
        <f>""</f>
        <v/>
      </c>
      <c r="CN303" t="str">
        <f>""</f>
        <v/>
      </c>
      <c r="CO303" t="str">
        <f>""</f>
        <v/>
      </c>
      <c r="CP303" t="str">
        <f>""</f>
        <v/>
      </c>
      <c r="CQ303" t="str">
        <f>""</f>
        <v/>
      </c>
      <c r="CR303" t="str">
        <f>""</f>
        <v/>
      </c>
      <c r="CS303" t="str">
        <f>""</f>
        <v/>
      </c>
      <c r="CT303" t="str">
        <f>""</f>
        <v/>
      </c>
      <c r="CU303" t="str">
        <f>""</f>
        <v/>
      </c>
      <c r="CV303" t="str">
        <f>""</f>
        <v/>
      </c>
      <c r="CW303" t="str">
        <f>""</f>
        <v/>
      </c>
      <c r="CX303" t="str">
        <f>""</f>
        <v/>
      </c>
      <c r="CY303" t="str">
        <f>""</f>
        <v/>
      </c>
      <c r="CZ303" t="str">
        <f>""</f>
        <v/>
      </c>
      <c r="DA303" t="str">
        <f>""</f>
        <v/>
      </c>
      <c r="DB303" t="str">
        <f>""</f>
        <v/>
      </c>
      <c r="DC303" t="str">
        <f>""</f>
        <v/>
      </c>
      <c r="DD303" t="str">
        <f>""</f>
        <v/>
      </c>
      <c r="DE303" t="str">
        <f>""</f>
        <v/>
      </c>
      <c r="DF303" t="str">
        <f>""</f>
        <v/>
      </c>
      <c r="DG303" t="str">
        <f>""</f>
        <v/>
      </c>
      <c r="DH303" t="str">
        <f>""</f>
        <v/>
      </c>
      <c r="DI303" t="str">
        <f>""</f>
        <v/>
      </c>
      <c r="DJ303" t="str">
        <f>""</f>
        <v/>
      </c>
      <c r="DK303" t="str">
        <f>""</f>
        <v/>
      </c>
      <c r="DL303" t="str">
        <f>""</f>
        <v/>
      </c>
      <c r="DM303" t="str">
        <f>""</f>
        <v/>
      </c>
      <c r="DN303" t="str">
        <f>""</f>
        <v/>
      </c>
      <c r="DO303" t="str">
        <f>""</f>
        <v/>
      </c>
      <c r="DP303" t="str">
        <f>""</f>
        <v/>
      </c>
      <c r="DQ303" t="str">
        <f>""</f>
        <v/>
      </c>
      <c r="DR303" t="str">
        <f>""</f>
        <v/>
      </c>
      <c r="DS303" t="str">
        <f>""</f>
        <v/>
      </c>
      <c r="DT303" t="str">
        <f>""</f>
        <v/>
      </c>
      <c r="DU303" t="str">
        <f>""</f>
        <v/>
      </c>
    </row>
    <row r="304" spans="1:125">
      <c r="A304" t="str">
        <f>$A$90</f>
        <v xml:space="preserve">    Equity Residential</v>
      </c>
      <c r="B304" t="str">
        <f>$B$90</f>
        <v>EQR US Equity</v>
      </c>
      <c r="C304" t="str">
        <f>$C$90</f>
        <v>F0578</v>
      </c>
      <c r="D304" t="str">
        <f>$D$90</f>
        <v>FUNDS_AVAILABLE_FOR_DISTRIBUTION</v>
      </c>
      <c r="E304" t="str">
        <f>$E$90</f>
        <v>动态</v>
      </c>
      <c r="F304" t="str">
        <f ca="1">BDH($B$90,$C$90,$B$224,$B$225,CONCATENATE("Per=",$B$222),"Dts=H","Dir=H",CONCATENATE("Points=",$B$223),"Sort=R","Days=A","Fill=B",CONCATENATE("FX=", $B$221) )</f>
        <v>#N/A Authorization</v>
      </c>
      <c r="BN304" t="str">
        <f>""</f>
        <v/>
      </c>
      <c r="BO304" t="str">
        <f>""</f>
        <v/>
      </c>
      <c r="BP304" t="str">
        <f>""</f>
        <v/>
      </c>
      <c r="BQ304" t="str">
        <f>""</f>
        <v/>
      </c>
      <c r="BR304" t="str">
        <f>""</f>
        <v/>
      </c>
      <c r="BS304" t="str">
        <f>""</f>
        <v/>
      </c>
      <c r="BT304" t="str">
        <f>""</f>
        <v/>
      </c>
      <c r="BU304" t="str">
        <f>""</f>
        <v/>
      </c>
      <c r="BV304" t="str">
        <f>""</f>
        <v/>
      </c>
      <c r="BW304" t="str">
        <f>""</f>
        <v/>
      </c>
      <c r="BX304" t="str">
        <f>""</f>
        <v/>
      </c>
      <c r="BY304" t="str">
        <f>""</f>
        <v/>
      </c>
      <c r="BZ304" t="str">
        <f>""</f>
        <v/>
      </c>
      <c r="CA304" t="str">
        <f>""</f>
        <v/>
      </c>
      <c r="CB304" t="str">
        <f>""</f>
        <v/>
      </c>
      <c r="CC304" t="str">
        <f>""</f>
        <v/>
      </c>
      <c r="CD304" t="str">
        <f>""</f>
        <v/>
      </c>
      <c r="CE304" t="str">
        <f>""</f>
        <v/>
      </c>
      <c r="CF304" t="str">
        <f>""</f>
        <v/>
      </c>
      <c r="CG304" t="str">
        <f>""</f>
        <v/>
      </c>
      <c r="CH304" t="str">
        <f>""</f>
        <v/>
      </c>
      <c r="CI304" t="str">
        <f>""</f>
        <v/>
      </c>
      <c r="CJ304" t="str">
        <f>""</f>
        <v/>
      </c>
      <c r="CK304" t="str">
        <f>""</f>
        <v/>
      </c>
      <c r="CL304" t="str">
        <f>""</f>
        <v/>
      </c>
      <c r="CM304" t="str">
        <f>""</f>
        <v/>
      </c>
      <c r="CN304" t="str">
        <f>""</f>
        <v/>
      </c>
      <c r="CO304" t="str">
        <f>""</f>
        <v/>
      </c>
      <c r="CP304" t="str">
        <f>""</f>
        <v/>
      </c>
      <c r="CQ304" t="str">
        <f>""</f>
        <v/>
      </c>
      <c r="CR304" t="str">
        <f>""</f>
        <v/>
      </c>
      <c r="CS304" t="str">
        <f>""</f>
        <v/>
      </c>
      <c r="CT304" t="str">
        <f>""</f>
        <v/>
      </c>
      <c r="CU304" t="str">
        <f>""</f>
        <v/>
      </c>
      <c r="CV304" t="str">
        <f>""</f>
        <v/>
      </c>
      <c r="CW304" t="str">
        <f>""</f>
        <v/>
      </c>
      <c r="CX304" t="str">
        <f>""</f>
        <v/>
      </c>
      <c r="CY304" t="str">
        <f>""</f>
        <v/>
      </c>
      <c r="CZ304" t="str">
        <f>""</f>
        <v/>
      </c>
      <c r="DA304" t="str">
        <f>""</f>
        <v/>
      </c>
      <c r="DB304" t="str">
        <f>""</f>
        <v/>
      </c>
      <c r="DC304" t="str">
        <f>""</f>
        <v/>
      </c>
      <c r="DD304" t="str">
        <f>""</f>
        <v/>
      </c>
      <c r="DE304" t="str">
        <f>""</f>
        <v/>
      </c>
      <c r="DF304" t="str">
        <f>""</f>
        <v/>
      </c>
      <c r="DG304" t="str">
        <f>""</f>
        <v/>
      </c>
      <c r="DH304" t="str">
        <f>""</f>
        <v/>
      </c>
      <c r="DI304" t="str">
        <f>""</f>
        <v/>
      </c>
      <c r="DJ304" t="str">
        <f>""</f>
        <v/>
      </c>
      <c r="DK304" t="str">
        <f>""</f>
        <v/>
      </c>
      <c r="DL304" t="str">
        <f>""</f>
        <v/>
      </c>
      <c r="DM304" t="str">
        <f>""</f>
        <v/>
      </c>
      <c r="DN304" t="str">
        <f>""</f>
        <v/>
      </c>
      <c r="DO304" t="str">
        <f>""</f>
        <v/>
      </c>
      <c r="DP304" t="str">
        <f>""</f>
        <v/>
      </c>
      <c r="DQ304" t="str">
        <f>""</f>
        <v/>
      </c>
      <c r="DR304" t="str">
        <f>""</f>
        <v/>
      </c>
      <c r="DS304" t="str">
        <f>""</f>
        <v/>
      </c>
      <c r="DT304" t="str">
        <f>""</f>
        <v/>
      </c>
      <c r="DU304" t="str">
        <f>""</f>
        <v/>
      </c>
    </row>
    <row r="305" spans="1:125">
      <c r="A305" t="str">
        <f>$A$91</f>
        <v xml:space="preserve">    Essex Property Trust Inc</v>
      </c>
      <c r="B305" t="str">
        <f>$B$91</f>
        <v>ESS US Equity</v>
      </c>
      <c r="C305" t="str">
        <f>$C$91</f>
        <v>F0578</v>
      </c>
      <c r="D305" t="str">
        <f>$D$91</f>
        <v>FUNDS_AVAILABLE_FOR_DISTRIBUTION</v>
      </c>
      <c r="E305" t="str">
        <f>$E$91</f>
        <v>动态</v>
      </c>
      <c r="F305" t="str">
        <f ca="1">BDH($B$91,$C$91,$B$224,$B$225,CONCATENATE("Per=",$B$222),"Dts=H","Dir=H",CONCATENATE("Points=",$B$223),"Sort=R","Days=A","Fill=B",CONCATENATE("FX=", $B$221) )</f>
        <v>#N/A Authorization</v>
      </c>
      <c r="BN305" t="str">
        <f>""</f>
        <v/>
      </c>
      <c r="BO305" t="str">
        <f>""</f>
        <v/>
      </c>
      <c r="BP305" t="str">
        <f>""</f>
        <v/>
      </c>
      <c r="BQ305" t="str">
        <f>""</f>
        <v/>
      </c>
      <c r="BR305" t="str">
        <f>""</f>
        <v/>
      </c>
      <c r="BS305" t="str">
        <f>""</f>
        <v/>
      </c>
      <c r="BT305" t="str">
        <f>""</f>
        <v/>
      </c>
      <c r="BU305" t="str">
        <f>""</f>
        <v/>
      </c>
      <c r="BV305" t="str">
        <f>""</f>
        <v/>
      </c>
      <c r="BW305" t="str">
        <f>""</f>
        <v/>
      </c>
      <c r="BX305" t="str">
        <f>""</f>
        <v/>
      </c>
      <c r="BY305" t="str">
        <f>""</f>
        <v/>
      </c>
      <c r="BZ305" t="str">
        <f>""</f>
        <v/>
      </c>
      <c r="CA305" t="str">
        <f>""</f>
        <v/>
      </c>
      <c r="CB305" t="str">
        <f>""</f>
        <v/>
      </c>
      <c r="CC305" t="str">
        <f>""</f>
        <v/>
      </c>
      <c r="CD305" t="str">
        <f>""</f>
        <v/>
      </c>
      <c r="CE305" t="str">
        <f>""</f>
        <v/>
      </c>
      <c r="CF305" t="str">
        <f>""</f>
        <v/>
      </c>
      <c r="CG305" t="str">
        <f>""</f>
        <v/>
      </c>
      <c r="CH305" t="str">
        <f>""</f>
        <v/>
      </c>
      <c r="CI305" t="str">
        <f>""</f>
        <v/>
      </c>
      <c r="CJ305" t="str">
        <f>""</f>
        <v/>
      </c>
      <c r="CK305" t="str">
        <f>""</f>
        <v/>
      </c>
      <c r="CL305" t="str">
        <f>""</f>
        <v/>
      </c>
      <c r="CM305" t="str">
        <f>""</f>
        <v/>
      </c>
      <c r="CN305" t="str">
        <f>""</f>
        <v/>
      </c>
      <c r="CO305" t="str">
        <f>""</f>
        <v/>
      </c>
      <c r="CP305" t="str">
        <f>""</f>
        <v/>
      </c>
      <c r="CQ305" t="str">
        <f>""</f>
        <v/>
      </c>
      <c r="CR305" t="str">
        <f>""</f>
        <v/>
      </c>
      <c r="CS305" t="str">
        <f>""</f>
        <v/>
      </c>
      <c r="CT305" t="str">
        <f>""</f>
        <v/>
      </c>
      <c r="CU305" t="str">
        <f>""</f>
        <v/>
      </c>
      <c r="CV305" t="str">
        <f>""</f>
        <v/>
      </c>
      <c r="CW305" t="str">
        <f>""</f>
        <v/>
      </c>
      <c r="CX305" t="str">
        <f>""</f>
        <v/>
      </c>
      <c r="CY305" t="str">
        <f>""</f>
        <v/>
      </c>
      <c r="CZ305" t="str">
        <f>""</f>
        <v/>
      </c>
      <c r="DA305" t="str">
        <f>""</f>
        <v/>
      </c>
      <c r="DB305" t="str">
        <f>""</f>
        <v/>
      </c>
      <c r="DC305" t="str">
        <f>""</f>
        <v/>
      </c>
      <c r="DD305" t="str">
        <f>""</f>
        <v/>
      </c>
      <c r="DE305" t="str">
        <f>""</f>
        <v/>
      </c>
      <c r="DF305" t="str">
        <f>""</f>
        <v/>
      </c>
      <c r="DG305" t="str">
        <f>""</f>
        <v/>
      </c>
      <c r="DH305" t="str">
        <f>""</f>
        <v/>
      </c>
      <c r="DI305" t="str">
        <f>""</f>
        <v/>
      </c>
      <c r="DJ305" t="str">
        <f>""</f>
        <v/>
      </c>
      <c r="DK305" t="str">
        <f>""</f>
        <v/>
      </c>
      <c r="DL305" t="str">
        <f>""</f>
        <v/>
      </c>
      <c r="DM305" t="str">
        <f>""</f>
        <v/>
      </c>
      <c r="DN305" t="str">
        <f>""</f>
        <v/>
      </c>
      <c r="DO305" t="str">
        <f>""</f>
        <v/>
      </c>
      <c r="DP305" t="str">
        <f>""</f>
        <v/>
      </c>
      <c r="DQ305" t="str">
        <f>""</f>
        <v/>
      </c>
      <c r="DR305" t="str">
        <f>""</f>
        <v/>
      </c>
      <c r="DS305" t="str">
        <f>""</f>
        <v/>
      </c>
      <c r="DT305" t="str">
        <f>""</f>
        <v/>
      </c>
      <c r="DU305" t="str">
        <f>""</f>
        <v/>
      </c>
    </row>
    <row r="306" spans="1:125">
      <c r="A306" t="str">
        <f>$A$92</f>
        <v xml:space="preserve">    Mid-America Apartment Communit</v>
      </c>
      <c r="B306" t="str">
        <f>$B$92</f>
        <v>MAA US Equity</v>
      </c>
      <c r="C306" t="str">
        <f>$C$92</f>
        <v>F0578</v>
      </c>
      <c r="D306" t="str">
        <f>$D$92</f>
        <v>FUNDS_AVAILABLE_FOR_DISTRIBUTION</v>
      </c>
      <c r="E306" t="str">
        <f>$E$92</f>
        <v>动态</v>
      </c>
      <c r="F306" t="str">
        <f ca="1">BDH($B$92,$C$92,$B$224,$B$225,CONCATENATE("Per=",$B$222),"Dts=H","Dir=H",CONCATENATE("Points=",$B$223),"Sort=R","Days=A","Fill=B",CONCATENATE("FX=", $B$221) )</f>
        <v>#N/A Authorization</v>
      </c>
      <c r="BN306" t="str">
        <f>""</f>
        <v/>
      </c>
      <c r="BO306" t="str">
        <f>""</f>
        <v/>
      </c>
      <c r="BP306" t="str">
        <f>""</f>
        <v/>
      </c>
      <c r="BQ306" t="str">
        <f>""</f>
        <v/>
      </c>
      <c r="BR306" t="str">
        <f>""</f>
        <v/>
      </c>
      <c r="BS306" t="str">
        <f>""</f>
        <v/>
      </c>
      <c r="BT306" t="str">
        <f>""</f>
        <v/>
      </c>
      <c r="BU306" t="str">
        <f>""</f>
        <v/>
      </c>
      <c r="BV306" t="str">
        <f>""</f>
        <v/>
      </c>
      <c r="BW306" t="str">
        <f>""</f>
        <v/>
      </c>
      <c r="BX306" t="str">
        <f>""</f>
        <v/>
      </c>
      <c r="BY306" t="str">
        <f>""</f>
        <v/>
      </c>
      <c r="BZ306" t="str">
        <f>""</f>
        <v/>
      </c>
      <c r="CA306" t="str">
        <f>""</f>
        <v/>
      </c>
      <c r="CB306" t="str">
        <f>""</f>
        <v/>
      </c>
      <c r="CC306" t="str">
        <f>""</f>
        <v/>
      </c>
      <c r="CD306" t="str">
        <f>""</f>
        <v/>
      </c>
      <c r="CE306" t="str">
        <f>""</f>
        <v/>
      </c>
      <c r="CF306" t="str">
        <f>""</f>
        <v/>
      </c>
      <c r="CG306" t="str">
        <f>""</f>
        <v/>
      </c>
      <c r="CH306" t="str">
        <f>""</f>
        <v/>
      </c>
      <c r="CI306" t="str">
        <f>""</f>
        <v/>
      </c>
      <c r="CJ306" t="str">
        <f>""</f>
        <v/>
      </c>
      <c r="CK306" t="str">
        <f>""</f>
        <v/>
      </c>
      <c r="CL306" t="str">
        <f>""</f>
        <v/>
      </c>
      <c r="CM306" t="str">
        <f>""</f>
        <v/>
      </c>
      <c r="CN306" t="str">
        <f>""</f>
        <v/>
      </c>
      <c r="CO306" t="str">
        <f>""</f>
        <v/>
      </c>
      <c r="CP306" t="str">
        <f>""</f>
        <v/>
      </c>
      <c r="CQ306" t="str">
        <f>""</f>
        <v/>
      </c>
      <c r="CR306" t="str">
        <f>""</f>
        <v/>
      </c>
      <c r="CS306" t="str">
        <f>""</f>
        <v/>
      </c>
      <c r="CT306" t="str">
        <f>""</f>
        <v/>
      </c>
      <c r="CU306" t="str">
        <f>""</f>
        <v/>
      </c>
      <c r="CV306" t="str">
        <f>""</f>
        <v/>
      </c>
      <c r="CW306" t="str">
        <f>""</f>
        <v/>
      </c>
      <c r="CX306" t="str">
        <f>""</f>
        <v/>
      </c>
      <c r="CY306" t="str">
        <f>""</f>
        <v/>
      </c>
      <c r="CZ306" t="str">
        <f>""</f>
        <v/>
      </c>
      <c r="DA306" t="str">
        <f>""</f>
        <v/>
      </c>
      <c r="DB306" t="str">
        <f>""</f>
        <v/>
      </c>
      <c r="DC306" t="str">
        <f>""</f>
        <v/>
      </c>
      <c r="DD306" t="str">
        <f>""</f>
        <v/>
      </c>
      <c r="DE306" t="str">
        <f>""</f>
        <v/>
      </c>
      <c r="DF306" t="str">
        <f>""</f>
        <v/>
      </c>
      <c r="DG306" t="str">
        <f>""</f>
        <v/>
      </c>
      <c r="DH306" t="str">
        <f>""</f>
        <v/>
      </c>
      <c r="DI306" t="str">
        <f>""</f>
        <v/>
      </c>
      <c r="DJ306" t="str">
        <f>""</f>
        <v/>
      </c>
      <c r="DK306" t="str">
        <f>""</f>
        <v/>
      </c>
      <c r="DL306" t="str">
        <f>""</f>
        <v/>
      </c>
      <c r="DM306" t="str">
        <f>""</f>
        <v/>
      </c>
      <c r="DN306" t="str">
        <f>""</f>
        <v/>
      </c>
      <c r="DO306" t="str">
        <f>""</f>
        <v/>
      </c>
      <c r="DP306" t="str">
        <f>""</f>
        <v/>
      </c>
      <c r="DQ306" t="str">
        <f>""</f>
        <v/>
      </c>
      <c r="DR306" t="str">
        <f>""</f>
        <v/>
      </c>
      <c r="DS306" t="str">
        <f>""</f>
        <v/>
      </c>
      <c r="DT306" t="str">
        <f>""</f>
        <v/>
      </c>
      <c r="DU306" t="str">
        <f>""</f>
        <v/>
      </c>
    </row>
    <row r="307" spans="1:125">
      <c r="A307" t="str">
        <f>$A$93</f>
        <v xml:space="preserve">    UDR Inc</v>
      </c>
      <c r="B307" t="str">
        <f>$B$93</f>
        <v>UDR US Equity</v>
      </c>
      <c r="C307" t="str">
        <f>$C$93</f>
        <v>F0578</v>
      </c>
      <c r="D307" t="str">
        <f>$D$93</f>
        <v>FUNDS_AVAILABLE_FOR_DISTRIBUTION</v>
      </c>
      <c r="E307" t="str">
        <f>$E$93</f>
        <v>动态</v>
      </c>
      <c r="F307" t="str">
        <f ca="1">BDH($B$93,$C$93,$B$224,$B$225,CONCATENATE("Per=",$B$222),"Dts=H","Dir=H",CONCATENATE("Points=",$B$223),"Sort=R","Days=A","Fill=B",CONCATENATE("FX=", $B$221) )</f>
        <v>#N/A Authorization</v>
      </c>
      <c r="BN307" t="str">
        <f>""</f>
        <v/>
      </c>
      <c r="BO307" t="str">
        <f>""</f>
        <v/>
      </c>
      <c r="BP307" t="str">
        <f>""</f>
        <v/>
      </c>
      <c r="BQ307" t="str">
        <f>""</f>
        <v/>
      </c>
      <c r="BR307" t="str">
        <f>""</f>
        <v/>
      </c>
      <c r="BS307" t="str">
        <f>""</f>
        <v/>
      </c>
      <c r="BT307" t="str">
        <f>""</f>
        <v/>
      </c>
      <c r="BU307" t="str">
        <f>""</f>
        <v/>
      </c>
      <c r="BV307" t="str">
        <f>""</f>
        <v/>
      </c>
      <c r="BW307" t="str">
        <f>""</f>
        <v/>
      </c>
      <c r="BX307" t="str">
        <f>""</f>
        <v/>
      </c>
      <c r="BY307" t="str">
        <f>""</f>
        <v/>
      </c>
      <c r="BZ307" t="str">
        <f>""</f>
        <v/>
      </c>
      <c r="CA307" t="str">
        <f>""</f>
        <v/>
      </c>
      <c r="CB307" t="str">
        <f>""</f>
        <v/>
      </c>
      <c r="CC307" t="str">
        <f>""</f>
        <v/>
      </c>
      <c r="CD307" t="str">
        <f>""</f>
        <v/>
      </c>
      <c r="CE307" t="str">
        <f>""</f>
        <v/>
      </c>
      <c r="CF307" t="str">
        <f>""</f>
        <v/>
      </c>
      <c r="CG307" t="str">
        <f>""</f>
        <v/>
      </c>
      <c r="CH307" t="str">
        <f>""</f>
        <v/>
      </c>
      <c r="CI307" t="str">
        <f>""</f>
        <v/>
      </c>
      <c r="CJ307" t="str">
        <f>""</f>
        <v/>
      </c>
      <c r="CK307" t="str">
        <f>""</f>
        <v/>
      </c>
      <c r="CL307" t="str">
        <f>""</f>
        <v/>
      </c>
      <c r="CM307" t="str">
        <f>""</f>
        <v/>
      </c>
      <c r="CN307" t="str">
        <f>""</f>
        <v/>
      </c>
      <c r="CO307" t="str">
        <f>""</f>
        <v/>
      </c>
      <c r="CP307" t="str">
        <f>""</f>
        <v/>
      </c>
      <c r="CQ307" t="str">
        <f>""</f>
        <v/>
      </c>
      <c r="CR307" t="str">
        <f>""</f>
        <v/>
      </c>
      <c r="CS307" t="str">
        <f>""</f>
        <v/>
      </c>
      <c r="CT307" t="str">
        <f>""</f>
        <v/>
      </c>
      <c r="CU307" t="str">
        <f>""</f>
        <v/>
      </c>
      <c r="CV307" t="str">
        <f>""</f>
        <v/>
      </c>
      <c r="CW307" t="str">
        <f>""</f>
        <v/>
      </c>
      <c r="CX307" t="str">
        <f>""</f>
        <v/>
      </c>
      <c r="CY307" t="str">
        <f>""</f>
        <v/>
      </c>
      <c r="CZ307" t="str">
        <f>""</f>
        <v/>
      </c>
      <c r="DA307" t="str">
        <f>""</f>
        <v/>
      </c>
      <c r="DB307" t="str">
        <f>""</f>
        <v/>
      </c>
      <c r="DC307" t="str">
        <f>""</f>
        <v/>
      </c>
      <c r="DD307" t="str">
        <f>""</f>
        <v/>
      </c>
      <c r="DE307" t="str">
        <f>""</f>
        <v/>
      </c>
      <c r="DF307" t="str">
        <f>""</f>
        <v/>
      </c>
      <c r="DG307" t="str">
        <f>""</f>
        <v/>
      </c>
      <c r="DH307" t="str">
        <f>""</f>
        <v/>
      </c>
      <c r="DI307" t="str">
        <f>""</f>
        <v/>
      </c>
      <c r="DJ307" t="str">
        <f>""</f>
        <v/>
      </c>
      <c r="DK307" t="str">
        <f>""</f>
        <v/>
      </c>
      <c r="DL307" t="str">
        <f>""</f>
        <v/>
      </c>
      <c r="DM307" t="str">
        <f>""</f>
        <v/>
      </c>
      <c r="DN307" t="str">
        <f>""</f>
        <v/>
      </c>
      <c r="DO307" t="str">
        <f>""</f>
        <v/>
      </c>
      <c r="DP307" t="str">
        <f>""</f>
        <v/>
      </c>
      <c r="DQ307" t="str">
        <f>""</f>
        <v/>
      </c>
      <c r="DR307" t="str">
        <f>""</f>
        <v/>
      </c>
      <c r="DS307" t="str">
        <f>""</f>
        <v/>
      </c>
      <c r="DT307" t="str">
        <f>""</f>
        <v/>
      </c>
      <c r="DU307" t="str">
        <f>""</f>
        <v/>
      </c>
    </row>
    <row r="308" spans="1:125">
      <c r="A308" t="str">
        <f>$A$95</f>
        <v xml:space="preserve">    American Campus Communities In</v>
      </c>
      <c r="B308" t="str">
        <f>$B$95</f>
        <v>ACC US Equity</v>
      </c>
      <c r="C308" t="str">
        <f>$C$95</f>
        <v>RR033</v>
      </c>
      <c r="D308" t="str">
        <f>$D$95</f>
        <v>SALES_GROWTH</v>
      </c>
      <c r="E308" t="str">
        <f>$E$95</f>
        <v>动态</v>
      </c>
      <c r="F308" t="str">
        <f ca="1">BDH($B$95,$C$95,$B$224,$B$225,CONCATENATE("Per=",$B$222),"Dts=H","Dir=H",CONCATENATE("Points=",$B$223),"Sort=R","Days=A","Fill=B",CONCATENATE("FX=", $B$221) )</f>
        <v>#N/A Authorization</v>
      </c>
      <c r="BN308" t="str">
        <f>""</f>
        <v/>
      </c>
      <c r="BO308" t="str">
        <f>""</f>
        <v/>
      </c>
      <c r="BP308" t="str">
        <f>""</f>
        <v/>
      </c>
      <c r="BQ308" t="str">
        <f>""</f>
        <v/>
      </c>
      <c r="BR308" t="str">
        <f>""</f>
        <v/>
      </c>
      <c r="BS308" t="str">
        <f>""</f>
        <v/>
      </c>
      <c r="BT308" t="str">
        <f>""</f>
        <v/>
      </c>
      <c r="BU308" t="str">
        <f>""</f>
        <v/>
      </c>
      <c r="BV308" t="str">
        <f>""</f>
        <v/>
      </c>
      <c r="BW308" t="str">
        <f>""</f>
        <v/>
      </c>
      <c r="BX308" t="str">
        <f>""</f>
        <v/>
      </c>
      <c r="BY308" t="str">
        <f>""</f>
        <v/>
      </c>
      <c r="BZ308" t="str">
        <f>""</f>
        <v/>
      </c>
      <c r="CA308" t="str">
        <f>""</f>
        <v/>
      </c>
      <c r="CB308" t="str">
        <f>""</f>
        <v/>
      </c>
      <c r="CC308" t="str">
        <f>""</f>
        <v/>
      </c>
      <c r="CD308" t="str">
        <f>""</f>
        <v/>
      </c>
      <c r="CE308" t="str">
        <f>""</f>
        <v/>
      </c>
      <c r="CF308" t="str">
        <f>""</f>
        <v/>
      </c>
      <c r="CG308" t="str">
        <f>""</f>
        <v/>
      </c>
      <c r="CH308" t="str">
        <f>""</f>
        <v/>
      </c>
      <c r="CI308" t="str">
        <f>""</f>
        <v/>
      </c>
      <c r="CJ308" t="str">
        <f>""</f>
        <v/>
      </c>
      <c r="CK308" t="str">
        <f>""</f>
        <v/>
      </c>
      <c r="CL308" t="str">
        <f>""</f>
        <v/>
      </c>
      <c r="CM308" t="str">
        <f>""</f>
        <v/>
      </c>
      <c r="CN308" t="str">
        <f>""</f>
        <v/>
      </c>
      <c r="CO308" t="str">
        <f>""</f>
        <v/>
      </c>
      <c r="CP308" t="str">
        <f>""</f>
        <v/>
      </c>
      <c r="CQ308" t="str">
        <f>""</f>
        <v/>
      </c>
      <c r="CR308" t="str">
        <f>""</f>
        <v/>
      </c>
      <c r="CS308" t="str">
        <f>""</f>
        <v/>
      </c>
      <c r="CT308" t="str">
        <f>""</f>
        <v/>
      </c>
      <c r="CU308" t="str">
        <f>""</f>
        <v/>
      </c>
      <c r="CV308" t="str">
        <f>""</f>
        <v/>
      </c>
      <c r="CW308" t="str">
        <f>""</f>
        <v/>
      </c>
      <c r="CX308" t="str">
        <f>""</f>
        <v/>
      </c>
      <c r="CY308" t="str">
        <f>""</f>
        <v/>
      </c>
      <c r="CZ308" t="str">
        <f>""</f>
        <v/>
      </c>
      <c r="DA308" t="str">
        <f>""</f>
        <v/>
      </c>
      <c r="DB308" t="str">
        <f>""</f>
        <v/>
      </c>
      <c r="DC308" t="str">
        <f>""</f>
        <v/>
      </c>
      <c r="DD308" t="str">
        <f>""</f>
        <v/>
      </c>
      <c r="DE308" t="str">
        <f>""</f>
        <v/>
      </c>
      <c r="DF308" t="str">
        <f>""</f>
        <v/>
      </c>
      <c r="DG308" t="str">
        <f>""</f>
        <v/>
      </c>
      <c r="DH308" t="str">
        <f>""</f>
        <v/>
      </c>
      <c r="DI308" t="str">
        <f>""</f>
        <v/>
      </c>
      <c r="DJ308" t="str">
        <f>""</f>
        <v/>
      </c>
      <c r="DK308" t="str">
        <f>""</f>
        <v/>
      </c>
      <c r="DL308" t="str">
        <f>""</f>
        <v/>
      </c>
      <c r="DM308" t="str">
        <f>""</f>
        <v/>
      </c>
      <c r="DN308" t="str">
        <f>""</f>
        <v/>
      </c>
      <c r="DO308" t="str">
        <f>""</f>
        <v/>
      </c>
      <c r="DP308" t="str">
        <f>""</f>
        <v/>
      </c>
      <c r="DQ308" t="str">
        <f>""</f>
        <v/>
      </c>
      <c r="DR308" t="str">
        <f>""</f>
        <v/>
      </c>
      <c r="DS308" t="str">
        <f>""</f>
        <v/>
      </c>
      <c r="DT308" t="str">
        <f>""</f>
        <v/>
      </c>
      <c r="DU308" t="str">
        <f>""</f>
        <v/>
      </c>
    </row>
    <row r="309" spans="1:125">
      <c r="A309" t="str">
        <f>$A$96</f>
        <v xml:space="preserve">    AvalonBay Communities Inc</v>
      </c>
      <c r="B309" t="str">
        <f>$B$96</f>
        <v>AVB US Equity</v>
      </c>
      <c r="C309" t="str">
        <f>$C$96</f>
        <v>RR033</v>
      </c>
      <c r="D309" t="str">
        <f>$D$96</f>
        <v>SALES_GROWTH</v>
      </c>
      <c r="E309" t="str">
        <f>$E$96</f>
        <v>动态</v>
      </c>
      <c r="F309" t="str">
        <f ca="1">BDH($B$96,$C$96,$B$224,$B$225,CONCATENATE("Per=",$B$222),"Dts=H","Dir=H",CONCATENATE("Points=",$B$223),"Sort=R","Days=A","Fill=B",CONCATENATE("FX=", $B$221) )</f>
        <v>#N/A Authorization</v>
      </c>
      <c r="BN309" t="str">
        <f>""</f>
        <v/>
      </c>
      <c r="BO309" t="str">
        <f>""</f>
        <v/>
      </c>
      <c r="BP309" t="str">
        <f>""</f>
        <v/>
      </c>
      <c r="BQ309" t="str">
        <f>""</f>
        <v/>
      </c>
      <c r="BR309" t="str">
        <f>""</f>
        <v/>
      </c>
      <c r="BS309" t="str">
        <f>""</f>
        <v/>
      </c>
      <c r="BT309" t="str">
        <f>""</f>
        <v/>
      </c>
      <c r="BU309" t="str">
        <f>""</f>
        <v/>
      </c>
      <c r="BV309" t="str">
        <f>""</f>
        <v/>
      </c>
      <c r="BW309" t="str">
        <f>""</f>
        <v/>
      </c>
      <c r="BX309" t="str">
        <f>""</f>
        <v/>
      </c>
      <c r="BY309" t="str">
        <f>""</f>
        <v/>
      </c>
      <c r="BZ309" t="str">
        <f>""</f>
        <v/>
      </c>
      <c r="CA309" t="str">
        <f>""</f>
        <v/>
      </c>
      <c r="CB309" t="str">
        <f>""</f>
        <v/>
      </c>
      <c r="CC309" t="str">
        <f>""</f>
        <v/>
      </c>
      <c r="CD309" t="str">
        <f>""</f>
        <v/>
      </c>
      <c r="CE309" t="str">
        <f>""</f>
        <v/>
      </c>
      <c r="CF309" t="str">
        <f>""</f>
        <v/>
      </c>
      <c r="CG309" t="str">
        <f>""</f>
        <v/>
      </c>
      <c r="CH309" t="str">
        <f>""</f>
        <v/>
      </c>
      <c r="CI309" t="str">
        <f>""</f>
        <v/>
      </c>
      <c r="CJ309" t="str">
        <f>""</f>
        <v/>
      </c>
      <c r="CK309" t="str">
        <f>""</f>
        <v/>
      </c>
      <c r="CL309" t="str">
        <f>""</f>
        <v/>
      </c>
      <c r="CM309" t="str">
        <f>""</f>
        <v/>
      </c>
      <c r="CN309" t="str">
        <f>""</f>
        <v/>
      </c>
      <c r="CO309" t="str">
        <f>""</f>
        <v/>
      </c>
      <c r="CP309" t="str">
        <f>""</f>
        <v/>
      </c>
      <c r="CQ309" t="str">
        <f>""</f>
        <v/>
      </c>
      <c r="CR309" t="str">
        <f>""</f>
        <v/>
      </c>
      <c r="CS309" t="str">
        <f>""</f>
        <v/>
      </c>
      <c r="CT309" t="str">
        <f>""</f>
        <v/>
      </c>
      <c r="CU309" t="str">
        <f>""</f>
        <v/>
      </c>
      <c r="CV309" t="str">
        <f>""</f>
        <v/>
      </c>
      <c r="CW309" t="str">
        <f>""</f>
        <v/>
      </c>
      <c r="CX309" t="str">
        <f>""</f>
        <v/>
      </c>
      <c r="CY309" t="str">
        <f>""</f>
        <v/>
      </c>
      <c r="CZ309" t="str">
        <f>""</f>
        <v/>
      </c>
      <c r="DA309" t="str">
        <f>""</f>
        <v/>
      </c>
      <c r="DB309" t="str">
        <f>""</f>
        <v/>
      </c>
      <c r="DC309" t="str">
        <f>""</f>
        <v/>
      </c>
      <c r="DD309" t="str">
        <f>""</f>
        <v/>
      </c>
      <c r="DE309" t="str">
        <f>""</f>
        <v/>
      </c>
      <c r="DF309" t="str">
        <f>""</f>
        <v/>
      </c>
      <c r="DG309" t="str">
        <f>""</f>
        <v/>
      </c>
      <c r="DH309" t="str">
        <f>""</f>
        <v/>
      </c>
      <c r="DI309" t="str">
        <f>""</f>
        <v/>
      </c>
      <c r="DJ309" t="str">
        <f>""</f>
        <v/>
      </c>
      <c r="DK309" t="str">
        <f>""</f>
        <v/>
      </c>
      <c r="DL309" t="str">
        <f>""</f>
        <v/>
      </c>
      <c r="DM309" t="str">
        <f>""</f>
        <v/>
      </c>
      <c r="DN309" t="str">
        <f>""</f>
        <v/>
      </c>
      <c r="DO309" t="str">
        <f>""</f>
        <v/>
      </c>
      <c r="DP309" t="str">
        <f>""</f>
        <v/>
      </c>
      <c r="DQ309" t="str">
        <f>""</f>
        <v/>
      </c>
      <c r="DR309" t="str">
        <f>""</f>
        <v/>
      </c>
      <c r="DS309" t="str">
        <f>""</f>
        <v/>
      </c>
      <c r="DT309" t="str">
        <f>""</f>
        <v/>
      </c>
      <c r="DU309" t="str">
        <f>""</f>
        <v/>
      </c>
    </row>
    <row r="310" spans="1:125">
      <c r="A310" t="str">
        <f>$A$97</f>
        <v xml:space="preserve">    Camden Property Trust</v>
      </c>
      <c r="B310" t="str">
        <f>$B$97</f>
        <v>CPT US Equity</v>
      </c>
      <c r="C310" t="str">
        <f>$C$97</f>
        <v>RR033</v>
      </c>
      <c r="D310" t="str">
        <f>$D$97</f>
        <v>SALES_GROWTH</v>
      </c>
      <c r="E310" t="str">
        <f>$E$97</f>
        <v>动态</v>
      </c>
      <c r="F310" t="str">
        <f ca="1">BDH($B$97,$C$97,$B$224,$B$225,CONCATENATE("Per=",$B$222),"Dts=H","Dir=H",CONCATENATE("Points=",$B$223),"Sort=R","Days=A","Fill=B",CONCATENATE("FX=", $B$221) )</f>
        <v>#N/A Authorization</v>
      </c>
      <c r="BN310" t="str">
        <f>""</f>
        <v/>
      </c>
      <c r="BO310" t="str">
        <f>""</f>
        <v/>
      </c>
      <c r="BP310" t="str">
        <f>""</f>
        <v/>
      </c>
      <c r="BQ310" t="str">
        <f>""</f>
        <v/>
      </c>
      <c r="BR310" t="str">
        <f>""</f>
        <v/>
      </c>
      <c r="BS310" t="str">
        <f>""</f>
        <v/>
      </c>
      <c r="BT310" t="str">
        <f>""</f>
        <v/>
      </c>
      <c r="BU310" t="str">
        <f>""</f>
        <v/>
      </c>
      <c r="BV310" t="str">
        <f>""</f>
        <v/>
      </c>
      <c r="BW310" t="str">
        <f>""</f>
        <v/>
      </c>
      <c r="BX310" t="str">
        <f>""</f>
        <v/>
      </c>
      <c r="BY310" t="str">
        <f>""</f>
        <v/>
      </c>
      <c r="BZ310" t="str">
        <f>""</f>
        <v/>
      </c>
      <c r="CA310" t="str">
        <f>""</f>
        <v/>
      </c>
      <c r="CB310" t="str">
        <f>""</f>
        <v/>
      </c>
      <c r="CC310" t="str">
        <f>""</f>
        <v/>
      </c>
      <c r="CD310" t="str">
        <f>""</f>
        <v/>
      </c>
      <c r="CE310" t="str">
        <f>""</f>
        <v/>
      </c>
      <c r="CF310" t="str">
        <f>""</f>
        <v/>
      </c>
      <c r="CG310" t="str">
        <f>""</f>
        <v/>
      </c>
      <c r="CH310" t="str">
        <f>""</f>
        <v/>
      </c>
      <c r="CI310" t="str">
        <f>""</f>
        <v/>
      </c>
      <c r="CJ310" t="str">
        <f>""</f>
        <v/>
      </c>
      <c r="CK310" t="str">
        <f>""</f>
        <v/>
      </c>
      <c r="CL310" t="str">
        <f>""</f>
        <v/>
      </c>
      <c r="CM310" t="str">
        <f>""</f>
        <v/>
      </c>
      <c r="CN310" t="str">
        <f>""</f>
        <v/>
      </c>
      <c r="CO310" t="str">
        <f>""</f>
        <v/>
      </c>
      <c r="CP310" t="str">
        <f>""</f>
        <v/>
      </c>
      <c r="CQ310" t="str">
        <f>""</f>
        <v/>
      </c>
      <c r="CR310" t="str">
        <f>""</f>
        <v/>
      </c>
      <c r="CS310" t="str">
        <f>""</f>
        <v/>
      </c>
      <c r="CT310" t="str">
        <f>""</f>
        <v/>
      </c>
      <c r="CU310" t="str">
        <f>""</f>
        <v/>
      </c>
      <c r="CV310" t="str">
        <f>""</f>
        <v/>
      </c>
      <c r="CW310" t="str">
        <f>""</f>
        <v/>
      </c>
      <c r="CX310" t="str">
        <f>""</f>
        <v/>
      </c>
      <c r="CY310" t="str">
        <f>""</f>
        <v/>
      </c>
      <c r="CZ310" t="str">
        <f>""</f>
        <v/>
      </c>
      <c r="DA310" t="str">
        <f>""</f>
        <v/>
      </c>
      <c r="DB310" t="str">
        <f>""</f>
        <v/>
      </c>
      <c r="DC310" t="str">
        <f>""</f>
        <v/>
      </c>
      <c r="DD310" t="str">
        <f>""</f>
        <v/>
      </c>
      <c r="DE310" t="str">
        <f>""</f>
        <v/>
      </c>
      <c r="DF310" t="str">
        <f>""</f>
        <v/>
      </c>
      <c r="DG310" t="str">
        <f>""</f>
        <v/>
      </c>
      <c r="DH310" t="str">
        <f>""</f>
        <v/>
      </c>
      <c r="DI310" t="str">
        <f>""</f>
        <v/>
      </c>
      <c r="DJ310" t="str">
        <f>""</f>
        <v/>
      </c>
      <c r="DK310" t="str">
        <f>""</f>
        <v/>
      </c>
      <c r="DL310" t="str">
        <f>""</f>
        <v/>
      </c>
      <c r="DM310" t="str">
        <f>""</f>
        <v/>
      </c>
      <c r="DN310" t="str">
        <f>""</f>
        <v/>
      </c>
      <c r="DO310" t="str">
        <f>""</f>
        <v/>
      </c>
      <c r="DP310" t="str">
        <f>""</f>
        <v/>
      </c>
      <c r="DQ310" t="str">
        <f>""</f>
        <v/>
      </c>
      <c r="DR310" t="str">
        <f>""</f>
        <v/>
      </c>
      <c r="DS310" t="str">
        <f>""</f>
        <v/>
      </c>
      <c r="DT310" t="str">
        <f>""</f>
        <v/>
      </c>
      <c r="DU310" t="str">
        <f>""</f>
        <v/>
      </c>
    </row>
    <row r="311" spans="1:125">
      <c r="A311" t="str">
        <f>$A$98</f>
        <v xml:space="preserve">    Education Realty Trust Inc</v>
      </c>
      <c r="B311" t="str">
        <f>$B$98</f>
        <v>EDR US Equity</v>
      </c>
      <c r="C311" t="str">
        <f>$C$98</f>
        <v>RR033</v>
      </c>
      <c r="D311" t="str">
        <f>$D$98</f>
        <v>SALES_GROWTH</v>
      </c>
      <c r="E311" t="str">
        <f>$E$98</f>
        <v>动态</v>
      </c>
      <c r="F311" t="str">
        <f ca="1">BDH($B$98,$C$98,$B$224,$B$225,CONCATENATE("Per=",$B$222),"Dts=H","Dir=H",CONCATENATE("Points=",$B$223),"Sort=R","Days=A","Fill=B",CONCATENATE("FX=", $B$221) )</f>
        <v>#N/A Authorization</v>
      </c>
      <c r="BN311" t="str">
        <f>""</f>
        <v/>
      </c>
      <c r="BO311" t="str">
        <f>""</f>
        <v/>
      </c>
      <c r="BP311" t="str">
        <f>""</f>
        <v/>
      </c>
      <c r="BQ311" t="str">
        <f>""</f>
        <v/>
      </c>
      <c r="BR311" t="str">
        <f>""</f>
        <v/>
      </c>
      <c r="BS311" t="str">
        <f>""</f>
        <v/>
      </c>
      <c r="BT311" t="str">
        <f>""</f>
        <v/>
      </c>
      <c r="BU311" t="str">
        <f>""</f>
        <v/>
      </c>
      <c r="BV311" t="str">
        <f>""</f>
        <v/>
      </c>
      <c r="BW311" t="str">
        <f>""</f>
        <v/>
      </c>
      <c r="BX311" t="str">
        <f>""</f>
        <v/>
      </c>
      <c r="BY311" t="str">
        <f>""</f>
        <v/>
      </c>
      <c r="BZ311" t="str">
        <f>""</f>
        <v/>
      </c>
      <c r="CA311" t="str">
        <f>""</f>
        <v/>
      </c>
      <c r="CB311" t="str">
        <f>""</f>
        <v/>
      </c>
      <c r="CC311" t="str">
        <f>""</f>
        <v/>
      </c>
      <c r="CD311" t="str">
        <f>""</f>
        <v/>
      </c>
      <c r="CE311" t="str">
        <f>""</f>
        <v/>
      </c>
      <c r="CF311" t="str">
        <f>""</f>
        <v/>
      </c>
      <c r="CG311" t="str">
        <f>""</f>
        <v/>
      </c>
      <c r="CH311" t="str">
        <f>""</f>
        <v/>
      </c>
      <c r="CI311" t="str">
        <f>""</f>
        <v/>
      </c>
      <c r="CJ311" t="str">
        <f>""</f>
        <v/>
      </c>
      <c r="CK311" t="str">
        <f>""</f>
        <v/>
      </c>
      <c r="CL311" t="str">
        <f>""</f>
        <v/>
      </c>
      <c r="CM311" t="str">
        <f>""</f>
        <v/>
      </c>
      <c r="CN311" t="str">
        <f>""</f>
        <v/>
      </c>
      <c r="CO311" t="str">
        <f>""</f>
        <v/>
      </c>
      <c r="CP311" t="str">
        <f>""</f>
        <v/>
      </c>
      <c r="CQ311" t="str">
        <f>""</f>
        <v/>
      </c>
      <c r="CR311" t="str">
        <f>""</f>
        <v/>
      </c>
      <c r="CS311" t="str">
        <f>""</f>
        <v/>
      </c>
      <c r="CT311" t="str">
        <f>""</f>
        <v/>
      </c>
      <c r="CU311" t="str">
        <f>""</f>
        <v/>
      </c>
      <c r="CV311" t="str">
        <f>""</f>
        <v/>
      </c>
      <c r="CW311" t="str">
        <f>""</f>
        <v/>
      </c>
      <c r="CX311" t="str">
        <f>""</f>
        <v/>
      </c>
      <c r="CY311" t="str">
        <f>""</f>
        <v/>
      </c>
      <c r="CZ311" t="str">
        <f>""</f>
        <v/>
      </c>
      <c r="DA311" t="str">
        <f>""</f>
        <v/>
      </c>
      <c r="DB311" t="str">
        <f>""</f>
        <v/>
      </c>
      <c r="DC311" t="str">
        <f>""</f>
        <v/>
      </c>
      <c r="DD311" t="str">
        <f>""</f>
        <v/>
      </c>
      <c r="DE311" t="str">
        <f>""</f>
        <v/>
      </c>
      <c r="DF311" t="str">
        <f>""</f>
        <v/>
      </c>
      <c r="DG311" t="str">
        <f>""</f>
        <v/>
      </c>
      <c r="DH311" t="str">
        <f>""</f>
        <v/>
      </c>
      <c r="DI311" t="str">
        <f>""</f>
        <v/>
      </c>
      <c r="DJ311" t="str">
        <f>""</f>
        <v/>
      </c>
      <c r="DK311" t="str">
        <f>""</f>
        <v/>
      </c>
      <c r="DL311" t="str">
        <f>""</f>
        <v/>
      </c>
      <c r="DM311" t="str">
        <f>""</f>
        <v/>
      </c>
      <c r="DN311" t="str">
        <f>""</f>
        <v/>
      </c>
      <c r="DO311" t="str">
        <f>""</f>
        <v/>
      </c>
      <c r="DP311" t="str">
        <f>""</f>
        <v/>
      </c>
      <c r="DQ311" t="str">
        <f>""</f>
        <v/>
      </c>
      <c r="DR311" t="str">
        <f>""</f>
        <v/>
      </c>
      <c r="DS311" t="str">
        <f>""</f>
        <v/>
      </c>
      <c r="DT311" t="str">
        <f>""</f>
        <v/>
      </c>
      <c r="DU311" t="str">
        <f>""</f>
        <v/>
      </c>
    </row>
    <row r="312" spans="1:125">
      <c r="A312" t="str">
        <f>$A$99</f>
        <v xml:space="preserve">    Equity Residential</v>
      </c>
      <c r="B312" t="str">
        <f>$B$99</f>
        <v>EQR US Equity</v>
      </c>
      <c r="C312" t="str">
        <f>$C$99</f>
        <v>RR033</v>
      </c>
      <c r="D312" t="str">
        <f>$D$99</f>
        <v>SALES_GROWTH</v>
      </c>
      <c r="E312" t="str">
        <f>$E$99</f>
        <v>动态</v>
      </c>
      <c r="F312" t="str">
        <f ca="1">BDH($B$99,$C$99,$B$224,$B$225,CONCATENATE("Per=",$B$222),"Dts=H","Dir=H",CONCATENATE("Points=",$B$223),"Sort=R","Days=A","Fill=B",CONCATENATE("FX=", $B$221) )</f>
        <v>#N/A Authorization</v>
      </c>
      <c r="BN312" t="str">
        <f>""</f>
        <v/>
      </c>
      <c r="BO312" t="str">
        <f>""</f>
        <v/>
      </c>
      <c r="BP312" t="str">
        <f>""</f>
        <v/>
      </c>
      <c r="BQ312" t="str">
        <f>""</f>
        <v/>
      </c>
      <c r="BR312" t="str">
        <f>""</f>
        <v/>
      </c>
      <c r="BS312" t="str">
        <f>""</f>
        <v/>
      </c>
      <c r="BT312" t="str">
        <f>""</f>
        <v/>
      </c>
      <c r="BU312" t="str">
        <f>""</f>
        <v/>
      </c>
      <c r="BV312" t="str">
        <f>""</f>
        <v/>
      </c>
      <c r="BW312" t="str">
        <f>""</f>
        <v/>
      </c>
      <c r="BX312" t="str">
        <f>""</f>
        <v/>
      </c>
      <c r="BY312" t="str">
        <f>""</f>
        <v/>
      </c>
      <c r="BZ312" t="str">
        <f>""</f>
        <v/>
      </c>
      <c r="CA312" t="str">
        <f>""</f>
        <v/>
      </c>
      <c r="CB312" t="str">
        <f>""</f>
        <v/>
      </c>
      <c r="CC312" t="str">
        <f>""</f>
        <v/>
      </c>
      <c r="CD312" t="str">
        <f>""</f>
        <v/>
      </c>
      <c r="CE312" t="str">
        <f>""</f>
        <v/>
      </c>
      <c r="CF312" t="str">
        <f>""</f>
        <v/>
      </c>
      <c r="CG312" t="str">
        <f>""</f>
        <v/>
      </c>
      <c r="CH312" t="str">
        <f>""</f>
        <v/>
      </c>
      <c r="CI312" t="str">
        <f>""</f>
        <v/>
      </c>
      <c r="CJ312" t="str">
        <f>""</f>
        <v/>
      </c>
      <c r="CK312" t="str">
        <f>""</f>
        <v/>
      </c>
      <c r="CL312" t="str">
        <f>""</f>
        <v/>
      </c>
      <c r="CM312" t="str">
        <f>""</f>
        <v/>
      </c>
      <c r="CN312" t="str">
        <f>""</f>
        <v/>
      </c>
      <c r="CO312" t="str">
        <f>""</f>
        <v/>
      </c>
      <c r="CP312" t="str">
        <f>""</f>
        <v/>
      </c>
      <c r="CQ312" t="str">
        <f>""</f>
        <v/>
      </c>
      <c r="CR312" t="str">
        <f>""</f>
        <v/>
      </c>
      <c r="CS312" t="str">
        <f>""</f>
        <v/>
      </c>
      <c r="CT312" t="str">
        <f>""</f>
        <v/>
      </c>
      <c r="CU312" t="str">
        <f>""</f>
        <v/>
      </c>
      <c r="CV312" t="str">
        <f>""</f>
        <v/>
      </c>
      <c r="CW312" t="str">
        <f>""</f>
        <v/>
      </c>
      <c r="CX312" t="str">
        <f>""</f>
        <v/>
      </c>
      <c r="CY312" t="str">
        <f>""</f>
        <v/>
      </c>
      <c r="CZ312" t="str">
        <f>""</f>
        <v/>
      </c>
      <c r="DA312" t="str">
        <f>""</f>
        <v/>
      </c>
      <c r="DB312" t="str">
        <f>""</f>
        <v/>
      </c>
      <c r="DC312" t="str">
        <f>""</f>
        <v/>
      </c>
      <c r="DD312" t="str">
        <f>""</f>
        <v/>
      </c>
      <c r="DE312" t="str">
        <f>""</f>
        <v/>
      </c>
      <c r="DF312" t="str">
        <f>""</f>
        <v/>
      </c>
      <c r="DG312" t="str">
        <f>""</f>
        <v/>
      </c>
      <c r="DH312" t="str">
        <f>""</f>
        <v/>
      </c>
      <c r="DI312" t="str">
        <f>""</f>
        <v/>
      </c>
      <c r="DJ312" t="str">
        <f>""</f>
        <v/>
      </c>
      <c r="DK312" t="str">
        <f>""</f>
        <v/>
      </c>
      <c r="DL312" t="str">
        <f>""</f>
        <v/>
      </c>
      <c r="DM312" t="str">
        <f>""</f>
        <v/>
      </c>
      <c r="DN312" t="str">
        <f>""</f>
        <v/>
      </c>
      <c r="DO312" t="str">
        <f>""</f>
        <v/>
      </c>
      <c r="DP312" t="str">
        <f>""</f>
        <v/>
      </c>
      <c r="DQ312" t="str">
        <f>""</f>
        <v/>
      </c>
      <c r="DR312" t="str">
        <f>""</f>
        <v/>
      </c>
      <c r="DS312" t="str">
        <f>""</f>
        <v/>
      </c>
      <c r="DT312" t="str">
        <f>""</f>
        <v/>
      </c>
      <c r="DU312" t="str">
        <f>""</f>
        <v/>
      </c>
    </row>
    <row r="313" spans="1:125">
      <c r="A313" t="str">
        <f>$A$100</f>
        <v xml:space="preserve">    Essex Property Trust Inc</v>
      </c>
      <c r="B313" t="str">
        <f>$B$100</f>
        <v>ESS US Equity</v>
      </c>
      <c r="C313" t="str">
        <f>$C$100</f>
        <v>RR033</v>
      </c>
      <c r="D313" t="str">
        <f>$D$100</f>
        <v>SALES_GROWTH</v>
      </c>
      <c r="E313" t="str">
        <f>$E$100</f>
        <v>动态</v>
      </c>
      <c r="F313" t="str">
        <f ca="1">BDH($B$100,$C$100,$B$224,$B$225,CONCATENATE("Per=",$B$222),"Dts=H","Dir=H",CONCATENATE("Points=",$B$223),"Sort=R","Days=A","Fill=B",CONCATENATE("FX=", $B$221) )</f>
        <v>#N/A Authorization</v>
      </c>
      <c r="BN313" t="str">
        <f>""</f>
        <v/>
      </c>
      <c r="BO313" t="str">
        <f>""</f>
        <v/>
      </c>
      <c r="BP313" t="str">
        <f>""</f>
        <v/>
      </c>
      <c r="BQ313" t="str">
        <f>""</f>
        <v/>
      </c>
      <c r="BR313" t="str">
        <f>""</f>
        <v/>
      </c>
      <c r="BS313" t="str">
        <f>""</f>
        <v/>
      </c>
      <c r="BT313" t="str">
        <f>""</f>
        <v/>
      </c>
      <c r="BU313" t="str">
        <f>""</f>
        <v/>
      </c>
      <c r="BV313" t="str">
        <f>""</f>
        <v/>
      </c>
      <c r="BW313" t="str">
        <f>""</f>
        <v/>
      </c>
      <c r="BX313" t="str">
        <f>""</f>
        <v/>
      </c>
      <c r="BY313" t="str">
        <f>""</f>
        <v/>
      </c>
      <c r="BZ313" t="str">
        <f>""</f>
        <v/>
      </c>
      <c r="CA313" t="str">
        <f>""</f>
        <v/>
      </c>
      <c r="CB313" t="str">
        <f>""</f>
        <v/>
      </c>
      <c r="CC313" t="str">
        <f>""</f>
        <v/>
      </c>
      <c r="CD313" t="str">
        <f>""</f>
        <v/>
      </c>
      <c r="CE313" t="str">
        <f>""</f>
        <v/>
      </c>
      <c r="CF313" t="str">
        <f>""</f>
        <v/>
      </c>
      <c r="CG313" t="str">
        <f>""</f>
        <v/>
      </c>
      <c r="CH313" t="str">
        <f>""</f>
        <v/>
      </c>
      <c r="CI313" t="str">
        <f>""</f>
        <v/>
      </c>
      <c r="CJ313" t="str">
        <f>""</f>
        <v/>
      </c>
      <c r="CK313" t="str">
        <f>""</f>
        <v/>
      </c>
      <c r="CL313" t="str">
        <f>""</f>
        <v/>
      </c>
      <c r="CM313" t="str">
        <f>""</f>
        <v/>
      </c>
      <c r="CN313" t="str">
        <f>""</f>
        <v/>
      </c>
      <c r="CO313" t="str">
        <f>""</f>
        <v/>
      </c>
      <c r="CP313" t="str">
        <f>""</f>
        <v/>
      </c>
      <c r="CQ313" t="str">
        <f>""</f>
        <v/>
      </c>
      <c r="CR313" t="str">
        <f>""</f>
        <v/>
      </c>
      <c r="CS313" t="str">
        <f>""</f>
        <v/>
      </c>
      <c r="CT313" t="str">
        <f>""</f>
        <v/>
      </c>
      <c r="CU313" t="str">
        <f>""</f>
        <v/>
      </c>
      <c r="CV313" t="str">
        <f>""</f>
        <v/>
      </c>
      <c r="CW313" t="str">
        <f>""</f>
        <v/>
      </c>
      <c r="CX313" t="str">
        <f>""</f>
        <v/>
      </c>
      <c r="CY313" t="str">
        <f>""</f>
        <v/>
      </c>
      <c r="CZ313" t="str">
        <f>""</f>
        <v/>
      </c>
      <c r="DA313" t="str">
        <f>""</f>
        <v/>
      </c>
      <c r="DB313" t="str">
        <f>""</f>
        <v/>
      </c>
      <c r="DC313" t="str">
        <f>""</f>
        <v/>
      </c>
      <c r="DD313" t="str">
        <f>""</f>
        <v/>
      </c>
      <c r="DE313" t="str">
        <f>""</f>
        <v/>
      </c>
      <c r="DF313" t="str">
        <f>""</f>
        <v/>
      </c>
      <c r="DG313" t="str">
        <f>""</f>
        <v/>
      </c>
      <c r="DH313" t="str">
        <f>""</f>
        <v/>
      </c>
      <c r="DI313" t="str">
        <f>""</f>
        <v/>
      </c>
      <c r="DJ313" t="str">
        <f>""</f>
        <v/>
      </c>
      <c r="DK313" t="str">
        <f>""</f>
        <v/>
      </c>
      <c r="DL313" t="str">
        <f>""</f>
        <v/>
      </c>
      <c r="DM313" t="str">
        <f>""</f>
        <v/>
      </c>
      <c r="DN313" t="str">
        <f>""</f>
        <v/>
      </c>
      <c r="DO313" t="str">
        <f>""</f>
        <v/>
      </c>
      <c r="DP313" t="str">
        <f>""</f>
        <v/>
      </c>
      <c r="DQ313" t="str">
        <f>""</f>
        <v/>
      </c>
      <c r="DR313" t="str">
        <f>""</f>
        <v/>
      </c>
      <c r="DS313" t="str">
        <f>""</f>
        <v/>
      </c>
      <c r="DT313" t="str">
        <f>""</f>
        <v/>
      </c>
      <c r="DU313" t="str">
        <f>""</f>
        <v/>
      </c>
    </row>
    <row r="314" spans="1:125">
      <c r="A314" t="str">
        <f>$A$101</f>
        <v xml:space="preserve">    Mid-America Apartment Communit</v>
      </c>
      <c r="B314" t="str">
        <f>$B$101</f>
        <v>MAA US Equity</v>
      </c>
      <c r="C314" t="str">
        <f>$C$101</f>
        <v>RR033</v>
      </c>
      <c r="D314" t="str">
        <f>$D$101</f>
        <v>SALES_GROWTH</v>
      </c>
      <c r="E314" t="str">
        <f>$E$101</f>
        <v>动态</v>
      </c>
      <c r="F314" t="str">
        <f ca="1">BDH($B$101,$C$101,$B$224,$B$225,CONCATENATE("Per=",$B$222),"Dts=H","Dir=H",CONCATENATE("Points=",$B$223),"Sort=R","Days=A","Fill=B",CONCATENATE("FX=", $B$221) )</f>
        <v>#N/A Authorization</v>
      </c>
      <c r="BN314" t="str">
        <f>""</f>
        <v/>
      </c>
      <c r="BO314" t="str">
        <f>""</f>
        <v/>
      </c>
      <c r="BP314" t="str">
        <f>""</f>
        <v/>
      </c>
      <c r="BQ314" t="str">
        <f>""</f>
        <v/>
      </c>
      <c r="BR314" t="str">
        <f>""</f>
        <v/>
      </c>
      <c r="BS314" t="str">
        <f>""</f>
        <v/>
      </c>
      <c r="BT314" t="str">
        <f>""</f>
        <v/>
      </c>
      <c r="BU314" t="str">
        <f>""</f>
        <v/>
      </c>
      <c r="BV314" t="str">
        <f>""</f>
        <v/>
      </c>
      <c r="BW314" t="str">
        <f>""</f>
        <v/>
      </c>
      <c r="BX314" t="str">
        <f>""</f>
        <v/>
      </c>
      <c r="BY314" t="str">
        <f>""</f>
        <v/>
      </c>
      <c r="BZ314" t="str">
        <f>""</f>
        <v/>
      </c>
      <c r="CA314" t="str">
        <f>""</f>
        <v/>
      </c>
      <c r="CB314" t="str">
        <f>""</f>
        <v/>
      </c>
      <c r="CC314" t="str">
        <f>""</f>
        <v/>
      </c>
      <c r="CD314" t="str">
        <f>""</f>
        <v/>
      </c>
      <c r="CE314" t="str">
        <f>""</f>
        <v/>
      </c>
      <c r="CF314" t="str">
        <f>""</f>
        <v/>
      </c>
      <c r="CG314" t="str">
        <f>""</f>
        <v/>
      </c>
      <c r="CH314" t="str">
        <f>""</f>
        <v/>
      </c>
      <c r="CI314" t="str">
        <f>""</f>
        <v/>
      </c>
      <c r="CJ314" t="str">
        <f>""</f>
        <v/>
      </c>
      <c r="CK314" t="str">
        <f>""</f>
        <v/>
      </c>
      <c r="CL314" t="str">
        <f>""</f>
        <v/>
      </c>
      <c r="CM314" t="str">
        <f>""</f>
        <v/>
      </c>
      <c r="CN314" t="str">
        <f>""</f>
        <v/>
      </c>
      <c r="CO314" t="str">
        <f>""</f>
        <v/>
      </c>
      <c r="CP314" t="str">
        <f>""</f>
        <v/>
      </c>
      <c r="CQ314" t="str">
        <f>""</f>
        <v/>
      </c>
      <c r="CR314" t="str">
        <f>""</f>
        <v/>
      </c>
      <c r="CS314" t="str">
        <f>""</f>
        <v/>
      </c>
      <c r="CT314" t="str">
        <f>""</f>
        <v/>
      </c>
      <c r="CU314" t="str">
        <f>""</f>
        <v/>
      </c>
      <c r="CV314" t="str">
        <f>""</f>
        <v/>
      </c>
      <c r="CW314" t="str">
        <f>""</f>
        <v/>
      </c>
      <c r="CX314" t="str">
        <f>""</f>
        <v/>
      </c>
      <c r="CY314" t="str">
        <f>""</f>
        <v/>
      </c>
      <c r="CZ314" t="str">
        <f>""</f>
        <v/>
      </c>
      <c r="DA314" t="str">
        <f>""</f>
        <v/>
      </c>
      <c r="DB314" t="str">
        <f>""</f>
        <v/>
      </c>
      <c r="DC314" t="str">
        <f>""</f>
        <v/>
      </c>
      <c r="DD314" t="str">
        <f>""</f>
        <v/>
      </c>
      <c r="DE314" t="str">
        <f>""</f>
        <v/>
      </c>
      <c r="DF314" t="str">
        <f>""</f>
        <v/>
      </c>
      <c r="DG314" t="str">
        <f>""</f>
        <v/>
      </c>
      <c r="DH314" t="str">
        <f>""</f>
        <v/>
      </c>
      <c r="DI314" t="str">
        <f>""</f>
        <v/>
      </c>
      <c r="DJ314" t="str">
        <f>""</f>
        <v/>
      </c>
      <c r="DK314" t="str">
        <f>""</f>
        <v/>
      </c>
      <c r="DL314" t="str">
        <f>""</f>
        <v/>
      </c>
      <c r="DM314" t="str">
        <f>""</f>
        <v/>
      </c>
      <c r="DN314" t="str">
        <f>""</f>
        <v/>
      </c>
      <c r="DO314" t="str">
        <f>""</f>
        <v/>
      </c>
      <c r="DP314" t="str">
        <f>""</f>
        <v/>
      </c>
      <c r="DQ314" t="str">
        <f>""</f>
        <v/>
      </c>
      <c r="DR314" t="str">
        <f>""</f>
        <v/>
      </c>
      <c r="DS314" t="str">
        <f>""</f>
        <v/>
      </c>
      <c r="DT314" t="str">
        <f>""</f>
        <v/>
      </c>
      <c r="DU314" t="str">
        <f>""</f>
        <v/>
      </c>
    </row>
    <row r="315" spans="1:125">
      <c r="A315" t="str">
        <f>$A$102</f>
        <v xml:space="preserve">    UDR Inc</v>
      </c>
      <c r="B315" t="str">
        <f>$B$102</f>
        <v>UDR US Equity</v>
      </c>
      <c r="C315" t="str">
        <f>$C$102</f>
        <v>RR033</v>
      </c>
      <c r="D315" t="str">
        <f>$D$102</f>
        <v>SALES_GROWTH</v>
      </c>
      <c r="E315" t="str">
        <f>$E$102</f>
        <v>动态</v>
      </c>
      <c r="F315" t="str">
        <f ca="1">BDH($B$102,$C$102,$B$224,$B$225,CONCATENATE("Per=",$B$222),"Dts=H","Dir=H",CONCATENATE("Points=",$B$223),"Sort=R","Days=A","Fill=B",CONCATENATE("FX=", $B$221) )</f>
        <v>#N/A Authorization</v>
      </c>
      <c r="BN315" t="str">
        <f>""</f>
        <v/>
      </c>
      <c r="BO315" t="str">
        <f>""</f>
        <v/>
      </c>
      <c r="BP315" t="str">
        <f>""</f>
        <v/>
      </c>
      <c r="BQ315" t="str">
        <f>""</f>
        <v/>
      </c>
      <c r="BR315" t="str">
        <f>""</f>
        <v/>
      </c>
      <c r="BS315" t="str">
        <f>""</f>
        <v/>
      </c>
      <c r="BT315" t="str">
        <f>""</f>
        <v/>
      </c>
      <c r="BU315" t="str">
        <f>""</f>
        <v/>
      </c>
      <c r="BV315" t="str">
        <f>""</f>
        <v/>
      </c>
      <c r="BW315" t="str">
        <f>""</f>
        <v/>
      </c>
      <c r="BX315" t="str">
        <f>""</f>
        <v/>
      </c>
      <c r="BY315" t="str">
        <f>""</f>
        <v/>
      </c>
      <c r="BZ315" t="str">
        <f>""</f>
        <v/>
      </c>
      <c r="CA315" t="str">
        <f>""</f>
        <v/>
      </c>
      <c r="CB315" t="str">
        <f>""</f>
        <v/>
      </c>
      <c r="CC315" t="str">
        <f>""</f>
        <v/>
      </c>
      <c r="CD315" t="str">
        <f>""</f>
        <v/>
      </c>
      <c r="CE315" t="str">
        <f>""</f>
        <v/>
      </c>
      <c r="CF315" t="str">
        <f>""</f>
        <v/>
      </c>
      <c r="CG315" t="str">
        <f>""</f>
        <v/>
      </c>
      <c r="CH315" t="str">
        <f>""</f>
        <v/>
      </c>
      <c r="CI315" t="str">
        <f>""</f>
        <v/>
      </c>
      <c r="CJ315" t="str">
        <f>""</f>
        <v/>
      </c>
      <c r="CK315" t="str">
        <f>""</f>
        <v/>
      </c>
      <c r="CL315" t="str">
        <f>""</f>
        <v/>
      </c>
      <c r="CM315" t="str">
        <f>""</f>
        <v/>
      </c>
      <c r="CN315" t="str">
        <f>""</f>
        <v/>
      </c>
      <c r="CO315" t="str">
        <f>""</f>
        <v/>
      </c>
      <c r="CP315" t="str">
        <f>""</f>
        <v/>
      </c>
      <c r="CQ315" t="str">
        <f>""</f>
        <v/>
      </c>
      <c r="CR315" t="str">
        <f>""</f>
        <v/>
      </c>
      <c r="CS315" t="str">
        <f>""</f>
        <v/>
      </c>
      <c r="CT315" t="str">
        <f>""</f>
        <v/>
      </c>
      <c r="CU315" t="str">
        <f>""</f>
        <v/>
      </c>
      <c r="CV315" t="str">
        <f>""</f>
        <v/>
      </c>
      <c r="CW315" t="str">
        <f>""</f>
        <v/>
      </c>
      <c r="CX315" t="str">
        <f>""</f>
        <v/>
      </c>
      <c r="CY315" t="str">
        <f>""</f>
        <v/>
      </c>
      <c r="CZ315" t="str">
        <f>""</f>
        <v/>
      </c>
      <c r="DA315" t="str">
        <f>""</f>
        <v/>
      </c>
      <c r="DB315" t="str">
        <f>""</f>
        <v/>
      </c>
      <c r="DC315" t="str">
        <f>""</f>
        <v/>
      </c>
      <c r="DD315" t="str">
        <f>""</f>
        <v/>
      </c>
      <c r="DE315" t="str">
        <f>""</f>
        <v/>
      </c>
      <c r="DF315" t="str">
        <f>""</f>
        <v/>
      </c>
      <c r="DG315" t="str">
        <f>""</f>
        <v/>
      </c>
      <c r="DH315" t="str">
        <f>""</f>
        <v/>
      </c>
      <c r="DI315" t="str">
        <f>""</f>
        <v/>
      </c>
      <c r="DJ315" t="str">
        <f>""</f>
        <v/>
      </c>
      <c r="DK315" t="str">
        <f>""</f>
        <v/>
      </c>
      <c r="DL315" t="str">
        <f>""</f>
        <v/>
      </c>
      <c r="DM315" t="str">
        <f>""</f>
        <v/>
      </c>
      <c r="DN315" t="str">
        <f>""</f>
        <v/>
      </c>
      <c r="DO315" t="str">
        <f>""</f>
        <v/>
      </c>
      <c r="DP315" t="str">
        <f>""</f>
        <v/>
      </c>
      <c r="DQ315" t="str">
        <f>""</f>
        <v/>
      </c>
      <c r="DR315" t="str">
        <f>""</f>
        <v/>
      </c>
      <c r="DS315" t="str">
        <f>""</f>
        <v/>
      </c>
      <c r="DT315" t="str">
        <f>""</f>
        <v/>
      </c>
      <c r="DU315" t="str">
        <f>""</f>
        <v/>
      </c>
    </row>
    <row r="316" spans="1:125">
      <c r="A316" t="str">
        <f>$A$104</f>
        <v xml:space="preserve">    American Campus Communities In</v>
      </c>
      <c r="B316" t="str">
        <f>$B$104</f>
        <v>ACC US Equity</v>
      </c>
      <c r="C316" t="str">
        <f>$C$104</f>
        <v>RR551</v>
      </c>
      <c r="D316" t="str">
        <f>$D$104</f>
        <v>NOI_GROWTH</v>
      </c>
      <c r="E316" t="str">
        <f>$E$104</f>
        <v>动态</v>
      </c>
      <c r="F316" t="str">
        <f ca="1">BDH($B$104,$C$104,$B$224,$B$225,CONCATENATE("Per=",$B$222),"Dts=H","Dir=H",CONCATENATE("Points=",$B$223),"Sort=R","Days=A","Fill=B",CONCATENATE("FX=", $B$221) )</f>
        <v>#N/A Authorization</v>
      </c>
      <c r="BN316" t="str">
        <f>""</f>
        <v/>
      </c>
      <c r="BO316" t="str">
        <f>""</f>
        <v/>
      </c>
      <c r="BP316" t="str">
        <f>""</f>
        <v/>
      </c>
      <c r="BQ316" t="str">
        <f>""</f>
        <v/>
      </c>
      <c r="BR316" t="str">
        <f>""</f>
        <v/>
      </c>
      <c r="BS316" t="str">
        <f>""</f>
        <v/>
      </c>
      <c r="BT316" t="str">
        <f>""</f>
        <v/>
      </c>
      <c r="BU316" t="str">
        <f>""</f>
        <v/>
      </c>
      <c r="BV316" t="str">
        <f>""</f>
        <v/>
      </c>
      <c r="BW316" t="str">
        <f>""</f>
        <v/>
      </c>
      <c r="BX316" t="str">
        <f>""</f>
        <v/>
      </c>
      <c r="BY316" t="str">
        <f>""</f>
        <v/>
      </c>
      <c r="BZ316" t="str">
        <f>""</f>
        <v/>
      </c>
      <c r="CA316" t="str">
        <f>""</f>
        <v/>
      </c>
      <c r="CB316" t="str">
        <f>""</f>
        <v/>
      </c>
      <c r="CC316" t="str">
        <f>""</f>
        <v/>
      </c>
      <c r="CD316" t="str">
        <f>""</f>
        <v/>
      </c>
      <c r="CE316" t="str">
        <f>""</f>
        <v/>
      </c>
      <c r="CF316" t="str">
        <f>""</f>
        <v/>
      </c>
      <c r="CG316" t="str">
        <f>""</f>
        <v/>
      </c>
      <c r="CH316" t="str">
        <f>""</f>
        <v/>
      </c>
      <c r="CI316" t="str">
        <f>""</f>
        <v/>
      </c>
      <c r="CJ316" t="str">
        <f>""</f>
        <v/>
      </c>
      <c r="CK316" t="str">
        <f>""</f>
        <v/>
      </c>
      <c r="CL316" t="str">
        <f>""</f>
        <v/>
      </c>
      <c r="CM316" t="str">
        <f>""</f>
        <v/>
      </c>
      <c r="CN316" t="str">
        <f>""</f>
        <v/>
      </c>
      <c r="CO316" t="str">
        <f>""</f>
        <v/>
      </c>
      <c r="CP316" t="str">
        <f>""</f>
        <v/>
      </c>
      <c r="CQ316" t="str">
        <f>""</f>
        <v/>
      </c>
      <c r="CR316" t="str">
        <f>""</f>
        <v/>
      </c>
      <c r="CS316" t="str">
        <f>""</f>
        <v/>
      </c>
      <c r="CT316" t="str">
        <f>""</f>
        <v/>
      </c>
      <c r="CU316" t="str">
        <f>""</f>
        <v/>
      </c>
      <c r="CV316" t="str">
        <f>""</f>
        <v/>
      </c>
      <c r="CW316" t="str">
        <f>""</f>
        <v/>
      </c>
      <c r="CX316" t="str">
        <f>""</f>
        <v/>
      </c>
      <c r="CY316" t="str">
        <f>""</f>
        <v/>
      </c>
      <c r="CZ316" t="str">
        <f>""</f>
        <v/>
      </c>
      <c r="DA316" t="str">
        <f>""</f>
        <v/>
      </c>
      <c r="DB316" t="str">
        <f>""</f>
        <v/>
      </c>
      <c r="DC316" t="str">
        <f>""</f>
        <v/>
      </c>
      <c r="DD316" t="str">
        <f>""</f>
        <v/>
      </c>
      <c r="DE316" t="str">
        <f>""</f>
        <v/>
      </c>
      <c r="DF316" t="str">
        <f>""</f>
        <v/>
      </c>
      <c r="DG316" t="str">
        <f>""</f>
        <v/>
      </c>
      <c r="DH316" t="str">
        <f>""</f>
        <v/>
      </c>
      <c r="DI316" t="str">
        <f>""</f>
        <v/>
      </c>
      <c r="DJ316" t="str">
        <f>""</f>
        <v/>
      </c>
      <c r="DK316" t="str">
        <f>""</f>
        <v/>
      </c>
      <c r="DL316" t="str">
        <f>""</f>
        <v/>
      </c>
      <c r="DM316" t="str">
        <f>""</f>
        <v/>
      </c>
      <c r="DN316" t="str">
        <f>""</f>
        <v/>
      </c>
      <c r="DO316" t="str">
        <f>""</f>
        <v/>
      </c>
      <c r="DP316" t="str">
        <f>""</f>
        <v/>
      </c>
      <c r="DQ316" t="str">
        <f>""</f>
        <v/>
      </c>
      <c r="DR316" t="str">
        <f>""</f>
        <v/>
      </c>
      <c r="DS316" t="str">
        <f>""</f>
        <v/>
      </c>
      <c r="DT316" t="str">
        <f>""</f>
        <v/>
      </c>
      <c r="DU316" t="str">
        <f>""</f>
        <v/>
      </c>
    </row>
    <row r="317" spans="1:125">
      <c r="A317" t="str">
        <f>$A$105</f>
        <v xml:space="preserve">    AvalonBay Communities Inc</v>
      </c>
      <c r="B317" t="str">
        <f>$B$105</f>
        <v>AVB US Equity</v>
      </c>
      <c r="C317" t="str">
        <f>$C$105</f>
        <v>RR551</v>
      </c>
      <c r="D317" t="str">
        <f>$D$105</f>
        <v>NOI_GROWTH</v>
      </c>
      <c r="E317" t="str">
        <f>$E$105</f>
        <v>动态</v>
      </c>
      <c r="F317" t="str">
        <f ca="1">BDH($B$105,$C$105,$B$224,$B$225,CONCATENATE("Per=",$B$222),"Dts=H","Dir=H",CONCATENATE("Points=",$B$223),"Sort=R","Days=A","Fill=B",CONCATENATE("FX=", $B$221) )</f>
        <v>#N/A Authorization</v>
      </c>
      <c r="BN317" t="str">
        <f>""</f>
        <v/>
      </c>
      <c r="BO317" t="str">
        <f>""</f>
        <v/>
      </c>
      <c r="BP317" t="str">
        <f>""</f>
        <v/>
      </c>
      <c r="BQ317" t="str">
        <f>""</f>
        <v/>
      </c>
      <c r="BR317" t="str">
        <f>""</f>
        <v/>
      </c>
      <c r="BS317" t="str">
        <f>""</f>
        <v/>
      </c>
      <c r="BT317" t="str">
        <f>""</f>
        <v/>
      </c>
      <c r="BU317" t="str">
        <f>""</f>
        <v/>
      </c>
      <c r="BV317" t="str">
        <f>""</f>
        <v/>
      </c>
      <c r="BW317" t="str">
        <f>""</f>
        <v/>
      </c>
      <c r="BX317" t="str">
        <f>""</f>
        <v/>
      </c>
      <c r="BY317" t="str">
        <f>""</f>
        <v/>
      </c>
      <c r="BZ317" t="str">
        <f>""</f>
        <v/>
      </c>
      <c r="CA317" t="str">
        <f>""</f>
        <v/>
      </c>
      <c r="CB317" t="str">
        <f>""</f>
        <v/>
      </c>
      <c r="CC317" t="str">
        <f>""</f>
        <v/>
      </c>
      <c r="CD317" t="str">
        <f>""</f>
        <v/>
      </c>
      <c r="CE317" t="str">
        <f>""</f>
        <v/>
      </c>
      <c r="CF317" t="str">
        <f>""</f>
        <v/>
      </c>
      <c r="CG317" t="str">
        <f>""</f>
        <v/>
      </c>
      <c r="CH317" t="str">
        <f>""</f>
        <v/>
      </c>
      <c r="CI317" t="str">
        <f>""</f>
        <v/>
      </c>
      <c r="CJ317" t="str">
        <f>""</f>
        <v/>
      </c>
      <c r="CK317" t="str">
        <f>""</f>
        <v/>
      </c>
      <c r="CL317" t="str">
        <f>""</f>
        <v/>
      </c>
      <c r="CM317" t="str">
        <f>""</f>
        <v/>
      </c>
      <c r="CN317" t="str">
        <f>""</f>
        <v/>
      </c>
      <c r="CO317" t="str">
        <f>""</f>
        <v/>
      </c>
      <c r="CP317" t="str">
        <f>""</f>
        <v/>
      </c>
      <c r="CQ317" t="str">
        <f>""</f>
        <v/>
      </c>
      <c r="CR317" t="str">
        <f>""</f>
        <v/>
      </c>
      <c r="CS317" t="str">
        <f>""</f>
        <v/>
      </c>
      <c r="CT317" t="str">
        <f>""</f>
        <v/>
      </c>
      <c r="CU317" t="str">
        <f>""</f>
        <v/>
      </c>
      <c r="CV317" t="str">
        <f>""</f>
        <v/>
      </c>
      <c r="CW317" t="str">
        <f>""</f>
        <v/>
      </c>
      <c r="CX317" t="str">
        <f>""</f>
        <v/>
      </c>
      <c r="CY317" t="str">
        <f>""</f>
        <v/>
      </c>
      <c r="CZ317" t="str">
        <f>""</f>
        <v/>
      </c>
      <c r="DA317" t="str">
        <f>""</f>
        <v/>
      </c>
      <c r="DB317" t="str">
        <f>""</f>
        <v/>
      </c>
      <c r="DC317" t="str">
        <f>""</f>
        <v/>
      </c>
      <c r="DD317" t="str">
        <f>""</f>
        <v/>
      </c>
      <c r="DE317" t="str">
        <f>""</f>
        <v/>
      </c>
      <c r="DF317" t="str">
        <f>""</f>
        <v/>
      </c>
      <c r="DG317" t="str">
        <f>""</f>
        <v/>
      </c>
      <c r="DH317" t="str">
        <f>""</f>
        <v/>
      </c>
      <c r="DI317" t="str">
        <f>""</f>
        <v/>
      </c>
      <c r="DJ317" t="str">
        <f>""</f>
        <v/>
      </c>
      <c r="DK317" t="str">
        <f>""</f>
        <v/>
      </c>
      <c r="DL317" t="str">
        <f>""</f>
        <v/>
      </c>
      <c r="DM317" t="str">
        <f>""</f>
        <v/>
      </c>
      <c r="DN317" t="str">
        <f>""</f>
        <v/>
      </c>
      <c r="DO317" t="str">
        <f>""</f>
        <v/>
      </c>
      <c r="DP317" t="str">
        <f>""</f>
        <v/>
      </c>
      <c r="DQ317" t="str">
        <f>""</f>
        <v/>
      </c>
      <c r="DR317" t="str">
        <f>""</f>
        <v/>
      </c>
      <c r="DS317" t="str">
        <f>""</f>
        <v/>
      </c>
      <c r="DT317" t="str">
        <f>""</f>
        <v/>
      </c>
      <c r="DU317" t="str">
        <f>""</f>
        <v/>
      </c>
    </row>
    <row r="318" spans="1:125">
      <c r="A318" t="str">
        <f>$A$106</f>
        <v xml:space="preserve">    Camden Property Trust</v>
      </c>
      <c r="B318" t="str">
        <f>$B$106</f>
        <v>CPT US Equity</v>
      </c>
      <c r="C318" t="str">
        <f>$C$106</f>
        <v>RR551</v>
      </c>
      <c r="D318" t="str">
        <f>$D$106</f>
        <v>NOI_GROWTH</v>
      </c>
      <c r="E318" t="str">
        <f>$E$106</f>
        <v>动态</v>
      </c>
      <c r="F318" t="str">
        <f ca="1">BDH($B$106,$C$106,$B$224,$B$225,CONCATENATE("Per=",$B$222),"Dts=H","Dir=H",CONCATENATE("Points=",$B$223),"Sort=R","Days=A","Fill=B",CONCATENATE("FX=", $B$221) )</f>
        <v>#N/A Authorization</v>
      </c>
      <c r="BN318" t="str">
        <f>""</f>
        <v/>
      </c>
      <c r="BO318" t="str">
        <f>""</f>
        <v/>
      </c>
      <c r="BP318" t="str">
        <f>""</f>
        <v/>
      </c>
      <c r="BQ318" t="str">
        <f>""</f>
        <v/>
      </c>
      <c r="BR318" t="str">
        <f>""</f>
        <v/>
      </c>
      <c r="BS318" t="str">
        <f>""</f>
        <v/>
      </c>
      <c r="BT318" t="str">
        <f>""</f>
        <v/>
      </c>
      <c r="BU318" t="str">
        <f>""</f>
        <v/>
      </c>
      <c r="BV318" t="str">
        <f>""</f>
        <v/>
      </c>
      <c r="BW318" t="str">
        <f>""</f>
        <v/>
      </c>
      <c r="BX318" t="str">
        <f>""</f>
        <v/>
      </c>
      <c r="BY318" t="str">
        <f>""</f>
        <v/>
      </c>
      <c r="BZ318" t="str">
        <f>""</f>
        <v/>
      </c>
      <c r="CA318" t="str">
        <f>""</f>
        <v/>
      </c>
      <c r="CB318" t="str">
        <f>""</f>
        <v/>
      </c>
      <c r="CC318" t="str">
        <f>""</f>
        <v/>
      </c>
      <c r="CD318" t="str">
        <f>""</f>
        <v/>
      </c>
      <c r="CE318" t="str">
        <f>""</f>
        <v/>
      </c>
      <c r="CF318" t="str">
        <f>""</f>
        <v/>
      </c>
      <c r="CG318" t="str">
        <f>""</f>
        <v/>
      </c>
      <c r="CH318" t="str">
        <f>""</f>
        <v/>
      </c>
      <c r="CI318" t="str">
        <f>""</f>
        <v/>
      </c>
      <c r="CJ318" t="str">
        <f>""</f>
        <v/>
      </c>
      <c r="CK318" t="str">
        <f>""</f>
        <v/>
      </c>
      <c r="CL318" t="str">
        <f>""</f>
        <v/>
      </c>
      <c r="CM318" t="str">
        <f>""</f>
        <v/>
      </c>
      <c r="CN318" t="str">
        <f>""</f>
        <v/>
      </c>
      <c r="CO318" t="str">
        <f>""</f>
        <v/>
      </c>
      <c r="CP318" t="str">
        <f>""</f>
        <v/>
      </c>
      <c r="CQ318" t="str">
        <f>""</f>
        <v/>
      </c>
      <c r="CR318" t="str">
        <f>""</f>
        <v/>
      </c>
      <c r="CS318" t="str">
        <f>""</f>
        <v/>
      </c>
      <c r="CT318" t="str">
        <f>""</f>
        <v/>
      </c>
      <c r="CU318" t="str">
        <f>""</f>
        <v/>
      </c>
      <c r="CV318" t="str">
        <f>""</f>
        <v/>
      </c>
      <c r="CW318" t="str">
        <f>""</f>
        <v/>
      </c>
      <c r="CX318" t="str">
        <f>""</f>
        <v/>
      </c>
      <c r="CY318" t="str">
        <f>""</f>
        <v/>
      </c>
      <c r="CZ318" t="str">
        <f>""</f>
        <v/>
      </c>
      <c r="DA318" t="str">
        <f>""</f>
        <v/>
      </c>
      <c r="DB318" t="str">
        <f>""</f>
        <v/>
      </c>
      <c r="DC318" t="str">
        <f>""</f>
        <v/>
      </c>
      <c r="DD318" t="str">
        <f>""</f>
        <v/>
      </c>
      <c r="DE318" t="str">
        <f>""</f>
        <v/>
      </c>
      <c r="DF318" t="str">
        <f>""</f>
        <v/>
      </c>
      <c r="DG318" t="str">
        <f>""</f>
        <v/>
      </c>
      <c r="DH318" t="str">
        <f>""</f>
        <v/>
      </c>
      <c r="DI318" t="str">
        <f>""</f>
        <v/>
      </c>
      <c r="DJ318" t="str">
        <f>""</f>
        <v/>
      </c>
      <c r="DK318" t="str">
        <f>""</f>
        <v/>
      </c>
      <c r="DL318" t="str">
        <f>""</f>
        <v/>
      </c>
      <c r="DM318" t="str">
        <f>""</f>
        <v/>
      </c>
      <c r="DN318" t="str">
        <f>""</f>
        <v/>
      </c>
      <c r="DO318" t="str">
        <f>""</f>
        <v/>
      </c>
      <c r="DP318" t="str">
        <f>""</f>
        <v/>
      </c>
      <c r="DQ318" t="str">
        <f>""</f>
        <v/>
      </c>
      <c r="DR318" t="str">
        <f>""</f>
        <v/>
      </c>
      <c r="DS318" t="str">
        <f>""</f>
        <v/>
      </c>
      <c r="DT318" t="str">
        <f>""</f>
        <v/>
      </c>
      <c r="DU318" t="str">
        <f>""</f>
        <v/>
      </c>
    </row>
    <row r="319" spans="1:125">
      <c r="A319" t="str">
        <f>$A$107</f>
        <v xml:space="preserve">    Education Realty Trust Inc</v>
      </c>
      <c r="B319" t="str">
        <f>$B$107</f>
        <v>EDR US Equity</v>
      </c>
      <c r="C319" t="str">
        <f>$C$107</f>
        <v>RR551</v>
      </c>
      <c r="D319" t="str">
        <f>$D$107</f>
        <v>NOI_GROWTH</v>
      </c>
      <c r="E319" t="str">
        <f>$E$107</f>
        <v>动态</v>
      </c>
      <c r="F319" t="str">
        <f ca="1">BDH($B$107,$C$107,$B$224,$B$225,CONCATENATE("Per=",$B$222),"Dts=H","Dir=H",CONCATENATE("Points=",$B$223),"Sort=R","Days=A","Fill=B",CONCATENATE("FX=", $B$221) )</f>
        <v>#N/A Authorization</v>
      </c>
      <c r="BN319" t="str">
        <f>""</f>
        <v/>
      </c>
      <c r="BO319" t="str">
        <f>""</f>
        <v/>
      </c>
      <c r="BP319" t="str">
        <f>""</f>
        <v/>
      </c>
      <c r="BQ319" t="str">
        <f>""</f>
        <v/>
      </c>
      <c r="BR319" t="str">
        <f>""</f>
        <v/>
      </c>
      <c r="BS319" t="str">
        <f>""</f>
        <v/>
      </c>
      <c r="BT319" t="str">
        <f>""</f>
        <v/>
      </c>
      <c r="BU319" t="str">
        <f>""</f>
        <v/>
      </c>
      <c r="BV319" t="str">
        <f>""</f>
        <v/>
      </c>
      <c r="BW319" t="str">
        <f>""</f>
        <v/>
      </c>
      <c r="BX319" t="str">
        <f>""</f>
        <v/>
      </c>
      <c r="BY319" t="str">
        <f>""</f>
        <v/>
      </c>
      <c r="BZ319" t="str">
        <f>""</f>
        <v/>
      </c>
      <c r="CA319" t="str">
        <f>""</f>
        <v/>
      </c>
      <c r="CB319" t="str">
        <f>""</f>
        <v/>
      </c>
      <c r="CC319" t="str">
        <f>""</f>
        <v/>
      </c>
      <c r="CD319" t="str">
        <f>""</f>
        <v/>
      </c>
      <c r="CE319" t="str">
        <f>""</f>
        <v/>
      </c>
      <c r="CF319" t="str">
        <f>""</f>
        <v/>
      </c>
      <c r="CG319" t="str">
        <f>""</f>
        <v/>
      </c>
      <c r="CH319" t="str">
        <f>""</f>
        <v/>
      </c>
      <c r="CI319" t="str">
        <f>""</f>
        <v/>
      </c>
      <c r="CJ319" t="str">
        <f>""</f>
        <v/>
      </c>
      <c r="CK319" t="str">
        <f>""</f>
        <v/>
      </c>
      <c r="CL319" t="str">
        <f>""</f>
        <v/>
      </c>
      <c r="CM319" t="str">
        <f>""</f>
        <v/>
      </c>
      <c r="CN319" t="str">
        <f>""</f>
        <v/>
      </c>
      <c r="CO319" t="str">
        <f>""</f>
        <v/>
      </c>
      <c r="CP319" t="str">
        <f>""</f>
        <v/>
      </c>
      <c r="CQ319" t="str">
        <f>""</f>
        <v/>
      </c>
      <c r="CR319" t="str">
        <f>""</f>
        <v/>
      </c>
      <c r="CS319" t="str">
        <f>""</f>
        <v/>
      </c>
      <c r="CT319" t="str">
        <f>""</f>
        <v/>
      </c>
      <c r="CU319" t="str">
        <f>""</f>
        <v/>
      </c>
      <c r="CV319" t="str">
        <f>""</f>
        <v/>
      </c>
      <c r="CW319" t="str">
        <f>""</f>
        <v/>
      </c>
      <c r="CX319" t="str">
        <f>""</f>
        <v/>
      </c>
      <c r="CY319" t="str">
        <f>""</f>
        <v/>
      </c>
      <c r="CZ319" t="str">
        <f>""</f>
        <v/>
      </c>
      <c r="DA319" t="str">
        <f>""</f>
        <v/>
      </c>
      <c r="DB319" t="str">
        <f>""</f>
        <v/>
      </c>
      <c r="DC319" t="str">
        <f>""</f>
        <v/>
      </c>
      <c r="DD319" t="str">
        <f>""</f>
        <v/>
      </c>
      <c r="DE319" t="str">
        <f>""</f>
        <v/>
      </c>
      <c r="DF319" t="str">
        <f>""</f>
        <v/>
      </c>
      <c r="DG319" t="str">
        <f>""</f>
        <v/>
      </c>
      <c r="DH319" t="str">
        <f>""</f>
        <v/>
      </c>
      <c r="DI319" t="str">
        <f>""</f>
        <v/>
      </c>
      <c r="DJ319" t="str">
        <f>""</f>
        <v/>
      </c>
      <c r="DK319" t="str">
        <f>""</f>
        <v/>
      </c>
      <c r="DL319" t="str">
        <f>""</f>
        <v/>
      </c>
      <c r="DM319" t="str">
        <f>""</f>
        <v/>
      </c>
      <c r="DN319" t="str">
        <f>""</f>
        <v/>
      </c>
      <c r="DO319" t="str">
        <f>""</f>
        <v/>
      </c>
      <c r="DP319" t="str">
        <f>""</f>
        <v/>
      </c>
      <c r="DQ319" t="str">
        <f>""</f>
        <v/>
      </c>
      <c r="DR319" t="str">
        <f>""</f>
        <v/>
      </c>
      <c r="DS319" t="str">
        <f>""</f>
        <v/>
      </c>
      <c r="DT319" t="str">
        <f>""</f>
        <v/>
      </c>
      <c r="DU319" t="str">
        <f>""</f>
        <v/>
      </c>
    </row>
    <row r="320" spans="1:125">
      <c r="A320" t="str">
        <f>$A$108</f>
        <v xml:space="preserve">    Equity Residential</v>
      </c>
      <c r="B320" t="str">
        <f>$B$108</f>
        <v>EQR US Equity</v>
      </c>
      <c r="C320" t="str">
        <f>$C$108</f>
        <v>RR551</v>
      </c>
      <c r="D320" t="str">
        <f>$D$108</f>
        <v>NOI_GROWTH</v>
      </c>
      <c r="E320" t="str">
        <f>$E$108</f>
        <v>动态</v>
      </c>
      <c r="F320" t="str">
        <f ca="1">BDH($B$108,$C$108,$B$224,$B$225,CONCATENATE("Per=",$B$222),"Dts=H","Dir=H",CONCATENATE("Points=",$B$223),"Sort=R","Days=A","Fill=B",CONCATENATE("FX=", $B$221) )</f>
        <v>#N/A Authorization</v>
      </c>
      <c r="BN320" t="str">
        <f>""</f>
        <v/>
      </c>
      <c r="BO320" t="str">
        <f>""</f>
        <v/>
      </c>
      <c r="BP320" t="str">
        <f>""</f>
        <v/>
      </c>
      <c r="BQ320" t="str">
        <f>""</f>
        <v/>
      </c>
      <c r="BR320" t="str">
        <f>""</f>
        <v/>
      </c>
      <c r="BS320" t="str">
        <f>""</f>
        <v/>
      </c>
      <c r="BT320" t="str">
        <f>""</f>
        <v/>
      </c>
      <c r="BU320" t="str">
        <f>""</f>
        <v/>
      </c>
      <c r="BV320" t="str">
        <f>""</f>
        <v/>
      </c>
      <c r="BW320" t="str">
        <f>""</f>
        <v/>
      </c>
      <c r="BX320" t="str">
        <f>""</f>
        <v/>
      </c>
      <c r="BY320" t="str">
        <f>""</f>
        <v/>
      </c>
      <c r="BZ320" t="str">
        <f>""</f>
        <v/>
      </c>
      <c r="CA320" t="str">
        <f>""</f>
        <v/>
      </c>
      <c r="CB320" t="str">
        <f>""</f>
        <v/>
      </c>
      <c r="CC320" t="str">
        <f>""</f>
        <v/>
      </c>
      <c r="CD320" t="str">
        <f>""</f>
        <v/>
      </c>
      <c r="CE320" t="str">
        <f>""</f>
        <v/>
      </c>
      <c r="CF320" t="str">
        <f>""</f>
        <v/>
      </c>
      <c r="CG320" t="str">
        <f>""</f>
        <v/>
      </c>
      <c r="CH320" t="str">
        <f>""</f>
        <v/>
      </c>
      <c r="CI320" t="str">
        <f>""</f>
        <v/>
      </c>
      <c r="CJ320" t="str">
        <f>""</f>
        <v/>
      </c>
      <c r="CK320" t="str">
        <f>""</f>
        <v/>
      </c>
      <c r="CL320" t="str">
        <f>""</f>
        <v/>
      </c>
      <c r="CM320" t="str">
        <f>""</f>
        <v/>
      </c>
      <c r="CN320" t="str">
        <f>""</f>
        <v/>
      </c>
      <c r="CO320" t="str">
        <f>""</f>
        <v/>
      </c>
      <c r="CP320" t="str">
        <f>""</f>
        <v/>
      </c>
      <c r="CQ320" t="str">
        <f>""</f>
        <v/>
      </c>
      <c r="CR320" t="str">
        <f>""</f>
        <v/>
      </c>
      <c r="CS320" t="str">
        <f>""</f>
        <v/>
      </c>
      <c r="CT320" t="str">
        <f>""</f>
        <v/>
      </c>
      <c r="CU320" t="str">
        <f>""</f>
        <v/>
      </c>
      <c r="CV320" t="str">
        <f>""</f>
        <v/>
      </c>
      <c r="CW320" t="str">
        <f>""</f>
        <v/>
      </c>
      <c r="CX320" t="str">
        <f>""</f>
        <v/>
      </c>
      <c r="CY320" t="str">
        <f>""</f>
        <v/>
      </c>
      <c r="CZ320" t="str">
        <f>""</f>
        <v/>
      </c>
      <c r="DA320" t="str">
        <f>""</f>
        <v/>
      </c>
      <c r="DB320" t="str">
        <f>""</f>
        <v/>
      </c>
      <c r="DC320" t="str">
        <f>""</f>
        <v/>
      </c>
      <c r="DD320" t="str">
        <f>""</f>
        <v/>
      </c>
      <c r="DE320" t="str">
        <f>""</f>
        <v/>
      </c>
      <c r="DF320" t="str">
        <f>""</f>
        <v/>
      </c>
      <c r="DG320" t="str">
        <f>""</f>
        <v/>
      </c>
      <c r="DH320" t="str">
        <f>""</f>
        <v/>
      </c>
      <c r="DI320" t="str">
        <f>""</f>
        <v/>
      </c>
      <c r="DJ320" t="str">
        <f>""</f>
        <v/>
      </c>
      <c r="DK320" t="str">
        <f>""</f>
        <v/>
      </c>
      <c r="DL320" t="str">
        <f>""</f>
        <v/>
      </c>
      <c r="DM320" t="str">
        <f>""</f>
        <v/>
      </c>
      <c r="DN320" t="str">
        <f>""</f>
        <v/>
      </c>
      <c r="DO320" t="str">
        <f>""</f>
        <v/>
      </c>
      <c r="DP320" t="str">
        <f>""</f>
        <v/>
      </c>
      <c r="DQ320" t="str">
        <f>""</f>
        <v/>
      </c>
      <c r="DR320" t="str">
        <f>""</f>
        <v/>
      </c>
      <c r="DS320" t="str">
        <f>""</f>
        <v/>
      </c>
      <c r="DT320" t="str">
        <f>""</f>
        <v/>
      </c>
      <c r="DU320" t="str">
        <f>""</f>
        <v/>
      </c>
    </row>
    <row r="321" spans="1:125">
      <c r="A321" t="str">
        <f>$A$109</f>
        <v xml:space="preserve">    Essex Property Trust Inc</v>
      </c>
      <c r="B321" t="str">
        <f>$B$109</f>
        <v>ESS US Equity</v>
      </c>
      <c r="C321" t="str">
        <f>$C$109</f>
        <v>RR551</v>
      </c>
      <c r="D321" t="str">
        <f>$D$109</f>
        <v>NOI_GROWTH</v>
      </c>
      <c r="E321" t="str">
        <f>$E$109</f>
        <v>动态</v>
      </c>
      <c r="F321" t="str">
        <f ca="1">BDH($B$109,$C$109,$B$224,$B$225,CONCATENATE("Per=",$B$222),"Dts=H","Dir=H",CONCATENATE("Points=",$B$223),"Sort=R","Days=A","Fill=B",CONCATENATE("FX=", $B$221) )</f>
        <v>#N/A Authorization</v>
      </c>
      <c r="BN321" t="str">
        <f>""</f>
        <v/>
      </c>
      <c r="BO321" t="str">
        <f>""</f>
        <v/>
      </c>
      <c r="BP321" t="str">
        <f>""</f>
        <v/>
      </c>
      <c r="BQ321" t="str">
        <f>""</f>
        <v/>
      </c>
      <c r="BR321" t="str">
        <f>""</f>
        <v/>
      </c>
      <c r="BS321" t="str">
        <f>""</f>
        <v/>
      </c>
      <c r="BT321" t="str">
        <f>""</f>
        <v/>
      </c>
      <c r="BU321" t="str">
        <f>""</f>
        <v/>
      </c>
      <c r="BV321" t="str">
        <f>""</f>
        <v/>
      </c>
      <c r="BW321" t="str">
        <f>""</f>
        <v/>
      </c>
      <c r="BX321" t="str">
        <f>""</f>
        <v/>
      </c>
      <c r="BY321" t="str">
        <f>""</f>
        <v/>
      </c>
      <c r="BZ321" t="str">
        <f>""</f>
        <v/>
      </c>
      <c r="CA321" t="str">
        <f>""</f>
        <v/>
      </c>
      <c r="CB321" t="str">
        <f>""</f>
        <v/>
      </c>
      <c r="CC321" t="str">
        <f>""</f>
        <v/>
      </c>
      <c r="CD321" t="str">
        <f>""</f>
        <v/>
      </c>
      <c r="CE321" t="str">
        <f>""</f>
        <v/>
      </c>
      <c r="CF321" t="str">
        <f>""</f>
        <v/>
      </c>
      <c r="CG321" t="str">
        <f>""</f>
        <v/>
      </c>
      <c r="CH321" t="str">
        <f>""</f>
        <v/>
      </c>
      <c r="CI321" t="str">
        <f>""</f>
        <v/>
      </c>
      <c r="CJ321" t="str">
        <f>""</f>
        <v/>
      </c>
      <c r="CK321" t="str">
        <f>""</f>
        <v/>
      </c>
      <c r="CL321" t="str">
        <f>""</f>
        <v/>
      </c>
      <c r="CM321" t="str">
        <f>""</f>
        <v/>
      </c>
      <c r="CN321" t="str">
        <f>""</f>
        <v/>
      </c>
      <c r="CO321" t="str">
        <f>""</f>
        <v/>
      </c>
      <c r="CP321" t="str">
        <f>""</f>
        <v/>
      </c>
      <c r="CQ321" t="str">
        <f>""</f>
        <v/>
      </c>
      <c r="CR321" t="str">
        <f>""</f>
        <v/>
      </c>
      <c r="CS321" t="str">
        <f>""</f>
        <v/>
      </c>
      <c r="CT321" t="str">
        <f>""</f>
        <v/>
      </c>
      <c r="CU321" t="str">
        <f>""</f>
        <v/>
      </c>
      <c r="CV321" t="str">
        <f>""</f>
        <v/>
      </c>
      <c r="CW321" t="str">
        <f>""</f>
        <v/>
      </c>
      <c r="CX321" t="str">
        <f>""</f>
        <v/>
      </c>
      <c r="CY321" t="str">
        <f>""</f>
        <v/>
      </c>
      <c r="CZ321" t="str">
        <f>""</f>
        <v/>
      </c>
      <c r="DA321" t="str">
        <f>""</f>
        <v/>
      </c>
      <c r="DB321" t="str">
        <f>""</f>
        <v/>
      </c>
      <c r="DC321" t="str">
        <f>""</f>
        <v/>
      </c>
      <c r="DD321" t="str">
        <f>""</f>
        <v/>
      </c>
      <c r="DE321" t="str">
        <f>""</f>
        <v/>
      </c>
      <c r="DF321" t="str">
        <f>""</f>
        <v/>
      </c>
      <c r="DG321" t="str">
        <f>""</f>
        <v/>
      </c>
      <c r="DH321" t="str">
        <f>""</f>
        <v/>
      </c>
      <c r="DI321" t="str">
        <f>""</f>
        <v/>
      </c>
      <c r="DJ321" t="str">
        <f>""</f>
        <v/>
      </c>
      <c r="DK321" t="str">
        <f>""</f>
        <v/>
      </c>
      <c r="DL321" t="str">
        <f>""</f>
        <v/>
      </c>
      <c r="DM321" t="str">
        <f>""</f>
        <v/>
      </c>
      <c r="DN321" t="str">
        <f>""</f>
        <v/>
      </c>
      <c r="DO321" t="str">
        <f>""</f>
        <v/>
      </c>
      <c r="DP321" t="str">
        <f>""</f>
        <v/>
      </c>
      <c r="DQ321" t="str">
        <f>""</f>
        <v/>
      </c>
      <c r="DR321" t="str">
        <f>""</f>
        <v/>
      </c>
      <c r="DS321" t="str">
        <f>""</f>
        <v/>
      </c>
      <c r="DT321" t="str">
        <f>""</f>
        <v/>
      </c>
      <c r="DU321" t="str">
        <f>""</f>
        <v/>
      </c>
    </row>
    <row r="322" spans="1:125">
      <c r="A322" t="str">
        <f>$A$110</f>
        <v xml:space="preserve">    Mid-America Apartment Communit</v>
      </c>
      <c r="B322" t="str">
        <f>$B$110</f>
        <v>MAA US Equity</v>
      </c>
      <c r="C322" t="str">
        <f>$C$110</f>
        <v>RR551</v>
      </c>
      <c r="D322" t="str">
        <f>$D$110</f>
        <v>NOI_GROWTH</v>
      </c>
      <c r="E322" t="str">
        <f>$E$110</f>
        <v>动态</v>
      </c>
      <c r="F322" t="str">
        <f ca="1">BDH($B$110,$C$110,$B$224,$B$225,CONCATENATE("Per=",$B$222),"Dts=H","Dir=H",CONCATENATE("Points=",$B$223),"Sort=R","Days=A","Fill=B",CONCATENATE("FX=", $B$221) )</f>
        <v>#N/A Authorization</v>
      </c>
      <c r="BN322" t="str">
        <f>""</f>
        <v/>
      </c>
      <c r="BO322" t="str">
        <f>""</f>
        <v/>
      </c>
      <c r="BP322" t="str">
        <f>""</f>
        <v/>
      </c>
      <c r="BQ322" t="str">
        <f>""</f>
        <v/>
      </c>
      <c r="BR322" t="str">
        <f>""</f>
        <v/>
      </c>
      <c r="BS322" t="str">
        <f>""</f>
        <v/>
      </c>
      <c r="BT322" t="str">
        <f>""</f>
        <v/>
      </c>
      <c r="BU322" t="str">
        <f>""</f>
        <v/>
      </c>
      <c r="BV322" t="str">
        <f>""</f>
        <v/>
      </c>
      <c r="BW322" t="str">
        <f>""</f>
        <v/>
      </c>
      <c r="BX322" t="str">
        <f>""</f>
        <v/>
      </c>
      <c r="BY322" t="str">
        <f>""</f>
        <v/>
      </c>
      <c r="BZ322" t="str">
        <f>""</f>
        <v/>
      </c>
      <c r="CA322" t="str">
        <f>""</f>
        <v/>
      </c>
      <c r="CB322" t="str">
        <f>""</f>
        <v/>
      </c>
      <c r="CC322" t="str">
        <f>""</f>
        <v/>
      </c>
      <c r="CD322" t="str">
        <f>""</f>
        <v/>
      </c>
      <c r="CE322" t="str">
        <f>""</f>
        <v/>
      </c>
      <c r="CF322" t="str">
        <f>""</f>
        <v/>
      </c>
      <c r="CG322" t="str">
        <f>""</f>
        <v/>
      </c>
      <c r="CH322" t="str">
        <f>""</f>
        <v/>
      </c>
      <c r="CI322" t="str">
        <f>""</f>
        <v/>
      </c>
      <c r="CJ322" t="str">
        <f>""</f>
        <v/>
      </c>
      <c r="CK322" t="str">
        <f>""</f>
        <v/>
      </c>
      <c r="CL322" t="str">
        <f>""</f>
        <v/>
      </c>
      <c r="CM322" t="str">
        <f>""</f>
        <v/>
      </c>
      <c r="CN322" t="str">
        <f>""</f>
        <v/>
      </c>
      <c r="CO322" t="str">
        <f>""</f>
        <v/>
      </c>
      <c r="CP322" t="str">
        <f>""</f>
        <v/>
      </c>
      <c r="CQ322" t="str">
        <f>""</f>
        <v/>
      </c>
      <c r="CR322" t="str">
        <f>""</f>
        <v/>
      </c>
      <c r="CS322" t="str">
        <f>""</f>
        <v/>
      </c>
      <c r="CT322" t="str">
        <f>""</f>
        <v/>
      </c>
      <c r="CU322" t="str">
        <f>""</f>
        <v/>
      </c>
      <c r="CV322" t="str">
        <f>""</f>
        <v/>
      </c>
      <c r="CW322" t="str">
        <f>""</f>
        <v/>
      </c>
      <c r="CX322" t="str">
        <f>""</f>
        <v/>
      </c>
      <c r="CY322" t="str">
        <f>""</f>
        <v/>
      </c>
      <c r="CZ322" t="str">
        <f>""</f>
        <v/>
      </c>
      <c r="DA322" t="str">
        <f>""</f>
        <v/>
      </c>
      <c r="DB322" t="str">
        <f>""</f>
        <v/>
      </c>
      <c r="DC322" t="str">
        <f>""</f>
        <v/>
      </c>
      <c r="DD322" t="str">
        <f>""</f>
        <v/>
      </c>
      <c r="DE322" t="str">
        <f>""</f>
        <v/>
      </c>
      <c r="DF322" t="str">
        <f>""</f>
        <v/>
      </c>
      <c r="DG322" t="str">
        <f>""</f>
        <v/>
      </c>
      <c r="DH322" t="str">
        <f>""</f>
        <v/>
      </c>
      <c r="DI322" t="str">
        <f>""</f>
        <v/>
      </c>
      <c r="DJ322" t="str">
        <f>""</f>
        <v/>
      </c>
      <c r="DK322" t="str">
        <f>""</f>
        <v/>
      </c>
      <c r="DL322" t="str">
        <f>""</f>
        <v/>
      </c>
      <c r="DM322" t="str">
        <f>""</f>
        <v/>
      </c>
      <c r="DN322" t="str">
        <f>""</f>
        <v/>
      </c>
      <c r="DO322" t="str">
        <f>""</f>
        <v/>
      </c>
      <c r="DP322" t="str">
        <f>""</f>
        <v/>
      </c>
      <c r="DQ322" t="str">
        <f>""</f>
        <v/>
      </c>
      <c r="DR322" t="str">
        <f>""</f>
        <v/>
      </c>
      <c r="DS322" t="str">
        <f>""</f>
        <v/>
      </c>
      <c r="DT322" t="str">
        <f>""</f>
        <v/>
      </c>
      <c r="DU322" t="str">
        <f>""</f>
        <v/>
      </c>
    </row>
    <row r="323" spans="1:125">
      <c r="A323" t="str">
        <f>$A$111</f>
        <v xml:space="preserve">    UDR Inc</v>
      </c>
      <c r="B323" t="str">
        <f>$B$111</f>
        <v>UDR US Equity</v>
      </c>
      <c r="C323" t="str">
        <f>$C$111</f>
        <v>RR551</v>
      </c>
      <c r="D323" t="str">
        <f>$D$111</f>
        <v>NOI_GROWTH</v>
      </c>
      <c r="E323" t="str">
        <f>$E$111</f>
        <v>动态</v>
      </c>
      <c r="F323" t="str">
        <f ca="1">BDH($B$111,$C$111,$B$224,$B$225,CONCATENATE("Per=",$B$222),"Dts=H","Dir=H",CONCATENATE("Points=",$B$223),"Sort=R","Days=A","Fill=B",CONCATENATE("FX=", $B$221) )</f>
        <v>#N/A Authorization</v>
      </c>
      <c r="BN323" t="str">
        <f>""</f>
        <v/>
      </c>
      <c r="BO323" t="str">
        <f>""</f>
        <v/>
      </c>
      <c r="BP323" t="str">
        <f>""</f>
        <v/>
      </c>
      <c r="BQ323" t="str">
        <f>""</f>
        <v/>
      </c>
      <c r="BR323" t="str">
        <f>""</f>
        <v/>
      </c>
      <c r="BS323" t="str">
        <f>""</f>
        <v/>
      </c>
      <c r="BT323" t="str">
        <f>""</f>
        <v/>
      </c>
      <c r="BU323" t="str">
        <f>""</f>
        <v/>
      </c>
      <c r="BV323" t="str">
        <f>""</f>
        <v/>
      </c>
      <c r="BW323" t="str">
        <f>""</f>
        <v/>
      </c>
      <c r="BX323" t="str">
        <f>""</f>
        <v/>
      </c>
      <c r="BY323" t="str">
        <f>""</f>
        <v/>
      </c>
      <c r="BZ323" t="str">
        <f>""</f>
        <v/>
      </c>
      <c r="CA323" t="str">
        <f>""</f>
        <v/>
      </c>
      <c r="CB323" t="str">
        <f>""</f>
        <v/>
      </c>
      <c r="CC323" t="str">
        <f>""</f>
        <v/>
      </c>
      <c r="CD323" t="str">
        <f>""</f>
        <v/>
      </c>
      <c r="CE323" t="str">
        <f>""</f>
        <v/>
      </c>
      <c r="CF323" t="str">
        <f>""</f>
        <v/>
      </c>
      <c r="CG323" t="str">
        <f>""</f>
        <v/>
      </c>
      <c r="CH323" t="str">
        <f>""</f>
        <v/>
      </c>
      <c r="CI323" t="str">
        <f>""</f>
        <v/>
      </c>
      <c r="CJ323" t="str">
        <f>""</f>
        <v/>
      </c>
      <c r="CK323" t="str">
        <f>""</f>
        <v/>
      </c>
      <c r="CL323" t="str">
        <f>""</f>
        <v/>
      </c>
      <c r="CM323" t="str">
        <f>""</f>
        <v/>
      </c>
      <c r="CN323" t="str">
        <f>""</f>
        <v/>
      </c>
      <c r="CO323" t="str">
        <f>""</f>
        <v/>
      </c>
      <c r="CP323" t="str">
        <f>""</f>
        <v/>
      </c>
      <c r="CQ323" t="str">
        <f>""</f>
        <v/>
      </c>
      <c r="CR323" t="str">
        <f>""</f>
        <v/>
      </c>
      <c r="CS323" t="str">
        <f>""</f>
        <v/>
      </c>
      <c r="CT323" t="str">
        <f>""</f>
        <v/>
      </c>
      <c r="CU323" t="str">
        <f>""</f>
        <v/>
      </c>
      <c r="CV323" t="str">
        <f>""</f>
        <v/>
      </c>
      <c r="CW323" t="str">
        <f>""</f>
        <v/>
      </c>
      <c r="CX323" t="str">
        <f>""</f>
        <v/>
      </c>
      <c r="CY323" t="str">
        <f>""</f>
        <v/>
      </c>
      <c r="CZ323" t="str">
        <f>""</f>
        <v/>
      </c>
      <c r="DA323" t="str">
        <f>""</f>
        <v/>
      </c>
      <c r="DB323" t="str">
        <f>""</f>
        <v/>
      </c>
      <c r="DC323" t="str">
        <f>""</f>
        <v/>
      </c>
      <c r="DD323" t="str">
        <f>""</f>
        <v/>
      </c>
      <c r="DE323" t="str">
        <f>""</f>
        <v/>
      </c>
      <c r="DF323" t="str">
        <f>""</f>
        <v/>
      </c>
      <c r="DG323" t="str">
        <f>""</f>
        <v/>
      </c>
      <c r="DH323" t="str">
        <f>""</f>
        <v/>
      </c>
      <c r="DI323" t="str">
        <f>""</f>
        <v/>
      </c>
      <c r="DJ323" t="str">
        <f>""</f>
        <v/>
      </c>
      <c r="DK323" t="str">
        <f>""</f>
        <v/>
      </c>
      <c r="DL323" t="str">
        <f>""</f>
        <v/>
      </c>
      <c r="DM323" t="str">
        <f>""</f>
        <v/>
      </c>
      <c r="DN323" t="str">
        <f>""</f>
        <v/>
      </c>
      <c r="DO323" t="str">
        <f>""</f>
        <v/>
      </c>
      <c r="DP323" t="str">
        <f>""</f>
        <v/>
      </c>
      <c r="DQ323" t="str">
        <f>""</f>
        <v/>
      </c>
      <c r="DR323" t="str">
        <f>""</f>
        <v/>
      </c>
      <c r="DS323" t="str">
        <f>""</f>
        <v/>
      </c>
      <c r="DT323" t="str">
        <f>""</f>
        <v/>
      </c>
      <c r="DU323" t="str">
        <f>""</f>
        <v/>
      </c>
    </row>
    <row r="324" spans="1:125">
      <c r="A324" t="str">
        <f>$A$113</f>
        <v xml:space="preserve">    American Campus Communities In</v>
      </c>
      <c r="B324" t="str">
        <f>$B$113</f>
        <v>ACC US Equity</v>
      </c>
      <c r="C324" t="str">
        <f>$C$113</f>
        <v>BE592</v>
      </c>
      <c r="D324" t="str">
        <f>$D$113</f>
        <v>BEST_FFOPS_YOY_GTH</v>
      </c>
      <c r="E324" t="str">
        <f>$E$113</f>
        <v>动态</v>
      </c>
      <c r="F324" t="str">
        <f ca="1">BDH($B$113,$C$113,$B$224,$B$225,CONCATENATE("Per=",$B$222),"Dts=H","Dir=H",CONCATENATE("Points=",$B$223),"Sort=R","Days=A","Fill=B","BE997=1GY",CONCATENATE("FX=", $B$221) )</f>
        <v>#N/A Authorization</v>
      </c>
      <c r="BN324" t="str">
        <f>""</f>
        <v/>
      </c>
      <c r="BO324" t="str">
        <f>""</f>
        <v/>
      </c>
      <c r="BP324" t="str">
        <f>""</f>
        <v/>
      </c>
      <c r="BQ324" t="str">
        <f>""</f>
        <v/>
      </c>
      <c r="BR324" t="str">
        <f>""</f>
        <v/>
      </c>
      <c r="BS324" t="str">
        <f>""</f>
        <v/>
      </c>
      <c r="BT324" t="str">
        <f>""</f>
        <v/>
      </c>
      <c r="BU324" t="str">
        <f>""</f>
        <v/>
      </c>
      <c r="BV324" t="str">
        <f>""</f>
        <v/>
      </c>
      <c r="BW324" t="str">
        <f>""</f>
        <v/>
      </c>
      <c r="BX324" t="str">
        <f>""</f>
        <v/>
      </c>
      <c r="BY324" t="str">
        <f>""</f>
        <v/>
      </c>
      <c r="BZ324" t="str">
        <f>""</f>
        <v/>
      </c>
      <c r="CA324" t="str">
        <f>""</f>
        <v/>
      </c>
      <c r="CB324" t="str">
        <f>""</f>
        <v/>
      </c>
      <c r="CC324" t="str">
        <f>""</f>
        <v/>
      </c>
      <c r="CD324" t="str">
        <f>""</f>
        <v/>
      </c>
      <c r="CE324" t="str">
        <f>""</f>
        <v/>
      </c>
      <c r="CF324" t="str">
        <f>""</f>
        <v/>
      </c>
      <c r="CG324" t="str">
        <f>""</f>
        <v/>
      </c>
      <c r="CH324" t="str">
        <f>""</f>
        <v/>
      </c>
      <c r="CI324" t="str">
        <f>""</f>
        <v/>
      </c>
      <c r="CJ324" t="str">
        <f>""</f>
        <v/>
      </c>
      <c r="CK324" t="str">
        <f>""</f>
        <v/>
      </c>
      <c r="CL324" t="str">
        <f>""</f>
        <v/>
      </c>
      <c r="CM324" t="str">
        <f>""</f>
        <v/>
      </c>
      <c r="CN324" t="str">
        <f>""</f>
        <v/>
      </c>
      <c r="CO324" t="str">
        <f>""</f>
        <v/>
      </c>
      <c r="CP324" t="str">
        <f>""</f>
        <v/>
      </c>
      <c r="CQ324" t="str">
        <f>""</f>
        <v/>
      </c>
      <c r="CR324" t="str">
        <f>""</f>
        <v/>
      </c>
      <c r="CS324" t="str">
        <f>""</f>
        <v/>
      </c>
      <c r="CT324" t="str">
        <f>""</f>
        <v/>
      </c>
      <c r="CU324" t="str">
        <f>""</f>
        <v/>
      </c>
      <c r="CV324" t="str">
        <f>""</f>
        <v/>
      </c>
      <c r="CW324" t="str">
        <f>""</f>
        <v/>
      </c>
      <c r="CX324" t="str">
        <f>""</f>
        <v/>
      </c>
      <c r="CY324" t="str">
        <f>""</f>
        <v/>
      </c>
      <c r="CZ324" t="str">
        <f>""</f>
        <v/>
      </c>
      <c r="DA324" t="str">
        <f>""</f>
        <v/>
      </c>
      <c r="DB324" t="str">
        <f>""</f>
        <v/>
      </c>
      <c r="DC324" t="str">
        <f>""</f>
        <v/>
      </c>
      <c r="DD324" t="str">
        <f>""</f>
        <v/>
      </c>
      <c r="DE324" t="str">
        <f>""</f>
        <v/>
      </c>
      <c r="DF324" t="str">
        <f>""</f>
        <v/>
      </c>
      <c r="DG324" t="str">
        <f>""</f>
        <v/>
      </c>
      <c r="DH324" t="str">
        <f>""</f>
        <v/>
      </c>
      <c r="DI324" t="str">
        <f>""</f>
        <v/>
      </c>
      <c r="DJ324" t="str">
        <f>""</f>
        <v/>
      </c>
      <c r="DK324" t="str">
        <f>""</f>
        <v/>
      </c>
      <c r="DL324" t="str">
        <f>""</f>
        <v/>
      </c>
      <c r="DM324" t="str">
        <f>""</f>
        <v/>
      </c>
      <c r="DN324" t="str">
        <f>""</f>
        <v/>
      </c>
      <c r="DO324" t="str">
        <f>""</f>
        <v/>
      </c>
      <c r="DP324" t="str">
        <f>""</f>
        <v/>
      </c>
      <c r="DQ324" t="str">
        <f>""</f>
        <v/>
      </c>
      <c r="DR324" t="str">
        <f>""</f>
        <v/>
      </c>
      <c r="DS324" t="str">
        <f>""</f>
        <v/>
      </c>
      <c r="DT324" t="str">
        <f>""</f>
        <v/>
      </c>
      <c r="DU324" t="str">
        <f>""</f>
        <v/>
      </c>
    </row>
    <row r="325" spans="1:125">
      <c r="A325" t="str">
        <f>$A$114</f>
        <v xml:space="preserve">    AvalonBay Communities Inc</v>
      </c>
      <c r="B325" t="str">
        <f>$B$114</f>
        <v>AVB US Equity</v>
      </c>
      <c r="C325" t="str">
        <f>$C$114</f>
        <v>BE592</v>
      </c>
      <c r="D325" t="str">
        <f>$D$114</f>
        <v>BEST_FFOPS_YOY_GTH</v>
      </c>
      <c r="E325" t="str">
        <f>$E$114</f>
        <v>动态</v>
      </c>
      <c r="F325" t="str">
        <f ca="1">BDH($B$114,$C$114,$B$224,$B$225,CONCATENATE("Per=",$B$222),"Dts=H","Dir=H",CONCATENATE("Points=",$B$223),"Sort=R","Days=A","Fill=B","BE997=1GY",CONCATENATE("FX=", $B$221) )</f>
        <v>#N/A Authorization</v>
      </c>
      <c r="BN325" t="str">
        <f>""</f>
        <v/>
      </c>
      <c r="BO325" t="str">
        <f>""</f>
        <v/>
      </c>
      <c r="BP325" t="str">
        <f>""</f>
        <v/>
      </c>
      <c r="BQ325" t="str">
        <f>""</f>
        <v/>
      </c>
      <c r="BR325" t="str">
        <f>""</f>
        <v/>
      </c>
      <c r="BS325" t="str">
        <f>""</f>
        <v/>
      </c>
      <c r="BT325" t="str">
        <f>""</f>
        <v/>
      </c>
      <c r="BU325" t="str">
        <f>""</f>
        <v/>
      </c>
      <c r="BV325" t="str">
        <f>""</f>
        <v/>
      </c>
      <c r="BW325" t="str">
        <f>""</f>
        <v/>
      </c>
      <c r="BX325" t="str">
        <f>""</f>
        <v/>
      </c>
      <c r="BY325" t="str">
        <f>""</f>
        <v/>
      </c>
      <c r="BZ325" t="str">
        <f>""</f>
        <v/>
      </c>
      <c r="CA325" t="str">
        <f>""</f>
        <v/>
      </c>
      <c r="CB325" t="str">
        <f>""</f>
        <v/>
      </c>
      <c r="CC325" t="str">
        <f>""</f>
        <v/>
      </c>
      <c r="CD325" t="str">
        <f>""</f>
        <v/>
      </c>
      <c r="CE325" t="str">
        <f>""</f>
        <v/>
      </c>
      <c r="CF325" t="str">
        <f>""</f>
        <v/>
      </c>
      <c r="CG325" t="str">
        <f>""</f>
        <v/>
      </c>
      <c r="CH325" t="str">
        <f>""</f>
        <v/>
      </c>
      <c r="CI325" t="str">
        <f>""</f>
        <v/>
      </c>
      <c r="CJ325" t="str">
        <f>""</f>
        <v/>
      </c>
      <c r="CK325" t="str">
        <f>""</f>
        <v/>
      </c>
      <c r="CL325" t="str">
        <f>""</f>
        <v/>
      </c>
      <c r="CM325" t="str">
        <f>""</f>
        <v/>
      </c>
      <c r="CN325" t="str">
        <f>""</f>
        <v/>
      </c>
      <c r="CO325" t="str">
        <f>""</f>
        <v/>
      </c>
      <c r="CP325" t="str">
        <f>""</f>
        <v/>
      </c>
      <c r="CQ325" t="str">
        <f>""</f>
        <v/>
      </c>
      <c r="CR325" t="str">
        <f>""</f>
        <v/>
      </c>
      <c r="CS325" t="str">
        <f>""</f>
        <v/>
      </c>
      <c r="CT325" t="str">
        <f>""</f>
        <v/>
      </c>
      <c r="CU325" t="str">
        <f>""</f>
        <v/>
      </c>
      <c r="CV325" t="str">
        <f>""</f>
        <v/>
      </c>
      <c r="CW325" t="str">
        <f>""</f>
        <v/>
      </c>
      <c r="CX325" t="str">
        <f>""</f>
        <v/>
      </c>
      <c r="CY325" t="str">
        <f>""</f>
        <v/>
      </c>
      <c r="CZ325" t="str">
        <f>""</f>
        <v/>
      </c>
      <c r="DA325" t="str">
        <f>""</f>
        <v/>
      </c>
      <c r="DB325" t="str">
        <f>""</f>
        <v/>
      </c>
      <c r="DC325" t="str">
        <f>""</f>
        <v/>
      </c>
      <c r="DD325" t="str">
        <f>""</f>
        <v/>
      </c>
      <c r="DE325" t="str">
        <f>""</f>
        <v/>
      </c>
      <c r="DF325" t="str">
        <f>""</f>
        <v/>
      </c>
      <c r="DG325" t="str">
        <f>""</f>
        <v/>
      </c>
      <c r="DH325" t="str">
        <f>""</f>
        <v/>
      </c>
      <c r="DI325" t="str">
        <f>""</f>
        <v/>
      </c>
      <c r="DJ325" t="str">
        <f>""</f>
        <v/>
      </c>
      <c r="DK325" t="str">
        <f>""</f>
        <v/>
      </c>
      <c r="DL325" t="str">
        <f>""</f>
        <v/>
      </c>
      <c r="DM325" t="str">
        <f>""</f>
        <v/>
      </c>
      <c r="DN325" t="str">
        <f>""</f>
        <v/>
      </c>
      <c r="DO325" t="str">
        <f>""</f>
        <v/>
      </c>
      <c r="DP325" t="str">
        <f>""</f>
        <v/>
      </c>
      <c r="DQ325" t="str">
        <f>""</f>
        <v/>
      </c>
      <c r="DR325" t="str">
        <f>""</f>
        <v/>
      </c>
      <c r="DS325" t="str">
        <f>""</f>
        <v/>
      </c>
      <c r="DT325" t="str">
        <f>""</f>
        <v/>
      </c>
      <c r="DU325" t="str">
        <f>""</f>
        <v/>
      </c>
    </row>
    <row r="326" spans="1:125">
      <c r="A326" t="str">
        <f>$A$115</f>
        <v xml:space="preserve">    Camden Property Trust</v>
      </c>
      <c r="B326" t="str">
        <f>$B$115</f>
        <v>CPT US Equity</v>
      </c>
      <c r="C326" t="str">
        <f>$C$115</f>
        <v>BE592</v>
      </c>
      <c r="D326" t="str">
        <f>$D$115</f>
        <v>BEST_FFOPS_YOY_GTH</v>
      </c>
      <c r="E326" t="str">
        <f>$E$115</f>
        <v>动态</v>
      </c>
      <c r="F326" t="str">
        <f ca="1">BDH($B$115,$C$115,$B$224,$B$225,CONCATENATE("Per=",$B$222),"Dts=H","Dir=H",CONCATENATE("Points=",$B$223),"Sort=R","Days=A","Fill=B","BE997=1GY",CONCATENATE("FX=", $B$221) )</f>
        <v>#N/A Authorization</v>
      </c>
      <c r="BN326" t="str">
        <f>""</f>
        <v/>
      </c>
      <c r="BO326" t="str">
        <f>""</f>
        <v/>
      </c>
      <c r="BP326" t="str">
        <f>""</f>
        <v/>
      </c>
      <c r="BQ326" t="str">
        <f>""</f>
        <v/>
      </c>
      <c r="BR326" t="str">
        <f>""</f>
        <v/>
      </c>
      <c r="BS326" t="str">
        <f>""</f>
        <v/>
      </c>
      <c r="BT326" t="str">
        <f>""</f>
        <v/>
      </c>
      <c r="BU326" t="str">
        <f>""</f>
        <v/>
      </c>
      <c r="BV326" t="str">
        <f>""</f>
        <v/>
      </c>
      <c r="BW326" t="str">
        <f>""</f>
        <v/>
      </c>
      <c r="BX326" t="str">
        <f>""</f>
        <v/>
      </c>
      <c r="BY326" t="str">
        <f>""</f>
        <v/>
      </c>
      <c r="BZ326" t="str">
        <f>""</f>
        <v/>
      </c>
      <c r="CA326" t="str">
        <f>""</f>
        <v/>
      </c>
      <c r="CB326" t="str">
        <f>""</f>
        <v/>
      </c>
      <c r="CC326" t="str">
        <f>""</f>
        <v/>
      </c>
      <c r="CD326" t="str">
        <f>""</f>
        <v/>
      </c>
      <c r="CE326" t="str">
        <f>""</f>
        <v/>
      </c>
      <c r="CF326" t="str">
        <f>""</f>
        <v/>
      </c>
      <c r="CG326" t="str">
        <f>""</f>
        <v/>
      </c>
      <c r="CH326" t="str">
        <f>""</f>
        <v/>
      </c>
      <c r="CI326" t="str">
        <f>""</f>
        <v/>
      </c>
      <c r="CJ326" t="str">
        <f>""</f>
        <v/>
      </c>
      <c r="CK326" t="str">
        <f>""</f>
        <v/>
      </c>
      <c r="CL326" t="str">
        <f>""</f>
        <v/>
      </c>
      <c r="CM326" t="str">
        <f>""</f>
        <v/>
      </c>
      <c r="CN326" t="str">
        <f>""</f>
        <v/>
      </c>
      <c r="CO326" t="str">
        <f>""</f>
        <v/>
      </c>
      <c r="CP326" t="str">
        <f>""</f>
        <v/>
      </c>
      <c r="CQ326" t="str">
        <f>""</f>
        <v/>
      </c>
      <c r="CR326" t="str">
        <f>""</f>
        <v/>
      </c>
      <c r="CS326" t="str">
        <f>""</f>
        <v/>
      </c>
      <c r="CT326" t="str">
        <f>""</f>
        <v/>
      </c>
      <c r="CU326" t="str">
        <f>""</f>
        <v/>
      </c>
      <c r="CV326" t="str">
        <f>""</f>
        <v/>
      </c>
      <c r="CW326" t="str">
        <f>""</f>
        <v/>
      </c>
      <c r="CX326" t="str">
        <f>""</f>
        <v/>
      </c>
      <c r="CY326" t="str">
        <f>""</f>
        <v/>
      </c>
      <c r="CZ326" t="str">
        <f>""</f>
        <v/>
      </c>
      <c r="DA326" t="str">
        <f>""</f>
        <v/>
      </c>
      <c r="DB326" t="str">
        <f>""</f>
        <v/>
      </c>
      <c r="DC326" t="str">
        <f>""</f>
        <v/>
      </c>
      <c r="DD326" t="str">
        <f>""</f>
        <v/>
      </c>
      <c r="DE326" t="str">
        <f>""</f>
        <v/>
      </c>
      <c r="DF326" t="str">
        <f>""</f>
        <v/>
      </c>
      <c r="DG326" t="str">
        <f>""</f>
        <v/>
      </c>
      <c r="DH326" t="str">
        <f>""</f>
        <v/>
      </c>
      <c r="DI326" t="str">
        <f>""</f>
        <v/>
      </c>
      <c r="DJ326" t="str">
        <f>""</f>
        <v/>
      </c>
      <c r="DK326" t="str">
        <f>""</f>
        <v/>
      </c>
      <c r="DL326" t="str">
        <f>""</f>
        <v/>
      </c>
      <c r="DM326" t="str">
        <f>""</f>
        <v/>
      </c>
      <c r="DN326" t="str">
        <f>""</f>
        <v/>
      </c>
      <c r="DO326" t="str">
        <f>""</f>
        <v/>
      </c>
      <c r="DP326" t="str">
        <f>""</f>
        <v/>
      </c>
      <c r="DQ326" t="str">
        <f>""</f>
        <v/>
      </c>
      <c r="DR326" t="str">
        <f>""</f>
        <v/>
      </c>
      <c r="DS326" t="str">
        <f>""</f>
        <v/>
      </c>
      <c r="DT326" t="str">
        <f>""</f>
        <v/>
      </c>
      <c r="DU326" t="str">
        <f>""</f>
        <v/>
      </c>
    </row>
    <row r="327" spans="1:125">
      <c r="A327" t="str">
        <f>$A$116</f>
        <v xml:space="preserve">    Education Realty Trust Inc</v>
      </c>
      <c r="B327" t="str">
        <f>$B$116</f>
        <v>EDR US Equity</v>
      </c>
      <c r="C327" t="str">
        <f>$C$116</f>
        <v>BE592</v>
      </c>
      <c r="D327" t="str">
        <f>$D$116</f>
        <v>BEST_FFOPS_YOY_GTH</v>
      </c>
      <c r="E327" t="str">
        <f>$E$116</f>
        <v>动态</v>
      </c>
      <c r="F327" t="str">
        <f ca="1">BDH($B$116,$C$116,$B$224,$B$225,CONCATENATE("Per=",$B$222),"Dts=H","Dir=H",CONCATENATE("Points=",$B$223),"Sort=R","Days=A","Fill=B","BE997=1GY",CONCATENATE("FX=", $B$221) )</f>
        <v>#N/A Authorization</v>
      </c>
      <c r="BN327" t="str">
        <f>""</f>
        <v/>
      </c>
      <c r="BO327" t="str">
        <f>""</f>
        <v/>
      </c>
      <c r="BP327" t="str">
        <f>""</f>
        <v/>
      </c>
      <c r="BQ327" t="str">
        <f>""</f>
        <v/>
      </c>
      <c r="BR327" t="str">
        <f>""</f>
        <v/>
      </c>
      <c r="BS327" t="str">
        <f>""</f>
        <v/>
      </c>
      <c r="BT327" t="str">
        <f>""</f>
        <v/>
      </c>
      <c r="BU327" t="str">
        <f>""</f>
        <v/>
      </c>
      <c r="BV327" t="str">
        <f>""</f>
        <v/>
      </c>
      <c r="BW327" t="str">
        <f>""</f>
        <v/>
      </c>
      <c r="BX327" t="str">
        <f>""</f>
        <v/>
      </c>
      <c r="BY327" t="str">
        <f>""</f>
        <v/>
      </c>
      <c r="BZ327" t="str">
        <f>""</f>
        <v/>
      </c>
      <c r="CA327" t="str">
        <f>""</f>
        <v/>
      </c>
      <c r="CB327" t="str">
        <f>""</f>
        <v/>
      </c>
      <c r="CC327" t="str">
        <f>""</f>
        <v/>
      </c>
      <c r="CD327" t="str">
        <f>""</f>
        <v/>
      </c>
      <c r="CE327" t="str">
        <f>""</f>
        <v/>
      </c>
      <c r="CF327" t="str">
        <f>""</f>
        <v/>
      </c>
      <c r="CG327" t="str">
        <f>""</f>
        <v/>
      </c>
      <c r="CH327" t="str">
        <f>""</f>
        <v/>
      </c>
      <c r="CI327" t="str">
        <f>""</f>
        <v/>
      </c>
      <c r="CJ327" t="str">
        <f>""</f>
        <v/>
      </c>
      <c r="CK327" t="str">
        <f>""</f>
        <v/>
      </c>
      <c r="CL327" t="str">
        <f>""</f>
        <v/>
      </c>
      <c r="CM327" t="str">
        <f>""</f>
        <v/>
      </c>
      <c r="CN327" t="str">
        <f>""</f>
        <v/>
      </c>
      <c r="CO327" t="str">
        <f>""</f>
        <v/>
      </c>
      <c r="CP327" t="str">
        <f>""</f>
        <v/>
      </c>
      <c r="CQ327" t="str">
        <f>""</f>
        <v/>
      </c>
      <c r="CR327" t="str">
        <f>""</f>
        <v/>
      </c>
      <c r="CS327" t="str">
        <f>""</f>
        <v/>
      </c>
      <c r="CT327" t="str">
        <f>""</f>
        <v/>
      </c>
      <c r="CU327" t="str">
        <f>""</f>
        <v/>
      </c>
      <c r="CV327" t="str">
        <f>""</f>
        <v/>
      </c>
      <c r="CW327" t="str">
        <f>""</f>
        <v/>
      </c>
      <c r="CX327" t="str">
        <f>""</f>
        <v/>
      </c>
      <c r="CY327" t="str">
        <f>""</f>
        <v/>
      </c>
      <c r="CZ327" t="str">
        <f>""</f>
        <v/>
      </c>
      <c r="DA327" t="str">
        <f>""</f>
        <v/>
      </c>
      <c r="DB327" t="str">
        <f>""</f>
        <v/>
      </c>
      <c r="DC327" t="str">
        <f>""</f>
        <v/>
      </c>
      <c r="DD327" t="str">
        <f>""</f>
        <v/>
      </c>
      <c r="DE327" t="str">
        <f>""</f>
        <v/>
      </c>
      <c r="DF327" t="str">
        <f>""</f>
        <v/>
      </c>
      <c r="DG327" t="str">
        <f>""</f>
        <v/>
      </c>
      <c r="DH327" t="str">
        <f>""</f>
        <v/>
      </c>
      <c r="DI327" t="str">
        <f>""</f>
        <v/>
      </c>
      <c r="DJ327" t="str">
        <f>""</f>
        <v/>
      </c>
      <c r="DK327" t="str">
        <f>""</f>
        <v/>
      </c>
      <c r="DL327" t="str">
        <f>""</f>
        <v/>
      </c>
      <c r="DM327" t="str">
        <f>""</f>
        <v/>
      </c>
      <c r="DN327" t="str">
        <f>""</f>
        <v/>
      </c>
      <c r="DO327" t="str">
        <f>""</f>
        <v/>
      </c>
      <c r="DP327" t="str">
        <f>""</f>
        <v/>
      </c>
      <c r="DQ327" t="str">
        <f>""</f>
        <v/>
      </c>
      <c r="DR327" t="str">
        <f>""</f>
        <v/>
      </c>
      <c r="DS327" t="str">
        <f>""</f>
        <v/>
      </c>
      <c r="DT327" t="str">
        <f>""</f>
        <v/>
      </c>
      <c r="DU327" t="str">
        <f>""</f>
        <v/>
      </c>
    </row>
    <row r="328" spans="1:125">
      <c r="A328" t="str">
        <f>$A$117</f>
        <v xml:space="preserve">    Equity Residential</v>
      </c>
      <c r="B328" t="str">
        <f>$B$117</f>
        <v>EQR US Equity</v>
      </c>
      <c r="C328" t="str">
        <f>$C$117</f>
        <v>BE592</v>
      </c>
      <c r="D328" t="str">
        <f>$D$117</f>
        <v>BEST_FFOPS_YOY_GTH</v>
      </c>
      <c r="E328" t="str">
        <f>$E$117</f>
        <v>动态</v>
      </c>
      <c r="F328" t="str">
        <f ca="1">BDH($B$117,$C$117,$B$224,$B$225,CONCATENATE("Per=",$B$222),"Dts=H","Dir=H",CONCATENATE("Points=",$B$223),"Sort=R","Days=A","Fill=B","BE997=1GY",CONCATENATE("FX=", $B$221) )</f>
        <v>#N/A Authorization</v>
      </c>
      <c r="BN328" t="str">
        <f>""</f>
        <v/>
      </c>
      <c r="BO328" t="str">
        <f>""</f>
        <v/>
      </c>
      <c r="BP328" t="str">
        <f>""</f>
        <v/>
      </c>
      <c r="BQ328" t="str">
        <f>""</f>
        <v/>
      </c>
      <c r="BR328" t="str">
        <f>""</f>
        <v/>
      </c>
      <c r="BS328" t="str">
        <f>""</f>
        <v/>
      </c>
      <c r="BT328" t="str">
        <f>""</f>
        <v/>
      </c>
      <c r="BU328" t="str">
        <f>""</f>
        <v/>
      </c>
      <c r="BV328" t="str">
        <f>""</f>
        <v/>
      </c>
      <c r="BW328" t="str">
        <f>""</f>
        <v/>
      </c>
      <c r="BX328" t="str">
        <f>""</f>
        <v/>
      </c>
      <c r="BY328" t="str">
        <f>""</f>
        <v/>
      </c>
      <c r="BZ328" t="str">
        <f>""</f>
        <v/>
      </c>
      <c r="CA328" t="str">
        <f>""</f>
        <v/>
      </c>
      <c r="CB328" t="str">
        <f>""</f>
        <v/>
      </c>
      <c r="CC328" t="str">
        <f>""</f>
        <v/>
      </c>
      <c r="CD328" t="str">
        <f>""</f>
        <v/>
      </c>
      <c r="CE328" t="str">
        <f>""</f>
        <v/>
      </c>
      <c r="CF328" t="str">
        <f>""</f>
        <v/>
      </c>
      <c r="CG328" t="str">
        <f>""</f>
        <v/>
      </c>
      <c r="CH328" t="str">
        <f>""</f>
        <v/>
      </c>
      <c r="CI328" t="str">
        <f>""</f>
        <v/>
      </c>
      <c r="CJ328" t="str">
        <f>""</f>
        <v/>
      </c>
      <c r="CK328" t="str">
        <f>""</f>
        <v/>
      </c>
      <c r="CL328" t="str">
        <f>""</f>
        <v/>
      </c>
      <c r="CM328" t="str">
        <f>""</f>
        <v/>
      </c>
      <c r="CN328" t="str">
        <f>""</f>
        <v/>
      </c>
      <c r="CO328" t="str">
        <f>""</f>
        <v/>
      </c>
      <c r="CP328" t="str">
        <f>""</f>
        <v/>
      </c>
      <c r="CQ328" t="str">
        <f>""</f>
        <v/>
      </c>
      <c r="CR328" t="str">
        <f>""</f>
        <v/>
      </c>
      <c r="CS328" t="str">
        <f>""</f>
        <v/>
      </c>
      <c r="CT328" t="str">
        <f>""</f>
        <v/>
      </c>
      <c r="CU328" t="str">
        <f>""</f>
        <v/>
      </c>
      <c r="CV328" t="str">
        <f>""</f>
        <v/>
      </c>
      <c r="CW328" t="str">
        <f>""</f>
        <v/>
      </c>
      <c r="CX328" t="str">
        <f>""</f>
        <v/>
      </c>
      <c r="CY328" t="str">
        <f>""</f>
        <v/>
      </c>
      <c r="CZ328" t="str">
        <f>""</f>
        <v/>
      </c>
      <c r="DA328" t="str">
        <f>""</f>
        <v/>
      </c>
      <c r="DB328" t="str">
        <f>""</f>
        <v/>
      </c>
      <c r="DC328" t="str">
        <f>""</f>
        <v/>
      </c>
      <c r="DD328" t="str">
        <f>""</f>
        <v/>
      </c>
      <c r="DE328" t="str">
        <f>""</f>
        <v/>
      </c>
      <c r="DF328" t="str">
        <f>""</f>
        <v/>
      </c>
      <c r="DG328" t="str">
        <f>""</f>
        <v/>
      </c>
      <c r="DH328" t="str">
        <f>""</f>
        <v/>
      </c>
      <c r="DI328" t="str">
        <f>""</f>
        <v/>
      </c>
      <c r="DJ328" t="str">
        <f>""</f>
        <v/>
      </c>
      <c r="DK328" t="str">
        <f>""</f>
        <v/>
      </c>
      <c r="DL328" t="str">
        <f>""</f>
        <v/>
      </c>
      <c r="DM328" t="str">
        <f>""</f>
        <v/>
      </c>
      <c r="DN328" t="str">
        <f>""</f>
        <v/>
      </c>
      <c r="DO328" t="str">
        <f>""</f>
        <v/>
      </c>
      <c r="DP328" t="str">
        <f>""</f>
        <v/>
      </c>
      <c r="DQ328" t="str">
        <f>""</f>
        <v/>
      </c>
      <c r="DR328" t="str">
        <f>""</f>
        <v/>
      </c>
      <c r="DS328" t="str">
        <f>""</f>
        <v/>
      </c>
      <c r="DT328" t="str">
        <f>""</f>
        <v/>
      </c>
      <c r="DU328" t="str">
        <f>""</f>
        <v/>
      </c>
    </row>
    <row r="329" spans="1:125">
      <c r="A329" t="str">
        <f>$A$118</f>
        <v xml:space="preserve">    Essex Property Trust Inc</v>
      </c>
      <c r="B329" t="str">
        <f>$B$118</f>
        <v>ESS US Equity</v>
      </c>
      <c r="C329" t="str">
        <f>$C$118</f>
        <v>BE592</v>
      </c>
      <c r="D329" t="str">
        <f>$D$118</f>
        <v>BEST_FFOPS_YOY_GTH</v>
      </c>
      <c r="E329" t="str">
        <f>$E$118</f>
        <v>动态</v>
      </c>
      <c r="F329" t="str">
        <f ca="1">BDH($B$118,$C$118,$B$224,$B$225,CONCATENATE("Per=",$B$222),"Dts=H","Dir=H",CONCATENATE("Points=",$B$223),"Sort=R","Days=A","Fill=B","BE997=1GY",CONCATENATE("FX=", $B$221) )</f>
        <v>#N/A Authorization</v>
      </c>
      <c r="BN329" t="str">
        <f>""</f>
        <v/>
      </c>
      <c r="BO329" t="str">
        <f>""</f>
        <v/>
      </c>
      <c r="BP329" t="str">
        <f>""</f>
        <v/>
      </c>
      <c r="BQ329" t="str">
        <f>""</f>
        <v/>
      </c>
      <c r="BR329" t="str">
        <f>""</f>
        <v/>
      </c>
      <c r="BS329" t="str">
        <f>""</f>
        <v/>
      </c>
      <c r="BT329" t="str">
        <f>""</f>
        <v/>
      </c>
      <c r="BU329" t="str">
        <f>""</f>
        <v/>
      </c>
      <c r="BV329" t="str">
        <f>""</f>
        <v/>
      </c>
      <c r="BW329" t="str">
        <f>""</f>
        <v/>
      </c>
      <c r="BX329" t="str">
        <f>""</f>
        <v/>
      </c>
      <c r="BY329" t="str">
        <f>""</f>
        <v/>
      </c>
      <c r="BZ329" t="str">
        <f>""</f>
        <v/>
      </c>
      <c r="CA329" t="str">
        <f>""</f>
        <v/>
      </c>
      <c r="CB329" t="str">
        <f>""</f>
        <v/>
      </c>
      <c r="CC329" t="str">
        <f>""</f>
        <v/>
      </c>
      <c r="CD329" t="str">
        <f>""</f>
        <v/>
      </c>
      <c r="CE329" t="str">
        <f>""</f>
        <v/>
      </c>
      <c r="CF329" t="str">
        <f>""</f>
        <v/>
      </c>
      <c r="CG329" t="str">
        <f>""</f>
        <v/>
      </c>
      <c r="CH329" t="str">
        <f>""</f>
        <v/>
      </c>
      <c r="CI329" t="str">
        <f>""</f>
        <v/>
      </c>
      <c r="CJ329" t="str">
        <f>""</f>
        <v/>
      </c>
      <c r="CK329" t="str">
        <f>""</f>
        <v/>
      </c>
      <c r="CL329" t="str">
        <f>""</f>
        <v/>
      </c>
      <c r="CM329" t="str">
        <f>""</f>
        <v/>
      </c>
      <c r="CN329" t="str">
        <f>""</f>
        <v/>
      </c>
      <c r="CO329" t="str">
        <f>""</f>
        <v/>
      </c>
      <c r="CP329" t="str">
        <f>""</f>
        <v/>
      </c>
      <c r="CQ329" t="str">
        <f>""</f>
        <v/>
      </c>
      <c r="CR329" t="str">
        <f>""</f>
        <v/>
      </c>
      <c r="CS329" t="str">
        <f>""</f>
        <v/>
      </c>
      <c r="CT329" t="str">
        <f>""</f>
        <v/>
      </c>
      <c r="CU329" t="str">
        <f>""</f>
        <v/>
      </c>
      <c r="CV329" t="str">
        <f>""</f>
        <v/>
      </c>
      <c r="CW329" t="str">
        <f>""</f>
        <v/>
      </c>
      <c r="CX329" t="str">
        <f>""</f>
        <v/>
      </c>
      <c r="CY329" t="str">
        <f>""</f>
        <v/>
      </c>
      <c r="CZ329" t="str">
        <f>""</f>
        <v/>
      </c>
      <c r="DA329" t="str">
        <f>""</f>
        <v/>
      </c>
      <c r="DB329" t="str">
        <f>""</f>
        <v/>
      </c>
      <c r="DC329" t="str">
        <f>""</f>
        <v/>
      </c>
      <c r="DD329" t="str">
        <f>""</f>
        <v/>
      </c>
      <c r="DE329" t="str">
        <f>""</f>
        <v/>
      </c>
      <c r="DF329" t="str">
        <f>""</f>
        <v/>
      </c>
      <c r="DG329" t="str">
        <f>""</f>
        <v/>
      </c>
      <c r="DH329" t="str">
        <f>""</f>
        <v/>
      </c>
      <c r="DI329" t="str">
        <f>""</f>
        <v/>
      </c>
      <c r="DJ329" t="str">
        <f>""</f>
        <v/>
      </c>
      <c r="DK329" t="str">
        <f>""</f>
        <v/>
      </c>
      <c r="DL329" t="str">
        <f>""</f>
        <v/>
      </c>
      <c r="DM329" t="str">
        <f>""</f>
        <v/>
      </c>
      <c r="DN329" t="str">
        <f>""</f>
        <v/>
      </c>
      <c r="DO329" t="str">
        <f>""</f>
        <v/>
      </c>
      <c r="DP329" t="str">
        <f>""</f>
        <v/>
      </c>
      <c r="DQ329" t="str">
        <f>""</f>
        <v/>
      </c>
      <c r="DR329" t="str">
        <f>""</f>
        <v/>
      </c>
      <c r="DS329" t="str">
        <f>""</f>
        <v/>
      </c>
      <c r="DT329" t="str">
        <f>""</f>
        <v/>
      </c>
      <c r="DU329" t="str">
        <f>""</f>
        <v/>
      </c>
    </row>
    <row r="330" spans="1:125">
      <c r="A330" t="str">
        <f>$A$119</f>
        <v xml:space="preserve">    Mid-America Apartment Communit</v>
      </c>
      <c r="B330" t="str">
        <f>$B$119</f>
        <v>MAA US Equity</v>
      </c>
      <c r="C330" t="str">
        <f>$C$119</f>
        <v>BE592</v>
      </c>
      <c r="D330" t="str">
        <f>$D$119</f>
        <v>BEST_FFOPS_YOY_GTH</v>
      </c>
      <c r="E330" t="str">
        <f>$E$119</f>
        <v>动态</v>
      </c>
      <c r="F330" t="str">
        <f ca="1">BDH($B$119,$C$119,$B$224,$B$225,CONCATENATE("Per=",$B$222),"Dts=H","Dir=H",CONCATENATE("Points=",$B$223),"Sort=R","Days=A","Fill=B","BE997=1GY",CONCATENATE("FX=", $B$221) )</f>
        <v>#N/A Authorization</v>
      </c>
      <c r="BN330" t="str">
        <f>""</f>
        <v/>
      </c>
      <c r="BO330" t="str">
        <f>""</f>
        <v/>
      </c>
      <c r="BP330" t="str">
        <f>""</f>
        <v/>
      </c>
      <c r="BQ330" t="str">
        <f>""</f>
        <v/>
      </c>
      <c r="BR330" t="str">
        <f>""</f>
        <v/>
      </c>
      <c r="BS330" t="str">
        <f>""</f>
        <v/>
      </c>
      <c r="BT330" t="str">
        <f>""</f>
        <v/>
      </c>
      <c r="BU330" t="str">
        <f>""</f>
        <v/>
      </c>
      <c r="BV330" t="str">
        <f>""</f>
        <v/>
      </c>
      <c r="BW330" t="str">
        <f>""</f>
        <v/>
      </c>
      <c r="BX330" t="str">
        <f>""</f>
        <v/>
      </c>
      <c r="BY330" t="str">
        <f>""</f>
        <v/>
      </c>
      <c r="BZ330" t="str">
        <f>""</f>
        <v/>
      </c>
      <c r="CA330" t="str">
        <f>""</f>
        <v/>
      </c>
      <c r="CB330" t="str">
        <f>""</f>
        <v/>
      </c>
      <c r="CC330" t="str">
        <f>""</f>
        <v/>
      </c>
      <c r="CD330" t="str">
        <f>""</f>
        <v/>
      </c>
      <c r="CE330" t="str">
        <f>""</f>
        <v/>
      </c>
      <c r="CF330" t="str">
        <f>""</f>
        <v/>
      </c>
      <c r="CG330" t="str">
        <f>""</f>
        <v/>
      </c>
      <c r="CH330" t="str">
        <f>""</f>
        <v/>
      </c>
      <c r="CI330" t="str">
        <f>""</f>
        <v/>
      </c>
      <c r="CJ330" t="str">
        <f>""</f>
        <v/>
      </c>
      <c r="CK330" t="str">
        <f>""</f>
        <v/>
      </c>
      <c r="CL330" t="str">
        <f>""</f>
        <v/>
      </c>
      <c r="CM330" t="str">
        <f>""</f>
        <v/>
      </c>
      <c r="CN330" t="str">
        <f>""</f>
        <v/>
      </c>
      <c r="CO330" t="str">
        <f>""</f>
        <v/>
      </c>
      <c r="CP330" t="str">
        <f>""</f>
        <v/>
      </c>
      <c r="CQ330" t="str">
        <f>""</f>
        <v/>
      </c>
      <c r="CR330" t="str">
        <f>""</f>
        <v/>
      </c>
      <c r="CS330" t="str">
        <f>""</f>
        <v/>
      </c>
      <c r="CT330" t="str">
        <f>""</f>
        <v/>
      </c>
      <c r="CU330" t="str">
        <f>""</f>
        <v/>
      </c>
      <c r="CV330" t="str">
        <f>""</f>
        <v/>
      </c>
      <c r="CW330" t="str">
        <f>""</f>
        <v/>
      </c>
      <c r="CX330" t="str">
        <f>""</f>
        <v/>
      </c>
      <c r="CY330" t="str">
        <f>""</f>
        <v/>
      </c>
      <c r="CZ330" t="str">
        <f>""</f>
        <v/>
      </c>
      <c r="DA330" t="str">
        <f>""</f>
        <v/>
      </c>
      <c r="DB330" t="str">
        <f>""</f>
        <v/>
      </c>
      <c r="DC330" t="str">
        <f>""</f>
        <v/>
      </c>
      <c r="DD330" t="str">
        <f>""</f>
        <v/>
      </c>
      <c r="DE330" t="str">
        <f>""</f>
        <v/>
      </c>
      <c r="DF330" t="str">
        <f>""</f>
        <v/>
      </c>
      <c r="DG330" t="str">
        <f>""</f>
        <v/>
      </c>
      <c r="DH330" t="str">
        <f>""</f>
        <v/>
      </c>
      <c r="DI330" t="str">
        <f>""</f>
        <v/>
      </c>
      <c r="DJ330" t="str">
        <f>""</f>
        <v/>
      </c>
      <c r="DK330" t="str">
        <f>""</f>
        <v/>
      </c>
      <c r="DL330" t="str">
        <f>""</f>
        <v/>
      </c>
      <c r="DM330" t="str">
        <f>""</f>
        <v/>
      </c>
      <c r="DN330" t="str">
        <f>""</f>
        <v/>
      </c>
      <c r="DO330" t="str">
        <f>""</f>
        <v/>
      </c>
      <c r="DP330" t="str">
        <f>""</f>
        <v/>
      </c>
      <c r="DQ330" t="str">
        <f>""</f>
        <v/>
      </c>
      <c r="DR330" t="str">
        <f>""</f>
        <v/>
      </c>
      <c r="DS330" t="str">
        <f>""</f>
        <v/>
      </c>
      <c r="DT330" t="str">
        <f>""</f>
        <v/>
      </c>
      <c r="DU330" t="str">
        <f>""</f>
        <v/>
      </c>
    </row>
    <row r="331" spans="1:125">
      <c r="A331" t="str">
        <f>$A$120</f>
        <v xml:space="preserve">    UDR Inc</v>
      </c>
      <c r="B331" t="str">
        <f>$B$120</f>
        <v>UDR US Equity</v>
      </c>
      <c r="C331" t="str">
        <f>$C$120</f>
        <v>BE592</v>
      </c>
      <c r="D331" t="str">
        <f>$D$120</f>
        <v>BEST_FFOPS_YOY_GTH</v>
      </c>
      <c r="E331" t="str">
        <f>$E$120</f>
        <v>动态</v>
      </c>
      <c r="F331" t="str">
        <f ca="1">BDH($B$120,$C$120,$B$224,$B$225,CONCATENATE("Per=",$B$222),"Dts=H","Dir=H",CONCATENATE("Points=",$B$223),"Sort=R","Days=A","Fill=B","BE997=1GY",CONCATENATE("FX=", $B$221) )</f>
        <v>#N/A Authorization</v>
      </c>
      <c r="BN331" t="str">
        <f>""</f>
        <v/>
      </c>
      <c r="BO331" t="str">
        <f>""</f>
        <v/>
      </c>
      <c r="BP331" t="str">
        <f>""</f>
        <v/>
      </c>
      <c r="BQ331" t="str">
        <f>""</f>
        <v/>
      </c>
      <c r="BR331" t="str">
        <f>""</f>
        <v/>
      </c>
      <c r="BS331" t="str">
        <f>""</f>
        <v/>
      </c>
      <c r="BT331" t="str">
        <f>""</f>
        <v/>
      </c>
      <c r="BU331" t="str">
        <f>""</f>
        <v/>
      </c>
      <c r="BV331" t="str">
        <f>""</f>
        <v/>
      </c>
      <c r="BW331" t="str">
        <f>""</f>
        <v/>
      </c>
      <c r="BX331" t="str">
        <f>""</f>
        <v/>
      </c>
      <c r="BY331" t="str">
        <f>""</f>
        <v/>
      </c>
      <c r="BZ331" t="str">
        <f>""</f>
        <v/>
      </c>
      <c r="CA331" t="str">
        <f>""</f>
        <v/>
      </c>
      <c r="CB331" t="str">
        <f>""</f>
        <v/>
      </c>
      <c r="CC331" t="str">
        <f>""</f>
        <v/>
      </c>
      <c r="CD331" t="str">
        <f>""</f>
        <v/>
      </c>
      <c r="CE331" t="str">
        <f>""</f>
        <v/>
      </c>
      <c r="CF331" t="str">
        <f>""</f>
        <v/>
      </c>
      <c r="CG331" t="str">
        <f>""</f>
        <v/>
      </c>
      <c r="CH331" t="str">
        <f>""</f>
        <v/>
      </c>
      <c r="CI331" t="str">
        <f>""</f>
        <v/>
      </c>
      <c r="CJ331" t="str">
        <f>""</f>
        <v/>
      </c>
      <c r="CK331" t="str">
        <f>""</f>
        <v/>
      </c>
      <c r="CL331" t="str">
        <f>""</f>
        <v/>
      </c>
      <c r="CM331" t="str">
        <f>""</f>
        <v/>
      </c>
      <c r="CN331" t="str">
        <f>""</f>
        <v/>
      </c>
      <c r="CO331" t="str">
        <f>""</f>
        <v/>
      </c>
      <c r="CP331" t="str">
        <f>""</f>
        <v/>
      </c>
      <c r="CQ331" t="str">
        <f>""</f>
        <v/>
      </c>
      <c r="CR331" t="str">
        <f>""</f>
        <v/>
      </c>
      <c r="CS331" t="str">
        <f>""</f>
        <v/>
      </c>
      <c r="CT331" t="str">
        <f>""</f>
        <v/>
      </c>
      <c r="CU331" t="str">
        <f>""</f>
        <v/>
      </c>
      <c r="CV331" t="str">
        <f>""</f>
        <v/>
      </c>
      <c r="CW331" t="str">
        <f>""</f>
        <v/>
      </c>
      <c r="CX331" t="str">
        <f>""</f>
        <v/>
      </c>
      <c r="CY331" t="str">
        <f>""</f>
        <v/>
      </c>
      <c r="CZ331" t="str">
        <f>""</f>
        <v/>
      </c>
      <c r="DA331" t="str">
        <f>""</f>
        <v/>
      </c>
      <c r="DB331" t="str">
        <f>""</f>
        <v/>
      </c>
      <c r="DC331" t="str">
        <f>""</f>
        <v/>
      </c>
      <c r="DD331" t="str">
        <f>""</f>
        <v/>
      </c>
      <c r="DE331" t="str">
        <f>""</f>
        <v/>
      </c>
      <c r="DF331" t="str">
        <f>""</f>
        <v/>
      </c>
      <c r="DG331" t="str">
        <f>""</f>
        <v/>
      </c>
      <c r="DH331" t="str">
        <f>""</f>
        <v/>
      </c>
      <c r="DI331" t="str">
        <f>""</f>
        <v/>
      </c>
      <c r="DJ331" t="str">
        <f>""</f>
        <v/>
      </c>
      <c r="DK331" t="str">
        <f>""</f>
        <v/>
      </c>
      <c r="DL331" t="str">
        <f>""</f>
        <v/>
      </c>
      <c r="DM331" t="str">
        <f>""</f>
        <v/>
      </c>
      <c r="DN331" t="str">
        <f>""</f>
        <v/>
      </c>
      <c r="DO331" t="str">
        <f>""</f>
        <v/>
      </c>
      <c r="DP331" t="str">
        <f>""</f>
        <v/>
      </c>
      <c r="DQ331" t="str">
        <f>""</f>
        <v/>
      </c>
      <c r="DR331" t="str">
        <f>""</f>
        <v/>
      </c>
      <c r="DS331" t="str">
        <f>""</f>
        <v/>
      </c>
      <c r="DT331" t="str">
        <f>""</f>
        <v/>
      </c>
      <c r="DU331" t="str">
        <f>""</f>
        <v/>
      </c>
    </row>
    <row r="332" spans="1:125">
      <c r="A332" t="str">
        <f>$A$122</f>
        <v xml:space="preserve">    American Campus Communities In</v>
      </c>
      <c r="B332" t="str">
        <f>$B$122</f>
        <v>ACC US Equity</v>
      </c>
      <c r="C332" t="str">
        <f>$C$122</f>
        <v>RX225</v>
      </c>
      <c r="D332" t="str">
        <f>$D$122</f>
        <v>EBITDA_TO_REVENUE</v>
      </c>
      <c r="E332" t="str">
        <f>$E$122</f>
        <v>动态</v>
      </c>
      <c r="F332" t="str">
        <f ca="1">BDH($B$122,$C$122,$B$224,$B$225,CONCATENATE("Per=",$B$222),"Dts=H","Dir=H",CONCATENATE("Points=",$B$223),"Sort=R","Days=A","Fill=B",CONCATENATE("FX=", $B$221) )</f>
        <v>#N/A Authorization</v>
      </c>
      <c r="BN332" t="str">
        <f>""</f>
        <v/>
      </c>
      <c r="BO332" t="str">
        <f>""</f>
        <v/>
      </c>
      <c r="BP332" t="str">
        <f>""</f>
        <v/>
      </c>
      <c r="BQ332" t="str">
        <f>""</f>
        <v/>
      </c>
      <c r="BR332" t="str">
        <f>""</f>
        <v/>
      </c>
      <c r="BS332" t="str">
        <f>""</f>
        <v/>
      </c>
      <c r="BT332" t="str">
        <f>""</f>
        <v/>
      </c>
      <c r="BU332" t="str">
        <f>""</f>
        <v/>
      </c>
      <c r="BV332" t="str">
        <f>""</f>
        <v/>
      </c>
      <c r="BW332" t="str">
        <f>""</f>
        <v/>
      </c>
      <c r="BX332" t="str">
        <f>""</f>
        <v/>
      </c>
      <c r="BY332" t="str">
        <f>""</f>
        <v/>
      </c>
      <c r="BZ332" t="str">
        <f>""</f>
        <v/>
      </c>
      <c r="CA332" t="str">
        <f>""</f>
        <v/>
      </c>
      <c r="CB332" t="str">
        <f>""</f>
        <v/>
      </c>
      <c r="CC332" t="str">
        <f>""</f>
        <v/>
      </c>
      <c r="CD332" t="str">
        <f>""</f>
        <v/>
      </c>
      <c r="CE332" t="str">
        <f>""</f>
        <v/>
      </c>
      <c r="CF332" t="str">
        <f>""</f>
        <v/>
      </c>
      <c r="CG332" t="str">
        <f>""</f>
        <v/>
      </c>
      <c r="CH332" t="str">
        <f>""</f>
        <v/>
      </c>
      <c r="CI332" t="str">
        <f>""</f>
        <v/>
      </c>
      <c r="CJ332" t="str">
        <f>""</f>
        <v/>
      </c>
      <c r="CK332" t="str">
        <f>""</f>
        <v/>
      </c>
      <c r="CL332" t="str">
        <f>""</f>
        <v/>
      </c>
      <c r="CM332" t="str">
        <f>""</f>
        <v/>
      </c>
      <c r="CN332" t="str">
        <f>""</f>
        <v/>
      </c>
      <c r="CO332" t="str">
        <f>""</f>
        <v/>
      </c>
      <c r="CP332" t="str">
        <f>""</f>
        <v/>
      </c>
      <c r="CQ332" t="str">
        <f>""</f>
        <v/>
      </c>
      <c r="CR332" t="str">
        <f>""</f>
        <v/>
      </c>
      <c r="CS332" t="str">
        <f>""</f>
        <v/>
      </c>
      <c r="CT332" t="str">
        <f>""</f>
        <v/>
      </c>
      <c r="CU332" t="str">
        <f>""</f>
        <v/>
      </c>
      <c r="CV332" t="str">
        <f>""</f>
        <v/>
      </c>
      <c r="CW332" t="str">
        <f>""</f>
        <v/>
      </c>
      <c r="CX332" t="str">
        <f>""</f>
        <v/>
      </c>
      <c r="CY332" t="str">
        <f>""</f>
        <v/>
      </c>
      <c r="CZ332" t="str">
        <f>""</f>
        <v/>
      </c>
      <c r="DA332" t="str">
        <f>""</f>
        <v/>
      </c>
      <c r="DB332" t="str">
        <f>""</f>
        <v/>
      </c>
      <c r="DC332" t="str">
        <f>""</f>
        <v/>
      </c>
      <c r="DD332" t="str">
        <f>""</f>
        <v/>
      </c>
      <c r="DE332" t="str">
        <f>""</f>
        <v/>
      </c>
      <c r="DF332" t="str">
        <f>""</f>
        <v/>
      </c>
      <c r="DG332" t="str">
        <f>""</f>
        <v/>
      </c>
      <c r="DH332" t="str">
        <f>""</f>
        <v/>
      </c>
      <c r="DI332" t="str">
        <f>""</f>
        <v/>
      </c>
      <c r="DJ332" t="str">
        <f>""</f>
        <v/>
      </c>
      <c r="DK332" t="str">
        <f>""</f>
        <v/>
      </c>
      <c r="DL332" t="str">
        <f>""</f>
        <v/>
      </c>
      <c r="DM332" t="str">
        <f>""</f>
        <v/>
      </c>
      <c r="DN332" t="str">
        <f>""</f>
        <v/>
      </c>
      <c r="DO332" t="str">
        <f>""</f>
        <v/>
      </c>
      <c r="DP332" t="str">
        <f>""</f>
        <v/>
      </c>
      <c r="DQ332" t="str">
        <f>""</f>
        <v/>
      </c>
      <c r="DR332" t="str">
        <f>""</f>
        <v/>
      </c>
      <c r="DS332" t="str">
        <f>""</f>
        <v/>
      </c>
      <c r="DT332" t="str">
        <f>""</f>
        <v/>
      </c>
      <c r="DU332" t="str">
        <f>""</f>
        <v/>
      </c>
    </row>
    <row r="333" spans="1:125">
      <c r="A333" t="str">
        <f>$A$123</f>
        <v xml:space="preserve">    AvalonBay Communities Inc</v>
      </c>
      <c r="B333" t="str">
        <f>$B$123</f>
        <v>AVB US Equity</v>
      </c>
      <c r="C333" t="str">
        <f>$C$123</f>
        <v>RX225</v>
      </c>
      <c r="D333" t="str">
        <f>$D$123</f>
        <v>EBITDA_TO_REVENUE</v>
      </c>
      <c r="E333" t="str">
        <f>$E$123</f>
        <v>动态</v>
      </c>
      <c r="F333" t="str">
        <f ca="1">BDH($B$123,$C$123,$B$224,$B$225,CONCATENATE("Per=",$B$222),"Dts=H","Dir=H",CONCATENATE("Points=",$B$223),"Sort=R","Days=A","Fill=B",CONCATENATE("FX=", $B$221) )</f>
        <v>#N/A Authorization</v>
      </c>
      <c r="BN333" t="str">
        <f>""</f>
        <v/>
      </c>
      <c r="BO333" t="str">
        <f>""</f>
        <v/>
      </c>
      <c r="BP333" t="str">
        <f>""</f>
        <v/>
      </c>
      <c r="BQ333" t="str">
        <f>""</f>
        <v/>
      </c>
      <c r="BR333" t="str">
        <f>""</f>
        <v/>
      </c>
      <c r="BS333" t="str">
        <f>""</f>
        <v/>
      </c>
      <c r="BT333" t="str">
        <f>""</f>
        <v/>
      </c>
      <c r="BU333" t="str">
        <f>""</f>
        <v/>
      </c>
      <c r="BV333" t="str">
        <f>""</f>
        <v/>
      </c>
      <c r="BW333" t="str">
        <f>""</f>
        <v/>
      </c>
      <c r="BX333" t="str">
        <f>""</f>
        <v/>
      </c>
      <c r="BY333" t="str">
        <f>""</f>
        <v/>
      </c>
      <c r="BZ333" t="str">
        <f>""</f>
        <v/>
      </c>
      <c r="CA333" t="str">
        <f>""</f>
        <v/>
      </c>
      <c r="CB333" t="str">
        <f>""</f>
        <v/>
      </c>
      <c r="CC333" t="str">
        <f>""</f>
        <v/>
      </c>
      <c r="CD333" t="str">
        <f>""</f>
        <v/>
      </c>
      <c r="CE333" t="str">
        <f>""</f>
        <v/>
      </c>
      <c r="CF333" t="str">
        <f>""</f>
        <v/>
      </c>
      <c r="CG333" t="str">
        <f>""</f>
        <v/>
      </c>
      <c r="CH333" t="str">
        <f>""</f>
        <v/>
      </c>
      <c r="CI333" t="str">
        <f>""</f>
        <v/>
      </c>
      <c r="CJ333" t="str">
        <f>""</f>
        <v/>
      </c>
      <c r="CK333" t="str">
        <f>""</f>
        <v/>
      </c>
      <c r="CL333" t="str">
        <f>""</f>
        <v/>
      </c>
      <c r="CM333" t="str">
        <f>""</f>
        <v/>
      </c>
      <c r="CN333" t="str">
        <f>""</f>
        <v/>
      </c>
      <c r="CO333" t="str">
        <f>""</f>
        <v/>
      </c>
      <c r="CP333" t="str">
        <f>""</f>
        <v/>
      </c>
      <c r="CQ333" t="str">
        <f>""</f>
        <v/>
      </c>
      <c r="CR333" t="str">
        <f>""</f>
        <v/>
      </c>
      <c r="CS333" t="str">
        <f>""</f>
        <v/>
      </c>
      <c r="CT333" t="str">
        <f>""</f>
        <v/>
      </c>
      <c r="CU333" t="str">
        <f>""</f>
        <v/>
      </c>
      <c r="CV333" t="str">
        <f>""</f>
        <v/>
      </c>
      <c r="CW333" t="str">
        <f>""</f>
        <v/>
      </c>
      <c r="CX333" t="str">
        <f>""</f>
        <v/>
      </c>
      <c r="CY333" t="str">
        <f>""</f>
        <v/>
      </c>
      <c r="CZ333" t="str">
        <f>""</f>
        <v/>
      </c>
      <c r="DA333" t="str">
        <f>""</f>
        <v/>
      </c>
      <c r="DB333" t="str">
        <f>""</f>
        <v/>
      </c>
      <c r="DC333" t="str">
        <f>""</f>
        <v/>
      </c>
      <c r="DD333" t="str">
        <f>""</f>
        <v/>
      </c>
      <c r="DE333" t="str">
        <f>""</f>
        <v/>
      </c>
      <c r="DF333" t="str">
        <f>""</f>
        <v/>
      </c>
      <c r="DG333" t="str">
        <f>""</f>
        <v/>
      </c>
      <c r="DH333" t="str">
        <f>""</f>
        <v/>
      </c>
      <c r="DI333" t="str">
        <f>""</f>
        <v/>
      </c>
      <c r="DJ333" t="str">
        <f>""</f>
        <v/>
      </c>
      <c r="DK333" t="str">
        <f>""</f>
        <v/>
      </c>
      <c r="DL333" t="str">
        <f>""</f>
        <v/>
      </c>
      <c r="DM333" t="str">
        <f>""</f>
        <v/>
      </c>
      <c r="DN333" t="str">
        <f>""</f>
        <v/>
      </c>
      <c r="DO333" t="str">
        <f>""</f>
        <v/>
      </c>
      <c r="DP333" t="str">
        <f>""</f>
        <v/>
      </c>
      <c r="DQ333" t="str">
        <f>""</f>
        <v/>
      </c>
      <c r="DR333" t="str">
        <f>""</f>
        <v/>
      </c>
      <c r="DS333" t="str">
        <f>""</f>
        <v/>
      </c>
      <c r="DT333" t="str">
        <f>""</f>
        <v/>
      </c>
      <c r="DU333" t="str">
        <f>""</f>
        <v/>
      </c>
    </row>
    <row r="334" spans="1:125">
      <c r="A334" t="str">
        <f>$A$124</f>
        <v xml:space="preserve">    Camden Property Trust</v>
      </c>
      <c r="B334" t="str">
        <f>$B$124</f>
        <v>CPT US Equity</v>
      </c>
      <c r="C334" t="str">
        <f>$C$124</f>
        <v>RX225</v>
      </c>
      <c r="D334" t="str">
        <f>$D$124</f>
        <v>EBITDA_TO_REVENUE</v>
      </c>
      <c r="E334" t="str">
        <f>$E$124</f>
        <v>动态</v>
      </c>
      <c r="F334" t="str">
        <f ca="1">BDH($B$124,$C$124,$B$224,$B$225,CONCATENATE("Per=",$B$222),"Dts=H","Dir=H",CONCATENATE("Points=",$B$223),"Sort=R","Days=A","Fill=B",CONCATENATE("FX=", $B$221) )</f>
        <v>#N/A Authorization</v>
      </c>
      <c r="BN334" t="str">
        <f>""</f>
        <v/>
      </c>
      <c r="BO334" t="str">
        <f>""</f>
        <v/>
      </c>
      <c r="BP334" t="str">
        <f>""</f>
        <v/>
      </c>
      <c r="BQ334" t="str">
        <f>""</f>
        <v/>
      </c>
      <c r="BR334" t="str">
        <f>""</f>
        <v/>
      </c>
      <c r="BS334" t="str">
        <f>""</f>
        <v/>
      </c>
      <c r="BT334" t="str">
        <f>""</f>
        <v/>
      </c>
      <c r="BU334" t="str">
        <f>""</f>
        <v/>
      </c>
      <c r="BV334" t="str">
        <f>""</f>
        <v/>
      </c>
      <c r="BW334" t="str">
        <f>""</f>
        <v/>
      </c>
      <c r="BX334" t="str">
        <f>""</f>
        <v/>
      </c>
      <c r="BY334" t="str">
        <f>""</f>
        <v/>
      </c>
      <c r="BZ334" t="str">
        <f>""</f>
        <v/>
      </c>
      <c r="CA334" t="str">
        <f>""</f>
        <v/>
      </c>
      <c r="CB334" t="str">
        <f>""</f>
        <v/>
      </c>
      <c r="CC334" t="str">
        <f>""</f>
        <v/>
      </c>
      <c r="CD334" t="str">
        <f>""</f>
        <v/>
      </c>
      <c r="CE334" t="str">
        <f>""</f>
        <v/>
      </c>
      <c r="CF334" t="str">
        <f>""</f>
        <v/>
      </c>
      <c r="CG334" t="str">
        <f>""</f>
        <v/>
      </c>
      <c r="CH334" t="str">
        <f>""</f>
        <v/>
      </c>
      <c r="CI334" t="str">
        <f>""</f>
        <v/>
      </c>
      <c r="CJ334" t="str">
        <f>""</f>
        <v/>
      </c>
      <c r="CK334" t="str">
        <f>""</f>
        <v/>
      </c>
      <c r="CL334" t="str">
        <f>""</f>
        <v/>
      </c>
      <c r="CM334" t="str">
        <f>""</f>
        <v/>
      </c>
      <c r="CN334" t="str">
        <f>""</f>
        <v/>
      </c>
      <c r="CO334" t="str">
        <f>""</f>
        <v/>
      </c>
      <c r="CP334" t="str">
        <f>""</f>
        <v/>
      </c>
      <c r="CQ334" t="str">
        <f>""</f>
        <v/>
      </c>
      <c r="CR334" t="str">
        <f>""</f>
        <v/>
      </c>
      <c r="CS334" t="str">
        <f>""</f>
        <v/>
      </c>
      <c r="CT334" t="str">
        <f>""</f>
        <v/>
      </c>
      <c r="CU334" t="str">
        <f>""</f>
        <v/>
      </c>
      <c r="CV334" t="str">
        <f>""</f>
        <v/>
      </c>
      <c r="CW334" t="str">
        <f>""</f>
        <v/>
      </c>
      <c r="CX334" t="str">
        <f>""</f>
        <v/>
      </c>
      <c r="CY334" t="str">
        <f>""</f>
        <v/>
      </c>
      <c r="CZ334" t="str">
        <f>""</f>
        <v/>
      </c>
      <c r="DA334" t="str">
        <f>""</f>
        <v/>
      </c>
      <c r="DB334" t="str">
        <f>""</f>
        <v/>
      </c>
      <c r="DC334" t="str">
        <f>""</f>
        <v/>
      </c>
      <c r="DD334" t="str">
        <f>""</f>
        <v/>
      </c>
      <c r="DE334" t="str">
        <f>""</f>
        <v/>
      </c>
      <c r="DF334" t="str">
        <f>""</f>
        <v/>
      </c>
      <c r="DG334" t="str">
        <f>""</f>
        <v/>
      </c>
      <c r="DH334" t="str">
        <f>""</f>
        <v/>
      </c>
      <c r="DI334" t="str">
        <f>""</f>
        <v/>
      </c>
      <c r="DJ334" t="str">
        <f>""</f>
        <v/>
      </c>
      <c r="DK334" t="str">
        <f>""</f>
        <v/>
      </c>
      <c r="DL334" t="str">
        <f>""</f>
        <v/>
      </c>
      <c r="DM334" t="str">
        <f>""</f>
        <v/>
      </c>
      <c r="DN334" t="str">
        <f>""</f>
        <v/>
      </c>
      <c r="DO334" t="str">
        <f>""</f>
        <v/>
      </c>
      <c r="DP334" t="str">
        <f>""</f>
        <v/>
      </c>
      <c r="DQ334" t="str">
        <f>""</f>
        <v/>
      </c>
      <c r="DR334" t="str">
        <f>""</f>
        <v/>
      </c>
      <c r="DS334" t="str">
        <f>""</f>
        <v/>
      </c>
      <c r="DT334" t="str">
        <f>""</f>
        <v/>
      </c>
      <c r="DU334" t="str">
        <f>""</f>
        <v/>
      </c>
    </row>
    <row r="335" spans="1:125">
      <c r="A335" t="str">
        <f>$A$125</f>
        <v xml:space="preserve">    Education Realty Trust Inc</v>
      </c>
      <c r="B335" t="str">
        <f>$B$125</f>
        <v>EDR US Equity</v>
      </c>
      <c r="C335" t="str">
        <f>$C$125</f>
        <v>RX225</v>
      </c>
      <c r="D335" t="str">
        <f>$D$125</f>
        <v>EBITDA_TO_REVENUE</v>
      </c>
      <c r="E335" t="str">
        <f>$E$125</f>
        <v>动态</v>
      </c>
      <c r="F335" t="str">
        <f ca="1">BDH($B$125,$C$125,$B$224,$B$225,CONCATENATE("Per=",$B$222),"Dts=H","Dir=H",CONCATENATE("Points=",$B$223),"Sort=R","Days=A","Fill=B",CONCATENATE("FX=", $B$221) )</f>
        <v>#N/A Authorization</v>
      </c>
      <c r="BN335" t="str">
        <f>""</f>
        <v/>
      </c>
      <c r="BO335" t="str">
        <f>""</f>
        <v/>
      </c>
      <c r="BP335" t="str">
        <f>""</f>
        <v/>
      </c>
      <c r="BQ335" t="str">
        <f>""</f>
        <v/>
      </c>
      <c r="BR335" t="str">
        <f>""</f>
        <v/>
      </c>
      <c r="BS335" t="str">
        <f>""</f>
        <v/>
      </c>
      <c r="BT335" t="str">
        <f>""</f>
        <v/>
      </c>
      <c r="BU335" t="str">
        <f>""</f>
        <v/>
      </c>
      <c r="BV335" t="str">
        <f>""</f>
        <v/>
      </c>
      <c r="BW335" t="str">
        <f>""</f>
        <v/>
      </c>
      <c r="BX335" t="str">
        <f>""</f>
        <v/>
      </c>
      <c r="BY335" t="str">
        <f>""</f>
        <v/>
      </c>
      <c r="BZ335" t="str">
        <f>""</f>
        <v/>
      </c>
      <c r="CA335" t="str">
        <f>""</f>
        <v/>
      </c>
      <c r="CB335" t="str">
        <f>""</f>
        <v/>
      </c>
      <c r="CC335" t="str">
        <f>""</f>
        <v/>
      </c>
      <c r="CD335" t="str">
        <f>""</f>
        <v/>
      </c>
      <c r="CE335" t="str">
        <f>""</f>
        <v/>
      </c>
      <c r="CF335" t="str">
        <f>""</f>
        <v/>
      </c>
      <c r="CG335" t="str">
        <f>""</f>
        <v/>
      </c>
      <c r="CH335" t="str">
        <f>""</f>
        <v/>
      </c>
      <c r="CI335" t="str">
        <f>""</f>
        <v/>
      </c>
      <c r="CJ335" t="str">
        <f>""</f>
        <v/>
      </c>
      <c r="CK335" t="str">
        <f>""</f>
        <v/>
      </c>
      <c r="CL335" t="str">
        <f>""</f>
        <v/>
      </c>
      <c r="CM335" t="str">
        <f>""</f>
        <v/>
      </c>
      <c r="CN335" t="str">
        <f>""</f>
        <v/>
      </c>
      <c r="CO335" t="str">
        <f>""</f>
        <v/>
      </c>
      <c r="CP335" t="str">
        <f>""</f>
        <v/>
      </c>
      <c r="CQ335" t="str">
        <f>""</f>
        <v/>
      </c>
      <c r="CR335" t="str">
        <f>""</f>
        <v/>
      </c>
      <c r="CS335" t="str">
        <f>""</f>
        <v/>
      </c>
      <c r="CT335" t="str">
        <f>""</f>
        <v/>
      </c>
      <c r="CU335" t="str">
        <f>""</f>
        <v/>
      </c>
      <c r="CV335" t="str">
        <f>""</f>
        <v/>
      </c>
      <c r="CW335" t="str">
        <f>""</f>
        <v/>
      </c>
      <c r="CX335" t="str">
        <f>""</f>
        <v/>
      </c>
      <c r="CY335" t="str">
        <f>""</f>
        <v/>
      </c>
      <c r="CZ335" t="str">
        <f>""</f>
        <v/>
      </c>
      <c r="DA335" t="str">
        <f>""</f>
        <v/>
      </c>
      <c r="DB335" t="str">
        <f>""</f>
        <v/>
      </c>
      <c r="DC335" t="str">
        <f>""</f>
        <v/>
      </c>
      <c r="DD335" t="str">
        <f>""</f>
        <v/>
      </c>
      <c r="DE335" t="str">
        <f>""</f>
        <v/>
      </c>
      <c r="DF335" t="str">
        <f>""</f>
        <v/>
      </c>
      <c r="DG335" t="str">
        <f>""</f>
        <v/>
      </c>
      <c r="DH335" t="str">
        <f>""</f>
        <v/>
      </c>
      <c r="DI335" t="str">
        <f>""</f>
        <v/>
      </c>
      <c r="DJ335" t="str">
        <f>""</f>
        <v/>
      </c>
      <c r="DK335" t="str">
        <f>""</f>
        <v/>
      </c>
      <c r="DL335" t="str">
        <f>""</f>
        <v/>
      </c>
      <c r="DM335" t="str">
        <f>""</f>
        <v/>
      </c>
      <c r="DN335" t="str">
        <f>""</f>
        <v/>
      </c>
      <c r="DO335" t="str">
        <f>""</f>
        <v/>
      </c>
      <c r="DP335" t="str">
        <f>""</f>
        <v/>
      </c>
      <c r="DQ335" t="str">
        <f>""</f>
        <v/>
      </c>
      <c r="DR335" t="str">
        <f>""</f>
        <v/>
      </c>
      <c r="DS335" t="str">
        <f>""</f>
        <v/>
      </c>
      <c r="DT335" t="str">
        <f>""</f>
        <v/>
      </c>
      <c r="DU335" t="str">
        <f>""</f>
        <v/>
      </c>
    </row>
    <row r="336" spans="1:125">
      <c r="A336" t="str">
        <f>$A$126</f>
        <v xml:space="preserve">    Equity Residential</v>
      </c>
      <c r="B336" t="str">
        <f>$B$126</f>
        <v>EQR US Equity</v>
      </c>
      <c r="C336" t="str">
        <f>$C$126</f>
        <v>RX225</v>
      </c>
      <c r="D336" t="str">
        <f>$D$126</f>
        <v>EBITDA_TO_REVENUE</v>
      </c>
      <c r="E336" t="str">
        <f>$E$126</f>
        <v>动态</v>
      </c>
      <c r="F336" t="str">
        <f ca="1">BDH($B$126,$C$126,$B$224,$B$225,CONCATENATE("Per=",$B$222),"Dts=H","Dir=H",CONCATENATE("Points=",$B$223),"Sort=R","Days=A","Fill=B",CONCATENATE("FX=", $B$221) )</f>
        <v>#N/A Authorization</v>
      </c>
      <c r="BN336" t="str">
        <f>""</f>
        <v/>
      </c>
      <c r="BO336" t="str">
        <f>""</f>
        <v/>
      </c>
      <c r="BP336" t="str">
        <f>""</f>
        <v/>
      </c>
      <c r="BQ336" t="str">
        <f>""</f>
        <v/>
      </c>
      <c r="BR336" t="str">
        <f>""</f>
        <v/>
      </c>
      <c r="BS336" t="str">
        <f>""</f>
        <v/>
      </c>
      <c r="BT336" t="str">
        <f>""</f>
        <v/>
      </c>
      <c r="BU336" t="str">
        <f>""</f>
        <v/>
      </c>
      <c r="BV336" t="str">
        <f>""</f>
        <v/>
      </c>
      <c r="BW336" t="str">
        <f>""</f>
        <v/>
      </c>
      <c r="BX336" t="str">
        <f>""</f>
        <v/>
      </c>
      <c r="BY336" t="str">
        <f>""</f>
        <v/>
      </c>
      <c r="BZ336" t="str">
        <f>""</f>
        <v/>
      </c>
      <c r="CA336" t="str">
        <f>""</f>
        <v/>
      </c>
      <c r="CB336" t="str">
        <f>""</f>
        <v/>
      </c>
      <c r="CC336" t="str">
        <f>""</f>
        <v/>
      </c>
      <c r="CD336" t="str">
        <f>""</f>
        <v/>
      </c>
      <c r="CE336" t="str">
        <f>""</f>
        <v/>
      </c>
      <c r="CF336" t="str">
        <f>""</f>
        <v/>
      </c>
      <c r="CG336" t="str">
        <f>""</f>
        <v/>
      </c>
      <c r="CH336" t="str">
        <f>""</f>
        <v/>
      </c>
      <c r="CI336" t="str">
        <f>""</f>
        <v/>
      </c>
      <c r="CJ336" t="str">
        <f>""</f>
        <v/>
      </c>
      <c r="CK336" t="str">
        <f>""</f>
        <v/>
      </c>
      <c r="CL336" t="str">
        <f>""</f>
        <v/>
      </c>
      <c r="CM336" t="str">
        <f>""</f>
        <v/>
      </c>
      <c r="CN336" t="str">
        <f>""</f>
        <v/>
      </c>
      <c r="CO336" t="str">
        <f>""</f>
        <v/>
      </c>
      <c r="CP336" t="str">
        <f>""</f>
        <v/>
      </c>
      <c r="CQ336" t="str">
        <f>""</f>
        <v/>
      </c>
      <c r="CR336" t="str">
        <f>""</f>
        <v/>
      </c>
      <c r="CS336" t="str">
        <f>""</f>
        <v/>
      </c>
      <c r="CT336" t="str">
        <f>""</f>
        <v/>
      </c>
      <c r="CU336" t="str">
        <f>""</f>
        <v/>
      </c>
      <c r="CV336" t="str">
        <f>""</f>
        <v/>
      </c>
      <c r="CW336" t="str">
        <f>""</f>
        <v/>
      </c>
      <c r="CX336" t="str">
        <f>""</f>
        <v/>
      </c>
      <c r="CY336" t="str">
        <f>""</f>
        <v/>
      </c>
      <c r="CZ336" t="str">
        <f>""</f>
        <v/>
      </c>
      <c r="DA336" t="str">
        <f>""</f>
        <v/>
      </c>
      <c r="DB336" t="str">
        <f>""</f>
        <v/>
      </c>
      <c r="DC336" t="str">
        <f>""</f>
        <v/>
      </c>
      <c r="DD336" t="str">
        <f>""</f>
        <v/>
      </c>
      <c r="DE336" t="str">
        <f>""</f>
        <v/>
      </c>
      <c r="DF336" t="str">
        <f>""</f>
        <v/>
      </c>
      <c r="DG336" t="str">
        <f>""</f>
        <v/>
      </c>
      <c r="DH336" t="str">
        <f>""</f>
        <v/>
      </c>
      <c r="DI336" t="str">
        <f>""</f>
        <v/>
      </c>
      <c r="DJ336" t="str">
        <f>""</f>
        <v/>
      </c>
      <c r="DK336" t="str">
        <f>""</f>
        <v/>
      </c>
      <c r="DL336" t="str">
        <f>""</f>
        <v/>
      </c>
      <c r="DM336" t="str">
        <f>""</f>
        <v/>
      </c>
      <c r="DN336" t="str">
        <f>""</f>
        <v/>
      </c>
      <c r="DO336" t="str">
        <f>""</f>
        <v/>
      </c>
      <c r="DP336" t="str">
        <f>""</f>
        <v/>
      </c>
      <c r="DQ336" t="str">
        <f>""</f>
        <v/>
      </c>
      <c r="DR336" t="str">
        <f>""</f>
        <v/>
      </c>
      <c r="DS336" t="str">
        <f>""</f>
        <v/>
      </c>
      <c r="DT336" t="str">
        <f>""</f>
        <v/>
      </c>
      <c r="DU336" t="str">
        <f>""</f>
        <v/>
      </c>
    </row>
    <row r="337" spans="1:125">
      <c r="A337" t="str">
        <f>$A$127</f>
        <v xml:space="preserve">    Essex Property Trust Inc</v>
      </c>
      <c r="B337" t="str">
        <f>$B$127</f>
        <v>ESS US Equity</v>
      </c>
      <c r="C337" t="str">
        <f>$C$127</f>
        <v>RX225</v>
      </c>
      <c r="D337" t="str">
        <f>$D$127</f>
        <v>EBITDA_TO_REVENUE</v>
      </c>
      <c r="E337" t="str">
        <f>$E$127</f>
        <v>动态</v>
      </c>
      <c r="F337" t="str">
        <f ca="1">BDH($B$127,$C$127,$B$224,$B$225,CONCATENATE("Per=",$B$222),"Dts=H","Dir=H",CONCATENATE("Points=",$B$223),"Sort=R","Days=A","Fill=B",CONCATENATE("FX=", $B$221) )</f>
        <v>#N/A Authorization</v>
      </c>
      <c r="BN337" t="str">
        <f>""</f>
        <v/>
      </c>
      <c r="BO337" t="str">
        <f>""</f>
        <v/>
      </c>
      <c r="BP337" t="str">
        <f>""</f>
        <v/>
      </c>
      <c r="BQ337" t="str">
        <f>""</f>
        <v/>
      </c>
      <c r="BR337" t="str">
        <f>""</f>
        <v/>
      </c>
      <c r="BS337" t="str">
        <f>""</f>
        <v/>
      </c>
      <c r="BT337" t="str">
        <f>""</f>
        <v/>
      </c>
      <c r="BU337" t="str">
        <f>""</f>
        <v/>
      </c>
      <c r="BV337" t="str">
        <f>""</f>
        <v/>
      </c>
      <c r="BW337" t="str">
        <f>""</f>
        <v/>
      </c>
      <c r="BX337" t="str">
        <f>""</f>
        <v/>
      </c>
      <c r="BY337" t="str">
        <f>""</f>
        <v/>
      </c>
      <c r="BZ337" t="str">
        <f>""</f>
        <v/>
      </c>
      <c r="CA337" t="str">
        <f>""</f>
        <v/>
      </c>
      <c r="CB337" t="str">
        <f>""</f>
        <v/>
      </c>
      <c r="CC337" t="str">
        <f>""</f>
        <v/>
      </c>
      <c r="CD337" t="str">
        <f>""</f>
        <v/>
      </c>
      <c r="CE337" t="str">
        <f>""</f>
        <v/>
      </c>
      <c r="CF337" t="str">
        <f>""</f>
        <v/>
      </c>
      <c r="CG337" t="str">
        <f>""</f>
        <v/>
      </c>
      <c r="CH337" t="str">
        <f>""</f>
        <v/>
      </c>
      <c r="CI337" t="str">
        <f>""</f>
        <v/>
      </c>
      <c r="CJ337" t="str">
        <f>""</f>
        <v/>
      </c>
      <c r="CK337" t="str">
        <f>""</f>
        <v/>
      </c>
      <c r="CL337" t="str">
        <f>""</f>
        <v/>
      </c>
      <c r="CM337" t="str">
        <f>""</f>
        <v/>
      </c>
      <c r="CN337" t="str">
        <f>""</f>
        <v/>
      </c>
      <c r="CO337" t="str">
        <f>""</f>
        <v/>
      </c>
      <c r="CP337" t="str">
        <f>""</f>
        <v/>
      </c>
      <c r="CQ337" t="str">
        <f>""</f>
        <v/>
      </c>
      <c r="CR337" t="str">
        <f>""</f>
        <v/>
      </c>
      <c r="CS337" t="str">
        <f>""</f>
        <v/>
      </c>
      <c r="CT337" t="str">
        <f>""</f>
        <v/>
      </c>
      <c r="CU337" t="str">
        <f>""</f>
        <v/>
      </c>
      <c r="CV337" t="str">
        <f>""</f>
        <v/>
      </c>
      <c r="CW337" t="str">
        <f>""</f>
        <v/>
      </c>
      <c r="CX337" t="str">
        <f>""</f>
        <v/>
      </c>
      <c r="CY337" t="str">
        <f>""</f>
        <v/>
      </c>
      <c r="CZ337" t="str">
        <f>""</f>
        <v/>
      </c>
      <c r="DA337" t="str">
        <f>""</f>
        <v/>
      </c>
      <c r="DB337" t="str">
        <f>""</f>
        <v/>
      </c>
      <c r="DC337" t="str">
        <f>""</f>
        <v/>
      </c>
      <c r="DD337" t="str">
        <f>""</f>
        <v/>
      </c>
      <c r="DE337" t="str">
        <f>""</f>
        <v/>
      </c>
      <c r="DF337" t="str">
        <f>""</f>
        <v/>
      </c>
      <c r="DG337" t="str">
        <f>""</f>
        <v/>
      </c>
      <c r="DH337" t="str">
        <f>""</f>
        <v/>
      </c>
      <c r="DI337" t="str">
        <f>""</f>
        <v/>
      </c>
      <c r="DJ337" t="str">
        <f>""</f>
        <v/>
      </c>
      <c r="DK337" t="str">
        <f>""</f>
        <v/>
      </c>
      <c r="DL337" t="str">
        <f>""</f>
        <v/>
      </c>
      <c r="DM337" t="str">
        <f>""</f>
        <v/>
      </c>
      <c r="DN337" t="str">
        <f>""</f>
        <v/>
      </c>
      <c r="DO337" t="str">
        <f>""</f>
        <v/>
      </c>
      <c r="DP337" t="str">
        <f>""</f>
        <v/>
      </c>
      <c r="DQ337" t="str">
        <f>""</f>
        <v/>
      </c>
      <c r="DR337" t="str">
        <f>""</f>
        <v/>
      </c>
      <c r="DS337" t="str">
        <f>""</f>
        <v/>
      </c>
      <c r="DT337" t="str">
        <f>""</f>
        <v/>
      </c>
      <c r="DU337" t="str">
        <f>""</f>
        <v/>
      </c>
    </row>
    <row r="338" spans="1:125">
      <c r="A338" t="str">
        <f>$A$128</f>
        <v xml:space="preserve">    Mid-America Apartment Communit</v>
      </c>
      <c r="B338" t="str">
        <f>$B$128</f>
        <v>MAA US Equity</v>
      </c>
      <c r="C338" t="str">
        <f>$C$128</f>
        <v>RX225</v>
      </c>
      <c r="D338" t="str">
        <f>$D$128</f>
        <v>EBITDA_TO_REVENUE</v>
      </c>
      <c r="E338" t="str">
        <f>$E$128</f>
        <v>动态</v>
      </c>
      <c r="F338" t="str">
        <f ca="1">BDH($B$128,$C$128,$B$224,$B$225,CONCATENATE("Per=",$B$222),"Dts=H","Dir=H",CONCATENATE("Points=",$B$223),"Sort=R","Days=A","Fill=B",CONCATENATE("FX=", $B$221) )</f>
        <v>#N/A Authorization</v>
      </c>
      <c r="BN338" t="str">
        <f>""</f>
        <v/>
      </c>
      <c r="BO338" t="str">
        <f>""</f>
        <v/>
      </c>
      <c r="BP338" t="str">
        <f>""</f>
        <v/>
      </c>
      <c r="BQ338" t="str">
        <f>""</f>
        <v/>
      </c>
      <c r="BR338" t="str">
        <f>""</f>
        <v/>
      </c>
      <c r="BS338" t="str">
        <f>""</f>
        <v/>
      </c>
      <c r="BT338" t="str">
        <f>""</f>
        <v/>
      </c>
      <c r="BU338" t="str">
        <f>""</f>
        <v/>
      </c>
      <c r="BV338" t="str">
        <f>""</f>
        <v/>
      </c>
      <c r="BW338" t="str">
        <f>""</f>
        <v/>
      </c>
      <c r="BX338" t="str">
        <f>""</f>
        <v/>
      </c>
      <c r="BY338" t="str">
        <f>""</f>
        <v/>
      </c>
      <c r="BZ338" t="str">
        <f>""</f>
        <v/>
      </c>
      <c r="CA338" t="str">
        <f>""</f>
        <v/>
      </c>
      <c r="CB338" t="str">
        <f>""</f>
        <v/>
      </c>
      <c r="CC338" t="str">
        <f>""</f>
        <v/>
      </c>
      <c r="CD338" t="str">
        <f>""</f>
        <v/>
      </c>
      <c r="CE338" t="str">
        <f>""</f>
        <v/>
      </c>
      <c r="CF338" t="str">
        <f>""</f>
        <v/>
      </c>
      <c r="CG338" t="str">
        <f>""</f>
        <v/>
      </c>
      <c r="CH338" t="str">
        <f>""</f>
        <v/>
      </c>
      <c r="CI338" t="str">
        <f>""</f>
        <v/>
      </c>
      <c r="CJ338" t="str">
        <f>""</f>
        <v/>
      </c>
      <c r="CK338" t="str">
        <f>""</f>
        <v/>
      </c>
      <c r="CL338" t="str">
        <f>""</f>
        <v/>
      </c>
      <c r="CM338" t="str">
        <f>""</f>
        <v/>
      </c>
      <c r="CN338" t="str">
        <f>""</f>
        <v/>
      </c>
      <c r="CO338" t="str">
        <f>""</f>
        <v/>
      </c>
      <c r="CP338" t="str">
        <f>""</f>
        <v/>
      </c>
      <c r="CQ338" t="str">
        <f>""</f>
        <v/>
      </c>
      <c r="CR338" t="str">
        <f>""</f>
        <v/>
      </c>
      <c r="CS338" t="str">
        <f>""</f>
        <v/>
      </c>
      <c r="CT338" t="str">
        <f>""</f>
        <v/>
      </c>
      <c r="CU338" t="str">
        <f>""</f>
        <v/>
      </c>
      <c r="CV338" t="str">
        <f>""</f>
        <v/>
      </c>
      <c r="CW338" t="str">
        <f>""</f>
        <v/>
      </c>
      <c r="CX338" t="str">
        <f>""</f>
        <v/>
      </c>
      <c r="CY338" t="str">
        <f>""</f>
        <v/>
      </c>
      <c r="CZ338" t="str">
        <f>""</f>
        <v/>
      </c>
      <c r="DA338" t="str">
        <f>""</f>
        <v/>
      </c>
      <c r="DB338" t="str">
        <f>""</f>
        <v/>
      </c>
      <c r="DC338" t="str">
        <f>""</f>
        <v/>
      </c>
      <c r="DD338" t="str">
        <f>""</f>
        <v/>
      </c>
      <c r="DE338" t="str">
        <f>""</f>
        <v/>
      </c>
      <c r="DF338" t="str">
        <f>""</f>
        <v/>
      </c>
      <c r="DG338" t="str">
        <f>""</f>
        <v/>
      </c>
      <c r="DH338" t="str">
        <f>""</f>
        <v/>
      </c>
      <c r="DI338" t="str">
        <f>""</f>
        <v/>
      </c>
      <c r="DJ338" t="str">
        <f>""</f>
        <v/>
      </c>
      <c r="DK338" t="str">
        <f>""</f>
        <v/>
      </c>
      <c r="DL338" t="str">
        <f>""</f>
        <v/>
      </c>
      <c r="DM338" t="str">
        <f>""</f>
        <v/>
      </c>
      <c r="DN338" t="str">
        <f>""</f>
        <v/>
      </c>
      <c r="DO338" t="str">
        <f>""</f>
        <v/>
      </c>
      <c r="DP338" t="str">
        <f>""</f>
        <v/>
      </c>
      <c r="DQ338" t="str">
        <f>""</f>
        <v/>
      </c>
      <c r="DR338" t="str">
        <f>""</f>
        <v/>
      </c>
      <c r="DS338" t="str">
        <f>""</f>
        <v/>
      </c>
      <c r="DT338" t="str">
        <f>""</f>
        <v/>
      </c>
      <c r="DU338" t="str">
        <f>""</f>
        <v/>
      </c>
    </row>
    <row r="339" spans="1:125">
      <c r="A339" t="str">
        <f>$A$129</f>
        <v xml:space="preserve">    UDR Inc</v>
      </c>
      <c r="B339" t="str">
        <f>$B$129</f>
        <v>UDR US Equity</v>
      </c>
      <c r="C339" t="str">
        <f>$C$129</f>
        <v>RX225</v>
      </c>
      <c r="D339" t="str">
        <f>$D$129</f>
        <v>EBITDA_TO_REVENUE</v>
      </c>
      <c r="E339" t="str">
        <f>$E$129</f>
        <v>动态</v>
      </c>
      <c r="F339" t="str">
        <f ca="1">BDH($B$129,$C$129,$B$224,$B$225,CONCATENATE("Per=",$B$222),"Dts=H","Dir=H",CONCATENATE("Points=",$B$223),"Sort=R","Days=A","Fill=B",CONCATENATE("FX=", $B$221) )</f>
        <v>#N/A Authorization</v>
      </c>
      <c r="BN339" t="str">
        <f>""</f>
        <v/>
      </c>
      <c r="BO339" t="str">
        <f>""</f>
        <v/>
      </c>
      <c r="BP339" t="str">
        <f>""</f>
        <v/>
      </c>
      <c r="BQ339" t="str">
        <f>""</f>
        <v/>
      </c>
      <c r="BR339" t="str">
        <f>""</f>
        <v/>
      </c>
      <c r="BS339" t="str">
        <f>""</f>
        <v/>
      </c>
      <c r="BT339" t="str">
        <f>""</f>
        <v/>
      </c>
      <c r="BU339" t="str">
        <f>""</f>
        <v/>
      </c>
      <c r="BV339" t="str">
        <f>""</f>
        <v/>
      </c>
      <c r="BW339" t="str">
        <f>""</f>
        <v/>
      </c>
      <c r="BX339" t="str">
        <f>""</f>
        <v/>
      </c>
      <c r="BY339" t="str">
        <f>""</f>
        <v/>
      </c>
      <c r="BZ339" t="str">
        <f>""</f>
        <v/>
      </c>
      <c r="CA339" t="str">
        <f>""</f>
        <v/>
      </c>
      <c r="CB339" t="str">
        <f>""</f>
        <v/>
      </c>
      <c r="CC339" t="str">
        <f>""</f>
        <v/>
      </c>
      <c r="CD339" t="str">
        <f>""</f>
        <v/>
      </c>
      <c r="CE339" t="str">
        <f>""</f>
        <v/>
      </c>
      <c r="CF339" t="str">
        <f>""</f>
        <v/>
      </c>
      <c r="CG339" t="str">
        <f>""</f>
        <v/>
      </c>
      <c r="CH339" t="str">
        <f>""</f>
        <v/>
      </c>
      <c r="CI339" t="str">
        <f>""</f>
        <v/>
      </c>
      <c r="CJ339" t="str">
        <f>""</f>
        <v/>
      </c>
      <c r="CK339" t="str">
        <f>""</f>
        <v/>
      </c>
      <c r="CL339" t="str">
        <f>""</f>
        <v/>
      </c>
      <c r="CM339" t="str">
        <f>""</f>
        <v/>
      </c>
      <c r="CN339" t="str">
        <f>""</f>
        <v/>
      </c>
      <c r="CO339" t="str">
        <f>""</f>
        <v/>
      </c>
      <c r="CP339" t="str">
        <f>""</f>
        <v/>
      </c>
      <c r="CQ339" t="str">
        <f>""</f>
        <v/>
      </c>
      <c r="CR339" t="str">
        <f>""</f>
        <v/>
      </c>
      <c r="CS339" t="str">
        <f>""</f>
        <v/>
      </c>
      <c r="CT339" t="str">
        <f>""</f>
        <v/>
      </c>
      <c r="CU339" t="str">
        <f>""</f>
        <v/>
      </c>
      <c r="CV339" t="str">
        <f>""</f>
        <v/>
      </c>
      <c r="CW339" t="str">
        <f>""</f>
        <v/>
      </c>
      <c r="CX339" t="str">
        <f>""</f>
        <v/>
      </c>
      <c r="CY339" t="str">
        <f>""</f>
        <v/>
      </c>
      <c r="CZ339" t="str">
        <f>""</f>
        <v/>
      </c>
      <c r="DA339" t="str">
        <f>""</f>
        <v/>
      </c>
      <c r="DB339" t="str">
        <f>""</f>
        <v/>
      </c>
      <c r="DC339" t="str">
        <f>""</f>
        <v/>
      </c>
      <c r="DD339" t="str">
        <f>""</f>
        <v/>
      </c>
      <c r="DE339" t="str">
        <f>""</f>
        <v/>
      </c>
      <c r="DF339" t="str">
        <f>""</f>
        <v/>
      </c>
      <c r="DG339" t="str">
        <f>""</f>
        <v/>
      </c>
      <c r="DH339" t="str">
        <f>""</f>
        <v/>
      </c>
      <c r="DI339" t="str">
        <f>""</f>
        <v/>
      </c>
      <c r="DJ339" t="str">
        <f>""</f>
        <v/>
      </c>
      <c r="DK339" t="str">
        <f>""</f>
        <v/>
      </c>
      <c r="DL339" t="str">
        <f>""</f>
        <v/>
      </c>
      <c r="DM339" t="str">
        <f>""</f>
        <v/>
      </c>
      <c r="DN339" t="str">
        <f>""</f>
        <v/>
      </c>
      <c r="DO339" t="str">
        <f>""</f>
        <v/>
      </c>
      <c r="DP339" t="str">
        <f>""</f>
        <v/>
      </c>
      <c r="DQ339" t="str">
        <f>""</f>
        <v/>
      </c>
      <c r="DR339" t="str">
        <f>""</f>
        <v/>
      </c>
      <c r="DS339" t="str">
        <f>""</f>
        <v/>
      </c>
      <c r="DT339" t="str">
        <f>""</f>
        <v/>
      </c>
      <c r="DU339" t="str">
        <f>""</f>
        <v/>
      </c>
    </row>
    <row r="340" spans="1:125">
      <c r="A340" t="str">
        <f>$A$131</f>
        <v xml:space="preserve">    American Campus Communities In</v>
      </c>
      <c r="B340" t="str">
        <f>$B$131</f>
        <v>ACC US Equity</v>
      </c>
      <c r="C340" t="str">
        <f>$C$131</f>
        <v>RX902</v>
      </c>
      <c r="D340" t="str">
        <f>$D$131</f>
        <v>ANN_NOI_GR_AST_NET_RTL_DEV_CTD_%</v>
      </c>
      <c r="E340" t="str">
        <f>$E$131</f>
        <v>动态</v>
      </c>
      <c r="F340" t="str">
        <f ca="1">BDH($B$131,$C$131,$B$224,$B$225,CONCATENATE("Per=",$B$222),"Dts=H","Dir=H",CONCATENATE("Points=",$B$223),"Sort=R","Days=A","Fill=B",CONCATENATE("FX=", $B$221) )</f>
        <v>#N/A Authorization</v>
      </c>
      <c r="BN340" t="str">
        <f>""</f>
        <v/>
      </c>
      <c r="BO340" t="str">
        <f>""</f>
        <v/>
      </c>
      <c r="BP340" t="str">
        <f>""</f>
        <v/>
      </c>
      <c r="BQ340" t="str">
        <f>""</f>
        <v/>
      </c>
      <c r="BR340" t="str">
        <f>""</f>
        <v/>
      </c>
      <c r="BS340" t="str">
        <f>""</f>
        <v/>
      </c>
      <c r="BT340" t="str">
        <f>""</f>
        <v/>
      </c>
      <c r="BU340" t="str">
        <f>""</f>
        <v/>
      </c>
      <c r="BV340" t="str">
        <f>""</f>
        <v/>
      </c>
      <c r="BW340" t="str">
        <f>""</f>
        <v/>
      </c>
      <c r="BX340" t="str">
        <f>""</f>
        <v/>
      </c>
      <c r="BY340" t="str">
        <f>""</f>
        <v/>
      </c>
      <c r="BZ340" t="str">
        <f>""</f>
        <v/>
      </c>
      <c r="CA340" t="str">
        <f>""</f>
        <v/>
      </c>
      <c r="CB340" t="str">
        <f>""</f>
        <v/>
      </c>
      <c r="CC340" t="str">
        <f>""</f>
        <v/>
      </c>
      <c r="CD340" t="str">
        <f>""</f>
        <v/>
      </c>
      <c r="CE340" t="str">
        <f>""</f>
        <v/>
      </c>
      <c r="CF340" t="str">
        <f>""</f>
        <v/>
      </c>
      <c r="CG340" t="str">
        <f>""</f>
        <v/>
      </c>
      <c r="CH340" t="str">
        <f>""</f>
        <v/>
      </c>
      <c r="CI340" t="str">
        <f>""</f>
        <v/>
      </c>
      <c r="CJ340" t="str">
        <f>""</f>
        <v/>
      </c>
      <c r="CK340" t="str">
        <f>""</f>
        <v/>
      </c>
      <c r="CL340" t="str">
        <f>""</f>
        <v/>
      </c>
      <c r="CM340" t="str">
        <f>""</f>
        <v/>
      </c>
      <c r="CN340" t="str">
        <f>""</f>
        <v/>
      </c>
      <c r="CO340" t="str">
        <f>""</f>
        <v/>
      </c>
      <c r="CP340" t="str">
        <f>""</f>
        <v/>
      </c>
      <c r="CQ340" t="str">
        <f>""</f>
        <v/>
      </c>
      <c r="CR340" t="str">
        <f>""</f>
        <v/>
      </c>
      <c r="CS340" t="str">
        <f>""</f>
        <v/>
      </c>
      <c r="CT340" t="str">
        <f>""</f>
        <v/>
      </c>
      <c r="CU340" t="str">
        <f>""</f>
        <v/>
      </c>
      <c r="CV340" t="str">
        <f>""</f>
        <v/>
      </c>
      <c r="CW340" t="str">
        <f>""</f>
        <v/>
      </c>
      <c r="CX340" t="str">
        <f>""</f>
        <v/>
      </c>
      <c r="CY340" t="str">
        <f>""</f>
        <v/>
      </c>
      <c r="CZ340" t="str">
        <f>""</f>
        <v/>
      </c>
      <c r="DA340" t="str">
        <f>""</f>
        <v/>
      </c>
      <c r="DB340" t="str">
        <f>""</f>
        <v/>
      </c>
      <c r="DC340" t="str">
        <f>""</f>
        <v/>
      </c>
      <c r="DD340" t="str">
        <f>""</f>
        <v/>
      </c>
      <c r="DE340" t="str">
        <f>""</f>
        <v/>
      </c>
      <c r="DF340" t="str">
        <f>""</f>
        <v/>
      </c>
      <c r="DG340" t="str">
        <f>""</f>
        <v/>
      </c>
      <c r="DH340" t="str">
        <f>""</f>
        <v/>
      </c>
      <c r="DI340" t="str">
        <f>""</f>
        <v/>
      </c>
      <c r="DJ340" t="str">
        <f>""</f>
        <v/>
      </c>
      <c r="DK340" t="str">
        <f>""</f>
        <v/>
      </c>
      <c r="DL340" t="str">
        <f>""</f>
        <v/>
      </c>
      <c r="DM340" t="str">
        <f>""</f>
        <v/>
      </c>
      <c r="DN340" t="str">
        <f>""</f>
        <v/>
      </c>
      <c r="DO340" t="str">
        <f>""</f>
        <v/>
      </c>
      <c r="DP340" t="str">
        <f>""</f>
        <v/>
      </c>
      <c r="DQ340" t="str">
        <f>""</f>
        <v/>
      </c>
      <c r="DR340" t="str">
        <f>""</f>
        <v/>
      </c>
      <c r="DS340" t="str">
        <f>""</f>
        <v/>
      </c>
      <c r="DT340" t="str">
        <f>""</f>
        <v/>
      </c>
      <c r="DU340" t="str">
        <f>""</f>
        <v/>
      </c>
    </row>
    <row r="341" spans="1:125">
      <c r="A341" t="str">
        <f>$A$132</f>
        <v xml:space="preserve">    AvalonBay Communities Inc</v>
      </c>
      <c r="B341" t="str">
        <f>$B$132</f>
        <v>AVB US Equity</v>
      </c>
      <c r="C341" t="str">
        <f>$C$132</f>
        <v>RX902</v>
      </c>
      <c r="D341" t="str">
        <f>$D$132</f>
        <v>ANN_NOI_GR_AST_NET_RTL_DEV_CTD_%</v>
      </c>
      <c r="E341" t="str">
        <f>$E$132</f>
        <v>动态</v>
      </c>
      <c r="F341" t="str">
        <f ca="1">BDH($B$132,$C$132,$B$224,$B$225,CONCATENATE("Per=",$B$222),"Dts=H","Dir=H",CONCATENATE("Points=",$B$223),"Sort=R","Days=A","Fill=B",CONCATENATE("FX=", $B$221) )</f>
        <v>#N/A Authorization</v>
      </c>
      <c r="BN341" t="str">
        <f>""</f>
        <v/>
      </c>
      <c r="BO341" t="str">
        <f>""</f>
        <v/>
      </c>
      <c r="BP341" t="str">
        <f>""</f>
        <v/>
      </c>
      <c r="BQ341" t="str">
        <f>""</f>
        <v/>
      </c>
      <c r="BR341" t="str">
        <f>""</f>
        <v/>
      </c>
      <c r="BS341" t="str">
        <f>""</f>
        <v/>
      </c>
      <c r="BT341" t="str">
        <f>""</f>
        <v/>
      </c>
      <c r="BU341" t="str">
        <f>""</f>
        <v/>
      </c>
      <c r="BV341" t="str">
        <f>""</f>
        <v/>
      </c>
      <c r="BW341" t="str">
        <f>""</f>
        <v/>
      </c>
      <c r="BX341" t="str">
        <f>""</f>
        <v/>
      </c>
      <c r="BY341" t="str">
        <f>""</f>
        <v/>
      </c>
      <c r="BZ341" t="str">
        <f>""</f>
        <v/>
      </c>
      <c r="CA341" t="str">
        <f>""</f>
        <v/>
      </c>
      <c r="CB341" t="str">
        <f>""</f>
        <v/>
      </c>
      <c r="CC341" t="str">
        <f>""</f>
        <v/>
      </c>
      <c r="CD341" t="str">
        <f>""</f>
        <v/>
      </c>
      <c r="CE341" t="str">
        <f>""</f>
        <v/>
      </c>
      <c r="CF341" t="str">
        <f>""</f>
        <v/>
      </c>
      <c r="CG341" t="str">
        <f>""</f>
        <v/>
      </c>
      <c r="CH341" t="str">
        <f>""</f>
        <v/>
      </c>
      <c r="CI341" t="str">
        <f>""</f>
        <v/>
      </c>
      <c r="CJ341" t="str">
        <f>""</f>
        <v/>
      </c>
      <c r="CK341" t="str">
        <f>""</f>
        <v/>
      </c>
      <c r="CL341" t="str">
        <f>""</f>
        <v/>
      </c>
      <c r="CM341" t="str">
        <f>""</f>
        <v/>
      </c>
      <c r="CN341" t="str">
        <f>""</f>
        <v/>
      </c>
      <c r="CO341" t="str">
        <f>""</f>
        <v/>
      </c>
      <c r="CP341" t="str">
        <f>""</f>
        <v/>
      </c>
      <c r="CQ341" t="str">
        <f>""</f>
        <v/>
      </c>
      <c r="CR341" t="str">
        <f>""</f>
        <v/>
      </c>
      <c r="CS341" t="str">
        <f>""</f>
        <v/>
      </c>
      <c r="CT341" t="str">
        <f>""</f>
        <v/>
      </c>
      <c r="CU341" t="str">
        <f>""</f>
        <v/>
      </c>
      <c r="CV341" t="str">
        <f>""</f>
        <v/>
      </c>
      <c r="CW341" t="str">
        <f>""</f>
        <v/>
      </c>
      <c r="CX341" t="str">
        <f>""</f>
        <v/>
      </c>
      <c r="CY341" t="str">
        <f>""</f>
        <v/>
      </c>
      <c r="CZ341" t="str">
        <f>""</f>
        <v/>
      </c>
      <c r="DA341" t="str">
        <f>""</f>
        <v/>
      </c>
      <c r="DB341" t="str">
        <f>""</f>
        <v/>
      </c>
      <c r="DC341" t="str">
        <f>""</f>
        <v/>
      </c>
      <c r="DD341" t="str">
        <f>""</f>
        <v/>
      </c>
      <c r="DE341" t="str">
        <f>""</f>
        <v/>
      </c>
      <c r="DF341" t="str">
        <f>""</f>
        <v/>
      </c>
      <c r="DG341" t="str">
        <f>""</f>
        <v/>
      </c>
      <c r="DH341" t="str">
        <f>""</f>
        <v/>
      </c>
      <c r="DI341" t="str">
        <f>""</f>
        <v/>
      </c>
      <c r="DJ341" t="str">
        <f>""</f>
        <v/>
      </c>
      <c r="DK341" t="str">
        <f>""</f>
        <v/>
      </c>
      <c r="DL341" t="str">
        <f>""</f>
        <v/>
      </c>
      <c r="DM341" t="str">
        <f>""</f>
        <v/>
      </c>
      <c r="DN341" t="str">
        <f>""</f>
        <v/>
      </c>
      <c r="DO341" t="str">
        <f>""</f>
        <v/>
      </c>
      <c r="DP341" t="str">
        <f>""</f>
        <v/>
      </c>
      <c r="DQ341" t="str">
        <f>""</f>
        <v/>
      </c>
      <c r="DR341" t="str">
        <f>""</f>
        <v/>
      </c>
      <c r="DS341" t="str">
        <f>""</f>
        <v/>
      </c>
      <c r="DT341" t="str">
        <f>""</f>
        <v/>
      </c>
      <c r="DU341" t="str">
        <f>""</f>
        <v/>
      </c>
    </row>
    <row r="342" spans="1:125">
      <c r="A342" t="str">
        <f>$A$133</f>
        <v xml:space="preserve">    Camden Property Trust</v>
      </c>
      <c r="B342" t="str">
        <f>$B$133</f>
        <v>CPT US Equity</v>
      </c>
      <c r="C342" t="str">
        <f>$C$133</f>
        <v>RX902</v>
      </c>
      <c r="D342" t="str">
        <f>$D$133</f>
        <v>ANN_NOI_GR_AST_NET_RTL_DEV_CTD_%</v>
      </c>
      <c r="E342" t="str">
        <f>$E$133</f>
        <v>动态</v>
      </c>
      <c r="F342" t="str">
        <f ca="1">BDH($B$133,$C$133,$B$224,$B$225,CONCATENATE("Per=",$B$222),"Dts=H","Dir=H",CONCATENATE("Points=",$B$223),"Sort=R","Days=A","Fill=B",CONCATENATE("FX=", $B$221) )</f>
        <v>#N/A Authorization</v>
      </c>
      <c r="BN342" t="str">
        <f>""</f>
        <v/>
      </c>
      <c r="BO342" t="str">
        <f>""</f>
        <v/>
      </c>
      <c r="BP342" t="str">
        <f>""</f>
        <v/>
      </c>
      <c r="BQ342" t="str">
        <f>""</f>
        <v/>
      </c>
      <c r="BR342" t="str">
        <f>""</f>
        <v/>
      </c>
      <c r="BS342" t="str">
        <f>""</f>
        <v/>
      </c>
      <c r="BT342" t="str">
        <f>""</f>
        <v/>
      </c>
      <c r="BU342" t="str">
        <f>""</f>
        <v/>
      </c>
      <c r="BV342" t="str">
        <f>""</f>
        <v/>
      </c>
      <c r="BW342" t="str">
        <f>""</f>
        <v/>
      </c>
      <c r="BX342" t="str">
        <f>""</f>
        <v/>
      </c>
      <c r="BY342" t="str">
        <f>""</f>
        <v/>
      </c>
      <c r="BZ342" t="str">
        <f>""</f>
        <v/>
      </c>
      <c r="CA342" t="str">
        <f>""</f>
        <v/>
      </c>
      <c r="CB342" t="str">
        <f>""</f>
        <v/>
      </c>
      <c r="CC342" t="str">
        <f>""</f>
        <v/>
      </c>
      <c r="CD342" t="str">
        <f>""</f>
        <v/>
      </c>
      <c r="CE342" t="str">
        <f>""</f>
        <v/>
      </c>
      <c r="CF342" t="str">
        <f>""</f>
        <v/>
      </c>
      <c r="CG342" t="str">
        <f>""</f>
        <v/>
      </c>
      <c r="CH342" t="str">
        <f>""</f>
        <v/>
      </c>
      <c r="CI342" t="str">
        <f>""</f>
        <v/>
      </c>
      <c r="CJ342" t="str">
        <f>""</f>
        <v/>
      </c>
      <c r="CK342" t="str">
        <f>""</f>
        <v/>
      </c>
      <c r="CL342" t="str">
        <f>""</f>
        <v/>
      </c>
      <c r="CM342" t="str">
        <f>""</f>
        <v/>
      </c>
      <c r="CN342" t="str">
        <f>""</f>
        <v/>
      </c>
      <c r="CO342" t="str">
        <f>""</f>
        <v/>
      </c>
      <c r="CP342" t="str">
        <f>""</f>
        <v/>
      </c>
      <c r="CQ342" t="str">
        <f>""</f>
        <v/>
      </c>
      <c r="CR342" t="str">
        <f>""</f>
        <v/>
      </c>
      <c r="CS342" t="str">
        <f>""</f>
        <v/>
      </c>
      <c r="CT342" t="str">
        <f>""</f>
        <v/>
      </c>
      <c r="CU342" t="str">
        <f>""</f>
        <v/>
      </c>
      <c r="CV342" t="str">
        <f>""</f>
        <v/>
      </c>
      <c r="CW342" t="str">
        <f>""</f>
        <v/>
      </c>
      <c r="CX342" t="str">
        <f>""</f>
        <v/>
      </c>
      <c r="CY342" t="str">
        <f>""</f>
        <v/>
      </c>
      <c r="CZ342" t="str">
        <f>""</f>
        <v/>
      </c>
      <c r="DA342" t="str">
        <f>""</f>
        <v/>
      </c>
      <c r="DB342" t="str">
        <f>""</f>
        <v/>
      </c>
      <c r="DC342" t="str">
        <f>""</f>
        <v/>
      </c>
      <c r="DD342" t="str">
        <f>""</f>
        <v/>
      </c>
      <c r="DE342" t="str">
        <f>""</f>
        <v/>
      </c>
      <c r="DF342" t="str">
        <f>""</f>
        <v/>
      </c>
      <c r="DG342" t="str">
        <f>""</f>
        <v/>
      </c>
      <c r="DH342" t="str">
        <f>""</f>
        <v/>
      </c>
      <c r="DI342" t="str">
        <f>""</f>
        <v/>
      </c>
      <c r="DJ342" t="str">
        <f>""</f>
        <v/>
      </c>
      <c r="DK342" t="str">
        <f>""</f>
        <v/>
      </c>
      <c r="DL342" t="str">
        <f>""</f>
        <v/>
      </c>
      <c r="DM342" t="str">
        <f>""</f>
        <v/>
      </c>
      <c r="DN342" t="str">
        <f>""</f>
        <v/>
      </c>
      <c r="DO342" t="str">
        <f>""</f>
        <v/>
      </c>
      <c r="DP342" t="str">
        <f>""</f>
        <v/>
      </c>
      <c r="DQ342" t="str">
        <f>""</f>
        <v/>
      </c>
      <c r="DR342" t="str">
        <f>""</f>
        <v/>
      </c>
      <c r="DS342" t="str">
        <f>""</f>
        <v/>
      </c>
      <c r="DT342" t="str">
        <f>""</f>
        <v/>
      </c>
      <c r="DU342" t="str">
        <f>""</f>
        <v/>
      </c>
    </row>
    <row r="343" spans="1:125">
      <c r="A343" t="str">
        <f>$A$134</f>
        <v xml:space="preserve">    Education Realty Trust Inc</v>
      </c>
      <c r="B343" t="str">
        <f>$B$134</f>
        <v>EDR US Equity</v>
      </c>
      <c r="C343" t="str">
        <f>$C$134</f>
        <v>RX902</v>
      </c>
      <c r="D343" t="str">
        <f>$D$134</f>
        <v>ANN_NOI_GR_AST_NET_RTL_DEV_CTD_%</v>
      </c>
      <c r="E343" t="str">
        <f>$E$134</f>
        <v>动态</v>
      </c>
      <c r="F343" t="str">
        <f ca="1">BDH($B$134,$C$134,$B$224,$B$225,CONCATENATE("Per=",$B$222),"Dts=H","Dir=H",CONCATENATE("Points=",$B$223),"Sort=R","Days=A","Fill=B",CONCATENATE("FX=", $B$221) )</f>
        <v>#N/A Authorization</v>
      </c>
      <c r="BN343" t="str">
        <f>""</f>
        <v/>
      </c>
      <c r="BO343" t="str">
        <f>""</f>
        <v/>
      </c>
      <c r="BP343" t="str">
        <f>""</f>
        <v/>
      </c>
      <c r="BQ343" t="str">
        <f>""</f>
        <v/>
      </c>
      <c r="BR343" t="str">
        <f>""</f>
        <v/>
      </c>
      <c r="BS343" t="str">
        <f>""</f>
        <v/>
      </c>
      <c r="BT343" t="str">
        <f>""</f>
        <v/>
      </c>
      <c r="BU343" t="str">
        <f>""</f>
        <v/>
      </c>
      <c r="BV343" t="str">
        <f>""</f>
        <v/>
      </c>
      <c r="BW343" t="str">
        <f>""</f>
        <v/>
      </c>
      <c r="BX343" t="str">
        <f>""</f>
        <v/>
      </c>
      <c r="BY343" t="str">
        <f>""</f>
        <v/>
      </c>
      <c r="BZ343" t="str">
        <f>""</f>
        <v/>
      </c>
      <c r="CA343" t="str">
        <f>""</f>
        <v/>
      </c>
      <c r="CB343" t="str">
        <f>""</f>
        <v/>
      </c>
      <c r="CC343" t="str">
        <f>""</f>
        <v/>
      </c>
      <c r="CD343" t="str">
        <f>""</f>
        <v/>
      </c>
      <c r="CE343" t="str">
        <f>""</f>
        <v/>
      </c>
      <c r="CF343" t="str">
        <f>""</f>
        <v/>
      </c>
      <c r="CG343" t="str">
        <f>""</f>
        <v/>
      </c>
      <c r="CH343" t="str">
        <f>""</f>
        <v/>
      </c>
      <c r="CI343" t="str">
        <f>""</f>
        <v/>
      </c>
      <c r="CJ343" t="str">
        <f>""</f>
        <v/>
      </c>
      <c r="CK343" t="str">
        <f>""</f>
        <v/>
      </c>
      <c r="CL343" t="str">
        <f>""</f>
        <v/>
      </c>
      <c r="CM343" t="str">
        <f>""</f>
        <v/>
      </c>
      <c r="CN343" t="str">
        <f>""</f>
        <v/>
      </c>
      <c r="CO343" t="str">
        <f>""</f>
        <v/>
      </c>
      <c r="CP343" t="str">
        <f>""</f>
        <v/>
      </c>
      <c r="CQ343" t="str">
        <f>""</f>
        <v/>
      </c>
      <c r="CR343" t="str">
        <f>""</f>
        <v/>
      </c>
      <c r="CS343" t="str">
        <f>""</f>
        <v/>
      </c>
      <c r="CT343" t="str">
        <f>""</f>
        <v/>
      </c>
      <c r="CU343" t="str">
        <f>""</f>
        <v/>
      </c>
      <c r="CV343" t="str">
        <f>""</f>
        <v/>
      </c>
      <c r="CW343" t="str">
        <f>""</f>
        <v/>
      </c>
      <c r="CX343" t="str">
        <f>""</f>
        <v/>
      </c>
      <c r="CY343" t="str">
        <f>""</f>
        <v/>
      </c>
      <c r="CZ343" t="str">
        <f>""</f>
        <v/>
      </c>
      <c r="DA343" t="str">
        <f>""</f>
        <v/>
      </c>
      <c r="DB343" t="str">
        <f>""</f>
        <v/>
      </c>
      <c r="DC343" t="str">
        <f>""</f>
        <v/>
      </c>
      <c r="DD343" t="str">
        <f>""</f>
        <v/>
      </c>
      <c r="DE343" t="str">
        <f>""</f>
        <v/>
      </c>
      <c r="DF343" t="str">
        <f>""</f>
        <v/>
      </c>
      <c r="DG343" t="str">
        <f>""</f>
        <v/>
      </c>
      <c r="DH343" t="str">
        <f>""</f>
        <v/>
      </c>
      <c r="DI343" t="str">
        <f>""</f>
        <v/>
      </c>
      <c r="DJ343" t="str">
        <f>""</f>
        <v/>
      </c>
      <c r="DK343" t="str">
        <f>""</f>
        <v/>
      </c>
      <c r="DL343" t="str">
        <f>""</f>
        <v/>
      </c>
      <c r="DM343" t="str">
        <f>""</f>
        <v/>
      </c>
      <c r="DN343" t="str">
        <f>""</f>
        <v/>
      </c>
      <c r="DO343" t="str">
        <f>""</f>
        <v/>
      </c>
      <c r="DP343" t="str">
        <f>""</f>
        <v/>
      </c>
      <c r="DQ343" t="str">
        <f>""</f>
        <v/>
      </c>
      <c r="DR343" t="str">
        <f>""</f>
        <v/>
      </c>
      <c r="DS343" t="str">
        <f>""</f>
        <v/>
      </c>
      <c r="DT343" t="str">
        <f>""</f>
        <v/>
      </c>
      <c r="DU343" t="str">
        <f>""</f>
        <v/>
      </c>
    </row>
    <row r="344" spans="1:125">
      <c r="A344" t="str">
        <f>$A$135</f>
        <v xml:space="preserve">    Equity Residential</v>
      </c>
      <c r="B344" t="str">
        <f>$B$135</f>
        <v>EQR US Equity</v>
      </c>
      <c r="C344" t="str">
        <f>$C$135</f>
        <v>RX902</v>
      </c>
      <c r="D344" t="str">
        <f>$D$135</f>
        <v>ANN_NOI_GR_AST_NET_RTL_DEV_CTD_%</v>
      </c>
      <c r="E344" t="str">
        <f>$E$135</f>
        <v>动态</v>
      </c>
      <c r="F344" t="str">
        <f ca="1">BDH($B$135,$C$135,$B$224,$B$225,CONCATENATE("Per=",$B$222),"Dts=H","Dir=H",CONCATENATE("Points=",$B$223),"Sort=R","Days=A","Fill=B",CONCATENATE("FX=", $B$221) )</f>
        <v>#N/A Authorization</v>
      </c>
      <c r="BN344" t="str">
        <f>""</f>
        <v/>
      </c>
      <c r="BO344" t="str">
        <f>""</f>
        <v/>
      </c>
      <c r="BP344" t="str">
        <f>""</f>
        <v/>
      </c>
      <c r="BQ344" t="str">
        <f>""</f>
        <v/>
      </c>
      <c r="BR344" t="str">
        <f>""</f>
        <v/>
      </c>
      <c r="BS344" t="str">
        <f>""</f>
        <v/>
      </c>
      <c r="BT344" t="str">
        <f>""</f>
        <v/>
      </c>
      <c r="BU344" t="str">
        <f>""</f>
        <v/>
      </c>
      <c r="BV344" t="str">
        <f>""</f>
        <v/>
      </c>
      <c r="BW344" t="str">
        <f>""</f>
        <v/>
      </c>
      <c r="BX344" t="str">
        <f>""</f>
        <v/>
      </c>
      <c r="BY344" t="str">
        <f>""</f>
        <v/>
      </c>
      <c r="BZ344" t="str">
        <f>""</f>
        <v/>
      </c>
      <c r="CA344" t="str">
        <f>""</f>
        <v/>
      </c>
      <c r="CB344" t="str">
        <f>""</f>
        <v/>
      </c>
      <c r="CC344" t="str">
        <f>""</f>
        <v/>
      </c>
      <c r="CD344" t="str">
        <f>""</f>
        <v/>
      </c>
      <c r="CE344" t="str">
        <f>""</f>
        <v/>
      </c>
      <c r="CF344" t="str">
        <f>""</f>
        <v/>
      </c>
      <c r="CG344" t="str">
        <f>""</f>
        <v/>
      </c>
      <c r="CH344" t="str">
        <f>""</f>
        <v/>
      </c>
      <c r="CI344" t="str">
        <f>""</f>
        <v/>
      </c>
      <c r="CJ344" t="str">
        <f>""</f>
        <v/>
      </c>
      <c r="CK344" t="str">
        <f>""</f>
        <v/>
      </c>
      <c r="CL344" t="str">
        <f>""</f>
        <v/>
      </c>
      <c r="CM344" t="str">
        <f>""</f>
        <v/>
      </c>
      <c r="CN344" t="str">
        <f>""</f>
        <v/>
      </c>
      <c r="CO344" t="str">
        <f>""</f>
        <v/>
      </c>
      <c r="CP344" t="str">
        <f>""</f>
        <v/>
      </c>
      <c r="CQ344" t="str">
        <f>""</f>
        <v/>
      </c>
      <c r="CR344" t="str">
        <f>""</f>
        <v/>
      </c>
      <c r="CS344" t="str">
        <f>""</f>
        <v/>
      </c>
      <c r="CT344" t="str">
        <f>""</f>
        <v/>
      </c>
      <c r="CU344" t="str">
        <f>""</f>
        <v/>
      </c>
      <c r="CV344" t="str">
        <f>""</f>
        <v/>
      </c>
      <c r="CW344" t="str">
        <f>""</f>
        <v/>
      </c>
      <c r="CX344" t="str">
        <f>""</f>
        <v/>
      </c>
      <c r="CY344" t="str">
        <f>""</f>
        <v/>
      </c>
      <c r="CZ344" t="str">
        <f>""</f>
        <v/>
      </c>
      <c r="DA344" t="str">
        <f>""</f>
        <v/>
      </c>
      <c r="DB344" t="str">
        <f>""</f>
        <v/>
      </c>
      <c r="DC344" t="str">
        <f>""</f>
        <v/>
      </c>
      <c r="DD344" t="str">
        <f>""</f>
        <v/>
      </c>
      <c r="DE344" t="str">
        <f>""</f>
        <v/>
      </c>
      <c r="DF344" t="str">
        <f>""</f>
        <v/>
      </c>
      <c r="DG344" t="str">
        <f>""</f>
        <v/>
      </c>
      <c r="DH344" t="str">
        <f>""</f>
        <v/>
      </c>
      <c r="DI344" t="str">
        <f>""</f>
        <v/>
      </c>
      <c r="DJ344" t="str">
        <f>""</f>
        <v/>
      </c>
      <c r="DK344" t="str">
        <f>""</f>
        <v/>
      </c>
      <c r="DL344" t="str">
        <f>""</f>
        <v/>
      </c>
      <c r="DM344" t="str">
        <f>""</f>
        <v/>
      </c>
      <c r="DN344" t="str">
        <f>""</f>
        <v/>
      </c>
      <c r="DO344" t="str">
        <f>""</f>
        <v/>
      </c>
      <c r="DP344" t="str">
        <f>""</f>
        <v/>
      </c>
      <c r="DQ344" t="str">
        <f>""</f>
        <v/>
      </c>
      <c r="DR344" t="str">
        <f>""</f>
        <v/>
      </c>
      <c r="DS344" t="str">
        <f>""</f>
        <v/>
      </c>
      <c r="DT344" t="str">
        <f>""</f>
        <v/>
      </c>
      <c r="DU344" t="str">
        <f>""</f>
        <v/>
      </c>
    </row>
    <row r="345" spans="1:125">
      <c r="A345" t="str">
        <f>$A$136</f>
        <v xml:space="preserve">    Essex Property Trust Inc</v>
      </c>
      <c r="B345" t="str">
        <f>$B$136</f>
        <v>ESS US Equity</v>
      </c>
      <c r="C345" t="str">
        <f>$C$136</f>
        <v>RX902</v>
      </c>
      <c r="D345" t="str">
        <f>$D$136</f>
        <v>ANN_NOI_GR_AST_NET_RTL_DEV_CTD_%</v>
      </c>
      <c r="E345" t="str">
        <f>$E$136</f>
        <v>动态</v>
      </c>
      <c r="F345" t="str">
        <f ca="1">BDH($B$136,$C$136,$B$224,$B$225,CONCATENATE("Per=",$B$222),"Dts=H","Dir=H",CONCATENATE("Points=",$B$223),"Sort=R","Days=A","Fill=B",CONCATENATE("FX=", $B$221) )</f>
        <v>#N/A Authorization</v>
      </c>
      <c r="BN345" t="str">
        <f>""</f>
        <v/>
      </c>
      <c r="BO345" t="str">
        <f>""</f>
        <v/>
      </c>
      <c r="BP345" t="str">
        <f>""</f>
        <v/>
      </c>
      <c r="BQ345" t="str">
        <f>""</f>
        <v/>
      </c>
      <c r="BR345" t="str">
        <f>""</f>
        <v/>
      </c>
      <c r="BS345" t="str">
        <f>""</f>
        <v/>
      </c>
      <c r="BT345" t="str">
        <f>""</f>
        <v/>
      </c>
      <c r="BU345" t="str">
        <f>""</f>
        <v/>
      </c>
      <c r="BV345" t="str">
        <f>""</f>
        <v/>
      </c>
      <c r="BW345" t="str">
        <f>""</f>
        <v/>
      </c>
      <c r="BX345" t="str">
        <f>""</f>
        <v/>
      </c>
      <c r="BY345" t="str">
        <f>""</f>
        <v/>
      </c>
      <c r="BZ345" t="str">
        <f>""</f>
        <v/>
      </c>
      <c r="CA345" t="str">
        <f>""</f>
        <v/>
      </c>
      <c r="CB345" t="str">
        <f>""</f>
        <v/>
      </c>
      <c r="CC345" t="str">
        <f>""</f>
        <v/>
      </c>
      <c r="CD345" t="str">
        <f>""</f>
        <v/>
      </c>
      <c r="CE345" t="str">
        <f>""</f>
        <v/>
      </c>
      <c r="CF345" t="str">
        <f>""</f>
        <v/>
      </c>
      <c r="CG345" t="str">
        <f>""</f>
        <v/>
      </c>
      <c r="CH345" t="str">
        <f>""</f>
        <v/>
      </c>
      <c r="CI345" t="str">
        <f>""</f>
        <v/>
      </c>
      <c r="CJ345" t="str">
        <f>""</f>
        <v/>
      </c>
      <c r="CK345" t="str">
        <f>""</f>
        <v/>
      </c>
      <c r="CL345" t="str">
        <f>""</f>
        <v/>
      </c>
      <c r="CM345" t="str">
        <f>""</f>
        <v/>
      </c>
      <c r="CN345" t="str">
        <f>""</f>
        <v/>
      </c>
      <c r="CO345" t="str">
        <f>""</f>
        <v/>
      </c>
      <c r="CP345" t="str">
        <f>""</f>
        <v/>
      </c>
      <c r="CQ345" t="str">
        <f>""</f>
        <v/>
      </c>
      <c r="CR345" t="str">
        <f>""</f>
        <v/>
      </c>
      <c r="CS345" t="str">
        <f>""</f>
        <v/>
      </c>
      <c r="CT345" t="str">
        <f>""</f>
        <v/>
      </c>
      <c r="CU345" t="str">
        <f>""</f>
        <v/>
      </c>
      <c r="CV345" t="str">
        <f>""</f>
        <v/>
      </c>
      <c r="CW345" t="str">
        <f>""</f>
        <v/>
      </c>
      <c r="CX345" t="str">
        <f>""</f>
        <v/>
      </c>
      <c r="CY345" t="str">
        <f>""</f>
        <v/>
      </c>
      <c r="CZ345" t="str">
        <f>""</f>
        <v/>
      </c>
      <c r="DA345" t="str">
        <f>""</f>
        <v/>
      </c>
      <c r="DB345" t="str">
        <f>""</f>
        <v/>
      </c>
      <c r="DC345" t="str">
        <f>""</f>
        <v/>
      </c>
      <c r="DD345" t="str">
        <f>""</f>
        <v/>
      </c>
      <c r="DE345" t="str">
        <f>""</f>
        <v/>
      </c>
      <c r="DF345" t="str">
        <f>""</f>
        <v/>
      </c>
      <c r="DG345" t="str">
        <f>""</f>
        <v/>
      </c>
      <c r="DH345" t="str">
        <f>""</f>
        <v/>
      </c>
      <c r="DI345" t="str">
        <f>""</f>
        <v/>
      </c>
      <c r="DJ345" t="str">
        <f>""</f>
        <v/>
      </c>
      <c r="DK345" t="str">
        <f>""</f>
        <v/>
      </c>
      <c r="DL345" t="str">
        <f>""</f>
        <v/>
      </c>
      <c r="DM345" t="str">
        <f>""</f>
        <v/>
      </c>
      <c r="DN345" t="str">
        <f>""</f>
        <v/>
      </c>
      <c r="DO345" t="str">
        <f>""</f>
        <v/>
      </c>
      <c r="DP345" t="str">
        <f>""</f>
        <v/>
      </c>
      <c r="DQ345" t="str">
        <f>""</f>
        <v/>
      </c>
      <c r="DR345" t="str">
        <f>""</f>
        <v/>
      </c>
      <c r="DS345" t="str">
        <f>""</f>
        <v/>
      </c>
      <c r="DT345" t="str">
        <f>""</f>
        <v/>
      </c>
      <c r="DU345" t="str">
        <f>""</f>
        <v/>
      </c>
    </row>
    <row r="346" spans="1:125">
      <c r="A346" t="str">
        <f>$A$137</f>
        <v xml:space="preserve">    Mid-America Apartment Communit</v>
      </c>
      <c r="B346" t="str">
        <f>$B$137</f>
        <v>MAA US Equity</v>
      </c>
      <c r="C346" t="str">
        <f>$C$137</f>
        <v>RX902</v>
      </c>
      <c r="D346" t="str">
        <f>$D$137</f>
        <v>ANN_NOI_GR_AST_NET_RTL_DEV_CTD_%</v>
      </c>
      <c r="E346" t="str">
        <f>$E$137</f>
        <v>动态</v>
      </c>
      <c r="F346" t="str">
        <f ca="1">BDH($B$137,$C$137,$B$224,$B$225,CONCATENATE("Per=",$B$222),"Dts=H","Dir=H",CONCATENATE("Points=",$B$223),"Sort=R","Days=A","Fill=B",CONCATENATE("FX=", $B$221) )</f>
        <v>#N/A Authorization</v>
      </c>
      <c r="BN346" t="str">
        <f>""</f>
        <v/>
      </c>
      <c r="BO346" t="str">
        <f>""</f>
        <v/>
      </c>
      <c r="BP346" t="str">
        <f>""</f>
        <v/>
      </c>
      <c r="BQ346" t="str">
        <f>""</f>
        <v/>
      </c>
      <c r="BR346" t="str">
        <f>""</f>
        <v/>
      </c>
      <c r="BS346" t="str">
        <f>""</f>
        <v/>
      </c>
      <c r="BT346" t="str">
        <f>""</f>
        <v/>
      </c>
      <c r="BU346" t="str">
        <f>""</f>
        <v/>
      </c>
      <c r="BV346" t="str">
        <f>""</f>
        <v/>
      </c>
      <c r="BW346" t="str">
        <f>""</f>
        <v/>
      </c>
      <c r="BX346" t="str">
        <f>""</f>
        <v/>
      </c>
      <c r="BY346" t="str">
        <f>""</f>
        <v/>
      </c>
      <c r="BZ346" t="str">
        <f>""</f>
        <v/>
      </c>
      <c r="CA346" t="str">
        <f>""</f>
        <v/>
      </c>
      <c r="CB346" t="str">
        <f>""</f>
        <v/>
      </c>
      <c r="CC346" t="str">
        <f>""</f>
        <v/>
      </c>
      <c r="CD346" t="str">
        <f>""</f>
        <v/>
      </c>
      <c r="CE346" t="str">
        <f>""</f>
        <v/>
      </c>
      <c r="CF346" t="str">
        <f>""</f>
        <v/>
      </c>
      <c r="CG346" t="str">
        <f>""</f>
        <v/>
      </c>
      <c r="CH346" t="str">
        <f>""</f>
        <v/>
      </c>
      <c r="CI346" t="str">
        <f>""</f>
        <v/>
      </c>
      <c r="CJ346" t="str">
        <f>""</f>
        <v/>
      </c>
      <c r="CK346" t="str">
        <f>""</f>
        <v/>
      </c>
      <c r="CL346" t="str">
        <f>""</f>
        <v/>
      </c>
      <c r="CM346" t="str">
        <f>""</f>
        <v/>
      </c>
      <c r="CN346" t="str">
        <f>""</f>
        <v/>
      </c>
      <c r="CO346" t="str">
        <f>""</f>
        <v/>
      </c>
      <c r="CP346" t="str">
        <f>""</f>
        <v/>
      </c>
      <c r="CQ346" t="str">
        <f>""</f>
        <v/>
      </c>
      <c r="CR346" t="str">
        <f>""</f>
        <v/>
      </c>
      <c r="CS346" t="str">
        <f>""</f>
        <v/>
      </c>
      <c r="CT346" t="str">
        <f>""</f>
        <v/>
      </c>
      <c r="CU346" t="str">
        <f>""</f>
        <v/>
      </c>
      <c r="CV346" t="str">
        <f>""</f>
        <v/>
      </c>
      <c r="CW346" t="str">
        <f>""</f>
        <v/>
      </c>
      <c r="CX346" t="str">
        <f>""</f>
        <v/>
      </c>
      <c r="CY346" t="str">
        <f>""</f>
        <v/>
      </c>
      <c r="CZ346" t="str">
        <f>""</f>
        <v/>
      </c>
      <c r="DA346" t="str">
        <f>""</f>
        <v/>
      </c>
      <c r="DB346" t="str">
        <f>""</f>
        <v/>
      </c>
      <c r="DC346" t="str">
        <f>""</f>
        <v/>
      </c>
      <c r="DD346" t="str">
        <f>""</f>
        <v/>
      </c>
      <c r="DE346" t="str">
        <f>""</f>
        <v/>
      </c>
      <c r="DF346" t="str">
        <f>""</f>
        <v/>
      </c>
      <c r="DG346" t="str">
        <f>""</f>
        <v/>
      </c>
      <c r="DH346" t="str">
        <f>""</f>
        <v/>
      </c>
      <c r="DI346" t="str">
        <f>""</f>
        <v/>
      </c>
      <c r="DJ346" t="str">
        <f>""</f>
        <v/>
      </c>
      <c r="DK346" t="str">
        <f>""</f>
        <v/>
      </c>
      <c r="DL346" t="str">
        <f>""</f>
        <v/>
      </c>
      <c r="DM346" t="str">
        <f>""</f>
        <v/>
      </c>
      <c r="DN346" t="str">
        <f>""</f>
        <v/>
      </c>
      <c r="DO346" t="str">
        <f>""</f>
        <v/>
      </c>
      <c r="DP346" t="str">
        <f>""</f>
        <v/>
      </c>
      <c r="DQ346" t="str">
        <f>""</f>
        <v/>
      </c>
      <c r="DR346" t="str">
        <f>""</f>
        <v/>
      </c>
      <c r="DS346" t="str">
        <f>""</f>
        <v/>
      </c>
      <c r="DT346" t="str">
        <f>""</f>
        <v/>
      </c>
      <c r="DU346" t="str">
        <f>""</f>
        <v/>
      </c>
    </row>
    <row r="347" spans="1:125">
      <c r="A347" t="str">
        <f>$A$138</f>
        <v xml:space="preserve">    UDR Inc</v>
      </c>
      <c r="B347" t="str">
        <f>$B$138</f>
        <v>UDR US Equity</v>
      </c>
      <c r="C347" t="str">
        <f>$C$138</f>
        <v>RX902</v>
      </c>
      <c r="D347" t="str">
        <f>$D$138</f>
        <v>ANN_NOI_GR_AST_NET_RTL_DEV_CTD_%</v>
      </c>
      <c r="E347" t="str">
        <f>$E$138</f>
        <v>动态</v>
      </c>
      <c r="F347" t="str">
        <f ca="1">BDH($B$138,$C$138,$B$224,$B$225,CONCATENATE("Per=",$B$222),"Dts=H","Dir=H",CONCATENATE("Points=",$B$223),"Sort=R","Days=A","Fill=B",CONCATENATE("FX=", $B$221) )</f>
        <v>#N/A Authorization</v>
      </c>
      <c r="BN347" t="str">
        <f>""</f>
        <v/>
      </c>
      <c r="BO347" t="str">
        <f>""</f>
        <v/>
      </c>
      <c r="BP347" t="str">
        <f>""</f>
        <v/>
      </c>
      <c r="BQ347" t="str">
        <f>""</f>
        <v/>
      </c>
      <c r="BR347" t="str">
        <f>""</f>
        <v/>
      </c>
      <c r="BS347" t="str">
        <f>""</f>
        <v/>
      </c>
      <c r="BT347" t="str">
        <f>""</f>
        <v/>
      </c>
      <c r="BU347" t="str">
        <f>""</f>
        <v/>
      </c>
      <c r="BV347" t="str">
        <f>""</f>
        <v/>
      </c>
      <c r="BW347" t="str">
        <f>""</f>
        <v/>
      </c>
      <c r="BX347" t="str">
        <f>""</f>
        <v/>
      </c>
      <c r="BY347" t="str">
        <f>""</f>
        <v/>
      </c>
      <c r="BZ347" t="str">
        <f>""</f>
        <v/>
      </c>
      <c r="CA347" t="str">
        <f>""</f>
        <v/>
      </c>
      <c r="CB347" t="str">
        <f>""</f>
        <v/>
      </c>
      <c r="CC347" t="str">
        <f>""</f>
        <v/>
      </c>
      <c r="CD347" t="str">
        <f>""</f>
        <v/>
      </c>
      <c r="CE347" t="str">
        <f>""</f>
        <v/>
      </c>
      <c r="CF347" t="str">
        <f>""</f>
        <v/>
      </c>
      <c r="CG347" t="str">
        <f>""</f>
        <v/>
      </c>
      <c r="CH347" t="str">
        <f>""</f>
        <v/>
      </c>
      <c r="CI347" t="str">
        <f>""</f>
        <v/>
      </c>
      <c r="CJ347" t="str">
        <f>""</f>
        <v/>
      </c>
      <c r="CK347" t="str">
        <f>""</f>
        <v/>
      </c>
      <c r="CL347" t="str">
        <f>""</f>
        <v/>
      </c>
      <c r="CM347" t="str">
        <f>""</f>
        <v/>
      </c>
      <c r="CN347" t="str">
        <f>""</f>
        <v/>
      </c>
      <c r="CO347" t="str">
        <f>""</f>
        <v/>
      </c>
      <c r="CP347" t="str">
        <f>""</f>
        <v/>
      </c>
      <c r="CQ347" t="str">
        <f>""</f>
        <v/>
      </c>
      <c r="CR347" t="str">
        <f>""</f>
        <v/>
      </c>
      <c r="CS347" t="str">
        <f>""</f>
        <v/>
      </c>
      <c r="CT347" t="str">
        <f>""</f>
        <v/>
      </c>
      <c r="CU347" t="str">
        <f>""</f>
        <v/>
      </c>
      <c r="CV347" t="str">
        <f>""</f>
        <v/>
      </c>
      <c r="CW347" t="str">
        <f>""</f>
        <v/>
      </c>
      <c r="CX347" t="str">
        <f>""</f>
        <v/>
      </c>
      <c r="CY347" t="str">
        <f>""</f>
        <v/>
      </c>
      <c r="CZ347" t="str">
        <f>""</f>
        <v/>
      </c>
      <c r="DA347" t="str">
        <f>""</f>
        <v/>
      </c>
      <c r="DB347" t="str">
        <f>""</f>
        <v/>
      </c>
      <c r="DC347" t="str">
        <f>""</f>
        <v/>
      </c>
      <c r="DD347" t="str">
        <f>""</f>
        <v/>
      </c>
      <c r="DE347" t="str">
        <f>""</f>
        <v/>
      </c>
      <c r="DF347" t="str">
        <f>""</f>
        <v/>
      </c>
      <c r="DG347" t="str">
        <f>""</f>
        <v/>
      </c>
      <c r="DH347" t="str">
        <f>""</f>
        <v/>
      </c>
      <c r="DI347" t="str">
        <f>""</f>
        <v/>
      </c>
      <c r="DJ347" t="str">
        <f>""</f>
        <v/>
      </c>
      <c r="DK347" t="str">
        <f>""</f>
        <v/>
      </c>
      <c r="DL347" t="str">
        <f>""</f>
        <v/>
      </c>
      <c r="DM347" t="str">
        <f>""</f>
        <v/>
      </c>
      <c r="DN347" t="str">
        <f>""</f>
        <v/>
      </c>
      <c r="DO347" t="str">
        <f>""</f>
        <v/>
      </c>
      <c r="DP347" t="str">
        <f>""</f>
        <v/>
      </c>
      <c r="DQ347" t="str">
        <f>""</f>
        <v/>
      </c>
      <c r="DR347" t="str">
        <f>""</f>
        <v/>
      </c>
      <c r="DS347" t="str">
        <f>""</f>
        <v/>
      </c>
      <c r="DT347" t="str">
        <f>""</f>
        <v/>
      </c>
      <c r="DU347" t="str">
        <f>""</f>
        <v/>
      </c>
    </row>
    <row r="348" spans="1:125">
      <c r="A348" t="str">
        <f>$A$140</f>
        <v xml:space="preserve">    American Campus Communities In</v>
      </c>
      <c r="B348" t="str">
        <f>$B$140</f>
        <v>ACC US Equity</v>
      </c>
      <c r="C348" t="str">
        <f>$C$140</f>
        <v>RR553</v>
      </c>
      <c r="D348" t="str">
        <f>$D$140</f>
        <v>EBITDA_RE_ASSET</v>
      </c>
      <c r="E348" t="str">
        <f>$E$140</f>
        <v>动态</v>
      </c>
      <c r="F348" t="str">
        <f ca="1">BDH($B$140,$C$140,$B$224,$B$225,CONCATENATE("Per=",$B$222),"Dts=H","Dir=H",CONCATENATE("Points=",$B$223),"Sort=R","Days=A","Fill=B",CONCATENATE("FX=", $B$221) )</f>
        <v>#N/A Authorization</v>
      </c>
      <c r="BN348" t="str">
        <f>""</f>
        <v/>
      </c>
      <c r="BO348" t="str">
        <f>""</f>
        <v/>
      </c>
      <c r="BP348" t="str">
        <f>""</f>
        <v/>
      </c>
      <c r="BQ348" t="str">
        <f>""</f>
        <v/>
      </c>
      <c r="BR348" t="str">
        <f>""</f>
        <v/>
      </c>
      <c r="BS348" t="str">
        <f>""</f>
        <v/>
      </c>
      <c r="BT348" t="str">
        <f>""</f>
        <v/>
      </c>
      <c r="BU348" t="str">
        <f>""</f>
        <v/>
      </c>
      <c r="BV348" t="str">
        <f>""</f>
        <v/>
      </c>
      <c r="BW348" t="str">
        <f>""</f>
        <v/>
      </c>
      <c r="BX348" t="str">
        <f>""</f>
        <v/>
      </c>
      <c r="BY348" t="str">
        <f>""</f>
        <v/>
      </c>
      <c r="BZ348" t="str">
        <f>""</f>
        <v/>
      </c>
      <c r="CA348" t="str">
        <f>""</f>
        <v/>
      </c>
      <c r="CB348" t="str">
        <f>""</f>
        <v/>
      </c>
      <c r="CC348" t="str">
        <f>""</f>
        <v/>
      </c>
      <c r="CD348" t="str">
        <f>""</f>
        <v/>
      </c>
      <c r="CE348" t="str">
        <f>""</f>
        <v/>
      </c>
      <c r="CF348" t="str">
        <f>""</f>
        <v/>
      </c>
      <c r="CG348" t="str">
        <f>""</f>
        <v/>
      </c>
      <c r="CH348" t="str">
        <f>""</f>
        <v/>
      </c>
      <c r="CI348" t="str">
        <f>""</f>
        <v/>
      </c>
      <c r="CJ348" t="str">
        <f>""</f>
        <v/>
      </c>
      <c r="CK348" t="str">
        <f>""</f>
        <v/>
      </c>
      <c r="CL348" t="str">
        <f>""</f>
        <v/>
      </c>
      <c r="CM348" t="str">
        <f>""</f>
        <v/>
      </c>
      <c r="CN348" t="str">
        <f>""</f>
        <v/>
      </c>
      <c r="CO348" t="str">
        <f>""</f>
        <v/>
      </c>
      <c r="CP348" t="str">
        <f>""</f>
        <v/>
      </c>
      <c r="CQ348" t="str">
        <f>""</f>
        <v/>
      </c>
      <c r="CR348" t="str">
        <f>""</f>
        <v/>
      </c>
      <c r="CS348" t="str">
        <f>""</f>
        <v/>
      </c>
      <c r="CT348" t="str">
        <f>""</f>
        <v/>
      </c>
      <c r="CU348" t="str">
        <f>""</f>
        <v/>
      </c>
      <c r="CV348" t="str">
        <f>""</f>
        <v/>
      </c>
      <c r="CW348" t="str">
        <f>""</f>
        <v/>
      </c>
      <c r="CX348" t="str">
        <f>""</f>
        <v/>
      </c>
      <c r="CY348" t="str">
        <f>""</f>
        <v/>
      </c>
      <c r="CZ348" t="str">
        <f>""</f>
        <v/>
      </c>
      <c r="DA348" t="str">
        <f>""</f>
        <v/>
      </c>
      <c r="DB348" t="str">
        <f>""</f>
        <v/>
      </c>
      <c r="DC348" t="str">
        <f>""</f>
        <v/>
      </c>
      <c r="DD348" t="str">
        <f>""</f>
        <v/>
      </c>
      <c r="DE348" t="str">
        <f>""</f>
        <v/>
      </c>
      <c r="DF348" t="str">
        <f>""</f>
        <v/>
      </c>
      <c r="DG348" t="str">
        <f>""</f>
        <v/>
      </c>
      <c r="DH348" t="str">
        <f>""</f>
        <v/>
      </c>
      <c r="DI348" t="str">
        <f>""</f>
        <v/>
      </c>
      <c r="DJ348" t="str">
        <f>""</f>
        <v/>
      </c>
      <c r="DK348" t="str">
        <f>""</f>
        <v/>
      </c>
      <c r="DL348" t="str">
        <f>""</f>
        <v/>
      </c>
      <c r="DM348" t="str">
        <f>""</f>
        <v/>
      </c>
      <c r="DN348" t="str">
        <f>""</f>
        <v/>
      </c>
      <c r="DO348" t="str">
        <f>""</f>
        <v/>
      </c>
      <c r="DP348" t="str">
        <f>""</f>
        <v/>
      </c>
      <c r="DQ348" t="str">
        <f>""</f>
        <v/>
      </c>
      <c r="DR348" t="str">
        <f>""</f>
        <v/>
      </c>
      <c r="DS348" t="str">
        <f>""</f>
        <v/>
      </c>
      <c r="DT348" t="str">
        <f>""</f>
        <v/>
      </c>
      <c r="DU348" t="str">
        <f>""</f>
        <v/>
      </c>
    </row>
    <row r="349" spans="1:125">
      <c r="A349" t="str">
        <f>$A$141</f>
        <v xml:space="preserve">    AvalonBay Communities Inc</v>
      </c>
      <c r="B349" t="str">
        <f>$B$141</f>
        <v>AVB US Equity</v>
      </c>
      <c r="C349" t="str">
        <f>$C$141</f>
        <v>RR553</v>
      </c>
      <c r="D349" t="str">
        <f>$D$141</f>
        <v>EBITDA_RE_ASSET</v>
      </c>
      <c r="E349" t="str">
        <f>$E$141</f>
        <v>动态</v>
      </c>
      <c r="F349" t="str">
        <f ca="1">BDH($B$141,$C$141,$B$224,$B$225,CONCATENATE("Per=",$B$222),"Dts=H","Dir=H",CONCATENATE("Points=",$B$223),"Sort=R","Days=A","Fill=B",CONCATENATE("FX=", $B$221) )</f>
        <v>#N/A Authorization</v>
      </c>
      <c r="BN349" t="str">
        <f>""</f>
        <v/>
      </c>
      <c r="BO349" t="str">
        <f>""</f>
        <v/>
      </c>
      <c r="BP349" t="str">
        <f>""</f>
        <v/>
      </c>
      <c r="BQ349" t="str">
        <f>""</f>
        <v/>
      </c>
      <c r="BR349" t="str">
        <f>""</f>
        <v/>
      </c>
      <c r="BS349" t="str">
        <f>""</f>
        <v/>
      </c>
      <c r="BT349" t="str">
        <f>""</f>
        <v/>
      </c>
      <c r="BU349" t="str">
        <f>""</f>
        <v/>
      </c>
      <c r="BV349" t="str">
        <f>""</f>
        <v/>
      </c>
      <c r="BW349" t="str">
        <f>""</f>
        <v/>
      </c>
      <c r="BX349" t="str">
        <f>""</f>
        <v/>
      </c>
      <c r="BY349" t="str">
        <f>""</f>
        <v/>
      </c>
      <c r="BZ349" t="str">
        <f>""</f>
        <v/>
      </c>
      <c r="CA349" t="str">
        <f>""</f>
        <v/>
      </c>
      <c r="CB349" t="str">
        <f>""</f>
        <v/>
      </c>
      <c r="CC349" t="str">
        <f>""</f>
        <v/>
      </c>
      <c r="CD349" t="str">
        <f>""</f>
        <v/>
      </c>
      <c r="CE349" t="str">
        <f>""</f>
        <v/>
      </c>
      <c r="CF349" t="str">
        <f>""</f>
        <v/>
      </c>
      <c r="CG349" t="str">
        <f>""</f>
        <v/>
      </c>
      <c r="CH349" t="str">
        <f>""</f>
        <v/>
      </c>
      <c r="CI349" t="str">
        <f>""</f>
        <v/>
      </c>
      <c r="CJ349" t="str">
        <f>""</f>
        <v/>
      </c>
      <c r="CK349" t="str">
        <f>""</f>
        <v/>
      </c>
      <c r="CL349" t="str">
        <f>""</f>
        <v/>
      </c>
      <c r="CM349" t="str">
        <f>""</f>
        <v/>
      </c>
      <c r="CN349" t="str">
        <f>""</f>
        <v/>
      </c>
      <c r="CO349" t="str">
        <f>""</f>
        <v/>
      </c>
      <c r="CP349" t="str">
        <f>""</f>
        <v/>
      </c>
      <c r="CQ349" t="str">
        <f>""</f>
        <v/>
      </c>
      <c r="CR349" t="str">
        <f>""</f>
        <v/>
      </c>
      <c r="CS349" t="str">
        <f>""</f>
        <v/>
      </c>
      <c r="CT349" t="str">
        <f>""</f>
        <v/>
      </c>
      <c r="CU349" t="str">
        <f>""</f>
        <v/>
      </c>
      <c r="CV349" t="str">
        <f>""</f>
        <v/>
      </c>
      <c r="CW349" t="str">
        <f>""</f>
        <v/>
      </c>
      <c r="CX349" t="str">
        <f>""</f>
        <v/>
      </c>
      <c r="CY349" t="str">
        <f>""</f>
        <v/>
      </c>
      <c r="CZ349" t="str">
        <f>""</f>
        <v/>
      </c>
      <c r="DA349" t="str">
        <f>""</f>
        <v/>
      </c>
      <c r="DB349" t="str">
        <f>""</f>
        <v/>
      </c>
      <c r="DC349" t="str">
        <f>""</f>
        <v/>
      </c>
      <c r="DD349" t="str">
        <f>""</f>
        <v/>
      </c>
      <c r="DE349" t="str">
        <f>""</f>
        <v/>
      </c>
      <c r="DF349" t="str">
        <f>""</f>
        <v/>
      </c>
      <c r="DG349" t="str">
        <f>""</f>
        <v/>
      </c>
      <c r="DH349" t="str">
        <f>""</f>
        <v/>
      </c>
      <c r="DI349" t="str">
        <f>""</f>
        <v/>
      </c>
      <c r="DJ349" t="str">
        <f>""</f>
        <v/>
      </c>
      <c r="DK349" t="str">
        <f>""</f>
        <v/>
      </c>
      <c r="DL349" t="str">
        <f>""</f>
        <v/>
      </c>
      <c r="DM349" t="str">
        <f>""</f>
        <v/>
      </c>
      <c r="DN349" t="str">
        <f>""</f>
        <v/>
      </c>
      <c r="DO349" t="str">
        <f>""</f>
        <v/>
      </c>
      <c r="DP349" t="str">
        <f>""</f>
        <v/>
      </c>
      <c r="DQ349" t="str">
        <f>""</f>
        <v/>
      </c>
      <c r="DR349" t="str">
        <f>""</f>
        <v/>
      </c>
      <c r="DS349" t="str">
        <f>""</f>
        <v/>
      </c>
      <c r="DT349" t="str">
        <f>""</f>
        <v/>
      </c>
      <c r="DU349" t="str">
        <f>""</f>
        <v/>
      </c>
    </row>
    <row r="350" spans="1:125">
      <c r="A350" t="str">
        <f>$A$142</f>
        <v xml:space="preserve">    Camden Property Trust</v>
      </c>
      <c r="B350" t="str">
        <f>$B$142</f>
        <v>CPT US Equity</v>
      </c>
      <c r="C350" t="str">
        <f>$C$142</f>
        <v>RR553</v>
      </c>
      <c r="D350" t="str">
        <f>$D$142</f>
        <v>EBITDA_RE_ASSET</v>
      </c>
      <c r="E350" t="str">
        <f>$E$142</f>
        <v>动态</v>
      </c>
      <c r="F350" t="str">
        <f ca="1">BDH($B$142,$C$142,$B$224,$B$225,CONCATENATE("Per=",$B$222),"Dts=H","Dir=H",CONCATENATE("Points=",$B$223),"Sort=R","Days=A","Fill=B",CONCATENATE("FX=", $B$221) )</f>
        <v>#N/A Authorization</v>
      </c>
      <c r="BN350" t="str">
        <f>""</f>
        <v/>
      </c>
      <c r="BO350" t="str">
        <f>""</f>
        <v/>
      </c>
      <c r="BP350" t="str">
        <f>""</f>
        <v/>
      </c>
      <c r="BQ350" t="str">
        <f>""</f>
        <v/>
      </c>
      <c r="BR350" t="str">
        <f>""</f>
        <v/>
      </c>
      <c r="BS350" t="str">
        <f>""</f>
        <v/>
      </c>
      <c r="BT350" t="str">
        <f>""</f>
        <v/>
      </c>
      <c r="BU350" t="str">
        <f>""</f>
        <v/>
      </c>
      <c r="BV350" t="str">
        <f>""</f>
        <v/>
      </c>
      <c r="BW350" t="str">
        <f>""</f>
        <v/>
      </c>
      <c r="BX350" t="str">
        <f>""</f>
        <v/>
      </c>
      <c r="BY350" t="str">
        <f>""</f>
        <v/>
      </c>
      <c r="BZ350" t="str">
        <f>""</f>
        <v/>
      </c>
      <c r="CA350" t="str">
        <f>""</f>
        <v/>
      </c>
      <c r="CB350" t="str">
        <f>""</f>
        <v/>
      </c>
      <c r="CC350" t="str">
        <f>""</f>
        <v/>
      </c>
      <c r="CD350" t="str">
        <f>""</f>
        <v/>
      </c>
      <c r="CE350" t="str">
        <f>""</f>
        <v/>
      </c>
      <c r="CF350" t="str">
        <f>""</f>
        <v/>
      </c>
      <c r="CG350" t="str">
        <f>""</f>
        <v/>
      </c>
      <c r="CH350" t="str">
        <f>""</f>
        <v/>
      </c>
      <c r="CI350" t="str">
        <f>""</f>
        <v/>
      </c>
      <c r="CJ350" t="str">
        <f>""</f>
        <v/>
      </c>
      <c r="CK350" t="str">
        <f>""</f>
        <v/>
      </c>
      <c r="CL350" t="str">
        <f>""</f>
        <v/>
      </c>
      <c r="CM350" t="str">
        <f>""</f>
        <v/>
      </c>
      <c r="CN350" t="str">
        <f>""</f>
        <v/>
      </c>
      <c r="CO350" t="str">
        <f>""</f>
        <v/>
      </c>
      <c r="CP350" t="str">
        <f>""</f>
        <v/>
      </c>
      <c r="CQ350" t="str">
        <f>""</f>
        <v/>
      </c>
      <c r="CR350" t="str">
        <f>""</f>
        <v/>
      </c>
      <c r="CS350" t="str">
        <f>""</f>
        <v/>
      </c>
      <c r="CT350" t="str">
        <f>""</f>
        <v/>
      </c>
      <c r="CU350" t="str">
        <f>""</f>
        <v/>
      </c>
      <c r="CV350" t="str">
        <f>""</f>
        <v/>
      </c>
      <c r="CW350" t="str">
        <f>""</f>
        <v/>
      </c>
      <c r="CX350" t="str">
        <f>""</f>
        <v/>
      </c>
      <c r="CY350" t="str">
        <f>""</f>
        <v/>
      </c>
      <c r="CZ350" t="str">
        <f>""</f>
        <v/>
      </c>
      <c r="DA350" t="str">
        <f>""</f>
        <v/>
      </c>
      <c r="DB350" t="str">
        <f>""</f>
        <v/>
      </c>
      <c r="DC350" t="str">
        <f>""</f>
        <v/>
      </c>
      <c r="DD350" t="str">
        <f>""</f>
        <v/>
      </c>
      <c r="DE350" t="str">
        <f>""</f>
        <v/>
      </c>
      <c r="DF350" t="str">
        <f>""</f>
        <v/>
      </c>
      <c r="DG350" t="str">
        <f>""</f>
        <v/>
      </c>
      <c r="DH350" t="str">
        <f>""</f>
        <v/>
      </c>
      <c r="DI350" t="str">
        <f>""</f>
        <v/>
      </c>
      <c r="DJ350" t="str">
        <f>""</f>
        <v/>
      </c>
      <c r="DK350" t="str">
        <f>""</f>
        <v/>
      </c>
      <c r="DL350" t="str">
        <f>""</f>
        <v/>
      </c>
      <c r="DM350" t="str">
        <f>""</f>
        <v/>
      </c>
      <c r="DN350" t="str">
        <f>""</f>
        <v/>
      </c>
      <c r="DO350" t="str">
        <f>""</f>
        <v/>
      </c>
      <c r="DP350" t="str">
        <f>""</f>
        <v/>
      </c>
      <c r="DQ350" t="str">
        <f>""</f>
        <v/>
      </c>
      <c r="DR350" t="str">
        <f>""</f>
        <v/>
      </c>
      <c r="DS350" t="str">
        <f>""</f>
        <v/>
      </c>
      <c r="DT350" t="str">
        <f>""</f>
        <v/>
      </c>
      <c r="DU350" t="str">
        <f>""</f>
        <v/>
      </c>
    </row>
    <row r="351" spans="1:125">
      <c r="A351" t="str">
        <f>$A$143</f>
        <v xml:space="preserve">    Education Realty Trust Inc</v>
      </c>
      <c r="B351" t="str">
        <f>$B$143</f>
        <v>EDR US Equity</v>
      </c>
      <c r="C351" t="str">
        <f>$C$143</f>
        <v>RR553</v>
      </c>
      <c r="D351" t="str">
        <f>$D$143</f>
        <v>EBITDA_RE_ASSET</v>
      </c>
      <c r="E351" t="str">
        <f>$E$143</f>
        <v>动态</v>
      </c>
      <c r="F351" t="str">
        <f ca="1">BDH($B$143,$C$143,$B$224,$B$225,CONCATENATE("Per=",$B$222),"Dts=H","Dir=H",CONCATENATE("Points=",$B$223),"Sort=R","Days=A","Fill=B",CONCATENATE("FX=", $B$221) )</f>
        <v>#N/A Authorization</v>
      </c>
      <c r="BN351" t="str">
        <f>""</f>
        <v/>
      </c>
      <c r="BO351" t="str">
        <f>""</f>
        <v/>
      </c>
      <c r="BP351" t="str">
        <f>""</f>
        <v/>
      </c>
      <c r="BQ351" t="str">
        <f>""</f>
        <v/>
      </c>
      <c r="BR351" t="str">
        <f>""</f>
        <v/>
      </c>
      <c r="BS351" t="str">
        <f>""</f>
        <v/>
      </c>
      <c r="BT351" t="str">
        <f>""</f>
        <v/>
      </c>
      <c r="BU351" t="str">
        <f>""</f>
        <v/>
      </c>
      <c r="BV351" t="str">
        <f>""</f>
        <v/>
      </c>
      <c r="BW351" t="str">
        <f>""</f>
        <v/>
      </c>
      <c r="BX351" t="str">
        <f>""</f>
        <v/>
      </c>
      <c r="BY351" t="str">
        <f>""</f>
        <v/>
      </c>
      <c r="BZ351" t="str">
        <f>""</f>
        <v/>
      </c>
      <c r="CA351" t="str">
        <f>""</f>
        <v/>
      </c>
      <c r="CB351" t="str">
        <f>""</f>
        <v/>
      </c>
      <c r="CC351" t="str">
        <f>""</f>
        <v/>
      </c>
      <c r="CD351" t="str">
        <f>""</f>
        <v/>
      </c>
      <c r="CE351" t="str">
        <f>""</f>
        <v/>
      </c>
      <c r="CF351" t="str">
        <f>""</f>
        <v/>
      </c>
      <c r="CG351" t="str">
        <f>""</f>
        <v/>
      </c>
      <c r="CH351" t="str">
        <f>""</f>
        <v/>
      </c>
      <c r="CI351" t="str">
        <f>""</f>
        <v/>
      </c>
      <c r="CJ351" t="str">
        <f>""</f>
        <v/>
      </c>
      <c r="CK351" t="str">
        <f>""</f>
        <v/>
      </c>
      <c r="CL351" t="str">
        <f>""</f>
        <v/>
      </c>
      <c r="CM351" t="str">
        <f>""</f>
        <v/>
      </c>
      <c r="CN351" t="str">
        <f>""</f>
        <v/>
      </c>
      <c r="CO351" t="str">
        <f>""</f>
        <v/>
      </c>
      <c r="CP351" t="str">
        <f>""</f>
        <v/>
      </c>
      <c r="CQ351" t="str">
        <f>""</f>
        <v/>
      </c>
      <c r="CR351" t="str">
        <f>""</f>
        <v/>
      </c>
      <c r="CS351" t="str">
        <f>""</f>
        <v/>
      </c>
      <c r="CT351" t="str">
        <f>""</f>
        <v/>
      </c>
      <c r="CU351" t="str">
        <f>""</f>
        <v/>
      </c>
      <c r="CV351" t="str">
        <f>""</f>
        <v/>
      </c>
      <c r="CW351" t="str">
        <f>""</f>
        <v/>
      </c>
      <c r="CX351" t="str">
        <f>""</f>
        <v/>
      </c>
      <c r="CY351" t="str">
        <f>""</f>
        <v/>
      </c>
      <c r="CZ351" t="str">
        <f>""</f>
        <v/>
      </c>
      <c r="DA351" t="str">
        <f>""</f>
        <v/>
      </c>
      <c r="DB351" t="str">
        <f>""</f>
        <v/>
      </c>
      <c r="DC351" t="str">
        <f>""</f>
        <v/>
      </c>
      <c r="DD351" t="str">
        <f>""</f>
        <v/>
      </c>
      <c r="DE351" t="str">
        <f>""</f>
        <v/>
      </c>
      <c r="DF351" t="str">
        <f>""</f>
        <v/>
      </c>
      <c r="DG351" t="str">
        <f>""</f>
        <v/>
      </c>
      <c r="DH351" t="str">
        <f>""</f>
        <v/>
      </c>
      <c r="DI351" t="str">
        <f>""</f>
        <v/>
      </c>
      <c r="DJ351" t="str">
        <f>""</f>
        <v/>
      </c>
      <c r="DK351" t="str">
        <f>""</f>
        <v/>
      </c>
      <c r="DL351" t="str">
        <f>""</f>
        <v/>
      </c>
      <c r="DM351" t="str">
        <f>""</f>
        <v/>
      </c>
      <c r="DN351" t="str">
        <f>""</f>
        <v/>
      </c>
      <c r="DO351" t="str">
        <f>""</f>
        <v/>
      </c>
      <c r="DP351" t="str">
        <f>""</f>
        <v/>
      </c>
      <c r="DQ351" t="str">
        <f>""</f>
        <v/>
      </c>
      <c r="DR351" t="str">
        <f>""</f>
        <v/>
      </c>
      <c r="DS351" t="str">
        <f>""</f>
        <v/>
      </c>
      <c r="DT351" t="str">
        <f>""</f>
        <v/>
      </c>
      <c r="DU351" t="str">
        <f>""</f>
        <v/>
      </c>
    </row>
    <row r="352" spans="1:125">
      <c r="A352" t="str">
        <f>$A$144</f>
        <v xml:space="preserve">    Equity Residential</v>
      </c>
      <c r="B352" t="str">
        <f>$B$144</f>
        <v>EQR US Equity</v>
      </c>
      <c r="C352" t="str">
        <f>$C$144</f>
        <v>RR553</v>
      </c>
      <c r="D352" t="str">
        <f>$D$144</f>
        <v>EBITDA_RE_ASSET</v>
      </c>
      <c r="E352" t="str">
        <f>$E$144</f>
        <v>动态</v>
      </c>
      <c r="F352" t="str">
        <f ca="1">BDH($B$144,$C$144,$B$224,$B$225,CONCATENATE("Per=",$B$222),"Dts=H","Dir=H",CONCATENATE("Points=",$B$223),"Sort=R","Days=A","Fill=B",CONCATENATE("FX=", $B$221) )</f>
        <v>#N/A Authorization</v>
      </c>
      <c r="BN352" t="str">
        <f>""</f>
        <v/>
      </c>
      <c r="BO352" t="str">
        <f>""</f>
        <v/>
      </c>
      <c r="BP352" t="str">
        <f>""</f>
        <v/>
      </c>
      <c r="BQ352" t="str">
        <f>""</f>
        <v/>
      </c>
      <c r="BR352" t="str">
        <f>""</f>
        <v/>
      </c>
      <c r="BS352" t="str">
        <f>""</f>
        <v/>
      </c>
      <c r="BT352" t="str">
        <f>""</f>
        <v/>
      </c>
      <c r="BU352" t="str">
        <f>""</f>
        <v/>
      </c>
      <c r="BV352" t="str">
        <f>""</f>
        <v/>
      </c>
      <c r="BW352" t="str">
        <f>""</f>
        <v/>
      </c>
      <c r="BX352" t="str">
        <f>""</f>
        <v/>
      </c>
      <c r="BY352" t="str">
        <f>""</f>
        <v/>
      </c>
      <c r="BZ352" t="str">
        <f>""</f>
        <v/>
      </c>
      <c r="CA352" t="str">
        <f>""</f>
        <v/>
      </c>
      <c r="CB352" t="str">
        <f>""</f>
        <v/>
      </c>
      <c r="CC352" t="str">
        <f>""</f>
        <v/>
      </c>
      <c r="CD352" t="str">
        <f>""</f>
        <v/>
      </c>
      <c r="CE352" t="str">
        <f>""</f>
        <v/>
      </c>
      <c r="CF352" t="str">
        <f>""</f>
        <v/>
      </c>
      <c r="CG352" t="str">
        <f>""</f>
        <v/>
      </c>
      <c r="CH352" t="str">
        <f>""</f>
        <v/>
      </c>
      <c r="CI352" t="str">
        <f>""</f>
        <v/>
      </c>
      <c r="CJ352" t="str">
        <f>""</f>
        <v/>
      </c>
      <c r="CK352" t="str">
        <f>""</f>
        <v/>
      </c>
      <c r="CL352" t="str">
        <f>""</f>
        <v/>
      </c>
      <c r="CM352" t="str">
        <f>""</f>
        <v/>
      </c>
      <c r="CN352" t="str">
        <f>""</f>
        <v/>
      </c>
      <c r="CO352" t="str">
        <f>""</f>
        <v/>
      </c>
      <c r="CP352" t="str">
        <f>""</f>
        <v/>
      </c>
      <c r="CQ352" t="str">
        <f>""</f>
        <v/>
      </c>
      <c r="CR352" t="str">
        <f>""</f>
        <v/>
      </c>
      <c r="CS352" t="str">
        <f>""</f>
        <v/>
      </c>
      <c r="CT352" t="str">
        <f>""</f>
        <v/>
      </c>
      <c r="CU352" t="str">
        <f>""</f>
        <v/>
      </c>
      <c r="CV352" t="str">
        <f>""</f>
        <v/>
      </c>
      <c r="CW352" t="str">
        <f>""</f>
        <v/>
      </c>
      <c r="CX352" t="str">
        <f>""</f>
        <v/>
      </c>
      <c r="CY352" t="str">
        <f>""</f>
        <v/>
      </c>
      <c r="CZ352" t="str">
        <f>""</f>
        <v/>
      </c>
      <c r="DA352" t="str">
        <f>""</f>
        <v/>
      </c>
      <c r="DB352" t="str">
        <f>""</f>
        <v/>
      </c>
      <c r="DC352" t="str">
        <f>""</f>
        <v/>
      </c>
      <c r="DD352" t="str">
        <f>""</f>
        <v/>
      </c>
      <c r="DE352" t="str">
        <f>""</f>
        <v/>
      </c>
      <c r="DF352" t="str">
        <f>""</f>
        <v/>
      </c>
      <c r="DG352" t="str">
        <f>""</f>
        <v/>
      </c>
      <c r="DH352" t="str">
        <f>""</f>
        <v/>
      </c>
      <c r="DI352" t="str">
        <f>""</f>
        <v/>
      </c>
      <c r="DJ352" t="str">
        <f>""</f>
        <v/>
      </c>
      <c r="DK352" t="str">
        <f>""</f>
        <v/>
      </c>
      <c r="DL352" t="str">
        <f>""</f>
        <v/>
      </c>
      <c r="DM352" t="str">
        <f>""</f>
        <v/>
      </c>
      <c r="DN352" t="str">
        <f>""</f>
        <v/>
      </c>
      <c r="DO352" t="str">
        <f>""</f>
        <v/>
      </c>
      <c r="DP352" t="str">
        <f>""</f>
        <v/>
      </c>
      <c r="DQ352" t="str">
        <f>""</f>
        <v/>
      </c>
      <c r="DR352" t="str">
        <f>""</f>
        <v/>
      </c>
      <c r="DS352" t="str">
        <f>""</f>
        <v/>
      </c>
      <c r="DT352" t="str">
        <f>""</f>
        <v/>
      </c>
      <c r="DU352" t="str">
        <f>""</f>
        <v/>
      </c>
    </row>
    <row r="353" spans="1:125">
      <c r="A353" t="str">
        <f>$A$145</f>
        <v xml:space="preserve">    Essex Property Trust Inc</v>
      </c>
      <c r="B353" t="str">
        <f>$B$145</f>
        <v>ESS US Equity</v>
      </c>
      <c r="C353" t="str">
        <f>$C$145</f>
        <v>RR553</v>
      </c>
      <c r="D353" t="str">
        <f>$D$145</f>
        <v>EBITDA_RE_ASSET</v>
      </c>
      <c r="E353" t="str">
        <f>$E$145</f>
        <v>动态</v>
      </c>
      <c r="F353" t="str">
        <f ca="1">BDH($B$145,$C$145,$B$224,$B$225,CONCATENATE("Per=",$B$222),"Dts=H","Dir=H",CONCATENATE("Points=",$B$223),"Sort=R","Days=A","Fill=B",CONCATENATE("FX=", $B$221) )</f>
        <v>#N/A Authorization</v>
      </c>
      <c r="BN353" t="str">
        <f>""</f>
        <v/>
      </c>
      <c r="BO353" t="str">
        <f>""</f>
        <v/>
      </c>
      <c r="BP353" t="str">
        <f>""</f>
        <v/>
      </c>
      <c r="BQ353" t="str">
        <f>""</f>
        <v/>
      </c>
      <c r="BR353" t="str">
        <f>""</f>
        <v/>
      </c>
      <c r="BS353" t="str">
        <f>""</f>
        <v/>
      </c>
      <c r="BT353" t="str">
        <f>""</f>
        <v/>
      </c>
      <c r="BU353" t="str">
        <f>""</f>
        <v/>
      </c>
      <c r="BV353" t="str">
        <f>""</f>
        <v/>
      </c>
      <c r="BW353" t="str">
        <f>""</f>
        <v/>
      </c>
      <c r="BX353" t="str">
        <f>""</f>
        <v/>
      </c>
      <c r="BY353" t="str">
        <f>""</f>
        <v/>
      </c>
      <c r="BZ353" t="str">
        <f>""</f>
        <v/>
      </c>
      <c r="CA353" t="str">
        <f>""</f>
        <v/>
      </c>
      <c r="CB353" t="str">
        <f>""</f>
        <v/>
      </c>
      <c r="CC353" t="str">
        <f>""</f>
        <v/>
      </c>
      <c r="CD353" t="str">
        <f>""</f>
        <v/>
      </c>
      <c r="CE353" t="str">
        <f>""</f>
        <v/>
      </c>
      <c r="CF353" t="str">
        <f>""</f>
        <v/>
      </c>
      <c r="CG353" t="str">
        <f>""</f>
        <v/>
      </c>
      <c r="CH353" t="str">
        <f>""</f>
        <v/>
      </c>
      <c r="CI353" t="str">
        <f>""</f>
        <v/>
      </c>
      <c r="CJ353" t="str">
        <f>""</f>
        <v/>
      </c>
      <c r="CK353" t="str">
        <f>""</f>
        <v/>
      </c>
      <c r="CL353" t="str">
        <f>""</f>
        <v/>
      </c>
      <c r="CM353" t="str">
        <f>""</f>
        <v/>
      </c>
      <c r="CN353" t="str">
        <f>""</f>
        <v/>
      </c>
      <c r="CO353" t="str">
        <f>""</f>
        <v/>
      </c>
      <c r="CP353" t="str">
        <f>""</f>
        <v/>
      </c>
      <c r="CQ353" t="str">
        <f>""</f>
        <v/>
      </c>
      <c r="CR353" t="str">
        <f>""</f>
        <v/>
      </c>
      <c r="CS353" t="str">
        <f>""</f>
        <v/>
      </c>
      <c r="CT353" t="str">
        <f>""</f>
        <v/>
      </c>
      <c r="CU353" t="str">
        <f>""</f>
        <v/>
      </c>
      <c r="CV353" t="str">
        <f>""</f>
        <v/>
      </c>
      <c r="CW353" t="str">
        <f>""</f>
        <v/>
      </c>
      <c r="CX353" t="str">
        <f>""</f>
        <v/>
      </c>
      <c r="CY353" t="str">
        <f>""</f>
        <v/>
      </c>
      <c r="CZ353" t="str">
        <f>""</f>
        <v/>
      </c>
      <c r="DA353" t="str">
        <f>""</f>
        <v/>
      </c>
      <c r="DB353" t="str">
        <f>""</f>
        <v/>
      </c>
      <c r="DC353" t="str">
        <f>""</f>
        <v/>
      </c>
      <c r="DD353" t="str">
        <f>""</f>
        <v/>
      </c>
      <c r="DE353" t="str">
        <f>""</f>
        <v/>
      </c>
      <c r="DF353" t="str">
        <f>""</f>
        <v/>
      </c>
      <c r="DG353" t="str">
        <f>""</f>
        <v/>
      </c>
      <c r="DH353" t="str">
        <f>""</f>
        <v/>
      </c>
      <c r="DI353" t="str">
        <f>""</f>
        <v/>
      </c>
      <c r="DJ353" t="str">
        <f>""</f>
        <v/>
      </c>
      <c r="DK353" t="str">
        <f>""</f>
        <v/>
      </c>
      <c r="DL353" t="str">
        <f>""</f>
        <v/>
      </c>
      <c r="DM353" t="str">
        <f>""</f>
        <v/>
      </c>
      <c r="DN353" t="str">
        <f>""</f>
        <v/>
      </c>
      <c r="DO353" t="str">
        <f>""</f>
        <v/>
      </c>
      <c r="DP353" t="str">
        <f>""</f>
        <v/>
      </c>
      <c r="DQ353" t="str">
        <f>""</f>
        <v/>
      </c>
      <c r="DR353" t="str">
        <f>""</f>
        <v/>
      </c>
      <c r="DS353" t="str">
        <f>""</f>
        <v/>
      </c>
      <c r="DT353" t="str">
        <f>""</f>
        <v/>
      </c>
      <c r="DU353" t="str">
        <f>""</f>
        <v/>
      </c>
    </row>
    <row r="354" spans="1:125">
      <c r="A354" t="str">
        <f>$A$146</f>
        <v xml:space="preserve">    Mid-America Apartment Communit</v>
      </c>
      <c r="B354" t="str">
        <f>$B$146</f>
        <v>MAA US Equity</v>
      </c>
      <c r="C354" t="str">
        <f>$C$146</f>
        <v>RR553</v>
      </c>
      <c r="D354" t="str">
        <f>$D$146</f>
        <v>EBITDA_RE_ASSET</v>
      </c>
      <c r="E354" t="str">
        <f>$E$146</f>
        <v>动态</v>
      </c>
      <c r="F354" t="str">
        <f ca="1">BDH($B$146,$C$146,$B$224,$B$225,CONCATENATE("Per=",$B$222),"Dts=H","Dir=H",CONCATENATE("Points=",$B$223),"Sort=R","Days=A","Fill=B",CONCATENATE("FX=", $B$221) )</f>
        <v>#N/A Authorization</v>
      </c>
      <c r="BN354" t="str">
        <f>""</f>
        <v/>
      </c>
      <c r="BO354" t="str">
        <f>""</f>
        <v/>
      </c>
      <c r="BP354" t="str">
        <f>""</f>
        <v/>
      </c>
      <c r="BQ354" t="str">
        <f>""</f>
        <v/>
      </c>
      <c r="BR354" t="str">
        <f>""</f>
        <v/>
      </c>
      <c r="BS354" t="str">
        <f>""</f>
        <v/>
      </c>
      <c r="BT354" t="str">
        <f>""</f>
        <v/>
      </c>
      <c r="BU354" t="str">
        <f>""</f>
        <v/>
      </c>
      <c r="BV354" t="str">
        <f>""</f>
        <v/>
      </c>
      <c r="BW354" t="str">
        <f>""</f>
        <v/>
      </c>
      <c r="BX354" t="str">
        <f>""</f>
        <v/>
      </c>
      <c r="BY354" t="str">
        <f>""</f>
        <v/>
      </c>
      <c r="BZ354" t="str">
        <f>""</f>
        <v/>
      </c>
      <c r="CA354" t="str">
        <f>""</f>
        <v/>
      </c>
      <c r="CB354" t="str">
        <f>""</f>
        <v/>
      </c>
      <c r="CC354" t="str">
        <f>""</f>
        <v/>
      </c>
      <c r="CD354" t="str">
        <f>""</f>
        <v/>
      </c>
      <c r="CE354" t="str">
        <f>""</f>
        <v/>
      </c>
      <c r="CF354" t="str">
        <f>""</f>
        <v/>
      </c>
      <c r="CG354" t="str">
        <f>""</f>
        <v/>
      </c>
      <c r="CH354" t="str">
        <f>""</f>
        <v/>
      </c>
      <c r="CI354" t="str">
        <f>""</f>
        <v/>
      </c>
      <c r="CJ354" t="str">
        <f>""</f>
        <v/>
      </c>
      <c r="CK354" t="str">
        <f>""</f>
        <v/>
      </c>
      <c r="CL354" t="str">
        <f>""</f>
        <v/>
      </c>
      <c r="CM354" t="str">
        <f>""</f>
        <v/>
      </c>
      <c r="CN354" t="str">
        <f>""</f>
        <v/>
      </c>
      <c r="CO354" t="str">
        <f>""</f>
        <v/>
      </c>
      <c r="CP354" t="str">
        <f>""</f>
        <v/>
      </c>
      <c r="CQ354" t="str">
        <f>""</f>
        <v/>
      </c>
      <c r="CR354" t="str">
        <f>""</f>
        <v/>
      </c>
      <c r="CS354" t="str">
        <f>""</f>
        <v/>
      </c>
      <c r="CT354" t="str">
        <f>""</f>
        <v/>
      </c>
      <c r="CU354" t="str">
        <f>""</f>
        <v/>
      </c>
      <c r="CV354" t="str">
        <f>""</f>
        <v/>
      </c>
      <c r="CW354" t="str">
        <f>""</f>
        <v/>
      </c>
      <c r="CX354" t="str">
        <f>""</f>
        <v/>
      </c>
      <c r="CY354" t="str">
        <f>""</f>
        <v/>
      </c>
      <c r="CZ354" t="str">
        <f>""</f>
        <v/>
      </c>
      <c r="DA354" t="str">
        <f>""</f>
        <v/>
      </c>
      <c r="DB354" t="str">
        <f>""</f>
        <v/>
      </c>
      <c r="DC354" t="str">
        <f>""</f>
        <v/>
      </c>
      <c r="DD354" t="str">
        <f>""</f>
        <v/>
      </c>
      <c r="DE354" t="str">
        <f>""</f>
        <v/>
      </c>
      <c r="DF354" t="str">
        <f>""</f>
        <v/>
      </c>
      <c r="DG354" t="str">
        <f>""</f>
        <v/>
      </c>
      <c r="DH354" t="str">
        <f>""</f>
        <v/>
      </c>
      <c r="DI354" t="str">
        <f>""</f>
        <v/>
      </c>
      <c r="DJ354" t="str">
        <f>""</f>
        <v/>
      </c>
      <c r="DK354" t="str">
        <f>""</f>
        <v/>
      </c>
      <c r="DL354" t="str">
        <f>""</f>
        <v/>
      </c>
      <c r="DM354" t="str">
        <f>""</f>
        <v/>
      </c>
      <c r="DN354" t="str">
        <f>""</f>
        <v/>
      </c>
      <c r="DO354" t="str">
        <f>""</f>
        <v/>
      </c>
      <c r="DP354" t="str">
        <f>""</f>
        <v/>
      </c>
      <c r="DQ354" t="str">
        <f>""</f>
        <v/>
      </c>
      <c r="DR354" t="str">
        <f>""</f>
        <v/>
      </c>
      <c r="DS354" t="str">
        <f>""</f>
        <v/>
      </c>
      <c r="DT354" t="str">
        <f>""</f>
        <v/>
      </c>
      <c r="DU354" t="str">
        <f>""</f>
        <v/>
      </c>
    </row>
    <row r="355" spans="1:125">
      <c r="A355" t="str">
        <f>$A$147</f>
        <v xml:space="preserve">    UDR Inc</v>
      </c>
      <c r="B355" t="str">
        <f>$B$147</f>
        <v>UDR US Equity</v>
      </c>
      <c r="C355" t="str">
        <f>$C$147</f>
        <v>RR553</v>
      </c>
      <c r="D355" t="str">
        <f>$D$147</f>
        <v>EBITDA_RE_ASSET</v>
      </c>
      <c r="E355" t="str">
        <f>$E$147</f>
        <v>动态</v>
      </c>
      <c r="F355" t="str">
        <f ca="1">BDH($B$147,$C$147,$B$224,$B$225,CONCATENATE("Per=",$B$222),"Dts=H","Dir=H",CONCATENATE("Points=",$B$223),"Sort=R","Days=A","Fill=B",CONCATENATE("FX=", $B$221) )</f>
        <v>#N/A Authorization</v>
      </c>
      <c r="BN355" t="str">
        <f>""</f>
        <v/>
      </c>
      <c r="BO355" t="str">
        <f>""</f>
        <v/>
      </c>
      <c r="BP355" t="str">
        <f>""</f>
        <v/>
      </c>
      <c r="BQ355" t="str">
        <f>""</f>
        <v/>
      </c>
      <c r="BR355" t="str">
        <f>""</f>
        <v/>
      </c>
      <c r="BS355" t="str">
        <f>""</f>
        <v/>
      </c>
      <c r="BT355" t="str">
        <f>""</f>
        <v/>
      </c>
      <c r="BU355" t="str">
        <f>""</f>
        <v/>
      </c>
      <c r="BV355" t="str">
        <f>""</f>
        <v/>
      </c>
      <c r="BW355" t="str">
        <f>""</f>
        <v/>
      </c>
      <c r="BX355" t="str">
        <f>""</f>
        <v/>
      </c>
      <c r="BY355" t="str">
        <f>""</f>
        <v/>
      </c>
      <c r="BZ355" t="str">
        <f>""</f>
        <v/>
      </c>
      <c r="CA355" t="str">
        <f>""</f>
        <v/>
      </c>
      <c r="CB355" t="str">
        <f>""</f>
        <v/>
      </c>
      <c r="CC355" t="str">
        <f>""</f>
        <v/>
      </c>
      <c r="CD355" t="str">
        <f>""</f>
        <v/>
      </c>
      <c r="CE355" t="str">
        <f>""</f>
        <v/>
      </c>
      <c r="CF355" t="str">
        <f>""</f>
        <v/>
      </c>
      <c r="CG355" t="str">
        <f>""</f>
        <v/>
      </c>
      <c r="CH355" t="str">
        <f>""</f>
        <v/>
      </c>
      <c r="CI355" t="str">
        <f>""</f>
        <v/>
      </c>
      <c r="CJ355" t="str">
        <f>""</f>
        <v/>
      </c>
      <c r="CK355" t="str">
        <f>""</f>
        <v/>
      </c>
      <c r="CL355" t="str">
        <f>""</f>
        <v/>
      </c>
      <c r="CM355" t="str">
        <f>""</f>
        <v/>
      </c>
      <c r="CN355" t="str">
        <f>""</f>
        <v/>
      </c>
      <c r="CO355" t="str">
        <f>""</f>
        <v/>
      </c>
      <c r="CP355" t="str">
        <f>""</f>
        <v/>
      </c>
      <c r="CQ355" t="str">
        <f>""</f>
        <v/>
      </c>
      <c r="CR355" t="str">
        <f>""</f>
        <v/>
      </c>
      <c r="CS355" t="str">
        <f>""</f>
        <v/>
      </c>
      <c r="CT355" t="str">
        <f>""</f>
        <v/>
      </c>
      <c r="CU355" t="str">
        <f>""</f>
        <v/>
      </c>
      <c r="CV355" t="str">
        <f>""</f>
        <v/>
      </c>
      <c r="CW355" t="str">
        <f>""</f>
        <v/>
      </c>
      <c r="CX355" t="str">
        <f>""</f>
        <v/>
      </c>
      <c r="CY355" t="str">
        <f>""</f>
        <v/>
      </c>
      <c r="CZ355" t="str">
        <f>""</f>
        <v/>
      </c>
      <c r="DA355" t="str">
        <f>""</f>
        <v/>
      </c>
      <c r="DB355" t="str">
        <f>""</f>
        <v/>
      </c>
      <c r="DC355" t="str">
        <f>""</f>
        <v/>
      </c>
      <c r="DD355" t="str">
        <f>""</f>
        <v/>
      </c>
      <c r="DE355" t="str">
        <f>""</f>
        <v/>
      </c>
      <c r="DF355" t="str">
        <f>""</f>
        <v/>
      </c>
      <c r="DG355" t="str">
        <f>""</f>
        <v/>
      </c>
      <c r="DH355" t="str">
        <f>""</f>
        <v/>
      </c>
      <c r="DI355" t="str">
        <f>""</f>
        <v/>
      </c>
      <c r="DJ355" t="str">
        <f>""</f>
        <v/>
      </c>
      <c r="DK355" t="str">
        <f>""</f>
        <v/>
      </c>
      <c r="DL355" t="str">
        <f>""</f>
        <v/>
      </c>
      <c r="DM355" t="str">
        <f>""</f>
        <v/>
      </c>
      <c r="DN355" t="str">
        <f>""</f>
        <v/>
      </c>
      <c r="DO355" t="str">
        <f>""</f>
        <v/>
      </c>
      <c r="DP355" t="str">
        <f>""</f>
        <v/>
      </c>
      <c r="DQ355" t="str">
        <f>""</f>
        <v/>
      </c>
      <c r="DR355" t="str">
        <f>""</f>
        <v/>
      </c>
      <c r="DS355" t="str">
        <f>""</f>
        <v/>
      </c>
      <c r="DT355" t="str">
        <f>""</f>
        <v/>
      </c>
      <c r="DU355" t="str">
        <f>""</f>
        <v/>
      </c>
    </row>
    <row r="356" spans="1:125">
      <c r="A356" t="str">
        <f>$A$149</f>
        <v xml:space="preserve">    American Campus Communities In</v>
      </c>
      <c r="B356" t="str">
        <f>$B$149</f>
        <v>ACC US Equity</v>
      </c>
      <c r="C356" t="str">
        <f>$C$149</f>
        <v>RR554</v>
      </c>
      <c r="D356" t="str">
        <f>$D$149</f>
        <v>FFO_RE_ASSET</v>
      </c>
      <c r="E356" t="str">
        <f>$E$149</f>
        <v>动态</v>
      </c>
      <c r="F356" t="str">
        <f ca="1">BDH($B$149,$C$149,$B$224,$B$225,CONCATENATE("Per=",$B$222),"Dts=H","Dir=H",CONCATENATE("Points=",$B$223),"Sort=R","Days=A","Fill=B",CONCATENATE("FX=", $B$221) )</f>
        <v>#N/A Authorization</v>
      </c>
      <c r="BN356" t="str">
        <f>""</f>
        <v/>
      </c>
      <c r="BO356" t="str">
        <f>""</f>
        <v/>
      </c>
      <c r="BP356" t="str">
        <f>""</f>
        <v/>
      </c>
      <c r="BQ356" t="str">
        <f>""</f>
        <v/>
      </c>
      <c r="BR356" t="str">
        <f>""</f>
        <v/>
      </c>
      <c r="BS356" t="str">
        <f>""</f>
        <v/>
      </c>
      <c r="BT356" t="str">
        <f>""</f>
        <v/>
      </c>
      <c r="BU356" t="str">
        <f>""</f>
        <v/>
      </c>
      <c r="BV356" t="str">
        <f>""</f>
        <v/>
      </c>
      <c r="BW356" t="str">
        <f>""</f>
        <v/>
      </c>
      <c r="BX356" t="str">
        <f>""</f>
        <v/>
      </c>
      <c r="BY356" t="str">
        <f>""</f>
        <v/>
      </c>
      <c r="BZ356" t="str">
        <f>""</f>
        <v/>
      </c>
      <c r="CA356" t="str">
        <f>""</f>
        <v/>
      </c>
      <c r="CB356" t="str">
        <f>""</f>
        <v/>
      </c>
      <c r="CC356" t="str">
        <f>""</f>
        <v/>
      </c>
      <c r="CD356" t="str">
        <f>""</f>
        <v/>
      </c>
      <c r="CE356" t="str">
        <f>""</f>
        <v/>
      </c>
      <c r="CF356" t="str">
        <f>""</f>
        <v/>
      </c>
      <c r="CG356" t="str">
        <f>""</f>
        <v/>
      </c>
      <c r="CH356" t="str">
        <f>""</f>
        <v/>
      </c>
      <c r="CI356" t="str">
        <f>""</f>
        <v/>
      </c>
      <c r="CJ356" t="str">
        <f>""</f>
        <v/>
      </c>
      <c r="CK356" t="str">
        <f>""</f>
        <v/>
      </c>
      <c r="CL356" t="str">
        <f>""</f>
        <v/>
      </c>
      <c r="CM356" t="str">
        <f>""</f>
        <v/>
      </c>
      <c r="CN356" t="str">
        <f>""</f>
        <v/>
      </c>
      <c r="CO356" t="str">
        <f>""</f>
        <v/>
      </c>
      <c r="CP356" t="str">
        <f>""</f>
        <v/>
      </c>
      <c r="CQ356" t="str">
        <f>""</f>
        <v/>
      </c>
      <c r="CR356" t="str">
        <f>""</f>
        <v/>
      </c>
      <c r="CS356" t="str">
        <f>""</f>
        <v/>
      </c>
      <c r="CT356" t="str">
        <f>""</f>
        <v/>
      </c>
      <c r="CU356" t="str">
        <f>""</f>
        <v/>
      </c>
      <c r="CV356" t="str">
        <f>""</f>
        <v/>
      </c>
      <c r="CW356" t="str">
        <f>""</f>
        <v/>
      </c>
      <c r="CX356" t="str">
        <f>""</f>
        <v/>
      </c>
      <c r="CY356" t="str">
        <f>""</f>
        <v/>
      </c>
      <c r="CZ356" t="str">
        <f>""</f>
        <v/>
      </c>
      <c r="DA356" t="str">
        <f>""</f>
        <v/>
      </c>
      <c r="DB356" t="str">
        <f>""</f>
        <v/>
      </c>
      <c r="DC356" t="str">
        <f>""</f>
        <v/>
      </c>
      <c r="DD356" t="str">
        <f>""</f>
        <v/>
      </c>
      <c r="DE356" t="str">
        <f>""</f>
        <v/>
      </c>
      <c r="DF356" t="str">
        <f>""</f>
        <v/>
      </c>
      <c r="DG356" t="str">
        <f>""</f>
        <v/>
      </c>
      <c r="DH356" t="str">
        <f>""</f>
        <v/>
      </c>
      <c r="DI356" t="str">
        <f>""</f>
        <v/>
      </c>
      <c r="DJ356" t="str">
        <f>""</f>
        <v/>
      </c>
      <c r="DK356" t="str">
        <f>""</f>
        <v/>
      </c>
      <c r="DL356" t="str">
        <f>""</f>
        <v/>
      </c>
      <c r="DM356" t="str">
        <f>""</f>
        <v/>
      </c>
      <c r="DN356" t="str">
        <f>""</f>
        <v/>
      </c>
      <c r="DO356" t="str">
        <f>""</f>
        <v/>
      </c>
      <c r="DP356" t="str">
        <f>""</f>
        <v/>
      </c>
      <c r="DQ356" t="str">
        <f>""</f>
        <v/>
      </c>
      <c r="DR356" t="str">
        <f>""</f>
        <v/>
      </c>
      <c r="DS356" t="str">
        <f>""</f>
        <v/>
      </c>
      <c r="DT356" t="str">
        <f>""</f>
        <v/>
      </c>
      <c r="DU356" t="str">
        <f>""</f>
        <v/>
      </c>
    </row>
    <row r="357" spans="1:125">
      <c r="A357" t="str">
        <f>$A$150</f>
        <v xml:space="preserve">    AvalonBay Communities Inc</v>
      </c>
      <c r="B357" t="str">
        <f>$B$150</f>
        <v>AVB US Equity</v>
      </c>
      <c r="C357" t="str">
        <f>$C$150</f>
        <v>RR554</v>
      </c>
      <c r="D357" t="str">
        <f>$D$150</f>
        <v>FFO_RE_ASSET</v>
      </c>
      <c r="E357" t="str">
        <f>$E$150</f>
        <v>动态</v>
      </c>
      <c r="F357" t="str">
        <f ca="1">BDH($B$150,$C$150,$B$224,$B$225,CONCATENATE("Per=",$B$222),"Dts=H","Dir=H",CONCATENATE("Points=",$B$223),"Sort=R","Days=A","Fill=B",CONCATENATE("FX=", $B$221) )</f>
        <v>#N/A Authorization</v>
      </c>
      <c r="BN357" t="str">
        <f>""</f>
        <v/>
      </c>
      <c r="BO357" t="str">
        <f>""</f>
        <v/>
      </c>
      <c r="BP357" t="str">
        <f>""</f>
        <v/>
      </c>
      <c r="BQ357" t="str">
        <f>""</f>
        <v/>
      </c>
      <c r="BR357" t="str">
        <f>""</f>
        <v/>
      </c>
      <c r="BS357" t="str">
        <f>""</f>
        <v/>
      </c>
      <c r="BT357" t="str">
        <f>""</f>
        <v/>
      </c>
      <c r="BU357" t="str">
        <f>""</f>
        <v/>
      </c>
      <c r="BV357" t="str">
        <f>""</f>
        <v/>
      </c>
      <c r="BW357" t="str">
        <f>""</f>
        <v/>
      </c>
      <c r="BX357" t="str">
        <f>""</f>
        <v/>
      </c>
      <c r="BY357" t="str">
        <f>""</f>
        <v/>
      </c>
      <c r="BZ357" t="str">
        <f>""</f>
        <v/>
      </c>
      <c r="CA357" t="str">
        <f>""</f>
        <v/>
      </c>
      <c r="CB357" t="str">
        <f>""</f>
        <v/>
      </c>
      <c r="CC357" t="str">
        <f>""</f>
        <v/>
      </c>
      <c r="CD357" t="str">
        <f>""</f>
        <v/>
      </c>
      <c r="CE357" t="str">
        <f>""</f>
        <v/>
      </c>
      <c r="CF357" t="str">
        <f>""</f>
        <v/>
      </c>
      <c r="CG357" t="str">
        <f>""</f>
        <v/>
      </c>
      <c r="CH357" t="str">
        <f>""</f>
        <v/>
      </c>
      <c r="CI357" t="str">
        <f>""</f>
        <v/>
      </c>
      <c r="CJ357" t="str">
        <f>""</f>
        <v/>
      </c>
      <c r="CK357" t="str">
        <f>""</f>
        <v/>
      </c>
      <c r="CL357" t="str">
        <f>""</f>
        <v/>
      </c>
      <c r="CM357" t="str">
        <f>""</f>
        <v/>
      </c>
      <c r="CN357" t="str">
        <f>""</f>
        <v/>
      </c>
      <c r="CO357" t="str">
        <f>""</f>
        <v/>
      </c>
      <c r="CP357" t="str">
        <f>""</f>
        <v/>
      </c>
      <c r="CQ357" t="str">
        <f>""</f>
        <v/>
      </c>
      <c r="CR357" t="str">
        <f>""</f>
        <v/>
      </c>
      <c r="CS357" t="str">
        <f>""</f>
        <v/>
      </c>
      <c r="CT357" t="str">
        <f>""</f>
        <v/>
      </c>
      <c r="CU357" t="str">
        <f>""</f>
        <v/>
      </c>
      <c r="CV357" t="str">
        <f>""</f>
        <v/>
      </c>
      <c r="CW357" t="str">
        <f>""</f>
        <v/>
      </c>
      <c r="CX357" t="str">
        <f>""</f>
        <v/>
      </c>
      <c r="CY357" t="str">
        <f>""</f>
        <v/>
      </c>
      <c r="CZ357" t="str">
        <f>""</f>
        <v/>
      </c>
      <c r="DA357" t="str">
        <f>""</f>
        <v/>
      </c>
      <c r="DB357" t="str">
        <f>""</f>
        <v/>
      </c>
      <c r="DC357" t="str">
        <f>""</f>
        <v/>
      </c>
      <c r="DD357" t="str">
        <f>""</f>
        <v/>
      </c>
      <c r="DE357" t="str">
        <f>""</f>
        <v/>
      </c>
      <c r="DF357" t="str">
        <f>""</f>
        <v/>
      </c>
      <c r="DG357" t="str">
        <f>""</f>
        <v/>
      </c>
      <c r="DH357" t="str">
        <f>""</f>
        <v/>
      </c>
      <c r="DI357" t="str">
        <f>""</f>
        <v/>
      </c>
      <c r="DJ357" t="str">
        <f>""</f>
        <v/>
      </c>
      <c r="DK357" t="str">
        <f>""</f>
        <v/>
      </c>
      <c r="DL357" t="str">
        <f>""</f>
        <v/>
      </c>
      <c r="DM357" t="str">
        <f>""</f>
        <v/>
      </c>
      <c r="DN357" t="str">
        <f>""</f>
        <v/>
      </c>
      <c r="DO357" t="str">
        <f>""</f>
        <v/>
      </c>
      <c r="DP357" t="str">
        <f>""</f>
        <v/>
      </c>
      <c r="DQ357" t="str">
        <f>""</f>
        <v/>
      </c>
      <c r="DR357" t="str">
        <f>""</f>
        <v/>
      </c>
      <c r="DS357" t="str">
        <f>""</f>
        <v/>
      </c>
      <c r="DT357" t="str">
        <f>""</f>
        <v/>
      </c>
      <c r="DU357" t="str">
        <f>""</f>
        <v/>
      </c>
    </row>
    <row r="358" spans="1:125">
      <c r="A358" t="str">
        <f>$A$151</f>
        <v xml:space="preserve">    Camden Property Trust</v>
      </c>
      <c r="B358" t="str">
        <f>$B$151</f>
        <v>CPT US Equity</v>
      </c>
      <c r="C358" t="str">
        <f>$C$151</f>
        <v>RR554</v>
      </c>
      <c r="D358" t="str">
        <f>$D$151</f>
        <v>FFO_RE_ASSET</v>
      </c>
      <c r="E358" t="str">
        <f>$E$151</f>
        <v>动态</v>
      </c>
      <c r="F358" t="str">
        <f ca="1">BDH($B$151,$C$151,$B$224,$B$225,CONCATENATE("Per=",$B$222),"Dts=H","Dir=H",CONCATENATE("Points=",$B$223),"Sort=R","Days=A","Fill=B",CONCATENATE("FX=", $B$221) )</f>
        <v>#N/A Authorization</v>
      </c>
      <c r="BN358" t="str">
        <f>""</f>
        <v/>
      </c>
      <c r="BO358" t="str">
        <f>""</f>
        <v/>
      </c>
      <c r="BP358" t="str">
        <f>""</f>
        <v/>
      </c>
      <c r="BQ358" t="str">
        <f>""</f>
        <v/>
      </c>
      <c r="BR358" t="str">
        <f>""</f>
        <v/>
      </c>
      <c r="BS358" t="str">
        <f>""</f>
        <v/>
      </c>
      <c r="BT358" t="str">
        <f>""</f>
        <v/>
      </c>
      <c r="BU358" t="str">
        <f>""</f>
        <v/>
      </c>
      <c r="BV358" t="str">
        <f>""</f>
        <v/>
      </c>
      <c r="BW358" t="str">
        <f>""</f>
        <v/>
      </c>
      <c r="BX358" t="str">
        <f>""</f>
        <v/>
      </c>
      <c r="BY358" t="str">
        <f>""</f>
        <v/>
      </c>
      <c r="BZ358" t="str">
        <f>""</f>
        <v/>
      </c>
      <c r="CA358" t="str">
        <f>""</f>
        <v/>
      </c>
      <c r="CB358" t="str">
        <f>""</f>
        <v/>
      </c>
      <c r="CC358" t="str">
        <f>""</f>
        <v/>
      </c>
      <c r="CD358" t="str">
        <f>""</f>
        <v/>
      </c>
      <c r="CE358" t="str">
        <f>""</f>
        <v/>
      </c>
      <c r="CF358" t="str">
        <f>""</f>
        <v/>
      </c>
      <c r="CG358" t="str">
        <f>""</f>
        <v/>
      </c>
      <c r="CH358" t="str">
        <f>""</f>
        <v/>
      </c>
      <c r="CI358" t="str">
        <f>""</f>
        <v/>
      </c>
      <c r="CJ358" t="str">
        <f>""</f>
        <v/>
      </c>
      <c r="CK358" t="str">
        <f>""</f>
        <v/>
      </c>
      <c r="CL358" t="str">
        <f>""</f>
        <v/>
      </c>
      <c r="CM358" t="str">
        <f>""</f>
        <v/>
      </c>
      <c r="CN358" t="str">
        <f>""</f>
        <v/>
      </c>
      <c r="CO358" t="str">
        <f>""</f>
        <v/>
      </c>
      <c r="CP358" t="str">
        <f>""</f>
        <v/>
      </c>
      <c r="CQ358" t="str">
        <f>""</f>
        <v/>
      </c>
      <c r="CR358" t="str">
        <f>""</f>
        <v/>
      </c>
      <c r="CS358" t="str">
        <f>""</f>
        <v/>
      </c>
      <c r="CT358" t="str">
        <f>""</f>
        <v/>
      </c>
      <c r="CU358" t="str">
        <f>""</f>
        <v/>
      </c>
      <c r="CV358" t="str">
        <f>""</f>
        <v/>
      </c>
      <c r="CW358" t="str">
        <f>""</f>
        <v/>
      </c>
      <c r="CX358" t="str">
        <f>""</f>
        <v/>
      </c>
      <c r="CY358" t="str">
        <f>""</f>
        <v/>
      </c>
      <c r="CZ358" t="str">
        <f>""</f>
        <v/>
      </c>
      <c r="DA358" t="str">
        <f>""</f>
        <v/>
      </c>
      <c r="DB358" t="str">
        <f>""</f>
        <v/>
      </c>
      <c r="DC358" t="str">
        <f>""</f>
        <v/>
      </c>
      <c r="DD358" t="str">
        <f>""</f>
        <v/>
      </c>
      <c r="DE358" t="str">
        <f>""</f>
        <v/>
      </c>
      <c r="DF358" t="str">
        <f>""</f>
        <v/>
      </c>
      <c r="DG358" t="str">
        <f>""</f>
        <v/>
      </c>
      <c r="DH358" t="str">
        <f>""</f>
        <v/>
      </c>
      <c r="DI358" t="str">
        <f>""</f>
        <v/>
      </c>
      <c r="DJ358" t="str">
        <f>""</f>
        <v/>
      </c>
      <c r="DK358" t="str">
        <f>""</f>
        <v/>
      </c>
      <c r="DL358" t="str">
        <f>""</f>
        <v/>
      </c>
      <c r="DM358" t="str">
        <f>""</f>
        <v/>
      </c>
      <c r="DN358" t="str">
        <f>""</f>
        <v/>
      </c>
      <c r="DO358" t="str">
        <f>""</f>
        <v/>
      </c>
      <c r="DP358" t="str">
        <f>""</f>
        <v/>
      </c>
      <c r="DQ358" t="str">
        <f>""</f>
        <v/>
      </c>
      <c r="DR358" t="str">
        <f>""</f>
        <v/>
      </c>
      <c r="DS358" t="str">
        <f>""</f>
        <v/>
      </c>
      <c r="DT358" t="str">
        <f>""</f>
        <v/>
      </c>
      <c r="DU358" t="str">
        <f>""</f>
        <v/>
      </c>
    </row>
    <row r="359" spans="1:125">
      <c r="A359" t="str">
        <f>$A$152</f>
        <v xml:space="preserve">    Education Realty Trust Inc</v>
      </c>
      <c r="B359" t="str">
        <f>$B$152</f>
        <v>EDR US Equity</v>
      </c>
      <c r="C359" t="str">
        <f>$C$152</f>
        <v>RR554</v>
      </c>
      <c r="D359" t="str">
        <f>$D$152</f>
        <v>FFO_RE_ASSET</v>
      </c>
      <c r="E359" t="str">
        <f>$E$152</f>
        <v>动态</v>
      </c>
      <c r="F359" t="str">
        <f ca="1">BDH($B$152,$C$152,$B$224,$B$225,CONCATENATE("Per=",$B$222),"Dts=H","Dir=H",CONCATENATE("Points=",$B$223),"Sort=R","Days=A","Fill=B",CONCATENATE("FX=", $B$221) )</f>
        <v>#N/A Authorization</v>
      </c>
      <c r="BN359" t="str">
        <f>""</f>
        <v/>
      </c>
      <c r="BO359" t="str">
        <f>""</f>
        <v/>
      </c>
      <c r="BP359" t="str">
        <f>""</f>
        <v/>
      </c>
      <c r="BQ359" t="str">
        <f>""</f>
        <v/>
      </c>
      <c r="BR359" t="str">
        <f>""</f>
        <v/>
      </c>
      <c r="BS359" t="str">
        <f>""</f>
        <v/>
      </c>
      <c r="BT359" t="str">
        <f>""</f>
        <v/>
      </c>
      <c r="BU359" t="str">
        <f>""</f>
        <v/>
      </c>
      <c r="BV359" t="str">
        <f>""</f>
        <v/>
      </c>
      <c r="BW359" t="str">
        <f>""</f>
        <v/>
      </c>
      <c r="BX359" t="str">
        <f>""</f>
        <v/>
      </c>
      <c r="BY359" t="str">
        <f>""</f>
        <v/>
      </c>
      <c r="BZ359" t="str">
        <f>""</f>
        <v/>
      </c>
      <c r="CA359" t="str">
        <f>""</f>
        <v/>
      </c>
      <c r="CB359" t="str">
        <f>""</f>
        <v/>
      </c>
      <c r="CC359" t="str">
        <f>""</f>
        <v/>
      </c>
      <c r="CD359" t="str">
        <f>""</f>
        <v/>
      </c>
      <c r="CE359" t="str">
        <f>""</f>
        <v/>
      </c>
      <c r="CF359" t="str">
        <f>""</f>
        <v/>
      </c>
      <c r="CG359" t="str">
        <f>""</f>
        <v/>
      </c>
      <c r="CH359" t="str">
        <f>""</f>
        <v/>
      </c>
      <c r="CI359" t="str">
        <f>""</f>
        <v/>
      </c>
      <c r="CJ359" t="str">
        <f>""</f>
        <v/>
      </c>
      <c r="CK359" t="str">
        <f>""</f>
        <v/>
      </c>
      <c r="CL359" t="str">
        <f>""</f>
        <v/>
      </c>
      <c r="CM359" t="str">
        <f>""</f>
        <v/>
      </c>
      <c r="CN359" t="str">
        <f>""</f>
        <v/>
      </c>
      <c r="CO359" t="str">
        <f>""</f>
        <v/>
      </c>
      <c r="CP359" t="str">
        <f>""</f>
        <v/>
      </c>
      <c r="CQ359" t="str">
        <f>""</f>
        <v/>
      </c>
      <c r="CR359" t="str">
        <f>""</f>
        <v/>
      </c>
      <c r="CS359" t="str">
        <f>""</f>
        <v/>
      </c>
      <c r="CT359" t="str">
        <f>""</f>
        <v/>
      </c>
      <c r="CU359" t="str">
        <f>""</f>
        <v/>
      </c>
      <c r="CV359" t="str">
        <f>""</f>
        <v/>
      </c>
      <c r="CW359" t="str">
        <f>""</f>
        <v/>
      </c>
      <c r="CX359" t="str">
        <f>""</f>
        <v/>
      </c>
      <c r="CY359" t="str">
        <f>""</f>
        <v/>
      </c>
      <c r="CZ359" t="str">
        <f>""</f>
        <v/>
      </c>
      <c r="DA359" t="str">
        <f>""</f>
        <v/>
      </c>
      <c r="DB359" t="str">
        <f>""</f>
        <v/>
      </c>
      <c r="DC359" t="str">
        <f>""</f>
        <v/>
      </c>
      <c r="DD359" t="str">
        <f>""</f>
        <v/>
      </c>
      <c r="DE359" t="str">
        <f>""</f>
        <v/>
      </c>
      <c r="DF359" t="str">
        <f>""</f>
        <v/>
      </c>
      <c r="DG359" t="str">
        <f>""</f>
        <v/>
      </c>
      <c r="DH359" t="str">
        <f>""</f>
        <v/>
      </c>
      <c r="DI359" t="str">
        <f>""</f>
        <v/>
      </c>
      <c r="DJ359" t="str">
        <f>""</f>
        <v/>
      </c>
      <c r="DK359" t="str">
        <f>""</f>
        <v/>
      </c>
      <c r="DL359" t="str">
        <f>""</f>
        <v/>
      </c>
      <c r="DM359" t="str">
        <f>""</f>
        <v/>
      </c>
      <c r="DN359" t="str">
        <f>""</f>
        <v/>
      </c>
      <c r="DO359" t="str">
        <f>""</f>
        <v/>
      </c>
      <c r="DP359" t="str">
        <f>""</f>
        <v/>
      </c>
      <c r="DQ359" t="str">
        <f>""</f>
        <v/>
      </c>
      <c r="DR359" t="str">
        <f>""</f>
        <v/>
      </c>
      <c r="DS359" t="str">
        <f>""</f>
        <v/>
      </c>
      <c r="DT359" t="str">
        <f>""</f>
        <v/>
      </c>
      <c r="DU359" t="str">
        <f>""</f>
        <v/>
      </c>
    </row>
    <row r="360" spans="1:125">
      <c r="A360" t="str">
        <f>$A$153</f>
        <v xml:space="preserve">    Equity Residential</v>
      </c>
      <c r="B360" t="str">
        <f>$B$153</f>
        <v>EQR US Equity</v>
      </c>
      <c r="C360" t="str">
        <f>$C$153</f>
        <v>RR554</v>
      </c>
      <c r="D360" t="str">
        <f>$D$153</f>
        <v>FFO_RE_ASSET</v>
      </c>
      <c r="E360" t="str">
        <f>$E$153</f>
        <v>动态</v>
      </c>
      <c r="F360" t="str">
        <f ca="1">BDH($B$153,$C$153,$B$224,$B$225,CONCATENATE("Per=",$B$222),"Dts=H","Dir=H",CONCATENATE("Points=",$B$223),"Sort=R","Days=A","Fill=B",CONCATENATE("FX=", $B$221) )</f>
        <v>#N/A Authorization</v>
      </c>
      <c r="BN360" t="str">
        <f>""</f>
        <v/>
      </c>
      <c r="BO360" t="str">
        <f>""</f>
        <v/>
      </c>
      <c r="BP360" t="str">
        <f>""</f>
        <v/>
      </c>
      <c r="BQ360" t="str">
        <f>""</f>
        <v/>
      </c>
      <c r="BR360" t="str">
        <f>""</f>
        <v/>
      </c>
      <c r="BS360" t="str">
        <f>""</f>
        <v/>
      </c>
      <c r="BT360" t="str">
        <f>""</f>
        <v/>
      </c>
      <c r="BU360" t="str">
        <f>""</f>
        <v/>
      </c>
      <c r="BV360" t="str">
        <f>""</f>
        <v/>
      </c>
      <c r="BW360" t="str">
        <f>""</f>
        <v/>
      </c>
      <c r="BX360" t="str">
        <f>""</f>
        <v/>
      </c>
      <c r="BY360" t="str">
        <f>""</f>
        <v/>
      </c>
      <c r="BZ360" t="str">
        <f>""</f>
        <v/>
      </c>
      <c r="CA360" t="str">
        <f>""</f>
        <v/>
      </c>
      <c r="CB360" t="str">
        <f>""</f>
        <v/>
      </c>
      <c r="CC360" t="str">
        <f>""</f>
        <v/>
      </c>
      <c r="CD360" t="str">
        <f>""</f>
        <v/>
      </c>
      <c r="CE360" t="str">
        <f>""</f>
        <v/>
      </c>
      <c r="CF360" t="str">
        <f>""</f>
        <v/>
      </c>
      <c r="CG360" t="str">
        <f>""</f>
        <v/>
      </c>
      <c r="CH360" t="str">
        <f>""</f>
        <v/>
      </c>
      <c r="CI360" t="str">
        <f>""</f>
        <v/>
      </c>
      <c r="CJ360" t="str">
        <f>""</f>
        <v/>
      </c>
      <c r="CK360" t="str">
        <f>""</f>
        <v/>
      </c>
      <c r="CL360" t="str">
        <f>""</f>
        <v/>
      </c>
      <c r="CM360" t="str">
        <f>""</f>
        <v/>
      </c>
      <c r="CN360" t="str">
        <f>""</f>
        <v/>
      </c>
      <c r="CO360" t="str">
        <f>""</f>
        <v/>
      </c>
      <c r="CP360" t="str">
        <f>""</f>
        <v/>
      </c>
      <c r="CQ360" t="str">
        <f>""</f>
        <v/>
      </c>
      <c r="CR360" t="str">
        <f>""</f>
        <v/>
      </c>
      <c r="CS360" t="str">
        <f>""</f>
        <v/>
      </c>
      <c r="CT360" t="str">
        <f>""</f>
        <v/>
      </c>
      <c r="CU360" t="str">
        <f>""</f>
        <v/>
      </c>
      <c r="CV360" t="str">
        <f>""</f>
        <v/>
      </c>
      <c r="CW360" t="str">
        <f>""</f>
        <v/>
      </c>
      <c r="CX360" t="str">
        <f>""</f>
        <v/>
      </c>
      <c r="CY360" t="str">
        <f>""</f>
        <v/>
      </c>
      <c r="CZ360" t="str">
        <f>""</f>
        <v/>
      </c>
      <c r="DA360" t="str">
        <f>""</f>
        <v/>
      </c>
      <c r="DB360" t="str">
        <f>""</f>
        <v/>
      </c>
      <c r="DC360" t="str">
        <f>""</f>
        <v/>
      </c>
      <c r="DD360" t="str">
        <f>""</f>
        <v/>
      </c>
      <c r="DE360" t="str">
        <f>""</f>
        <v/>
      </c>
      <c r="DF360" t="str">
        <f>""</f>
        <v/>
      </c>
      <c r="DG360" t="str">
        <f>""</f>
        <v/>
      </c>
      <c r="DH360" t="str">
        <f>""</f>
        <v/>
      </c>
      <c r="DI360" t="str">
        <f>""</f>
        <v/>
      </c>
      <c r="DJ360" t="str">
        <f>""</f>
        <v/>
      </c>
      <c r="DK360" t="str">
        <f>""</f>
        <v/>
      </c>
      <c r="DL360" t="str">
        <f>""</f>
        <v/>
      </c>
      <c r="DM360" t="str">
        <f>""</f>
        <v/>
      </c>
      <c r="DN360" t="str">
        <f>""</f>
        <v/>
      </c>
      <c r="DO360" t="str">
        <f>""</f>
        <v/>
      </c>
      <c r="DP360" t="str">
        <f>""</f>
        <v/>
      </c>
      <c r="DQ360" t="str">
        <f>""</f>
        <v/>
      </c>
      <c r="DR360" t="str">
        <f>""</f>
        <v/>
      </c>
      <c r="DS360" t="str">
        <f>""</f>
        <v/>
      </c>
      <c r="DT360" t="str">
        <f>""</f>
        <v/>
      </c>
      <c r="DU360" t="str">
        <f>""</f>
        <v/>
      </c>
    </row>
    <row r="361" spans="1:125">
      <c r="A361" t="str">
        <f>$A$154</f>
        <v xml:space="preserve">    Essex Property Trust Inc</v>
      </c>
      <c r="B361" t="str">
        <f>$B$154</f>
        <v>ESS US Equity</v>
      </c>
      <c r="C361" t="str">
        <f>$C$154</f>
        <v>RR554</v>
      </c>
      <c r="D361" t="str">
        <f>$D$154</f>
        <v>FFO_RE_ASSET</v>
      </c>
      <c r="E361" t="str">
        <f>$E$154</f>
        <v>动态</v>
      </c>
      <c r="F361" t="str">
        <f ca="1">BDH($B$154,$C$154,$B$224,$B$225,CONCATENATE("Per=",$B$222),"Dts=H","Dir=H",CONCATENATE("Points=",$B$223),"Sort=R","Days=A","Fill=B",CONCATENATE("FX=", $B$221) )</f>
        <v>#N/A Authorization</v>
      </c>
      <c r="BN361" t="str">
        <f>""</f>
        <v/>
      </c>
      <c r="BO361" t="str">
        <f>""</f>
        <v/>
      </c>
      <c r="BP361" t="str">
        <f>""</f>
        <v/>
      </c>
      <c r="BQ361" t="str">
        <f>""</f>
        <v/>
      </c>
      <c r="BR361" t="str">
        <f>""</f>
        <v/>
      </c>
      <c r="BS361" t="str">
        <f>""</f>
        <v/>
      </c>
      <c r="BT361" t="str">
        <f>""</f>
        <v/>
      </c>
      <c r="BU361" t="str">
        <f>""</f>
        <v/>
      </c>
      <c r="BV361" t="str">
        <f>""</f>
        <v/>
      </c>
      <c r="BW361" t="str">
        <f>""</f>
        <v/>
      </c>
      <c r="BX361" t="str">
        <f>""</f>
        <v/>
      </c>
      <c r="BY361" t="str">
        <f>""</f>
        <v/>
      </c>
      <c r="BZ361" t="str">
        <f>""</f>
        <v/>
      </c>
      <c r="CA361" t="str">
        <f>""</f>
        <v/>
      </c>
      <c r="CB361" t="str">
        <f>""</f>
        <v/>
      </c>
      <c r="CC361" t="str">
        <f>""</f>
        <v/>
      </c>
      <c r="CD361" t="str">
        <f>""</f>
        <v/>
      </c>
      <c r="CE361" t="str">
        <f>""</f>
        <v/>
      </c>
      <c r="CF361" t="str">
        <f>""</f>
        <v/>
      </c>
      <c r="CG361" t="str">
        <f>""</f>
        <v/>
      </c>
      <c r="CH361" t="str">
        <f>""</f>
        <v/>
      </c>
      <c r="CI361" t="str">
        <f>""</f>
        <v/>
      </c>
      <c r="CJ361" t="str">
        <f>""</f>
        <v/>
      </c>
      <c r="CK361" t="str">
        <f>""</f>
        <v/>
      </c>
      <c r="CL361" t="str">
        <f>""</f>
        <v/>
      </c>
      <c r="CM361" t="str">
        <f>""</f>
        <v/>
      </c>
      <c r="CN361" t="str">
        <f>""</f>
        <v/>
      </c>
      <c r="CO361" t="str">
        <f>""</f>
        <v/>
      </c>
      <c r="CP361" t="str">
        <f>""</f>
        <v/>
      </c>
      <c r="CQ361" t="str">
        <f>""</f>
        <v/>
      </c>
      <c r="CR361" t="str">
        <f>""</f>
        <v/>
      </c>
      <c r="CS361" t="str">
        <f>""</f>
        <v/>
      </c>
      <c r="CT361" t="str">
        <f>""</f>
        <v/>
      </c>
      <c r="CU361" t="str">
        <f>""</f>
        <v/>
      </c>
      <c r="CV361" t="str">
        <f>""</f>
        <v/>
      </c>
      <c r="CW361" t="str">
        <f>""</f>
        <v/>
      </c>
      <c r="CX361" t="str">
        <f>""</f>
        <v/>
      </c>
      <c r="CY361" t="str">
        <f>""</f>
        <v/>
      </c>
      <c r="CZ361" t="str">
        <f>""</f>
        <v/>
      </c>
      <c r="DA361" t="str">
        <f>""</f>
        <v/>
      </c>
      <c r="DB361" t="str">
        <f>""</f>
        <v/>
      </c>
      <c r="DC361" t="str">
        <f>""</f>
        <v/>
      </c>
      <c r="DD361" t="str">
        <f>""</f>
        <v/>
      </c>
      <c r="DE361" t="str">
        <f>""</f>
        <v/>
      </c>
      <c r="DF361" t="str">
        <f>""</f>
        <v/>
      </c>
      <c r="DG361" t="str">
        <f>""</f>
        <v/>
      </c>
      <c r="DH361" t="str">
        <f>""</f>
        <v/>
      </c>
      <c r="DI361" t="str">
        <f>""</f>
        <v/>
      </c>
      <c r="DJ361" t="str">
        <f>""</f>
        <v/>
      </c>
      <c r="DK361" t="str">
        <f>""</f>
        <v/>
      </c>
      <c r="DL361" t="str">
        <f>""</f>
        <v/>
      </c>
      <c r="DM361" t="str">
        <f>""</f>
        <v/>
      </c>
      <c r="DN361" t="str">
        <f>""</f>
        <v/>
      </c>
      <c r="DO361" t="str">
        <f>""</f>
        <v/>
      </c>
      <c r="DP361" t="str">
        <f>""</f>
        <v/>
      </c>
      <c r="DQ361" t="str">
        <f>""</f>
        <v/>
      </c>
      <c r="DR361" t="str">
        <f>""</f>
        <v/>
      </c>
      <c r="DS361" t="str">
        <f>""</f>
        <v/>
      </c>
      <c r="DT361" t="str">
        <f>""</f>
        <v/>
      </c>
      <c r="DU361" t="str">
        <f>""</f>
        <v/>
      </c>
    </row>
    <row r="362" spans="1:125">
      <c r="A362" t="str">
        <f>$A$155</f>
        <v xml:space="preserve">    Mid-America Apartment Communit</v>
      </c>
      <c r="B362" t="str">
        <f>$B$155</f>
        <v>MAA US Equity</v>
      </c>
      <c r="C362" t="str">
        <f>$C$155</f>
        <v>RR554</v>
      </c>
      <c r="D362" t="str">
        <f>$D$155</f>
        <v>FFO_RE_ASSET</v>
      </c>
      <c r="E362" t="str">
        <f>$E$155</f>
        <v>动态</v>
      </c>
      <c r="F362" t="str">
        <f ca="1">BDH($B$155,$C$155,$B$224,$B$225,CONCATENATE("Per=",$B$222),"Dts=H","Dir=H",CONCATENATE("Points=",$B$223),"Sort=R","Days=A","Fill=B",CONCATENATE("FX=", $B$221) )</f>
        <v>#N/A Authorization</v>
      </c>
      <c r="BN362" t="str">
        <f>""</f>
        <v/>
      </c>
      <c r="BO362" t="str">
        <f>""</f>
        <v/>
      </c>
      <c r="BP362" t="str">
        <f>""</f>
        <v/>
      </c>
      <c r="BQ362" t="str">
        <f>""</f>
        <v/>
      </c>
      <c r="BR362" t="str">
        <f>""</f>
        <v/>
      </c>
      <c r="BS362" t="str">
        <f>""</f>
        <v/>
      </c>
      <c r="BT362" t="str">
        <f>""</f>
        <v/>
      </c>
      <c r="BU362" t="str">
        <f>""</f>
        <v/>
      </c>
      <c r="BV362" t="str">
        <f>""</f>
        <v/>
      </c>
      <c r="BW362" t="str">
        <f>""</f>
        <v/>
      </c>
      <c r="BX362" t="str">
        <f>""</f>
        <v/>
      </c>
      <c r="BY362" t="str">
        <f>""</f>
        <v/>
      </c>
      <c r="BZ362" t="str">
        <f>""</f>
        <v/>
      </c>
      <c r="CA362" t="str">
        <f>""</f>
        <v/>
      </c>
      <c r="CB362" t="str">
        <f>""</f>
        <v/>
      </c>
      <c r="CC362" t="str">
        <f>""</f>
        <v/>
      </c>
      <c r="CD362" t="str">
        <f>""</f>
        <v/>
      </c>
      <c r="CE362" t="str">
        <f>""</f>
        <v/>
      </c>
      <c r="CF362" t="str">
        <f>""</f>
        <v/>
      </c>
      <c r="CG362" t="str">
        <f>""</f>
        <v/>
      </c>
      <c r="CH362" t="str">
        <f>""</f>
        <v/>
      </c>
      <c r="CI362" t="str">
        <f>""</f>
        <v/>
      </c>
      <c r="CJ362" t="str">
        <f>""</f>
        <v/>
      </c>
      <c r="CK362" t="str">
        <f>""</f>
        <v/>
      </c>
      <c r="CL362" t="str">
        <f>""</f>
        <v/>
      </c>
      <c r="CM362" t="str">
        <f>""</f>
        <v/>
      </c>
      <c r="CN362" t="str">
        <f>""</f>
        <v/>
      </c>
      <c r="CO362" t="str">
        <f>""</f>
        <v/>
      </c>
      <c r="CP362" t="str">
        <f>""</f>
        <v/>
      </c>
      <c r="CQ362" t="str">
        <f>""</f>
        <v/>
      </c>
      <c r="CR362" t="str">
        <f>""</f>
        <v/>
      </c>
      <c r="CS362" t="str">
        <f>""</f>
        <v/>
      </c>
      <c r="CT362" t="str">
        <f>""</f>
        <v/>
      </c>
      <c r="CU362" t="str">
        <f>""</f>
        <v/>
      </c>
      <c r="CV362" t="str">
        <f>""</f>
        <v/>
      </c>
      <c r="CW362" t="str">
        <f>""</f>
        <v/>
      </c>
      <c r="CX362" t="str">
        <f>""</f>
        <v/>
      </c>
      <c r="CY362" t="str">
        <f>""</f>
        <v/>
      </c>
      <c r="CZ362" t="str">
        <f>""</f>
        <v/>
      </c>
      <c r="DA362" t="str">
        <f>""</f>
        <v/>
      </c>
      <c r="DB362" t="str">
        <f>""</f>
        <v/>
      </c>
      <c r="DC362" t="str">
        <f>""</f>
        <v/>
      </c>
      <c r="DD362" t="str">
        <f>""</f>
        <v/>
      </c>
      <c r="DE362" t="str">
        <f>""</f>
        <v/>
      </c>
      <c r="DF362" t="str">
        <f>""</f>
        <v/>
      </c>
      <c r="DG362" t="str">
        <f>""</f>
        <v/>
      </c>
      <c r="DH362" t="str">
        <f>""</f>
        <v/>
      </c>
      <c r="DI362" t="str">
        <f>""</f>
        <v/>
      </c>
      <c r="DJ362" t="str">
        <f>""</f>
        <v/>
      </c>
      <c r="DK362" t="str">
        <f>""</f>
        <v/>
      </c>
      <c r="DL362" t="str">
        <f>""</f>
        <v/>
      </c>
      <c r="DM362" t="str">
        <f>""</f>
        <v/>
      </c>
      <c r="DN362" t="str">
        <f>""</f>
        <v/>
      </c>
      <c r="DO362" t="str">
        <f>""</f>
        <v/>
      </c>
      <c r="DP362" t="str">
        <f>""</f>
        <v/>
      </c>
      <c r="DQ362" t="str">
        <f>""</f>
        <v/>
      </c>
      <c r="DR362" t="str">
        <f>""</f>
        <v/>
      </c>
      <c r="DS362" t="str">
        <f>""</f>
        <v/>
      </c>
      <c r="DT362" t="str">
        <f>""</f>
        <v/>
      </c>
      <c r="DU362" t="str">
        <f>""</f>
        <v/>
      </c>
    </row>
    <row r="363" spans="1:125">
      <c r="A363" t="str">
        <f>$A$156</f>
        <v xml:space="preserve">    UDR Inc</v>
      </c>
      <c r="B363" t="str">
        <f>$B$156</f>
        <v>UDR US Equity</v>
      </c>
      <c r="C363" t="str">
        <f>$C$156</f>
        <v>RR554</v>
      </c>
      <c r="D363" t="str">
        <f>$D$156</f>
        <v>FFO_RE_ASSET</v>
      </c>
      <c r="E363" t="str">
        <f>$E$156</f>
        <v>动态</v>
      </c>
      <c r="F363" t="str">
        <f ca="1">BDH($B$156,$C$156,$B$224,$B$225,CONCATENATE("Per=",$B$222),"Dts=H","Dir=H",CONCATENATE("Points=",$B$223),"Sort=R","Days=A","Fill=B",CONCATENATE("FX=", $B$221) )</f>
        <v>#N/A Authorization</v>
      </c>
      <c r="BN363" t="str">
        <f>""</f>
        <v/>
      </c>
      <c r="BO363" t="str">
        <f>""</f>
        <v/>
      </c>
      <c r="BP363" t="str">
        <f>""</f>
        <v/>
      </c>
      <c r="BQ363" t="str">
        <f>""</f>
        <v/>
      </c>
      <c r="BR363" t="str">
        <f>""</f>
        <v/>
      </c>
      <c r="BS363" t="str">
        <f>""</f>
        <v/>
      </c>
      <c r="BT363" t="str">
        <f>""</f>
        <v/>
      </c>
      <c r="BU363" t="str">
        <f>""</f>
        <v/>
      </c>
      <c r="BV363" t="str">
        <f>""</f>
        <v/>
      </c>
      <c r="BW363" t="str">
        <f>""</f>
        <v/>
      </c>
      <c r="BX363" t="str">
        <f>""</f>
        <v/>
      </c>
      <c r="BY363" t="str">
        <f>""</f>
        <v/>
      </c>
      <c r="BZ363" t="str">
        <f>""</f>
        <v/>
      </c>
      <c r="CA363" t="str">
        <f>""</f>
        <v/>
      </c>
      <c r="CB363" t="str">
        <f>""</f>
        <v/>
      </c>
      <c r="CC363" t="str">
        <f>""</f>
        <v/>
      </c>
      <c r="CD363" t="str">
        <f>""</f>
        <v/>
      </c>
      <c r="CE363" t="str">
        <f>""</f>
        <v/>
      </c>
      <c r="CF363" t="str">
        <f>""</f>
        <v/>
      </c>
      <c r="CG363" t="str">
        <f>""</f>
        <v/>
      </c>
      <c r="CH363" t="str">
        <f>""</f>
        <v/>
      </c>
      <c r="CI363" t="str">
        <f>""</f>
        <v/>
      </c>
      <c r="CJ363" t="str">
        <f>""</f>
        <v/>
      </c>
      <c r="CK363" t="str">
        <f>""</f>
        <v/>
      </c>
      <c r="CL363" t="str">
        <f>""</f>
        <v/>
      </c>
      <c r="CM363" t="str">
        <f>""</f>
        <v/>
      </c>
      <c r="CN363" t="str">
        <f>""</f>
        <v/>
      </c>
      <c r="CO363" t="str">
        <f>""</f>
        <v/>
      </c>
      <c r="CP363" t="str">
        <f>""</f>
        <v/>
      </c>
      <c r="CQ363" t="str">
        <f>""</f>
        <v/>
      </c>
      <c r="CR363" t="str">
        <f>""</f>
        <v/>
      </c>
      <c r="CS363" t="str">
        <f>""</f>
        <v/>
      </c>
      <c r="CT363" t="str">
        <f>""</f>
        <v/>
      </c>
      <c r="CU363" t="str">
        <f>""</f>
        <v/>
      </c>
      <c r="CV363" t="str">
        <f>""</f>
        <v/>
      </c>
      <c r="CW363" t="str">
        <f>""</f>
        <v/>
      </c>
      <c r="CX363" t="str">
        <f>""</f>
        <v/>
      </c>
      <c r="CY363" t="str">
        <f>""</f>
        <v/>
      </c>
      <c r="CZ363" t="str">
        <f>""</f>
        <v/>
      </c>
      <c r="DA363" t="str">
        <f>""</f>
        <v/>
      </c>
      <c r="DB363" t="str">
        <f>""</f>
        <v/>
      </c>
      <c r="DC363" t="str">
        <f>""</f>
        <v/>
      </c>
      <c r="DD363" t="str">
        <f>""</f>
        <v/>
      </c>
      <c r="DE363" t="str">
        <f>""</f>
        <v/>
      </c>
      <c r="DF363" t="str">
        <f>""</f>
        <v/>
      </c>
      <c r="DG363" t="str">
        <f>""</f>
        <v/>
      </c>
      <c r="DH363" t="str">
        <f>""</f>
        <v/>
      </c>
      <c r="DI363" t="str">
        <f>""</f>
        <v/>
      </c>
      <c r="DJ363" t="str">
        <f>""</f>
        <v/>
      </c>
      <c r="DK363" t="str">
        <f>""</f>
        <v/>
      </c>
      <c r="DL363" t="str">
        <f>""</f>
        <v/>
      </c>
      <c r="DM363" t="str">
        <f>""</f>
        <v/>
      </c>
      <c r="DN363" t="str">
        <f>""</f>
        <v/>
      </c>
      <c r="DO363" t="str">
        <f>""</f>
        <v/>
      </c>
      <c r="DP363" t="str">
        <f>""</f>
        <v/>
      </c>
      <c r="DQ363" t="str">
        <f>""</f>
        <v/>
      </c>
      <c r="DR363" t="str">
        <f>""</f>
        <v/>
      </c>
      <c r="DS363" t="str">
        <f>""</f>
        <v/>
      </c>
      <c r="DT363" t="str">
        <f>""</f>
        <v/>
      </c>
      <c r="DU363" t="str">
        <f>""</f>
        <v/>
      </c>
    </row>
    <row r="364" spans="1:125">
      <c r="A364" t="str">
        <f>$A$158</f>
        <v xml:space="preserve">    American Campus Communities In</v>
      </c>
      <c r="B364" t="str">
        <f>$B$158</f>
        <v>ACC US Equity</v>
      </c>
      <c r="C364" t="str">
        <f>$C$158</f>
        <v>RR052</v>
      </c>
      <c r="D364" t="str">
        <f>$D$158</f>
        <v>TOT_DEBT_TO_EBITDA</v>
      </c>
      <c r="E364" t="str">
        <f>$E$158</f>
        <v>动态</v>
      </c>
      <c r="F364" t="str">
        <f ca="1">BDH($B$158,$C$158,$B$224,$B$225,CONCATENATE("Per=",$B$222),"Dts=H","Dir=H",CONCATENATE("Points=",$B$223),"Sort=R","Days=A","Fill=B",CONCATENATE("FX=", $B$221) )</f>
        <v>#N/A Authorization</v>
      </c>
      <c r="BN364" t="str">
        <f>""</f>
        <v/>
      </c>
      <c r="BO364" t="str">
        <f>""</f>
        <v/>
      </c>
      <c r="BP364" t="str">
        <f>""</f>
        <v/>
      </c>
      <c r="BQ364" t="str">
        <f>""</f>
        <v/>
      </c>
      <c r="BR364" t="str">
        <f>""</f>
        <v/>
      </c>
      <c r="BS364" t="str">
        <f>""</f>
        <v/>
      </c>
      <c r="BT364" t="str">
        <f>""</f>
        <v/>
      </c>
      <c r="BU364" t="str">
        <f>""</f>
        <v/>
      </c>
      <c r="BV364" t="str">
        <f>""</f>
        <v/>
      </c>
      <c r="BW364" t="str">
        <f>""</f>
        <v/>
      </c>
      <c r="BX364" t="str">
        <f>""</f>
        <v/>
      </c>
      <c r="BY364" t="str">
        <f>""</f>
        <v/>
      </c>
      <c r="BZ364" t="str">
        <f>""</f>
        <v/>
      </c>
      <c r="CA364" t="str">
        <f>""</f>
        <v/>
      </c>
      <c r="CB364" t="str">
        <f>""</f>
        <v/>
      </c>
      <c r="CC364" t="str">
        <f>""</f>
        <v/>
      </c>
      <c r="CD364" t="str">
        <f>""</f>
        <v/>
      </c>
      <c r="CE364" t="str">
        <f>""</f>
        <v/>
      </c>
      <c r="CF364" t="str">
        <f>""</f>
        <v/>
      </c>
      <c r="CG364" t="str">
        <f>""</f>
        <v/>
      </c>
      <c r="CH364" t="str">
        <f>""</f>
        <v/>
      </c>
      <c r="CI364" t="str">
        <f>""</f>
        <v/>
      </c>
      <c r="CJ364" t="str">
        <f>""</f>
        <v/>
      </c>
      <c r="CK364" t="str">
        <f>""</f>
        <v/>
      </c>
      <c r="CL364" t="str">
        <f>""</f>
        <v/>
      </c>
      <c r="CM364" t="str">
        <f>""</f>
        <v/>
      </c>
      <c r="CN364" t="str">
        <f>""</f>
        <v/>
      </c>
      <c r="CO364" t="str">
        <f>""</f>
        <v/>
      </c>
      <c r="CP364" t="str">
        <f>""</f>
        <v/>
      </c>
      <c r="CQ364" t="str">
        <f>""</f>
        <v/>
      </c>
      <c r="CR364" t="str">
        <f>""</f>
        <v/>
      </c>
      <c r="CS364" t="str">
        <f>""</f>
        <v/>
      </c>
      <c r="CT364" t="str">
        <f>""</f>
        <v/>
      </c>
      <c r="CU364" t="str">
        <f>""</f>
        <v/>
      </c>
      <c r="CV364" t="str">
        <f>""</f>
        <v/>
      </c>
      <c r="CW364" t="str">
        <f>""</f>
        <v/>
      </c>
      <c r="CX364" t="str">
        <f>""</f>
        <v/>
      </c>
      <c r="CY364" t="str">
        <f>""</f>
        <v/>
      </c>
      <c r="CZ364" t="str">
        <f>""</f>
        <v/>
      </c>
      <c r="DA364" t="str">
        <f>""</f>
        <v/>
      </c>
      <c r="DB364" t="str">
        <f>""</f>
        <v/>
      </c>
      <c r="DC364" t="str">
        <f>""</f>
        <v/>
      </c>
      <c r="DD364" t="str">
        <f>""</f>
        <v/>
      </c>
      <c r="DE364" t="str">
        <f>""</f>
        <v/>
      </c>
      <c r="DF364" t="str">
        <f>""</f>
        <v/>
      </c>
      <c r="DG364" t="str">
        <f>""</f>
        <v/>
      </c>
      <c r="DH364" t="str">
        <f>""</f>
        <v/>
      </c>
      <c r="DI364" t="str">
        <f>""</f>
        <v/>
      </c>
      <c r="DJ364" t="str">
        <f>""</f>
        <v/>
      </c>
      <c r="DK364" t="str">
        <f>""</f>
        <v/>
      </c>
      <c r="DL364" t="str">
        <f>""</f>
        <v/>
      </c>
      <c r="DM364" t="str">
        <f>""</f>
        <v/>
      </c>
      <c r="DN364" t="str">
        <f>""</f>
        <v/>
      </c>
      <c r="DO364" t="str">
        <f>""</f>
        <v/>
      </c>
      <c r="DP364" t="str">
        <f>""</f>
        <v/>
      </c>
      <c r="DQ364" t="str">
        <f>""</f>
        <v/>
      </c>
      <c r="DR364" t="str">
        <f>""</f>
        <v/>
      </c>
      <c r="DS364" t="str">
        <f>""</f>
        <v/>
      </c>
      <c r="DT364" t="str">
        <f>""</f>
        <v/>
      </c>
      <c r="DU364" t="str">
        <f>""</f>
        <v/>
      </c>
    </row>
    <row r="365" spans="1:125">
      <c r="A365" t="str">
        <f>$A$159</f>
        <v xml:space="preserve">    AvalonBay Communities Inc</v>
      </c>
      <c r="B365" t="str">
        <f>$B$159</f>
        <v>AVB US Equity</v>
      </c>
      <c r="C365" t="str">
        <f>$C$159</f>
        <v>RR052</v>
      </c>
      <c r="D365" t="str">
        <f>$D$159</f>
        <v>TOT_DEBT_TO_EBITDA</v>
      </c>
      <c r="E365" t="str">
        <f>$E$159</f>
        <v>动态</v>
      </c>
      <c r="F365" t="str">
        <f ca="1">BDH($B$159,$C$159,$B$224,$B$225,CONCATENATE("Per=",$B$222),"Dts=H","Dir=H",CONCATENATE("Points=",$B$223),"Sort=R","Days=A","Fill=B",CONCATENATE("FX=", $B$221) )</f>
        <v>#N/A Authorization</v>
      </c>
      <c r="BN365" t="str">
        <f>""</f>
        <v/>
      </c>
      <c r="BO365" t="str">
        <f>""</f>
        <v/>
      </c>
      <c r="BP365" t="str">
        <f>""</f>
        <v/>
      </c>
      <c r="BQ365" t="str">
        <f>""</f>
        <v/>
      </c>
      <c r="BR365" t="str">
        <f>""</f>
        <v/>
      </c>
      <c r="BS365" t="str">
        <f>""</f>
        <v/>
      </c>
      <c r="BT365" t="str">
        <f>""</f>
        <v/>
      </c>
      <c r="BU365" t="str">
        <f>""</f>
        <v/>
      </c>
      <c r="BV365" t="str">
        <f>""</f>
        <v/>
      </c>
      <c r="BW365" t="str">
        <f>""</f>
        <v/>
      </c>
      <c r="BX365" t="str">
        <f>""</f>
        <v/>
      </c>
      <c r="BY365" t="str">
        <f>""</f>
        <v/>
      </c>
      <c r="BZ365" t="str">
        <f>""</f>
        <v/>
      </c>
      <c r="CA365" t="str">
        <f>""</f>
        <v/>
      </c>
      <c r="CB365" t="str">
        <f>""</f>
        <v/>
      </c>
      <c r="CC365" t="str">
        <f>""</f>
        <v/>
      </c>
      <c r="CD365" t="str">
        <f>""</f>
        <v/>
      </c>
      <c r="CE365" t="str">
        <f>""</f>
        <v/>
      </c>
      <c r="CF365" t="str">
        <f>""</f>
        <v/>
      </c>
      <c r="CG365" t="str">
        <f>""</f>
        <v/>
      </c>
      <c r="CH365" t="str">
        <f>""</f>
        <v/>
      </c>
      <c r="CI365" t="str">
        <f>""</f>
        <v/>
      </c>
      <c r="CJ365" t="str">
        <f>""</f>
        <v/>
      </c>
      <c r="CK365" t="str">
        <f>""</f>
        <v/>
      </c>
      <c r="CL365" t="str">
        <f>""</f>
        <v/>
      </c>
      <c r="CM365" t="str">
        <f>""</f>
        <v/>
      </c>
      <c r="CN365" t="str">
        <f>""</f>
        <v/>
      </c>
      <c r="CO365" t="str">
        <f>""</f>
        <v/>
      </c>
      <c r="CP365" t="str">
        <f>""</f>
        <v/>
      </c>
      <c r="CQ365" t="str">
        <f>""</f>
        <v/>
      </c>
      <c r="CR365" t="str">
        <f>""</f>
        <v/>
      </c>
      <c r="CS365" t="str">
        <f>""</f>
        <v/>
      </c>
      <c r="CT365" t="str">
        <f>""</f>
        <v/>
      </c>
      <c r="CU365" t="str">
        <f>""</f>
        <v/>
      </c>
      <c r="CV365" t="str">
        <f>""</f>
        <v/>
      </c>
      <c r="CW365" t="str">
        <f>""</f>
        <v/>
      </c>
      <c r="CX365" t="str">
        <f>""</f>
        <v/>
      </c>
      <c r="CY365" t="str">
        <f>""</f>
        <v/>
      </c>
      <c r="CZ365" t="str">
        <f>""</f>
        <v/>
      </c>
      <c r="DA365" t="str">
        <f>""</f>
        <v/>
      </c>
      <c r="DB365" t="str">
        <f>""</f>
        <v/>
      </c>
      <c r="DC365" t="str">
        <f>""</f>
        <v/>
      </c>
      <c r="DD365" t="str">
        <f>""</f>
        <v/>
      </c>
      <c r="DE365" t="str">
        <f>""</f>
        <v/>
      </c>
      <c r="DF365" t="str">
        <f>""</f>
        <v/>
      </c>
      <c r="DG365" t="str">
        <f>""</f>
        <v/>
      </c>
      <c r="DH365" t="str">
        <f>""</f>
        <v/>
      </c>
      <c r="DI365" t="str">
        <f>""</f>
        <v/>
      </c>
      <c r="DJ365" t="str">
        <f>""</f>
        <v/>
      </c>
      <c r="DK365" t="str">
        <f>""</f>
        <v/>
      </c>
      <c r="DL365" t="str">
        <f>""</f>
        <v/>
      </c>
      <c r="DM365" t="str">
        <f>""</f>
        <v/>
      </c>
      <c r="DN365" t="str">
        <f>""</f>
        <v/>
      </c>
      <c r="DO365" t="str">
        <f>""</f>
        <v/>
      </c>
      <c r="DP365" t="str">
        <f>""</f>
        <v/>
      </c>
      <c r="DQ365" t="str">
        <f>""</f>
        <v/>
      </c>
      <c r="DR365" t="str">
        <f>""</f>
        <v/>
      </c>
      <c r="DS365" t="str">
        <f>""</f>
        <v/>
      </c>
      <c r="DT365" t="str">
        <f>""</f>
        <v/>
      </c>
      <c r="DU365" t="str">
        <f>""</f>
        <v/>
      </c>
    </row>
    <row r="366" spans="1:125">
      <c r="A366" t="str">
        <f>$A$160</f>
        <v xml:space="preserve">    Camden Property Trust</v>
      </c>
      <c r="B366" t="str">
        <f>$B$160</f>
        <v>CPT US Equity</v>
      </c>
      <c r="C366" t="str">
        <f>$C$160</f>
        <v>RR052</v>
      </c>
      <c r="D366" t="str">
        <f>$D$160</f>
        <v>TOT_DEBT_TO_EBITDA</v>
      </c>
      <c r="E366" t="str">
        <f>$E$160</f>
        <v>动态</v>
      </c>
      <c r="F366" t="str">
        <f ca="1">BDH($B$160,$C$160,$B$224,$B$225,CONCATENATE("Per=",$B$222),"Dts=H","Dir=H",CONCATENATE("Points=",$B$223),"Sort=R","Days=A","Fill=B",CONCATENATE("FX=", $B$221) )</f>
        <v>#N/A Authorization</v>
      </c>
      <c r="BN366" t="str">
        <f>""</f>
        <v/>
      </c>
      <c r="BO366" t="str">
        <f>""</f>
        <v/>
      </c>
      <c r="BP366" t="str">
        <f>""</f>
        <v/>
      </c>
      <c r="BQ366" t="str">
        <f>""</f>
        <v/>
      </c>
      <c r="BR366" t="str">
        <f>""</f>
        <v/>
      </c>
      <c r="BS366" t="str">
        <f>""</f>
        <v/>
      </c>
      <c r="BT366" t="str">
        <f>""</f>
        <v/>
      </c>
      <c r="BU366" t="str">
        <f>""</f>
        <v/>
      </c>
      <c r="BV366" t="str">
        <f>""</f>
        <v/>
      </c>
      <c r="BW366" t="str">
        <f>""</f>
        <v/>
      </c>
      <c r="BX366" t="str">
        <f>""</f>
        <v/>
      </c>
      <c r="BY366" t="str">
        <f>""</f>
        <v/>
      </c>
      <c r="BZ366" t="str">
        <f>""</f>
        <v/>
      </c>
      <c r="CA366" t="str">
        <f>""</f>
        <v/>
      </c>
      <c r="CB366" t="str">
        <f>""</f>
        <v/>
      </c>
      <c r="CC366" t="str">
        <f>""</f>
        <v/>
      </c>
      <c r="CD366" t="str">
        <f>""</f>
        <v/>
      </c>
      <c r="CE366" t="str">
        <f>""</f>
        <v/>
      </c>
      <c r="CF366" t="str">
        <f>""</f>
        <v/>
      </c>
      <c r="CG366" t="str">
        <f>""</f>
        <v/>
      </c>
      <c r="CH366" t="str">
        <f>""</f>
        <v/>
      </c>
      <c r="CI366" t="str">
        <f>""</f>
        <v/>
      </c>
      <c r="CJ366" t="str">
        <f>""</f>
        <v/>
      </c>
      <c r="CK366" t="str">
        <f>""</f>
        <v/>
      </c>
      <c r="CL366" t="str">
        <f>""</f>
        <v/>
      </c>
      <c r="CM366" t="str">
        <f>""</f>
        <v/>
      </c>
      <c r="CN366" t="str">
        <f>""</f>
        <v/>
      </c>
      <c r="CO366" t="str">
        <f>""</f>
        <v/>
      </c>
      <c r="CP366" t="str">
        <f>""</f>
        <v/>
      </c>
      <c r="CQ366" t="str">
        <f>""</f>
        <v/>
      </c>
      <c r="CR366" t="str">
        <f>""</f>
        <v/>
      </c>
      <c r="CS366" t="str">
        <f>""</f>
        <v/>
      </c>
      <c r="CT366" t="str">
        <f>""</f>
        <v/>
      </c>
      <c r="CU366" t="str">
        <f>""</f>
        <v/>
      </c>
      <c r="CV366" t="str">
        <f>""</f>
        <v/>
      </c>
      <c r="CW366" t="str">
        <f>""</f>
        <v/>
      </c>
      <c r="CX366" t="str">
        <f>""</f>
        <v/>
      </c>
      <c r="CY366" t="str">
        <f>""</f>
        <v/>
      </c>
      <c r="CZ366" t="str">
        <f>""</f>
        <v/>
      </c>
      <c r="DA366" t="str">
        <f>""</f>
        <v/>
      </c>
      <c r="DB366" t="str">
        <f>""</f>
        <v/>
      </c>
      <c r="DC366" t="str">
        <f>""</f>
        <v/>
      </c>
      <c r="DD366" t="str">
        <f>""</f>
        <v/>
      </c>
      <c r="DE366" t="str">
        <f>""</f>
        <v/>
      </c>
      <c r="DF366" t="str">
        <f>""</f>
        <v/>
      </c>
      <c r="DG366" t="str">
        <f>""</f>
        <v/>
      </c>
      <c r="DH366" t="str">
        <f>""</f>
        <v/>
      </c>
      <c r="DI366" t="str">
        <f>""</f>
        <v/>
      </c>
      <c r="DJ366" t="str">
        <f>""</f>
        <v/>
      </c>
      <c r="DK366" t="str">
        <f>""</f>
        <v/>
      </c>
      <c r="DL366" t="str">
        <f>""</f>
        <v/>
      </c>
      <c r="DM366" t="str">
        <f>""</f>
        <v/>
      </c>
      <c r="DN366" t="str">
        <f>""</f>
        <v/>
      </c>
      <c r="DO366" t="str">
        <f>""</f>
        <v/>
      </c>
      <c r="DP366" t="str">
        <f>""</f>
        <v/>
      </c>
      <c r="DQ366" t="str">
        <f>""</f>
        <v/>
      </c>
      <c r="DR366" t="str">
        <f>""</f>
        <v/>
      </c>
      <c r="DS366" t="str">
        <f>""</f>
        <v/>
      </c>
      <c r="DT366" t="str">
        <f>""</f>
        <v/>
      </c>
      <c r="DU366" t="str">
        <f>""</f>
        <v/>
      </c>
    </row>
    <row r="367" spans="1:125">
      <c r="A367" t="str">
        <f>$A$161</f>
        <v xml:space="preserve">    Education Realty Trust Inc</v>
      </c>
      <c r="B367" t="str">
        <f>$B$161</f>
        <v>EDR US Equity</v>
      </c>
      <c r="C367" t="str">
        <f>$C$161</f>
        <v>RR052</v>
      </c>
      <c r="D367" t="str">
        <f>$D$161</f>
        <v>TOT_DEBT_TO_EBITDA</v>
      </c>
      <c r="E367" t="str">
        <f>$E$161</f>
        <v>动态</v>
      </c>
      <c r="F367" t="str">
        <f ca="1">BDH($B$161,$C$161,$B$224,$B$225,CONCATENATE("Per=",$B$222),"Dts=H","Dir=H",CONCATENATE("Points=",$B$223),"Sort=R","Days=A","Fill=B",CONCATENATE("FX=", $B$221) )</f>
        <v>#N/A Authorization</v>
      </c>
      <c r="BN367" t="str">
        <f>""</f>
        <v/>
      </c>
      <c r="BO367" t="str">
        <f>""</f>
        <v/>
      </c>
      <c r="BP367" t="str">
        <f>""</f>
        <v/>
      </c>
      <c r="BQ367" t="str">
        <f>""</f>
        <v/>
      </c>
      <c r="BR367" t="str">
        <f>""</f>
        <v/>
      </c>
      <c r="BS367" t="str">
        <f>""</f>
        <v/>
      </c>
      <c r="BT367" t="str">
        <f>""</f>
        <v/>
      </c>
      <c r="BU367" t="str">
        <f>""</f>
        <v/>
      </c>
      <c r="BV367" t="str">
        <f>""</f>
        <v/>
      </c>
      <c r="BW367" t="str">
        <f>""</f>
        <v/>
      </c>
      <c r="BX367" t="str">
        <f>""</f>
        <v/>
      </c>
      <c r="BY367" t="str">
        <f>""</f>
        <v/>
      </c>
      <c r="BZ367" t="str">
        <f>""</f>
        <v/>
      </c>
      <c r="CA367" t="str">
        <f>""</f>
        <v/>
      </c>
      <c r="CB367" t="str">
        <f>""</f>
        <v/>
      </c>
      <c r="CC367" t="str">
        <f>""</f>
        <v/>
      </c>
      <c r="CD367" t="str">
        <f>""</f>
        <v/>
      </c>
      <c r="CE367" t="str">
        <f>""</f>
        <v/>
      </c>
      <c r="CF367" t="str">
        <f>""</f>
        <v/>
      </c>
      <c r="CG367" t="str">
        <f>""</f>
        <v/>
      </c>
      <c r="CH367" t="str">
        <f>""</f>
        <v/>
      </c>
      <c r="CI367" t="str">
        <f>""</f>
        <v/>
      </c>
      <c r="CJ367" t="str">
        <f>""</f>
        <v/>
      </c>
      <c r="CK367" t="str">
        <f>""</f>
        <v/>
      </c>
      <c r="CL367" t="str">
        <f>""</f>
        <v/>
      </c>
      <c r="CM367" t="str">
        <f>""</f>
        <v/>
      </c>
      <c r="CN367" t="str">
        <f>""</f>
        <v/>
      </c>
      <c r="CO367" t="str">
        <f>""</f>
        <v/>
      </c>
      <c r="CP367" t="str">
        <f>""</f>
        <v/>
      </c>
      <c r="CQ367" t="str">
        <f>""</f>
        <v/>
      </c>
      <c r="CR367" t="str">
        <f>""</f>
        <v/>
      </c>
      <c r="CS367" t="str">
        <f>""</f>
        <v/>
      </c>
      <c r="CT367" t="str">
        <f>""</f>
        <v/>
      </c>
      <c r="CU367" t="str">
        <f>""</f>
        <v/>
      </c>
      <c r="CV367" t="str">
        <f>""</f>
        <v/>
      </c>
      <c r="CW367" t="str">
        <f>""</f>
        <v/>
      </c>
      <c r="CX367" t="str">
        <f>""</f>
        <v/>
      </c>
      <c r="CY367" t="str">
        <f>""</f>
        <v/>
      </c>
      <c r="CZ367" t="str">
        <f>""</f>
        <v/>
      </c>
      <c r="DA367" t="str">
        <f>""</f>
        <v/>
      </c>
      <c r="DB367" t="str">
        <f>""</f>
        <v/>
      </c>
      <c r="DC367" t="str">
        <f>""</f>
        <v/>
      </c>
      <c r="DD367" t="str">
        <f>""</f>
        <v/>
      </c>
      <c r="DE367" t="str">
        <f>""</f>
        <v/>
      </c>
      <c r="DF367" t="str">
        <f>""</f>
        <v/>
      </c>
      <c r="DG367" t="str">
        <f>""</f>
        <v/>
      </c>
      <c r="DH367" t="str">
        <f>""</f>
        <v/>
      </c>
      <c r="DI367" t="str">
        <f>""</f>
        <v/>
      </c>
      <c r="DJ367" t="str">
        <f>""</f>
        <v/>
      </c>
      <c r="DK367" t="str">
        <f>""</f>
        <v/>
      </c>
      <c r="DL367" t="str">
        <f>""</f>
        <v/>
      </c>
      <c r="DM367" t="str">
        <f>""</f>
        <v/>
      </c>
      <c r="DN367" t="str">
        <f>""</f>
        <v/>
      </c>
      <c r="DO367" t="str">
        <f>""</f>
        <v/>
      </c>
      <c r="DP367" t="str">
        <f>""</f>
        <v/>
      </c>
      <c r="DQ367" t="str">
        <f>""</f>
        <v/>
      </c>
      <c r="DR367" t="str">
        <f>""</f>
        <v/>
      </c>
      <c r="DS367" t="str">
        <f>""</f>
        <v/>
      </c>
      <c r="DT367" t="str">
        <f>""</f>
        <v/>
      </c>
      <c r="DU367" t="str">
        <f>""</f>
        <v/>
      </c>
    </row>
    <row r="368" spans="1:125">
      <c r="A368" t="str">
        <f>$A$162</f>
        <v xml:space="preserve">    Equity Residential</v>
      </c>
      <c r="B368" t="str">
        <f>$B$162</f>
        <v>EQR US Equity</v>
      </c>
      <c r="C368" t="str">
        <f>$C$162</f>
        <v>RR052</v>
      </c>
      <c r="D368" t="str">
        <f>$D$162</f>
        <v>TOT_DEBT_TO_EBITDA</v>
      </c>
      <c r="E368" t="str">
        <f>$E$162</f>
        <v>动态</v>
      </c>
      <c r="F368" t="str">
        <f ca="1">BDH($B$162,$C$162,$B$224,$B$225,CONCATENATE("Per=",$B$222),"Dts=H","Dir=H",CONCATENATE("Points=",$B$223),"Sort=R","Days=A","Fill=B",CONCATENATE("FX=", $B$221) )</f>
        <v>#N/A Authorization</v>
      </c>
      <c r="BN368" t="str">
        <f>""</f>
        <v/>
      </c>
      <c r="BO368" t="str">
        <f>""</f>
        <v/>
      </c>
      <c r="BP368" t="str">
        <f>""</f>
        <v/>
      </c>
      <c r="BQ368" t="str">
        <f>""</f>
        <v/>
      </c>
      <c r="BR368" t="str">
        <f>""</f>
        <v/>
      </c>
      <c r="BS368" t="str">
        <f>""</f>
        <v/>
      </c>
      <c r="BT368" t="str">
        <f>""</f>
        <v/>
      </c>
      <c r="BU368" t="str">
        <f>""</f>
        <v/>
      </c>
      <c r="BV368" t="str">
        <f>""</f>
        <v/>
      </c>
      <c r="BW368" t="str">
        <f>""</f>
        <v/>
      </c>
      <c r="BX368" t="str">
        <f>""</f>
        <v/>
      </c>
      <c r="BY368" t="str">
        <f>""</f>
        <v/>
      </c>
      <c r="BZ368" t="str">
        <f>""</f>
        <v/>
      </c>
      <c r="CA368" t="str">
        <f>""</f>
        <v/>
      </c>
      <c r="CB368" t="str">
        <f>""</f>
        <v/>
      </c>
      <c r="CC368" t="str">
        <f>""</f>
        <v/>
      </c>
      <c r="CD368" t="str">
        <f>""</f>
        <v/>
      </c>
      <c r="CE368" t="str">
        <f>""</f>
        <v/>
      </c>
      <c r="CF368" t="str">
        <f>""</f>
        <v/>
      </c>
      <c r="CG368" t="str">
        <f>""</f>
        <v/>
      </c>
      <c r="CH368" t="str">
        <f>""</f>
        <v/>
      </c>
      <c r="CI368" t="str">
        <f>""</f>
        <v/>
      </c>
      <c r="CJ368" t="str">
        <f>""</f>
        <v/>
      </c>
      <c r="CK368" t="str">
        <f>""</f>
        <v/>
      </c>
      <c r="CL368" t="str">
        <f>""</f>
        <v/>
      </c>
      <c r="CM368" t="str">
        <f>""</f>
        <v/>
      </c>
      <c r="CN368" t="str">
        <f>""</f>
        <v/>
      </c>
      <c r="CO368" t="str">
        <f>""</f>
        <v/>
      </c>
      <c r="CP368" t="str">
        <f>""</f>
        <v/>
      </c>
      <c r="CQ368" t="str">
        <f>""</f>
        <v/>
      </c>
      <c r="CR368" t="str">
        <f>""</f>
        <v/>
      </c>
      <c r="CS368" t="str">
        <f>""</f>
        <v/>
      </c>
      <c r="CT368" t="str">
        <f>""</f>
        <v/>
      </c>
      <c r="CU368" t="str">
        <f>""</f>
        <v/>
      </c>
      <c r="CV368" t="str">
        <f>""</f>
        <v/>
      </c>
      <c r="CW368" t="str">
        <f>""</f>
        <v/>
      </c>
      <c r="CX368" t="str">
        <f>""</f>
        <v/>
      </c>
      <c r="CY368" t="str">
        <f>""</f>
        <v/>
      </c>
      <c r="CZ368" t="str">
        <f>""</f>
        <v/>
      </c>
      <c r="DA368" t="str">
        <f>""</f>
        <v/>
      </c>
      <c r="DB368" t="str">
        <f>""</f>
        <v/>
      </c>
      <c r="DC368" t="str">
        <f>""</f>
        <v/>
      </c>
      <c r="DD368" t="str">
        <f>""</f>
        <v/>
      </c>
      <c r="DE368" t="str">
        <f>""</f>
        <v/>
      </c>
      <c r="DF368" t="str">
        <f>""</f>
        <v/>
      </c>
      <c r="DG368" t="str">
        <f>""</f>
        <v/>
      </c>
      <c r="DH368" t="str">
        <f>""</f>
        <v/>
      </c>
      <c r="DI368" t="str">
        <f>""</f>
        <v/>
      </c>
      <c r="DJ368" t="str">
        <f>""</f>
        <v/>
      </c>
      <c r="DK368" t="str">
        <f>""</f>
        <v/>
      </c>
      <c r="DL368" t="str">
        <f>""</f>
        <v/>
      </c>
      <c r="DM368" t="str">
        <f>""</f>
        <v/>
      </c>
      <c r="DN368" t="str">
        <f>""</f>
        <v/>
      </c>
      <c r="DO368" t="str">
        <f>""</f>
        <v/>
      </c>
      <c r="DP368" t="str">
        <f>""</f>
        <v/>
      </c>
      <c r="DQ368" t="str">
        <f>""</f>
        <v/>
      </c>
      <c r="DR368" t="str">
        <f>""</f>
        <v/>
      </c>
      <c r="DS368" t="str">
        <f>""</f>
        <v/>
      </c>
      <c r="DT368" t="str">
        <f>""</f>
        <v/>
      </c>
      <c r="DU368" t="str">
        <f>""</f>
        <v/>
      </c>
    </row>
    <row r="369" spans="1:125">
      <c r="A369" t="str">
        <f>$A$163</f>
        <v xml:space="preserve">    Essex Property Trust Inc</v>
      </c>
      <c r="B369" t="str">
        <f>$B$163</f>
        <v>ESS US Equity</v>
      </c>
      <c r="C369" t="str">
        <f>$C$163</f>
        <v>RR052</v>
      </c>
      <c r="D369" t="str">
        <f>$D$163</f>
        <v>TOT_DEBT_TO_EBITDA</v>
      </c>
      <c r="E369" t="str">
        <f>$E$163</f>
        <v>动态</v>
      </c>
      <c r="F369" t="str">
        <f ca="1">BDH($B$163,$C$163,$B$224,$B$225,CONCATENATE("Per=",$B$222),"Dts=H","Dir=H",CONCATENATE("Points=",$B$223),"Sort=R","Days=A","Fill=B",CONCATENATE("FX=", $B$221) )</f>
        <v>#N/A Authorization</v>
      </c>
      <c r="BN369" t="str">
        <f>""</f>
        <v/>
      </c>
      <c r="BO369" t="str">
        <f>""</f>
        <v/>
      </c>
      <c r="BP369" t="str">
        <f>""</f>
        <v/>
      </c>
      <c r="BQ369" t="str">
        <f>""</f>
        <v/>
      </c>
      <c r="BR369" t="str">
        <f>""</f>
        <v/>
      </c>
      <c r="BS369" t="str">
        <f>""</f>
        <v/>
      </c>
      <c r="BT369" t="str">
        <f>""</f>
        <v/>
      </c>
      <c r="BU369" t="str">
        <f>""</f>
        <v/>
      </c>
      <c r="BV369" t="str">
        <f>""</f>
        <v/>
      </c>
      <c r="BW369" t="str">
        <f>""</f>
        <v/>
      </c>
      <c r="BX369" t="str">
        <f>""</f>
        <v/>
      </c>
      <c r="BY369" t="str">
        <f>""</f>
        <v/>
      </c>
      <c r="BZ369" t="str">
        <f>""</f>
        <v/>
      </c>
      <c r="CA369" t="str">
        <f>""</f>
        <v/>
      </c>
      <c r="CB369" t="str">
        <f>""</f>
        <v/>
      </c>
      <c r="CC369" t="str">
        <f>""</f>
        <v/>
      </c>
      <c r="CD369" t="str">
        <f>""</f>
        <v/>
      </c>
      <c r="CE369" t="str">
        <f>""</f>
        <v/>
      </c>
      <c r="CF369" t="str">
        <f>""</f>
        <v/>
      </c>
      <c r="CG369" t="str">
        <f>""</f>
        <v/>
      </c>
      <c r="CH369" t="str">
        <f>""</f>
        <v/>
      </c>
      <c r="CI369" t="str">
        <f>""</f>
        <v/>
      </c>
      <c r="CJ369" t="str">
        <f>""</f>
        <v/>
      </c>
      <c r="CK369" t="str">
        <f>""</f>
        <v/>
      </c>
      <c r="CL369" t="str">
        <f>""</f>
        <v/>
      </c>
      <c r="CM369" t="str">
        <f>""</f>
        <v/>
      </c>
      <c r="CN369" t="str">
        <f>""</f>
        <v/>
      </c>
      <c r="CO369" t="str">
        <f>""</f>
        <v/>
      </c>
      <c r="CP369" t="str">
        <f>""</f>
        <v/>
      </c>
      <c r="CQ369" t="str">
        <f>""</f>
        <v/>
      </c>
      <c r="CR369" t="str">
        <f>""</f>
        <v/>
      </c>
      <c r="CS369" t="str">
        <f>""</f>
        <v/>
      </c>
      <c r="CT369" t="str">
        <f>""</f>
        <v/>
      </c>
      <c r="CU369" t="str">
        <f>""</f>
        <v/>
      </c>
      <c r="CV369" t="str">
        <f>""</f>
        <v/>
      </c>
      <c r="CW369" t="str">
        <f>""</f>
        <v/>
      </c>
      <c r="CX369" t="str">
        <f>""</f>
        <v/>
      </c>
      <c r="CY369" t="str">
        <f>""</f>
        <v/>
      </c>
      <c r="CZ369" t="str">
        <f>""</f>
        <v/>
      </c>
      <c r="DA369" t="str">
        <f>""</f>
        <v/>
      </c>
      <c r="DB369" t="str">
        <f>""</f>
        <v/>
      </c>
      <c r="DC369" t="str">
        <f>""</f>
        <v/>
      </c>
      <c r="DD369" t="str">
        <f>""</f>
        <v/>
      </c>
      <c r="DE369" t="str">
        <f>""</f>
        <v/>
      </c>
      <c r="DF369" t="str">
        <f>""</f>
        <v/>
      </c>
      <c r="DG369" t="str">
        <f>""</f>
        <v/>
      </c>
      <c r="DH369" t="str">
        <f>""</f>
        <v/>
      </c>
      <c r="DI369" t="str">
        <f>""</f>
        <v/>
      </c>
      <c r="DJ369" t="str">
        <f>""</f>
        <v/>
      </c>
      <c r="DK369" t="str">
        <f>""</f>
        <v/>
      </c>
      <c r="DL369" t="str">
        <f>""</f>
        <v/>
      </c>
      <c r="DM369" t="str">
        <f>""</f>
        <v/>
      </c>
      <c r="DN369" t="str">
        <f>""</f>
        <v/>
      </c>
      <c r="DO369" t="str">
        <f>""</f>
        <v/>
      </c>
      <c r="DP369" t="str">
        <f>""</f>
        <v/>
      </c>
      <c r="DQ369" t="str">
        <f>""</f>
        <v/>
      </c>
      <c r="DR369" t="str">
        <f>""</f>
        <v/>
      </c>
      <c r="DS369" t="str">
        <f>""</f>
        <v/>
      </c>
      <c r="DT369" t="str">
        <f>""</f>
        <v/>
      </c>
      <c r="DU369" t="str">
        <f>""</f>
        <v/>
      </c>
    </row>
    <row r="370" spans="1:125">
      <c r="A370" t="str">
        <f>$A$164</f>
        <v xml:space="preserve">    Mid-America Apartment Communit</v>
      </c>
      <c r="B370" t="str">
        <f>$B$164</f>
        <v>MAA US Equity</v>
      </c>
      <c r="C370" t="str">
        <f>$C$164</f>
        <v>RR052</v>
      </c>
      <c r="D370" t="str">
        <f>$D$164</f>
        <v>TOT_DEBT_TO_EBITDA</v>
      </c>
      <c r="E370" t="str">
        <f>$E$164</f>
        <v>动态</v>
      </c>
      <c r="F370" t="str">
        <f ca="1">BDH($B$164,$C$164,$B$224,$B$225,CONCATENATE("Per=",$B$222),"Dts=H","Dir=H",CONCATENATE("Points=",$B$223),"Sort=R","Days=A","Fill=B",CONCATENATE("FX=", $B$221) )</f>
        <v>#N/A Authorization</v>
      </c>
      <c r="BN370" t="str">
        <f>""</f>
        <v/>
      </c>
      <c r="BO370" t="str">
        <f>""</f>
        <v/>
      </c>
      <c r="BP370" t="str">
        <f>""</f>
        <v/>
      </c>
      <c r="BQ370" t="str">
        <f>""</f>
        <v/>
      </c>
      <c r="BR370" t="str">
        <f>""</f>
        <v/>
      </c>
      <c r="BS370" t="str">
        <f>""</f>
        <v/>
      </c>
      <c r="BT370" t="str">
        <f>""</f>
        <v/>
      </c>
      <c r="BU370" t="str">
        <f>""</f>
        <v/>
      </c>
      <c r="BV370" t="str">
        <f>""</f>
        <v/>
      </c>
      <c r="BW370" t="str">
        <f>""</f>
        <v/>
      </c>
      <c r="BX370" t="str">
        <f>""</f>
        <v/>
      </c>
      <c r="BY370" t="str">
        <f>""</f>
        <v/>
      </c>
      <c r="BZ370" t="str">
        <f>""</f>
        <v/>
      </c>
      <c r="CA370" t="str">
        <f>""</f>
        <v/>
      </c>
      <c r="CB370" t="str">
        <f>""</f>
        <v/>
      </c>
      <c r="CC370" t="str">
        <f>""</f>
        <v/>
      </c>
      <c r="CD370" t="str">
        <f>""</f>
        <v/>
      </c>
      <c r="CE370" t="str">
        <f>""</f>
        <v/>
      </c>
      <c r="CF370" t="str">
        <f>""</f>
        <v/>
      </c>
      <c r="CG370" t="str">
        <f>""</f>
        <v/>
      </c>
      <c r="CH370" t="str">
        <f>""</f>
        <v/>
      </c>
      <c r="CI370" t="str">
        <f>""</f>
        <v/>
      </c>
      <c r="CJ370" t="str">
        <f>""</f>
        <v/>
      </c>
      <c r="CK370" t="str">
        <f>""</f>
        <v/>
      </c>
      <c r="CL370" t="str">
        <f>""</f>
        <v/>
      </c>
      <c r="CM370" t="str">
        <f>""</f>
        <v/>
      </c>
      <c r="CN370" t="str">
        <f>""</f>
        <v/>
      </c>
      <c r="CO370" t="str">
        <f>""</f>
        <v/>
      </c>
      <c r="CP370" t="str">
        <f>""</f>
        <v/>
      </c>
      <c r="CQ370" t="str">
        <f>""</f>
        <v/>
      </c>
      <c r="CR370" t="str">
        <f>""</f>
        <v/>
      </c>
      <c r="CS370" t="str">
        <f>""</f>
        <v/>
      </c>
      <c r="CT370" t="str">
        <f>""</f>
        <v/>
      </c>
      <c r="CU370" t="str">
        <f>""</f>
        <v/>
      </c>
      <c r="CV370" t="str">
        <f>""</f>
        <v/>
      </c>
      <c r="CW370" t="str">
        <f>""</f>
        <v/>
      </c>
      <c r="CX370" t="str">
        <f>""</f>
        <v/>
      </c>
      <c r="CY370" t="str">
        <f>""</f>
        <v/>
      </c>
      <c r="CZ370" t="str">
        <f>""</f>
        <v/>
      </c>
      <c r="DA370" t="str">
        <f>""</f>
        <v/>
      </c>
      <c r="DB370" t="str">
        <f>""</f>
        <v/>
      </c>
      <c r="DC370" t="str">
        <f>""</f>
        <v/>
      </c>
      <c r="DD370" t="str">
        <f>""</f>
        <v/>
      </c>
      <c r="DE370" t="str">
        <f>""</f>
        <v/>
      </c>
      <c r="DF370" t="str">
        <f>""</f>
        <v/>
      </c>
      <c r="DG370" t="str">
        <f>""</f>
        <v/>
      </c>
      <c r="DH370" t="str">
        <f>""</f>
        <v/>
      </c>
      <c r="DI370" t="str">
        <f>""</f>
        <v/>
      </c>
      <c r="DJ370" t="str">
        <f>""</f>
        <v/>
      </c>
      <c r="DK370" t="str">
        <f>""</f>
        <v/>
      </c>
      <c r="DL370" t="str">
        <f>""</f>
        <v/>
      </c>
      <c r="DM370" t="str">
        <f>""</f>
        <v/>
      </c>
      <c r="DN370" t="str">
        <f>""</f>
        <v/>
      </c>
      <c r="DO370" t="str">
        <f>""</f>
        <v/>
      </c>
      <c r="DP370" t="str">
        <f>""</f>
        <v/>
      </c>
      <c r="DQ370" t="str">
        <f>""</f>
        <v/>
      </c>
      <c r="DR370" t="str">
        <f>""</f>
        <v/>
      </c>
      <c r="DS370" t="str">
        <f>""</f>
        <v/>
      </c>
      <c r="DT370" t="str">
        <f>""</f>
        <v/>
      </c>
      <c r="DU370" t="str">
        <f>""</f>
        <v/>
      </c>
    </row>
    <row r="371" spans="1:125">
      <c r="A371" t="str">
        <f>$A$165</f>
        <v xml:space="preserve">    UDR Inc</v>
      </c>
      <c r="B371" t="str">
        <f>$B$165</f>
        <v>UDR US Equity</v>
      </c>
      <c r="C371" t="str">
        <f>$C$165</f>
        <v>RR052</v>
      </c>
      <c r="D371" t="str">
        <f>$D$165</f>
        <v>TOT_DEBT_TO_EBITDA</v>
      </c>
      <c r="E371" t="str">
        <f>$E$165</f>
        <v>动态</v>
      </c>
      <c r="F371" t="str">
        <f ca="1">BDH($B$165,$C$165,$B$224,$B$225,CONCATENATE("Per=",$B$222),"Dts=H","Dir=H",CONCATENATE("Points=",$B$223),"Sort=R","Days=A","Fill=B",CONCATENATE("FX=", $B$221) )</f>
        <v>#N/A Authorization</v>
      </c>
      <c r="BN371" t="str">
        <f>""</f>
        <v/>
      </c>
      <c r="BO371" t="str">
        <f>""</f>
        <v/>
      </c>
      <c r="BP371" t="str">
        <f>""</f>
        <v/>
      </c>
      <c r="BQ371" t="str">
        <f>""</f>
        <v/>
      </c>
      <c r="BR371" t="str">
        <f>""</f>
        <v/>
      </c>
      <c r="BS371" t="str">
        <f>""</f>
        <v/>
      </c>
      <c r="BT371" t="str">
        <f>""</f>
        <v/>
      </c>
      <c r="BU371" t="str">
        <f>""</f>
        <v/>
      </c>
      <c r="BV371" t="str">
        <f>""</f>
        <v/>
      </c>
      <c r="BW371" t="str">
        <f>""</f>
        <v/>
      </c>
      <c r="BX371" t="str">
        <f>""</f>
        <v/>
      </c>
      <c r="BY371" t="str">
        <f>""</f>
        <v/>
      </c>
      <c r="BZ371" t="str">
        <f>""</f>
        <v/>
      </c>
      <c r="CA371" t="str">
        <f>""</f>
        <v/>
      </c>
      <c r="CB371" t="str">
        <f>""</f>
        <v/>
      </c>
      <c r="CC371" t="str">
        <f>""</f>
        <v/>
      </c>
      <c r="CD371" t="str">
        <f>""</f>
        <v/>
      </c>
      <c r="CE371" t="str">
        <f>""</f>
        <v/>
      </c>
      <c r="CF371" t="str">
        <f>""</f>
        <v/>
      </c>
      <c r="CG371" t="str">
        <f>""</f>
        <v/>
      </c>
      <c r="CH371" t="str">
        <f>""</f>
        <v/>
      </c>
      <c r="CI371" t="str">
        <f>""</f>
        <v/>
      </c>
      <c r="CJ371" t="str">
        <f>""</f>
        <v/>
      </c>
      <c r="CK371" t="str">
        <f>""</f>
        <v/>
      </c>
      <c r="CL371" t="str">
        <f>""</f>
        <v/>
      </c>
      <c r="CM371" t="str">
        <f>""</f>
        <v/>
      </c>
      <c r="CN371" t="str">
        <f>""</f>
        <v/>
      </c>
      <c r="CO371" t="str">
        <f>""</f>
        <v/>
      </c>
      <c r="CP371" t="str">
        <f>""</f>
        <v/>
      </c>
      <c r="CQ371" t="str">
        <f>""</f>
        <v/>
      </c>
      <c r="CR371" t="str">
        <f>""</f>
        <v/>
      </c>
      <c r="CS371" t="str">
        <f>""</f>
        <v/>
      </c>
      <c r="CT371" t="str">
        <f>""</f>
        <v/>
      </c>
      <c r="CU371" t="str">
        <f>""</f>
        <v/>
      </c>
      <c r="CV371" t="str">
        <f>""</f>
        <v/>
      </c>
      <c r="CW371" t="str">
        <f>""</f>
        <v/>
      </c>
      <c r="CX371" t="str">
        <f>""</f>
        <v/>
      </c>
      <c r="CY371" t="str">
        <f>""</f>
        <v/>
      </c>
      <c r="CZ371" t="str">
        <f>""</f>
        <v/>
      </c>
      <c r="DA371" t="str">
        <f>""</f>
        <v/>
      </c>
      <c r="DB371" t="str">
        <f>""</f>
        <v/>
      </c>
      <c r="DC371" t="str">
        <f>""</f>
        <v/>
      </c>
      <c r="DD371" t="str">
        <f>""</f>
        <v/>
      </c>
      <c r="DE371" t="str">
        <f>""</f>
        <v/>
      </c>
      <c r="DF371" t="str">
        <f>""</f>
        <v/>
      </c>
      <c r="DG371" t="str">
        <f>""</f>
        <v/>
      </c>
      <c r="DH371" t="str">
        <f>""</f>
        <v/>
      </c>
      <c r="DI371" t="str">
        <f>""</f>
        <v/>
      </c>
      <c r="DJ371" t="str">
        <f>""</f>
        <v/>
      </c>
      <c r="DK371" t="str">
        <f>""</f>
        <v/>
      </c>
      <c r="DL371" t="str">
        <f>""</f>
        <v/>
      </c>
      <c r="DM371" t="str">
        <f>""</f>
        <v/>
      </c>
      <c r="DN371" t="str">
        <f>""</f>
        <v/>
      </c>
      <c r="DO371" t="str">
        <f>""</f>
        <v/>
      </c>
      <c r="DP371" t="str">
        <f>""</f>
        <v/>
      </c>
      <c r="DQ371" t="str">
        <f>""</f>
        <v/>
      </c>
      <c r="DR371" t="str">
        <f>""</f>
        <v/>
      </c>
      <c r="DS371" t="str">
        <f>""</f>
        <v/>
      </c>
      <c r="DT371" t="str">
        <f>""</f>
        <v/>
      </c>
      <c r="DU371" t="str">
        <f>""</f>
        <v/>
      </c>
    </row>
    <row r="372" spans="1:125">
      <c r="A372" t="str">
        <f>$A$167</f>
        <v xml:space="preserve">    American Campus Communities In</v>
      </c>
      <c r="B372" t="str">
        <f>$B$167</f>
        <v>ACC US Equity</v>
      </c>
      <c r="C372" t="str">
        <f>$C$167</f>
        <v>RR147</v>
      </c>
      <c r="D372" t="str">
        <f>$D$167</f>
        <v>LT_DEBT_TO_TOT_ASSET</v>
      </c>
      <c r="E372" t="str">
        <f>$E$167</f>
        <v>动态</v>
      </c>
      <c r="F372" t="str">
        <f ca="1">BDH($B$167,$C$167,$B$224,$B$225,CONCATENATE("Per=",$B$222),"Dts=H","Dir=H",CONCATENATE("Points=",$B$223),"Sort=R","Days=A","Fill=B",CONCATENATE("FX=", $B$221) )</f>
        <v>#N/A Authorization</v>
      </c>
      <c r="BN372" t="str">
        <f>""</f>
        <v/>
      </c>
      <c r="BO372" t="str">
        <f>""</f>
        <v/>
      </c>
      <c r="BP372" t="str">
        <f>""</f>
        <v/>
      </c>
      <c r="BQ372" t="str">
        <f>""</f>
        <v/>
      </c>
      <c r="BR372" t="str">
        <f>""</f>
        <v/>
      </c>
      <c r="BS372" t="str">
        <f>""</f>
        <v/>
      </c>
      <c r="BT372" t="str">
        <f>""</f>
        <v/>
      </c>
      <c r="BU372" t="str">
        <f>""</f>
        <v/>
      </c>
      <c r="BV372" t="str">
        <f>""</f>
        <v/>
      </c>
      <c r="BW372" t="str">
        <f>""</f>
        <v/>
      </c>
      <c r="BX372" t="str">
        <f>""</f>
        <v/>
      </c>
      <c r="BY372" t="str">
        <f>""</f>
        <v/>
      </c>
      <c r="BZ372" t="str">
        <f>""</f>
        <v/>
      </c>
      <c r="CA372" t="str">
        <f>""</f>
        <v/>
      </c>
      <c r="CB372" t="str">
        <f>""</f>
        <v/>
      </c>
      <c r="CC372" t="str">
        <f>""</f>
        <v/>
      </c>
      <c r="CD372" t="str">
        <f>""</f>
        <v/>
      </c>
      <c r="CE372" t="str">
        <f>""</f>
        <v/>
      </c>
      <c r="CF372" t="str">
        <f>""</f>
        <v/>
      </c>
      <c r="CG372" t="str">
        <f>""</f>
        <v/>
      </c>
      <c r="CH372" t="str">
        <f>""</f>
        <v/>
      </c>
      <c r="CI372" t="str">
        <f>""</f>
        <v/>
      </c>
      <c r="CJ372" t="str">
        <f>""</f>
        <v/>
      </c>
      <c r="CK372" t="str">
        <f>""</f>
        <v/>
      </c>
      <c r="CL372" t="str">
        <f>""</f>
        <v/>
      </c>
      <c r="CM372" t="str">
        <f>""</f>
        <v/>
      </c>
      <c r="CN372" t="str">
        <f>""</f>
        <v/>
      </c>
      <c r="CO372" t="str">
        <f>""</f>
        <v/>
      </c>
      <c r="CP372" t="str">
        <f>""</f>
        <v/>
      </c>
      <c r="CQ372" t="str">
        <f>""</f>
        <v/>
      </c>
      <c r="CR372" t="str">
        <f>""</f>
        <v/>
      </c>
      <c r="CS372" t="str">
        <f>""</f>
        <v/>
      </c>
      <c r="CT372" t="str">
        <f>""</f>
        <v/>
      </c>
      <c r="CU372" t="str">
        <f>""</f>
        <v/>
      </c>
      <c r="CV372" t="str">
        <f>""</f>
        <v/>
      </c>
      <c r="CW372" t="str">
        <f>""</f>
        <v/>
      </c>
      <c r="CX372" t="str">
        <f>""</f>
        <v/>
      </c>
      <c r="CY372" t="str">
        <f>""</f>
        <v/>
      </c>
      <c r="CZ372" t="str">
        <f>""</f>
        <v/>
      </c>
      <c r="DA372" t="str">
        <f>""</f>
        <v/>
      </c>
      <c r="DB372" t="str">
        <f>""</f>
        <v/>
      </c>
      <c r="DC372" t="str">
        <f>""</f>
        <v/>
      </c>
      <c r="DD372" t="str">
        <f>""</f>
        <v/>
      </c>
      <c r="DE372" t="str">
        <f>""</f>
        <v/>
      </c>
      <c r="DF372" t="str">
        <f>""</f>
        <v/>
      </c>
      <c r="DG372" t="str">
        <f>""</f>
        <v/>
      </c>
      <c r="DH372" t="str">
        <f>""</f>
        <v/>
      </c>
      <c r="DI372" t="str">
        <f>""</f>
        <v/>
      </c>
      <c r="DJ372" t="str">
        <f>""</f>
        <v/>
      </c>
      <c r="DK372" t="str">
        <f>""</f>
        <v/>
      </c>
      <c r="DL372" t="str">
        <f>""</f>
        <v/>
      </c>
      <c r="DM372" t="str">
        <f>""</f>
        <v/>
      </c>
      <c r="DN372" t="str">
        <f>""</f>
        <v/>
      </c>
      <c r="DO372" t="str">
        <f>""</f>
        <v/>
      </c>
      <c r="DP372" t="str">
        <f>""</f>
        <v/>
      </c>
      <c r="DQ372" t="str">
        <f>""</f>
        <v/>
      </c>
      <c r="DR372" t="str">
        <f>""</f>
        <v/>
      </c>
      <c r="DS372" t="str">
        <f>""</f>
        <v/>
      </c>
      <c r="DT372" t="str">
        <f>""</f>
        <v/>
      </c>
      <c r="DU372" t="str">
        <f>""</f>
        <v/>
      </c>
    </row>
    <row r="373" spans="1:125">
      <c r="A373" t="str">
        <f>$A$168</f>
        <v xml:space="preserve">    AvalonBay Communities Inc</v>
      </c>
      <c r="B373" t="str">
        <f>$B$168</f>
        <v>AVB US Equity</v>
      </c>
      <c r="C373" t="str">
        <f>$C$168</f>
        <v>RR147</v>
      </c>
      <c r="D373" t="str">
        <f>$D$168</f>
        <v>LT_DEBT_TO_TOT_ASSET</v>
      </c>
      <c r="E373" t="str">
        <f>$E$168</f>
        <v>动态</v>
      </c>
      <c r="F373" t="str">
        <f ca="1">BDH($B$168,$C$168,$B$224,$B$225,CONCATENATE("Per=",$B$222),"Dts=H","Dir=H",CONCATENATE("Points=",$B$223),"Sort=R","Days=A","Fill=B",CONCATENATE("FX=", $B$221) )</f>
        <v>#N/A Authorization</v>
      </c>
      <c r="BN373" t="str">
        <f>""</f>
        <v/>
      </c>
      <c r="BO373" t="str">
        <f>""</f>
        <v/>
      </c>
      <c r="BP373" t="str">
        <f>""</f>
        <v/>
      </c>
      <c r="BQ373" t="str">
        <f>""</f>
        <v/>
      </c>
      <c r="BR373" t="str">
        <f>""</f>
        <v/>
      </c>
      <c r="BS373" t="str">
        <f>""</f>
        <v/>
      </c>
      <c r="BT373" t="str">
        <f>""</f>
        <v/>
      </c>
      <c r="BU373" t="str">
        <f>""</f>
        <v/>
      </c>
      <c r="BV373" t="str">
        <f>""</f>
        <v/>
      </c>
      <c r="BW373" t="str">
        <f>""</f>
        <v/>
      </c>
      <c r="BX373" t="str">
        <f>""</f>
        <v/>
      </c>
      <c r="BY373" t="str">
        <f>""</f>
        <v/>
      </c>
      <c r="BZ373" t="str">
        <f>""</f>
        <v/>
      </c>
      <c r="CA373" t="str">
        <f>""</f>
        <v/>
      </c>
      <c r="CB373" t="str">
        <f>""</f>
        <v/>
      </c>
      <c r="CC373" t="str">
        <f>""</f>
        <v/>
      </c>
      <c r="CD373" t="str">
        <f>""</f>
        <v/>
      </c>
      <c r="CE373" t="str">
        <f>""</f>
        <v/>
      </c>
      <c r="CF373" t="str">
        <f>""</f>
        <v/>
      </c>
      <c r="CG373" t="str">
        <f>""</f>
        <v/>
      </c>
      <c r="CH373" t="str">
        <f>""</f>
        <v/>
      </c>
      <c r="CI373" t="str">
        <f>""</f>
        <v/>
      </c>
      <c r="CJ373" t="str">
        <f>""</f>
        <v/>
      </c>
      <c r="CK373" t="str">
        <f>""</f>
        <v/>
      </c>
      <c r="CL373" t="str">
        <f>""</f>
        <v/>
      </c>
      <c r="CM373" t="str">
        <f>""</f>
        <v/>
      </c>
      <c r="CN373" t="str">
        <f>""</f>
        <v/>
      </c>
      <c r="CO373" t="str">
        <f>""</f>
        <v/>
      </c>
      <c r="CP373" t="str">
        <f>""</f>
        <v/>
      </c>
      <c r="CQ373" t="str">
        <f>""</f>
        <v/>
      </c>
      <c r="CR373" t="str">
        <f>""</f>
        <v/>
      </c>
      <c r="CS373" t="str">
        <f>""</f>
        <v/>
      </c>
      <c r="CT373" t="str">
        <f>""</f>
        <v/>
      </c>
      <c r="CU373" t="str">
        <f>""</f>
        <v/>
      </c>
      <c r="CV373" t="str">
        <f>""</f>
        <v/>
      </c>
      <c r="CW373" t="str">
        <f>""</f>
        <v/>
      </c>
      <c r="CX373" t="str">
        <f>""</f>
        <v/>
      </c>
      <c r="CY373" t="str">
        <f>""</f>
        <v/>
      </c>
      <c r="CZ373" t="str">
        <f>""</f>
        <v/>
      </c>
      <c r="DA373" t="str">
        <f>""</f>
        <v/>
      </c>
      <c r="DB373" t="str">
        <f>""</f>
        <v/>
      </c>
      <c r="DC373" t="str">
        <f>""</f>
        <v/>
      </c>
      <c r="DD373" t="str">
        <f>""</f>
        <v/>
      </c>
      <c r="DE373" t="str">
        <f>""</f>
        <v/>
      </c>
      <c r="DF373" t="str">
        <f>""</f>
        <v/>
      </c>
      <c r="DG373" t="str">
        <f>""</f>
        <v/>
      </c>
      <c r="DH373" t="str">
        <f>""</f>
        <v/>
      </c>
      <c r="DI373" t="str">
        <f>""</f>
        <v/>
      </c>
      <c r="DJ373" t="str">
        <f>""</f>
        <v/>
      </c>
      <c r="DK373" t="str">
        <f>""</f>
        <v/>
      </c>
      <c r="DL373" t="str">
        <f>""</f>
        <v/>
      </c>
      <c r="DM373" t="str">
        <f>""</f>
        <v/>
      </c>
      <c r="DN373" t="str">
        <f>""</f>
        <v/>
      </c>
      <c r="DO373" t="str">
        <f>""</f>
        <v/>
      </c>
      <c r="DP373" t="str">
        <f>""</f>
        <v/>
      </c>
      <c r="DQ373" t="str">
        <f>""</f>
        <v/>
      </c>
      <c r="DR373" t="str">
        <f>""</f>
        <v/>
      </c>
      <c r="DS373" t="str">
        <f>""</f>
        <v/>
      </c>
      <c r="DT373" t="str">
        <f>""</f>
        <v/>
      </c>
      <c r="DU373" t="str">
        <f>""</f>
        <v/>
      </c>
    </row>
    <row r="374" spans="1:125">
      <c r="A374" t="str">
        <f>$A$169</f>
        <v xml:space="preserve">    Camden Property Trust</v>
      </c>
      <c r="B374" t="str">
        <f>$B$169</f>
        <v>CPT US Equity</v>
      </c>
      <c r="C374" t="str">
        <f>$C$169</f>
        <v>RR147</v>
      </c>
      <c r="D374" t="str">
        <f>$D$169</f>
        <v>LT_DEBT_TO_TOT_ASSET</v>
      </c>
      <c r="E374" t="str">
        <f>$E$169</f>
        <v>动态</v>
      </c>
      <c r="F374" t="str">
        <f ca="1">BDH($B$169,$C$169,$B$224,$B$225,CONCATENATE("Per=",$B$222),"Dts=H","Dir=H",CONCATENATE("Points=",$B$223),"Sort=R","Days=A","Fill=B",CONCATENATE("FX=", $B$221) )</f>
        <v>#N/A Authorization</v>
      </c>
      <c r="BN374" t="str">
        <f>""</f>
        <v/>
      </c>
      <c r="BO374" t="str">
        <f>""</f>
        <v/>
      </c>
      <c r="BP374" t="str">
        <f>""</f>
        <v/>
      </c>
      <c r="BQ374" t="str">
        <f>""</f>
        <v/>
      </c>
      <c r="BR374" t="str">
        <f>""</f>
        <v/>
      </c>
      <c r="BS374" t="str">
        <f>""</f>
        <v/>
      </c>
      <c r="BT374" t="str">
        <f>""</f>
        <v/>
      </c>
      <c r="BU374" t="str">
        <f>""</f>
        <v/>
      </c>
      <c r="BV374" t="str">
        <f>""</f>
        <v/>
      </c>
      <c r="BW374" t="str">
        <f>""</f>
        <v/>
      </c>
      <c r="BX374" t="str">
        <f>""</f>
        <v/>
      </c>
      <c r="BY374" t="str">
        <f>""</f>
        <v/>
      </c>
      <c r="BZ374" t="str">
        <f>""</f>
        <v/>
      </c>
      <c r="CA374" t="str">
        <f>""</f>
        <v/>
      </c>
      <c r="CB374" t="str">
        <f>""</f>
        <v/>
      </c>
      <c r="CC374" t="str">
        <f>""</f>
        <v/>
      </c>
      <c r="CD374" t="str">
        <f>""</f>
        <v/>
      </c>
      <c r="CE374" t="str">
        <f>""</f>
        <v/>
      </c>
      <c r="CF374" t="str">
        <f>""</f>
        <v/>
      </c>
      <c r="CG374" t="str">
        <f>""</f>
        <v/>
      </c>
      <c r="CH374" t="str">
        <f>""</f>
        <v/>
      </c>
      <c r="CI374" t="str">
        <f>""</f>
        <v/>
      </c>
      <c r="CJ374" t="str">
        <f>""</f>
        <v/>
      </c>
      <c r="CK374" t="str">
        <f>""</f>
        <v/>
      </c>
      <c r="CL374" t="str">
        <f>""</f>
        <v/>
      </c>
      <c r="CM374" t="str">
        <f>""</f>
        <v/>
      </c>
      <c r="CN374" t="str">
        <f>""</f>
        <v/>
      </c>
      <c r="CO374" t="str">
        <f>""</f>
        <v/>
      </c>
      <c r="CP374" t="str">
        <f>""</f>
        <v/>
      </c>
      <c r="CQ374" t="str">
        <f>""</f>
        <v/>
      </c>
      <c r="CR374" t="str">
        <f>""</f>
        <v/>
      </c>
      <c r="CS374" t="str">
        <f>""</f>
        <v/>
      </c>
      <c r="CT374" t="str">
        <f>""</f>
        <v/>
      </c>
      <c r="CU374" t="str">
        <f>""</f>
        <v/>
      </c>
      <c r="CV374" t="str">
        <f>""</f>
        <v/>
      </c>
      <c r="CW374" t="str">
        <f>""</f>
        <v/>
      </c>
      <c r="CX374" t="str">
        <f>""</f>
        <v/>
      </c>
      <c r="CY374" t="str">
        <f>""</f>
        <v/>
      </c>
      <c r="CZ374" t="str">
        <f>""</f>
        <v/>
      </c>
      <c r="DA374" t="str">
        <f>""</f>
        <v/>
      </c>
      <c r="DB374" t="str">
        <f>""</f>
        <v/>
      </c>
      <c r="DC374" t="str">
        <f>""</f>
        <v/>
      </c>
      <c r="DD374" t="str">
        <f>""</f>
        <v/>
      </c>
      <c r="DE374" t="str">
        <f>""</f>
        <v/>
      </c>
      <c r="DF374" t="str">
        <f>""</f>
        <v/>
      </c>
      <c r="DG374" t="str">
        <f>""</f>
        <v/>
      </c>
      <c r="DH374" t="str">
        <f>""</f>
        <v/>
      </c>
      <c r="DI374" t="str">
        <f>""</f>
        <v/>
      </c>
      <c r="DJ374" t="str">
        <f>""</f>
        <v/>
      </c>
      <c r="DK374" t="str">
        <f>""</f>
        <v/>
      </c>
      <c r="DL374" t="str">
        <f>""</f>
        <v/>
      </c>
      <c r="DM374" t="str">
        <f>""</f>
        <v/>
      </c>
      <c r="DN374" t="str">
        <f>""</f>
        <v/>
      </c>
      <c r="DO374" t="str">
        <f>""</f>
        <v/>
      </c>
      <c r="DP374" t="str">
        <f>""</f>
        <v/>
      </c>
      <c r="DQ374" t="str">
        <f>""</f>
        <v/>
      </c>
      <c r="DR374" t="str">
        <f>""</f>
        <v/>
      </c>
      <c r="DS374" t="str">
        <f>""</f>
        <v/>
      </c>
      <c r="DT374" t="str">
        <f>""</f>
        <v/>
      </c>
      <c r="DU374" t="str">
        <f>""</f>
        <v/>
      </c>
    </row>
    <row r="375" spans="1:125">
      <c r="A375" t="str">
        <f>$A$170</f>
        <v xml:space="preserve">    Education Realty Trust Inc</v>
      </c>
      <c r="B375" t="str">
        <f>$B$170</f>
        <v>EDR US Equity</v>
      </c>
      <c r="C375" t="str">
        <f>$C$170</f>
        <v>RR147</v>
      </c>
      <c r="D375" t="str">
        <f>$D$170</f>
        <v>LT_DEBT_TO_TOT_ASSET</v>
      </c>
      <c r="E375" t="str">
        <f>$E$170</f>
        <v>动态</v>
      </c>
      <c r="F375" t="str">
        <f ca="1">BDH($B$170,$C$170,$B$224,$B$225,CONCATENATE("Per=",$B$222),"Dts=H","Dir=H",CONCATENATE("Points=",$B$223),"Sort=R","Days=A","Fill=B",CONCATENATE("FX=", $B$221) )</f>
        <v>#N/A Authorization</v>
      </c>
      <c r="BN375" t="str">
        <f>""</f>
        <v/>
      </c>
      <c r="BO375" t="str">
        <f>""</f>
        <v/>
      </c>
      <c r="BP375" t="str">
        <f>""</f>
        <v/>
      </c>
      <c r="BQ375" t="str">
        <f>""</f>
        <v/>
      </c>
      <c r="BR375" t="str">
        <f>""</f>
        <v/>
      </c>
      <c r="BS375" t="str">
        <f>""</f>
        <v/>
      </c>
      <c r="BT375" t="str">
        <f>""</f>
        <v/>
      </c>
      <c r="BU375" t="str">
        <f>""</f>
        <v/>
      </c>
      <c r="BV375" t="str">
        <f>""</f>
        <v/>
      </c>
      <c r="BW375" t="str">
        <f>""</f>
        <v/>
      </c>
      <c r="BX375" t="str">
        <f>""</f>
        <v/>
      </c>
      <c r="BY375" t="str">
        <f>""</f>
        <v/>
      </c>
      <c r="BZ375" t="str">
        <f>""</f>
        <v/>
      </c>
      <c r="CA375" t="str">
        <f>""</f>
        <v/>
      </c>
      <c r="CB375" t="str">
        <f>""</f>
        <v/>
      </c>
      <c r="CC375" t="str">
        <f>""</f>
        <v/>
      </c>
      <c r="CD375" t="str">
        <f>""</f>
        <v/>
      </c>
      <c r="CE375" t="str">
        <f>""</f>
        <v/>
      </c>
      <c r="CF375" t="str">
        <f>""</f>
        <v/>
      </c>
      <c r="CG375" t="str">
        <f>""</f>
        <v/>
      </c>
      <c r="CH375" t="str">
        <f>""</f>
        <v/>
      </c>
      <c r="CI375" t="str">
        <f>""</f>
        <v/>
      </c>
      <c r="CJ375" t="str">
        <f>""</f>
        <v/>
      </c>
      <c r="CK375" t="str">
        <f>""</f>
        <v/>
      </c>
      <c r="CL375" t="str">
        <f>""</f>
        <v/>
      </c>
      <c r="CM375" t="str">
        <f>""</f>
        <v/>
      </c>
      <c r="CN375" t="str">
        <f>""</f>
        <v/>
      </c>
      <c r="CO375" t="str">
        <f>""</f>
        <v/>
      </c>
      <c r="CP375" t="str">
        <f>""</f>
        <v/>
      </c>
      <c r="CQ375" t="str">
        <f>""</f>
        <v/>
      </c>
      <c r="CR375" t="str">
        <f>""</f>
        <v/>
      </c>
      <c r="CS375" t="str">
        <f>""</f>
        <v/>
      </c>
      <c r="CT375" t="str">
        <f>""</f>
        <v/>
      </c>
      <c r="CU375" t="str">
        <f>""</f>
        <v/>
      </c>
      <c r="CV375" t="str">
        <f>""</f>
        <v/>
      </c>
      <c r="CW375" t="str">
        <f>""</f>
        <v/>
      </c>
      <c r="CX375" t="str">
        <f>""</f>
        <v/>
      </c>
      <c r="CY375" t="str">
        <f>""</f>
        <v/>
      </c>
      <c r="CZ375" t="str">
        <f>""</f>
        <v/>
      </c>
      <c r="DA375" t="str">
        <f>""</f>
        <v/>
      </c>
      <c r="DB375" t="str">
        <f>""</f>
        <v/>
      </c>
      <c r="DC375" t="str">
        <f>""</f>
        <v/>
      </c>
      <c r="DD375" t="str">
        <f>""</f>
        <v/>
      </c>
      <c r="DE375" t="str">
        <f>""</f>
        <v/>
      </c>
      <c r="DF375" t="str">
        <f>""</f>
        <v/>
      </c>
      <c r="DG375" t="str">
        <f>""</f>
        <v/>
      </c>
      <c r="DH375" t="str">
        <f>""</f>
        <v/>
      </c>
      <c r="DI375" t="str">
        <f>""</f>
        <v/>
      </c>
      <c r="DJ375" t="str">
        <f>""</f>
        <v/>
      </c>
      <c r="DK375" t="str">
        <f>""</f>
        <v/>
      </c>
      <c r="DL375" t="str">
        <f>""</f>
        <v/>
      </c>
      <c r="DM375" t="str">
        <f>""</f>
        <v/>
      </c>
      <c r="DN375" t="str">
        <f>""</f>
        <v/>
      </c>
      <c r="DO375" t="str">
        <f>""</f>
        <v/>
      </c>
      <c r="DP375" t="str">
        <f>""</f>
        <v/>
      </c>
      <c r="DQ375" t="str">
        <f>""</f>
        <v/>
      </c>
      <c r="DR375" t="str">
        <f>""</f>
        <v/>
      </c>
      <c r="DS375" t="str">
        <f>""</f>
        <v/>
      </c>
      <c r="DT375" t="str">
        <f>""</f>
        <v/>
      </c>
      <c r="DU375" t="str">
        <f>""</f>
        <v/>
      </c>
    </row>
    <row r="376" spans="1:125">
      <c r="A376" t="str">
        <f>$A$171</f>
        <v xml:space="preserve">    Equity Residential</v>
      </c>
      <c r="B376" t="str">
        <f>$B$171</f>
        <v>EQR US Equity</v>
      </c>
      <c r="C376" t="str">
        <f>$C$171</f>
        <v>RR147</v>
      </c>
      <c r="D376" t="str">
        <f>$D$171</f>
        <v>LT_DEBT_TO_TOT_ASSET</v>
      </c>
      <c r="E376" t="str">
        <f>$E$171</f>
        <v>动态</v>
      </c>
      <c r="F376" t="str">
        <f ca="1">BDH($B$171,$C$171,$B$224,$B$225,CONCATENATE("Per=",$B$222),"Dts=H","Dir=H",CONCATENATE("Points=",$B$223),"Sort=R","Days=A","Fill=B",CONCATENATE("FX=", $B$221) )</f>
        <v>#N/A Authorization</v>
      </c>
      <c r="BN376" t="str">
        <f>""</f>
        <v/>
      </c>
      <c r="BO376" t="str">
        <f>""</f>
        <v/>
      </c>
      <c r="BP376" t="str">
        <f>""</f>
        <v/>
      </c>
      <c r="BQ376" t="str">
        <f>""</f>
        <v/>
      </c>
      <c r="BR376" t="str">
        <f>""</f>
        <v/>
      </c>
      <c r="BS376" t="str">
        <f>""</f>
        <v/>
      </c>
      <c r="BT376" t="str">
        <f>""</f>
        <v/>
      </c>
      <c r="BU376" t="str">
        <f>""</f>
        <v/>
      </c>
      <c r="BV376" t="str">
        <f>""</f>
        <v/>
      </c>
      <c r="BW376" t="str">
        <f>""</f>
        <v/>
      </c>
      <c r="BX376" t="str">
        <f>""</f>
        <v/>
      </c>
      <c r="BY376" t="str">
        <f>""</f>
        <v/>
      </c>
      <c r="BZ376" t="str">
        <f>""</f>
        <v/>
      </c>
      <c r="CA376" t="str">
        <f>""</f>
        <v/>
      </c>
      <c r="CB376" t="str">
        <f>""</f>
        <v/>
      </c>
      <c r="CC376" t="str">
        <f>""</f>
        <v/>
      </c>
      <c r="CD376" t="str">
        <f>""</f>
        <v/>
      </c>
      <c r="CE376" t="str">
        <f>""</f>
        <v/>
      </c>
      <c r="CF376" t="str">
        <f>""</f>
        <v/>
      </c>
      <c r="CG376" t="str">
        <f>""</f>
        <v/>
      </c>
      <c r="CH376" t="str">
        <f>""</f>
        <v/>
      </c>
      <c r="CI376" t="str">
        <f>""</f>
        <v/>
      </c>
      <c r="CJ376" t="str">
        <f>""</f>
        <v/>
      </c>
      <c r="CK376" t="str">
        <f>""</f>
        <v/>
      </c>
      <c r="CL376" t="str">
        <f>""</f>
        <v/>
      </c>
      <c r="CM376" t="str">
        <f>""</f>
        <v/>
      </c>
      <c r="CN376" t="str">
        <f>""</f>
        <v/>
      </c>
      <c r="CO376" t="str">
        <f>""</f>
        <v/>
      </c>
      <c r="CP376" t="str">
        <f>""</f>
        <v/>
      </c>
      <c r="CQ376" t="str">
        <f>""</f>
        <v/>
      </c>
      <c r="CR376" t="str">
        <f>""</f>
        <v/>
      </c>
      <c r="CS376" t="str">
        <f>""</f>
        <v/>
      </c>
      <c r="CT376" t="str">
        <f>""</f>
        <v/>
      </c>
      <c r="CU376" t="str">
        <f>""</f>
        <v/>
      </c>
      <c r="CV376" t="str">
        <f>""</f>
        <v/>
      </c>
      <c r="CW376" t="str">
        <f>""</f>
        <v/>
      </c>
      <c r="CX376" t="str">
        <f>""</f>
        <v/>
      </c>
      <c r="CY376" t="str">
        <f>""</f>
        <v/>
      </c>
      <c r="CZ376" t="str">
        <f>""</f>
        <v/>
      </c>
      <c r="DA376" t="str">
        <f>""</f>
        <v/>
      </c>
      <c r="DB376" t="str">
        <f>""</f>
        <v/>
      </c>
      <c r="DC376" t="str">
        <f>""</f>
        <v/>
      </c>
      <c r="DD376" t="str">
        <f>""</f>
        <v/>
      </c>
      <c r="DE376" t="str">
        <f>""</f>
        <v/>
      </c>
      <c r="DF376" t="str">
        <f>""</f>
        <v/>
      </c>
      <c r="DG376" t="str">
        <f>""</f>
        <v/>
      </c>
      <c r="DH376" t="str">
        <f>""</f>
        <v/>
      </c>
      <c r="DI376" t="str">
        <f>""</f>
        <v/>
      </c>
      <c r="DJ376" t="str">
        <f>""</f>
        <v/>
      </c>
      <c r="DK376" t="str">
        <f>""</f>
        <v/>
      </c>
      <c r="DL376" t="str">
        <f>""</f>
        <v/>
      </c>
      <c r="DM376" t="str">
        <f>""</f>
        <v/>
      </c>
      <c r="DN376" t="str">
        <f>""</f>
        <v/>
      </c>
      <c r="DO376" t="str">
        <f>""</f>
        <v/>
      </c>
      <c r="DP376" t="str">
        <f>""</f>
        <v/>
      </c>
      <c r="DQ376" t="str">
        <f>""</f>
        <v/>
      </c>
      <c r="DR376" t="str">
        <f>""</f>
        <v/>
      </c>
      <c r="DS376" t="str">
        <f>""</f>
        <v/>
      </c>
      <c r="DT376" t="str">
        <f>""</f>
        <v/>
      </c>
      <c r="DU376" t="str">
        <f>""</f>
        <v/>
      </c>
    </row>
    <row r="377" spans="1:125">
      <c r="A377" t="str">
        <f>$A$172</f>
        <v xml:space="preserve">    Essex Property Trust Inc</v>
      </c>
      <c r="B377" t="str">
        <f>$B$172</f>
        <v>ESS US Equity</v>
      </c>
      <c r="C377" t="str">
        <f>$C$172</f>
        <v>RR147</v>
      </c>
      <c r="D377" t="str">
        <f>$D$172</f>
        <v>LT_DEBT_TO_TOT_ASSET</v>
      </c>
      <c r="E377" t="str">
        <f>$E$172</f>
        <v>动态</v>
      </c>
      <c r="F377" t="str">
        <f ca="1">BDH($B$172,$C$172,$B$224,$B$225,CONCATENATE("Per=",$B$222),"Dts=H","Dir=H",CONCATENATE("Points=",$B$223),"Sort=R","Days=A","Fill=B",CONCATENATE("FX=", $B$221) )</f>
        <v>#N/A Authorization</v>
      </c>
      <c r="BN377" t="str">
        <f>""</f>
        <v/>
      </c>
      <c r="BO377" t="str">
        <f>""</f>
        <v/>
      </c>
      <c r="BP377" t="str">
        <f>""</f>
        <v/>
      </c>
      <c r="BQ377" t="str">
        <f>""</f>
        <v/>
      </c>
      <c r="BR377" t="str">
        <f>""</f>
        <v/>
      </c>
      <c r="BS377" t="str">
        <f>""</f>
        <v/>
      </c>
      <c r="BT377" t="str">
        <f>""</f>
        <v/>
      </c>
      <c r="BU377" t="str">
        <f>""</f>
        <v/>
      </c>
      <c r="BV377" t="str">
        <f>""</f>
        <v/>
      </c>
      <c r="BW377" t="str">
        <f>""</f>
        <v/>
      </c>
      <c r="BX377" t="str">
        <f>""</f>
        <v/>
      </c>
      <c r="BY377" t="str">
        <f>""</f>
        <v/>
      </c>
      <c r="BZ377" t="str">
        <f>""</f>
        <v/>
      </c>
      <c r="CA377" t="str">
        <f>""</f>
        <v/>
      </c>
      <c r="CB377" t="str">
        <f>""</f>
        <v/>
      </c>
      <c r="CC377" t="str">
        <f>""</f>
        <v/>
      </c>
      <c r="CD377" t="str">
        <f>""</f>
        <v/>
      </c>
      <c r="CE377" t="str">
        <f>""</f>
        <v/>
      </c>
      <c r="CF377" t="str">
        <f>""</f>
        <v/>
      </c>
      <c r="CG377" t="str">
        <f>""</f>
        <v/>
      </c>
      <c r="CH377" t="str">
        <f>""</f>
        <v/>
      </c>
      <c r="CI377" t="str">
        <f>""</f>
        <v/>
      </c>
      <c r="CJ377" t="str">
        <f>""</f>
        <v/>
      </c>
      <c r="CK377" t="str">
        <f>""</f>
        <v/>
      </c>
      <c r="CL377" t="str">
        <f>""</f>
        <v/>
      </c>
      <c r="CM377" t="str">
        <f>""</f>
        <v/>
      </c>
      <c r="CN377" t="str">
        <f>""</f>
        <v/>
      </c>
      <c r="CO377" t="str">
        <f>""</f>
        <v/>
      </c>
      <c r="CP377" t="str">
        <f>""</f>
        <v/>
      </c>
      <c r="CQ377" t="str">
        <f>""</f>
        <v/>
      </c>
      <c r="CR377" t="str">
        <f>""</f>
        <v/>
      </c>
      <c r="CS377" t="str">
        <f>""</f>
        <v/>
      </c>
      <c r="CT377" t="str">
        <f>""</f>
        <v/>
      </c>
      <c r="CU377" t="str">
        <f>""</f>
        <v/>
      </c>
      <c r="CV377" t="str">
        <f>""</f>
        <v/>
      </c>
      <c r="CW377" t="str">
        <f>""</f>
        <v/>
      </c>
      <c r="CX377" t="str">
        <f>""</f>
        <v/>
      </c>
      <c r="CY377" t="str">
        <f>""</f>
        <v/>
      </c>
      <c r="CZ377" t="str">
        <f>""</f>
        <v/>
      </c>
      <c r="DA377" t="str">
        <f>""</f>
        <v/>
      </c>
      <c r="DB377" t="str">
        <f>""</f>
        <v/>
      </c>
      <c r="DC377" t="str">
        <f>""</f>
        <v/>
      </c>
      <c r="DD377" t="str">
        <f>""</f>
        <v/>
      </c>
      <c r="DE377" t="str">
        <f>""</f>
        <v/>
      </c>
      <c r="DF377" t="str">
        <f>""</f>
        <v/>
      </c>
      <c r="DG377" t="str">
        <f>""</f>
        <v/>
      </c>
      <c r="DH377" t="str">
        <f>""</f>
        <v/>
      </c>
      <c r="DI377" t="str">
        <f>""</f>
        <v/>
      </c>
      <c r="DJ377" t="str">
        <f>""</f>
        <v/>
      </c>
      <c r="DK377" t="str">
        <f>""</f>
        <v/>
      </c>
      <c r="DL377" t="str">
        <f>""</f>
        <v/>
      </c>
      <c r="DM377" t="str">
        <f>""</f>
        <v/>
      </c>
      <c r="DN377" t="str">
        <f>""</f>
        <v/>
      </c>
      <c r="DO377" t="str">
        <f>""</f>
        <v/>
      </c>
      <c r="DP377" t="str">
        <f>""</f>
        <v/>
      </c>
      <c r="DQ377" t="str">
        <f>""</f>
        <v/>
      </c>
      <c r="DR377" t="str">
        <f>""</f>
        <v/>
      </c>
      <c r="DS377" t="str">
        <f>""</f>
        <v/>
      </c>
      <c r="DT377" t="str">
        <f>""</f>
        <v/>
      </c>
      <c r="DU377" t="str">
        <f>""</f>
        <v/>
      </c>
    </row>
    <row r="378" spans="1:125">
      <c r="A378" t="str">
        <f>$A$173</f>
        <v xml:space="preserve">    Mid-America Apartment Communit</v>
      </c>
      <c r="B378" t="str">
        <f>$B$173</f>
        <v>MAA US Equity</v>
      </c>
      <c r="C378" t="str">
        <f>$C$173</f>
        <v>RR147</v>
      </c>
      <c r="D378" t="str">
        <f>$D$173</f>
        <v>LT_DEBT_TO_TOT_ASSET</v>
      </c>
      <c r="E378" t="str">
        <f>$E$173</f>
        <v>动态</v>
      </c>
      <c r="F378" t="str">
        <f ca="1">BDH($B$173,$C$173,$B$224,$B$225,CONCATENATE("Per=",$B$222),"Dts=H","Dir=H",CONCATENATE("Points=",$B$223),"Sort=R","Days=A","Fill=B",CONCATENATE("FX=", $B$221) )</f>
        <v>#N/A Authorization</v>
      </c>
      <c r="BN378" t="str">
        <f>""</f>
        <v/>
      </c>
      <c r="BO378" t="str">
        <f>""</f>
        <v/>
      </c>
      <c r="BP378" t="str">
        <f>""</f>
        <v/>
      </c>
      <c r="BQ378" t="str">
        <f>""</f>
        <v/>
      </c>
      <c r="BR378" t="str">
        <f>""</f>
        <v/>
      </c>
      <c r="BS378" t="str">
        <f>""</f>
        <v/>
      </c>
      <c r="BT378" t="str">
        <f>""</f>
        <v/>
      </c>
      <c r="BU378" t="str">
        <f>""</f>
        <v/>
      </c>
      <c r="BV378" t="str">
        <f>""</f>
        <v/>
      </c>
      <c r="BW378" t="str">
        <f>""</f>
        <v/>
      </c>
      <c r="BX378" t="str">
        <f>""</f>
        <v/>
      </c>
      <c r="BY378" t="str">
        <f>""</f>
        <v/>
      </c>
      <c r="BZ378" t="str">
        <f>""</f>
        <v/>
      </c>
      <c r="CA378" t="str">
        <f>""</f>
        <v/>
      </c>
      <c r="CB378" t="str">
        <f>""</f>
        <v/>
      </c>
      <c r="CC378" t="str">
        <f>""</f>
        <v/>
      </c>
      <c r="CD378" t="str">
        <f>""</f>
        <v/>
      </c>
      <c r="CE378" t="str">
        <f>""</f>
        <v/>
      </c>
      <c r="CF378" t="str">
        <f>""</f>
        <v/>
      </c>
      <c r="CG378" t="str">
        <f>""</f>
        <v/>
      </c>
      <c r="CH378" t="str">
        <f>""</f>
        <v/>
      </c>
      <c r="CI378" t="str">
        <f>""</f>
        <v/>
      </c>
      <c r="CJ378" t="str">
        <f>""</f>
        <v/>
      </c>
      <c r="CK378" t="str">
        <f>""</f>
        <v/>
      </c>
      <c r="CL378" t="str">
        <f>""</f>
        <v/>
      </c>
      <c r="CM378" t="str">
        <f>""</f>
        <v/>
      </c>
      <c r="CN378" t="str">
        <f>""</f>
        <v/>
      </c>
      <c r="CO378" t="str">
        <f>""</f>
        <v/>
      </c>
      <c r="CP378" t="str">
        <f>""</f>
        <v/>
      </c>
      <c r="CQ378" t="str">
        <f>""</f>
        <v/>
      </c>
      <c r="CR378" t="str">
        <f>""</f>
        <v/>
      </c>
      <c r="CS378" t="str">
        <f>""</f>
        <v/>
      </c>
      <c r="CT378" t="str">
        <f>""</f>
        <v/>
      </c>
      <c r="CU378" t="str">
        <f>""</f>
        <v/>
      </c>
      <c r="CV378" t="str">
        <f>""</f>
        <v/>
      </c>
      <c r="CW378" t="str">
        <f>""</f>
        <v/>
      </c>
      <c r="CX378" t="str">
        <f>""</f>
        <v/>
      </c>
      <c r="CY378" t="str">
        <f>""</f>
        <v/>
      </c>
      <c r="CZ378" t="str">
        <f>""</f>
        <v/>
      </c>
      <c r="DA378" t="str">
        <f>""</f>
        <v/>
      </c>
      <c r="DB378" t="str">
        <f>""</f>
        <v/>
      </c>
      <c r="DC378" t="str">
        <f>""</f>
        <v/>
      </c>
      <c r="DD378" t="str">
        <f>""</f>
        <v/>
      </c>
      <c r="DE378" t="str">
        <f>""</f>
        <v/>
      </c>
      <c r="DF378" t="str">
        <f>""</f>
        <v/>
      </c>
      <c r="DG378" t="str">
        <f>""</f>
        <v/>
      </c>
      <c r="DH378" t="str">
        <f>""</f>
        <v/>
      </c>
      <c r="DI378" t="str">
        <f>""</f>
        <v/>
      </c>
      <c r="DJ378" t="str">
        <f>""</f>
        <v/>
      </c>
      <c r="DK378" t="str">
        <f>""</f>
        <v/>
      </c>
      <c r="DL378" t="str">
        <f>""</f>
        <v/>
      </c>
      <c r="DM378" t="str">
        <f>""</f>
        <v/>
      </c>
      <c r="DN378" t="str">
        <f>""</f>
        <v/>
      </c>
      <c r="DO378" t="str">
        <f>""</f>
        <v/>
      </c>
      <c r="DP378" t="str">
        <f>""</f>
        <v/>
      </c>
      <c r="DQ378" t="str">
        <f>""</f>
        <v/>
      </c>
      <c r="DR378" t="str">
        <f>""</f>
        <v/>
      </c>
      <c r="DS378" t="str">
        <f>""</f>
        <v/>
      </c>
      <c r="DT378" t="str">
        <f>""</f>
        <v/>
      </c>
      <c r="DU378" t="str">
        <f>""</f>
        <v/>
      </c>
    </row>
    <row r="379" spans="1:125">
      <c r="A379" t="str">
        <f>$A$174</f>
        <v xml:space="preserve">    UDR Inc</v>
      </c>
      <c r="B379" t="str">
        <f>$B$174</f>
        <v>UDR US Equity</v>
      </c>
      <c r="C379" t="str">
        <f>$C$174</f>
        <v>RR147</v>
      </c>
      <c r="D379" t="str">
        <f>$D$174</f>
        <v>LT_DEBT_TO_TOT_ASSET</v>
      </c>
      <c r="E379" t="str">
        <f>$E$174</f>
        <v>动态</v>
      </c>
      <c r="F379" t="str">
        <f ca="1">BDH($B$174,$C$174,$B$224,$B$225,CONCATENATE("Per=",$B$222),"Dts=H","Dir=H",CONCATENATE("Points=",$B$223),"Sort=R","Days=A","Fill=B",CONCATENATE("FX=", $B$221) )</f>
        <v>#N/A Authorization</v>
      </c>
      <c r="BN379" t="str">
        <f>""</f>
        <v/>
      </c>
      <c r="BO379" t="str">
        <f>""</f>
        <v/>
      </c>
      <c r="BP379" t="str">
        <f>""</f>
        <v/>
      </c>
      <c r="BQ379" t="str">
        <f>""</f>
        <v/>
      </c>
      <c r="BR379" t="str">
        <f>""</f>
        <v/>
      </c>
      <c r="BS379" t="str">
        <f>""</f>
        <v/>
      </c>
      <c r="BT379" t="str">
        <f>""</f>
        <v/>
      </c>
      <c r="BU379" t="str">
        <f>""</f>
        <v/>
      </c>
      <c r="BV379" t="str">
        <f>""</f>
        <v/>
      </c>
      <c r="BW379" t="str">
        <f>""</f>
        <v/>
      </c>
      <c r="BX379" t="str">
        <f>""</f>
        <v/>
      </c>
      <c r="BY379" t="str">
        <f>""</f>
        <v/>
      </c>
      <c r="BZ379" t="str">
        <f>""</f>
        <v/>
      </c>
      <c r="CA379" t="str">
        <f>""</f>
        <v/>
      </c>
      <c r="CB379" t="str">
        <f>""</f>
        <v/>
      </c>
      <c r="CC379" t="str">
        <f>""</f>
        <v/>
      </c>
      <c r="CD379" t="str">
        <f>""</f>
        <v/>
      </c>
      <c r="CE379" t="str">
        <f>""</f>
        <v/>
      </c>
      <c r="CF379" t="str">
        <f>""</f>
        <v/>
      </c>
      <c r="CG379" t="str">
        <f>""</f>
        <v/>
      </c>
      <c r="CH379" t="str">
        <f>""</f>
        <v/>
      </c>
      <c r="CI379" t="str">
        <f>""</f>
        <v/>
      </c>
      <c r="CJ379" t="str">
        <f>""</f>
        <v/>
      </c>
      <c r="CK379" t="str">
        <f>""</f>
        <v/>
      </c>
      <c r="CL379" t="str">
        <f>""</f>
        <v/>
      </c>
      <c r="CM379" t="str">
        <f>""</f>
        <v/>
      </c>
      <c r="CN379" t="str">
        <f>""</f>
        <v/>
      </c>
      <c r="CO379" t="str">
        <f>""</f>
        <v/>
      </c>
      <c r="CP379" t="str">
        <f>""</f>
        <v/>
      </c>
      <c r="CQ379" t="str">
        <f>""</f>
        <v/>
      </c>
      <c r="CR379" t="str">
        <f>""</f>
        <v/>
      </c>
      <c r="CS379" t="str">
        <f>""</f>
        <v/>
      </c>
      <c r="CT379" t="str">
        <f>""</f>
        <v/>
      </c>
      <c r="CU379" t="str">
        <f>""</f>
        <v/>
      </c>
      <c r="CV379" t="str">
        <f>""</f>
        <v/>
      </c>
      <c r="CW379" t="str">
        <f>""</f>
        <v/>
      </c>
      <c r="CX379" t="str">
        <f>""</f>
        <v/>
      </c>
      <c r="CY379" t="str">
        <f>""</f>
        <v/>
      </c>
      <c r="CZ379" t="str">
        <f>""</f>
        <v/>
      </c>
      <c r="DA379" t="str">
        <f>""</f>
        <v/>
      </c>
      <c r="DB379" t="str">
        <f>""</f>
        <v/>
      </c>
      <c r="DC379" t="str">
        <f>""</f>
        <v/>
      </c>
      <c r="DD379" t="str">
        <f>""</f>
        <v/>
      </c>
      <c r="DE379" t="str">
        <f>""</f>
        <v/>
      </c>
      <c r="DF379" t="str">
        <f>""</f>
        <v/>
      </c>
      <c r="DG379" t="str">
        <f>""</f>
        <v/>
      </c>
      <c r="DH379" t="str">
        <f>""</f>
        <v/>
      </c>
      <c r="DI379" t="str">
        <f>""</f>
        <v/>
      </c>
      <c r="DJ379" t="str">
        <f>""</f>
        <v/>
      </c>
      <c r="DK379" t="str">
        <f>""</f>
        <v/>
      </c>
      <c r="DL379" t="str">
        <f>""</f>
        <v/>
      </c>
      <c r="DM379" t="str">
        <f>""</f>
        <v/>
      </c>
      <c r="DN379" t="str">
        <f>""</f>
        <v/>
      </c>
      <c r="DO379" t="str">
        <f>""</f>
        <v/>
      </c>
      <c r="DP379" t="str">
        <f>""</f>
        <v/>
      </c>
      <c r="DQ379" t="str">
        <f>""</f>
        <v/>
      </c>
      <c r="DR379" t="str">
        <f>""</f>
        <v/>
      </c>
      <c r="DS379" t="str">
        <f>""</f>
        <v/>
      </c>
      <c r="DT379" t="str">
        <f>""</f>
        <v/>
      </c>
      <c r="DU379" t="str">
        <f>""</f>
        <v/>
      </c>
    </row>
    <row r="380" spans="1:125">
      <c r="A380" t="str">
        <f>$A$176</f>
        <v xml:space="preserve">    American Campus Communities In</v>
      </c>
      <c r="B380" t="str">
        <f>$B$176</f>
        <v>ACC US Equity</v>
      </c>
      <c r="C380" t="str">
        <f>$C$176</f>
        <v>RR263</v>
      </c>
      <c r="D380" t="str">
        <f>$D$176</f>
        <v>DEBT_TO_MKT_CAP</v>
      </c>
      <c r="E380" t="str">
        <f>$E$176</f>
        <v>动态</v>
      </c>
      <c r="F380" t="str">
        <f ca="1">BDH($B$176,$C$176,$B$224,$B$225,CONCATENATE("Per=",$B$222),"Dts=H","Dir=H",CONCATENATE("Points=",$B$223),"Sort=R","Days=A","Fill=B",CONCATENATE("FX=", $B$221) )</f>
        <v>#N/A Authorization</v>
      </c>
      <c r="BN380" t="str">
        <f>""</f>
        <v/>
      </c>
      <c r="BO380" t="str">
        <f>""</f>
        <v/>
      </c>
      <c r="BP380" t="str">
        <f>""</f>
        <v/>
      </c>
      <c r="BQ380" t="str">
        <f>""</f>
        <v/>
      </c>
      <c r="BR380" t="str">
        <f>""</f>
        <v/>
      </c>
      <c r="BS380" t="str">
        <f>""</f>
        <v/>
      </c>
      <c r="BT380" t="str">
        <f>""</f>
        <v/>
      </c>
      <c r="BU380" t="str">
        <f>""</f>
        <v/>
      </c>
      <c r="BV380" t="str">
        <f>""</f>
        <v/>
      </c>
      <c r="BW380" t="str">
        <f>""</f>
        <v/>
      </c>
      <c r="BX380" t="str">
        <f>""</f>
        <v/>
      </c>
      <c r="BY380" t="str">
        <f>""</f>
        <v/>
      </c>
      <c r="BZ380" t="str">
        <f>""</f>
        <v/>
      </c>
      <c r="CA380" t="str">
        <f>""</f>
        <v/>
      </c>
      <c r="CB380" t="str">
        <f>""</f>
        <v/>
      </c>
      <c r="CC380" t="str">
        <f>""</f>
        <v/>
      </c>
      <c r="CD380" t="str">
        <f>""</f>
        <v/>
      </c>
      <c r="CE380" t="str">
        <f>""</f>
        <v/>
      </c>
      <c r="CF380" t="str">
        <f>""</f>
        <v/>
      </c>
      <c r="CG380" t="str">
        <f>""</f>
        <v/>
      </c>
      <c r="CH380" t="str">
        <f>""</f>
        <v/>
      </c>
      <c r="CI380" t="str">
        <f>""</f>
        <v/>
      </c>
      <c r="CJ380" t="str">
        <f>""</f>
        <v/>
      </c>
      <c r="CK380" t="str">
        <f>""</f>
        <v/>
      </c>
      <c r="CL380" t="str">
        <f>""</f>
        <v/>
      </c>
      <c r="CM380" t="str">
        <f>""</f>
        <v/>
      </c>
      <c r="CN380" t="str">
        <f>""</f>
        <v/>
      </c>
      <c r="CO380" t="str">
        <f>""</f>
        <v/>
      </c>
      <c r="CP380" t="str">
        <f>""</f>
        <v/>
      </c>
      <c r="CQ380" t="str">
        <f>""</f>
        <v/>
      </c>
      <c r="CR380" t="str">
        <f>""</f>
        <v/>
      </c>
      <c r="CS380" t="str">
        <f>""</f>
        <v/>
      </c>
      <c r="CT380" t="str">
        <f>""</f>
        <v/>
      </c>
      <c r="CU380" t="str">
        <f>""</f>
        <v/>
      </c>
      <c r="CV380" t="str">
        <f>""</f>
        <v/>
      </c>
      <c r="CW380" t="str">
        <f>""</f>
        <v/>
      </c>
      <c r="CX380" t="str">
        <f>""</f>
        <v/>
      </c>
      <c r="CY380" t="str">
        <f>""</f>
        <v/>
      </c>
      <c r="CZ380" t="str">
        <f>""</f>
        <v/>
      </c>
      <c r="DA380" t="str">
        <f>""</f>
        <v/>
      </c>
      <c r="DB380" t="str">
        <f>""</f>
        <v/>
      </c>
      <c r="DC380" t="str">
        <f>""</f>
        <v/>
      </c>
      <c r="DD380" t="str">
        <f>""</f>
        <v/>
      </c>
      <c r="DE380" t="str">
        <f>""</f>
        <v/>
      </c>
      <c r="DF380" t="str">
        <f>""</f>
        <v/>
      </c>
      <c r="DG380" t="str">
        <f>""</f>
        <v/>
      </c>
      <c r="DH380" t="str">
        <f>""</f>
        <v/>
      </c>
      <c r="DI380" t="str">
        <f>""</f>
        <v/>
      </c>
      <c r="DJ380" t="str">
        <f>""</f>
        <v/>
      </c>
      <c r="DK380" t="str">
        <f>""</f>
        <v/>
      </c>
      <c r="DL380" t="str">
        <f>""</f>
        <v/>
      </c>
      <c r="DM380" t="str">
        <f>""</f>
        <v/>
      </c>
      <c r="DN380" t="str">
        <f>""</f>
        <v/>
      </c>
      <c r="DO380" t="str">
        <f>""</f>
        <v/>
      </c>
      <c r="DP380" t="str">
        <f>""</f>
        <v/>
      </c>
      <c r="DQ380" t="str">
        <f>""</f>
        <v/>
      </c>
      <c r="DR380" t="str">
        <f>""</f>
        <v/>
      </c>
      <c r="DS380" t="str">
        <f>""</f>
        <v/>
      </c>
      <c r="DT380" t="str">
        <f>""</f>
        <v/>
      </c>
      <c r="DU380" t="str">
        <f>""</f>
        <v/>
      </c>
    </row>
    <row r="381" spans="1:125">
      <c r="A381" t="str">
        <f>$A$177</f>
        <v xml:space="preserve">    AvalonBay Communities Inc</v>
      </c>
      <c r="B381" t="str">
        <f>$B$177</f>
        <v>AVB US Equity</v>
      </c>
      <c r="C381" t="str">
        <f>$C$177</f>
        <v>RR263</v>
      </c>
      <c r="D381" t="str">
        <f>$D$177</f>
        <v>DEBT_TO_MKT_CAP</v>
      </c>
      <c r="E381" t="str">
        <f>$E$177</f>
        <v>动态</v>
      </c>
      <c r="F381" t="str">
        <f ca="1">BDH($B$177,$C$177,$B$224,$B$225,CONCATENATE("Per=",$B$222),"Dts=H","Dir=H",CONCATENATE("Points=",$B$223),"Sort=R","Days=A","Fill=B",CONCATENATE("FX=", $B$221) )</f>
        <v>#N/A Authorization</v>
      </c>
      <c r="BN381" t="str">
        <f>""</f>
        <v/>
      </c>
      <c r="BO381" t="str">
        <f>""</f>
        <v/>
      </c>
      <c r="BP381" t="str">
        <f>""</f>
        <v/>
      </c>
      <c r="BQ381" t="str">
        <f>""</f>
        <v/>
      </c>
      <c r="BR381" t="str">
        <f>""</f>
        <v/>
      </c>
      <c r="BS381" t="str">
        <f>""</f>
        <v/>
      </c>
      <c r="BT381" t="str">
        <f>""</f>
        <v/>
      </c>
      <c r="BU381" t="str">
        <f>""</f>
        <v/>
      </c>
      <c r="BV381" t="str">
        <f>""</f>
        <v/>
      </c>
      <c r="BW381" t="str">
        <f>""</f>
        <v/>
      </c>
      <c r="BX381" t="str">
        <f>""</f>
        <v/>
      </c>
      <c r="BY381" t="str">
        <f>""</f>
        <v/>
      </c>
      <c r="BZ381" t="str">
        <f>""</f>
        <v/>
      </c>
      <c r="CA381" t="str">
        <f>""</f>
        <v/>
      </c>
      <c r="CB381" t="str">
        <f>""</f>
        <v/>
      </c>
      <c r="CC381" t="str">
        <f>""</f>
        <v/>
      </c>
      <c r="CD381" t="str">
        <f>""</f>
        <v/>
      </c>
      <c r="CE381" t="str">
        <f>""</f>
        <v/>
      </c>
      <c r="CF381" t="str">
        <f>""</f>
        <v/>
      </c>
      <c r="CG381" t="str">
        <f>""</f>
        <v/>
      </c>
      <c r="CH381" t="str">
        <f>""</f>
        <v/>
      </c>
      <c r="CI381" t="str">
        <f>""</f>
        <v/>
      </c>
      <c r="CJ381" t="str">
        <f>""</f>
        <v/>
      </c>
      <c r="CK381" t="str">
        <f>""</f>
        <v/>
      </c>
      <c r="CL381" t="str">
        <f>""</f>
        <v/>
      </c>
      <c r="CM381" t="str">
        <f>""</f>
        <v/>
      </c>
      <c r="CN381" t="str">
        <f>""</f>
        <v/>
      </c>
      <c r="CO381" t="str">
        <f>""</f>
        <v/>
      </c>
      <c r="CP381" t="str">
        <f>""</f>
        <v/>
      </c>
      <c r="CQ381" t="str">
        <f>""</f>
        <v/>
      </c>
      <c r="CR381" t="str">
        <f>""</f>
        <v/>
      </c>
      <c r="CS381" t="str">
        <f>""</f>
        <v/>
      </c>
      <c r="CT381" t="str">
        <f>""</f>
        <v/>
      </c>
      <c r="CU381" t="str">
        <f>""</f>
        <v/>
      </c>
      <c r="CV381" t="str">
        <f>""</f>
        <v/>
      </c>
      <c r="CW381" t="str">
        <f>""</f>
        <v/>
      </c>
      <c r="CX381" t="str">
        <f>""</f>
        <v/>
      </c>
      <c r="CY381" t="str">
        <f>""</f>
        <v/>
      </c>
      <c r="CZ381" t="str">
        <f>""</f>
        <v/>
      </c>
      <c r="DA381" t="str">
        <f>""</f>
        <v/>
      </c>
      <c r="DB381" t="str">
        <f>""</f>
        <v/>
      </c>
      <c r="DC381" t="str">
        <f>""</f>
        <v/>
      </c>
      <c r="DD381" t="str">
        <f>""</f>
        <v/>
      </c>
      <c r="DE381" t="str">
        <f>""</f>
        <v/>
      </c>
      <c r="DF381" t="str">
        <f>""</f>
        <v/>
      </c>
      <c r="DG381" t="str">
        <f>""</f>
        <v/>
      </c>
      <c r="DH381" t="str">
        <f>""</f>
        <v/>
      </c>
      <c r="DI381" t="str">
        <f>""</f>
        <v/>
      </c>
      <c r="DJ381" t="str">
        <f>""</f>
        <v/>
      </c>
      <c r="DK381" t="str">
        <f>""</f>
        <v/>
      </c>
      <c r="DL381" t="str">
        <f>""</f>
        <v/>
      </c>
      <c r="DM381" t="str">
        <f>""</f>
        <v/>
      </c>
      <c r="DN381" t="str">
        <f>""</f>
        <v/>
      </c>
      <c r="DO381" t="str">
        <f>""</f>
        <v/>
      </c>
      <c r="DP381" t="str">
        <f>""</f>
        <v/>
      </c>
      <c r="DQ381" t="str">
        <f>""</f>
        <v/>
      </c>
      <c r="DR381" t="str">
        <f>""</f>
        <v/>
      </c>
      <c r="DS381" t="str">
        <f>""</f>
        <v/>
      </c>
      <c r="DT381" t="str">
        <f>""</f>
        <v/>
      </c>
      <c r="DU381" t="str">
        <f>""</f>
        <v/>
      </c>
    </row>
    <row r="382" spans="1:125">
      <c r="A382" t="str">
        <f>$A$178</f>
        <v xml:space="preserve">    Camden Property Trust</v>
      </c>
      <c r="B382" t="str">
        <f>$B$178</f>
        <v>CPT US Equity</v>
      </c>
      <c r="C382" t="str">
        <f>$C$178</f>
        <v>RR263</v>
      </c>
      <c r="D382" t="str">
        <f>$D$178</f>
        <v>DEBT_TO_MKT_CAP</v>
      </c>
      <c r="E382" t="str">
        <f>$E$178</f>
        <v>动态</v>
      </c>
      <c r="F382" t="str">
        <f ca="1">BDH($B$178,$C$178,$B$224,$B$225,CONCATENATE("Per=",$B$222),"Dts=H","Dir=H",CONCATENATE("Points=",$B$223),"Sort=R","Days=A","Fill=B",CONCATENATE("FX=", $B$221) )</f>
        <v>#N/A Authorization</v>
      </c>
      <c r="BN382" t="str">
        <f>""</f>
        <v/>
      </c>
      <c r="BO382" t="str">
        <f>""</f>
        <v/>
      </c>
      <c r="BP382" t="str">
        <f>""</f>
        <v/>
      </c>
      <c r="BQ382" t="str">
        <f>""</f>
        <v/>
      </c>
      <c r="BR382" t="str">
        <f>""</f>
        <v/>
      </c>
      <c r="BS382" t="str">
        <f>""</f>
        <v/>
      </c>
      <c r="BT382" t="str">
        <f>""</f>
        <v/>
      </c>
      <c r="BU382" t="str">
        <f>""</f>
        <v/>
      </c>
      <c r="BV382" t="str">
        <f>""</f>
        <v/>
      </c>
      <c r="BW382" t="str">
        <f>""</f>
        <v/>
      </c>
      <c r="BX382" t="str">
        <f>""</f>
        <v/>
      </c>
      <c r="BY382" t="str">
        <f>""</f>
        <v/>
      </c>
      <c r="BZ382" t="str">
        <f>""</f>
        <v/>
      </c>
      <c r="CA382" t="str">
        <f>""</f>
        <v/>
      </c>
      <c r="CB382" t="str">
        <f>""</f>
        <v/>
      </c>
      <c r="CC382" t="str">
        <f>""</f>
        <v/>
      </c>
      <c r="CD382" t="str">
        <f>""</f>
        <v/>
      </c>
      <c r="CE382" t="str">
        <f>""</f>
        <v/>
      </c>
      <c r="CF382" t="str">
        <f>""</f>
        <v/>
      </c>
      <c r="CG382" t="str">
        <f>""</f>
        <v/>
      </c>
      <c r="CH382" t="str">
        <f>""</f>
        <v/>
      </c>
      <c r="CI382" t="str">
        <f>""</f>
        <v/>
      </c>
      <c r="CJ382" t="str">
        <f>""</f>
        <v/>
      </c>
      <c r="CK382" t="str">
        <f>""</f>
        <v/>
      </c>
      <c r="CL382" t="str">
        <f>""</f>
        <v/>
      </c>
      <c r="CM382" t="str">
        <f>""</f>
        <v/>
      </c>
      <c r="CN382" t="str">
        <f>""</f>
        <v/>
      </c>
      <c r="CO382" t="str">
        <f>""</f>
        <v/>
      </c>
      <c r="CP382" t="str">
        <f>""</f>
        <v/>
      </c>
      <c r="CQ382" t="str">
        <f>""</f>
        <v/>
      </c>
      <c r="CR382" t="str">
        <f>""</f>
        <v/>
      </c>
      <c r="CS382" t="str">
        <f>""</f>
        <v/>
      </c>
      <c r="CT382" t="str">
        <f>""</f>
        <v/>
      </c>
      <c r="CU382" t="str">
        <f>""</f>
        <v/>
      </c>
      <c r="CV382" t="str">
        <f>""</f>
        <v/>
      </c>
      <c r="CW382" t="str">
        <f>""</f>
        <v/>
      </c>
      <c r="CX382" t="str">
        <f>""</f>
        <v/>
      </c>
      <c r="CY382" t="str">
        <f>""</f>
        <v/>
      </c>
      <c r="CZ382" t="str">
        <f>""</f>
        <v/>
      </c>
      <c r="DA382" t="str">
        <f>""</f>
        <v/>
      </c>
      <c r="DB382" t="str">
        <f>""</f>
        <v/>
      </c>
      <c r="DC382" t="str">
        <f>""</f>
        <v/>
      </c>
      <c r="DD382" t="str">
        <f>""</f>
        <v/>
      </c>
      <c r="DE382" t="str">
        <f>""</f>
        <v/>
      </c>
      <c r="DF382" t="str">
        <f>""</f>
        <v/>
      </c>
      <c r="DG382" t="str">
        <f>""</f>
        <v/>
      </c>
      <c r="DH382" t="str">
        <f>""</f>
        <v/>
      </c>
      <c r="DI382" t="str">
        <f>""</f>
        <v/>
      </c>
      <c r="DJ382" t="str">
        <f>""</f>
        <v/>
      </c>
      <c r="DK382" t="str">
        <f>""</f>
        <v/>
      </c>
      <c r="DL382" t="str">
        <f>""</f>
        <v/>
      </c>
      <c r="DM382" t="str">
        <f>""</f>
        <v/>
      </c>
      <c r="DN382" t="str">
        <f>""</f>
        <v/>
      </c>
      <c r="DO382" t="str">
        <f>""</f>
        <v/>
      </c>
      <c r="DP382" t="str">
        <f>""</f>
        <v/>
      </c>
      <c r="DQ382" t="str">
        <f>""</f>
        <v/>
      </c>
      <c r="DR382" t="str">
        <f>""</f>
        <v/>
      </c>
      <c r="DS382" t="str">
        <f>""</f>
        <v/>
      </c>
      <c r="DT382" t="str">
        <f>""</f>
        <v/>
      </c>
      <c r="DU382" t="str">
        <f>""</f>
        <v/>
      </c>
    </row>
    <row r="383" spans="1:125">
      <c r="A383" t="str">
        <f>$A$179</f>
        <v xml:space="preserve">    Education Realty Trust Inc</v>
      </c>
      <c r="B383" t="str">
        <f>$B$179</f>
        <v>EDR US Equity</v>
      </c>
      <c r="C383" t="str">
        <f>$C$179</f>
        <v>RR263</v>
      </c>
      <c r="D383" t="str">
        <f>$D$179</f>
        <v>DEBT_TO_MKT_CAP</v>
      </c>
      <c r="E383" t="str">
        <f>$E$179</f>
        <v>动态</v>
      </c>
      <c r="F383" t="str">
        <f ca="1">BDH($B$179,$C$179,$B$224,$B$225,CONCATENATE("Per=",$B$222),"Dts=H","Dir=H",CONCATENATE("Points=",$B$223),"Sort=R","Days=A","Fill=B",CONCATENATE("FX=", $B$221) )</f>
        <v>#N/A Authorization</v>
      </c>
      <c r="BN383" t="str">
        <f>""</f>
        <v/>
      </c>
      <c r="BO383" t="str">
        <f>""</f>
        <v/>
      </c>
      <c r="BP383" t="str">
        <f>""</f>
        <v/>
      </c>
      <c r="BQ383" t="str">
        <f>""</f>
        <v/>
      </c>
      <c r="BR383" t="str">
        <f>""</f>
        <v/>
      </c>
      <c r="BS383" t="str">
        <f>""</f>
        <v/>
      </c>
      <c r="BT383" t="str">
        <f>""</f>
        <v/>
      </c>
      <c r="BU383" t="str">
        <f>""</f>
        <v/>
      </c>
      <c r="BV383" t="str">
        <f>""</f>
        <v/>
      </c>
      <c r="BW383" t="str">
        <f>""</f>
        <v/>
      </c>
      <c r="BX383" t="str">
        <f>""</f>
        <v/>
      </c>
      <c r="BY383" t="str">
        <f>""</f>
        <v/>
      </c>
      <c r="BZ383" t="str">
        <f>""</f>
        <v/>
      </c>
      <c r="CA383" t="str">
        <f>""</f>
        <v/>
      </c>
      <c r="CB383" t="str">
        <f>""</f>
        <v/>
      </c>
      <c r="CC383" t="str">
        <f>""</f>
        <v/>
      </c>
      <c r="CD383" t="str">
        <f>""</f>
        <v/>
      </c>
      <c r="CE383" t="str">
        <f>""</f>
        <v/>
      </c>
      <c r="CF383" t="str">
        <f>""</f>
        <v/>
      </c>
      <c r="CG383" t="str">
        <f>""</f>
        <v/>
      </c>
      <c r="CH383" t="str">
        <f>""</f>
        <v/>
      </c>
      <c r="CI383" t="str">
        <f>""</f>
        <v/>
      </c>
      <c r="CJ383" t="str">
        <f>""</f>
        <v/>
      </c>
      <c r="CK383" t="str">
        <f>""</f>
        <v/>
      </c>
      <c r="CL383" t="str">
        <f>""</f>
        <v/>
      </c>
      <c r="CM383" t="str">
        <f>""</f>
        <v/>
      </c>
      <c r="CN383" t="str">
        <f>""</f>
        <v/>
      </c>
      <c r="CO383" t="str">
        <f>""</f>
        <v/>
      </c>
      <c r="CP383" t="str">
        <f>""</f>
        <v/>
      </c>
      <c r="CQ383" t="str">
        <f>""</f>
        <v/>
      </c>
      <c r="CR383" t="str">
        <f>""</f>
        <v/>
      </c>
      <c r="CS383" t="str">
        <f>""</f>
        <v/>
      </c>
      <c r="CT383" t="str">
        <f>""</f>
        <v/>
      </c>
      <c r="CU383" t="str">
        <f>""</f>
        <v/>
      </c>
      <c r="CV383" t="str">
        <f>""</f>
        <v/>
      </c>
      <c r="CW383" t="str">
        <f>""</f>
        <v/>
      </c>
      <c r="CX383" t="str">
        <f>""</f>
        <v/>
      </c>
      <c r="CY383" t="str">
        <f>""</f>
        <v/>
      </c>
      <c r="CZ383" t="str">
        <f>""</f>
        <v/>
      </c>
      <c r="DA383" t="str">
        <f>""</f>
        <v/>
      </c>
      <c r="DB383" t="str">
        <f>""</f>
        <v/>
      </c>
      <c r="DC383" t="str">
        <f>""</f>
        <v/>
      </c>
      <c r="DD383" t="str">
        <f>""</f>
        <v/>
      </c>
      <c r="DE383" t="str">
        <f>""</f>
        <v/>
      </c>
      <c r="DF383" t="str">
        <f>""</f>
        <v/>
      </c>
      <c r="DG383" t="str">
        <f>""</f>
        <v/>
      </c>
      <c r="DH383" t="str">
        <f>""</f>
        <v/>
      </c>
      <c r="DI383" t="str">
        <f>""</f>
        <v/>
      </c>
      <c r="DJ383" t="str">
        <f>""</f>
        <v/>
      </c>
      <c r="DK383" t="str">
        <f>""</f>
        <v/>
      </c>
      <c r="DL383" t="str">
        <f>""</f>
        <v/>
      </c>
      <c r="DM383" t="str">
        <f>""</f>
        <v/>
      </c>
      <c r="DN383" t="str">
        <f>""</f>
        <v/>
      </c>
      <c r="DO383" t="str">
        <f>""</f>
        <v/>
      </c>
      <c r="DP383" t="str">
        <f>""</f>
        <v/>
      </c>
      <c r="DQ383" t="str">
        <f>""</f>
        <v/>
      </c>
      <c r="DR383" t="str">
        <f>""</f>
        <v/>
      </c>
      <c r="DS383" t="str">
        <f>""</f>
        <v/>
      </c>
      <c r="DT383" t="str">
        <f>""</f>
        <v/>
      </c>
      <c r="DU383" t="str">
        <f>""</f>
        <v/>
      </c>
    </row>
    <row r="384" spans="1:125">
      <c r="A384" t="str">
        <f>$A$180</f>
        <v xml:space="preserve">    Equity Residential</v>
      </c>
      <c r="B384" t="str">
        <f>$B$180</f>
        <v>EQR US Equity</v>
      </c>
      <c r="C384" t="str">
        <f>$C$180</f>
        <v>RR263</v>
      </c>
      <c r="D384" t="str">
        <f>$D$180</f>
        <v>DEBT_TO_MKT_CAP</v>
      </c>
      <c r="E384" t="str">
        <f>$E$180</f>
        <v>动态</v>
      </c>
      <c r="F384" t="str">
        <f ca="1">BDH($B$180,$C$180,$B$224,$B$225,CONCATENATE("Per=",$B$222),"Dts=H","Dir=H",CONCATENATE("Points=",$B$223),"Sort=R","Days=A","Fill=B",CONCATENATE("FX=", $B$221) )</f>
        <v>#N/A Authorization</v>
      </c>
      <c r="BN384" t="str">
        <f>""</f>
        <v/>
      </c>
      <c r="BO384" t="str">
        <f>""</f>
        <v/>
      </c>
      <c r="BP384" t="str">
        <f>""</f>
        <v/>
      </c>
      <c r="BQ384" t="str">
        <f>""</f>
        <v/>
      </c>
      <c r="BR384" t="str">
        <f>""</f>
        <v/>
      </c>
      <c r="BS384" t="str">
        <f>""</f>
        <v/>
      </c>
      <c r="BT384" t="str">
        <f>""</f>
        <v/>
      </c>
      <c r="BU384" t="str">
        <f>""</f>
        <v/>
      </c>
      <c r="BV384" t="str">
        <f>""</f>
        <v/>
      </c>
      <c r="BW384" t="str">
        <f>""</f>
        <v/>
      </c>
      <c r="BX384" t="str">
        <f>""</f>
        <v/>
      </c>
      <c r="BY384" t="str">
        <f>""</f>
        <v/>
      </c>
      <c r="BZ384" t="str">
        <f>""</f>
        <v/>
      </c>
      <c r="CA384" t="str">
        <f>""</f>
        <v/>
      </c>
      <c r="CB384" t="str">
        <f>""</f>
        <v/>
      </c>
      <c r="CC384" t="str">
        <f>""</f>
        <v/>
      </c>
      <c r="CD384" t="str">
        <f>""</f>
        <v/>
      </c>
      <c r="CE384" t="str">
        <f>""</f>
        <v/>
      </c>
      <c r="CF384" t="str">
        <f>""</f>
        <v/>
      </c>
      <c r="CG384" t="str">
        <f>""</f>
        <v/>
      </c>
      <c r="CH384" t="str">
        <f>""</f>
        <v/>
      </c>
      <c r="CI384" t="str">
        <f>""</f>
        <v/>
      </c>
      <c r="CJ384" t="str">
        <f>""</f>
        <v/>
      </c>
      <c r="CK384" t="str">
        <f>""</f>
        <v/>
      </c>
      <c r="CL384" t="str">
        <f>""</f>
        <v/>
      </c>
      <c r="CM384" t="str">
        <f>""</f>
        <v/>
      </c>
      <c r="CN384" t="str">
        <f>""</f>
        <v/>
      </c>
      <c r="CO384" t="str">
        <f>""</f>
        <v/>
      </c>
      <c r="CP384" t="str">
        <f>""</f>
        <v/>
      </c>
      <c r="CQ384" t="str">
        <f>""</f>
        <v/>
      </c>
      <c r="CR384" t="str">
        <f>""</f>
        <v/>
      </c>
      <c r="CS384" t="str">
        <f>""</f>
        <v/>
      </c>
      <c r="CT384" t="str">
        <f>""</f>
        <v/>
      </c>
      <c r="CU384" t="str">
        <f>""</f>
        <v/>
      </c>
      <c r="CV384" t="str">
        <f>""</f>
        <v/>
      </c>
      <c r="CW384" t="str">
        <f>""</f>
        <v/>
      </c>
      <c r="CX384" t="str">
        <f>""</f>
        <v/>
      </c>
      <c r="CY384" t="str">
        <f>""</f>
        <v/>
      </c>
      <c r="CZ384" t="str">
        <f>""</f>
        <v/>
      </c>
      <c r="DA384" t="str">
        <f>""</f>
        <v/>
      </c>
      <c r="DB384" t="str">
        <f>""</f>
        <v/>
      </c>
      <c r="DC384" t="str">
        <f>""</f>
        <v/>
      </c>
      <c r="DD384" t="str">
        <f>""</f>
        <v/>
      </c>
      <c r="DE384" t="str">
        <f>""</f>
        <v/>
      </c>
      <c r="DF384" t="str">
        <f>""</f>
        <v/>
      </c>
      <c r="DG384" t="str">
        <f>""</f>
        <v/>
      </c>
      <c r="DH384" t="str">
        <f>""</f>
        <v/>
      </c>
      <c r="DI384" t="str">
        <f>""</f>
        <v/>
      </c>
      <c r="DJ384" t="str">
        <f>""</f>
        <v/>
      </c>
      <c r="DK384" t="str">
        <f>""</f>
        <v/>
      </c>
      <c r="DL384" t="str">
        <f>""</f>
        <v/>
      </c>
      <c r="DM384" t="str">
        <f>""</f>
        <v/>
      </c>
      <c r="DN384" t="str">
        <f>""</f>
        <v/>
      </c>
      <c r="DO384" t="str">
        <f>""</f>
        <v/>
      </c>
      <c r="DP384" t="str">
        <f>""</f>
        <v/>
      </c>
      <c r="DQ384" t="str">
        <f>""</f>
        <v/>
      </c>
      <c r="DR384" t="str">
        <f>""</f>
        <v/>
      </c>
      <c r="DS384" t="str">
        <f>""</f>
        <v/>
      </c>
      <c r="DT384" t="str">
        <f>""</f>
        <v/>
      </c>
      <c r="DU384" t="str">
        <f>""</f>
        <v/>
      </c>
    </row>
    <row r="385" spans="1:125">
      <c r="A385" t="str">
        <f>$A$181</f>
        <v xml:space="preserve">    Essex Property Trust Inc</v>
      </c>
      <c r="B385" t="str">
        <f>$B$181</f>
        <v>ESS US Equity</v>
      </c>
      <c r="C385" t="str">
        <f>$C$181</f>
        <v>RR263</v>
      </c>
      <c r="D385" t="str">
        <f>$D$181</f>
        <v>DEBT_TO_MKT_CAP</v>
      </c>
      <c r="E385" t="str">
        <f>$E$181</f>
        <v>动态</v>
      </c>
      <c r="F385" t="str">
        <f ca="1">BDH($B$181,$C$181,$B$224,$B$225,CONCATENATE("Per=",$B$222),"Dts=H","Dir=H",CONCATENATE("Points=",$B$223),"Sort=R","Days=A","Fill=B",CONCATENATE("FX=", $B$221) )</f>
        <v>#N/A Authorization</v>
      </c>
      <c r="BN385" t="str">
        <f>""</f>
        <v/>
      </c>
      <c r="BO385" t="str">
        <f>""</f>
        <v/>
      </c>
      <c r="BP385" t="str">
        <f>""</f>
        <v/>
      </c>
      <c r="BQ385" t="str">
        <f>""</f>
        <v/>
      </c>
      <c r="BR385" t="str">
        <f>""</f>
        <v/>
      </c>
      <c r="BS385" t="str">
        <f>""</f>
        <v/>
      </c>
      <c r="BT385" t="str">
        <f>""</f>
        <v/>
      </c>
      <c r="BU385" t="str">
        <f>""</f>
        <v/>
      </c>
      <c r="BV385" t="str">
        <f>""</f>
        <v/>
      </c>
      <c r="BW385" t="str">
        <f>""</f>
        <v/>
      </c>
      <c r="BX385" t="str">
        <f>""</f>
        <v/>
      </c>
      <c r="BY385" t="str">
        <f>""</f>
        <v/>
      </c>
      <c r="BZ385" t="str">
        <f>""</f>
        <v/>
      </c>
      <c r="CA385" t="str">
        <f>""</f>
        <v/>
      </c>
      <c r="CB385" t="str">
        <f>""</f>
        <v/>
      </c>
      <c r="CC385" t="str">
        <f>""</f>
        <v/>
      </c>
      <c r="CD385" t="str">
        <f>""</f>
        <v/>
      </c>
      <c r="CE385" t="str">
        <f>""</f>
        <v/>
      </c>
      <c r="CF385" t="str">
        <f>""</f>
        <v/>
      </c>
      <c r="CG385" t="str">
        <f>""</f>
        <v/>
      </c>
      <c r="CH385" t="str">
        <f>""</f>
        <v/>
      </c>
      <c r="CI385" t="str">
        <f>""</f>
        <v/>
      </c>
      <c r="CJ385" t="str">
        <f>""</f>
        <v/>
      </c>
      <c r="CK385" t="str">
        <f>""</f>
        <v/>
      </c>
      <c r="CL385" t="str">
        <f>""</f>
        <v/>
      </c>
      <c r="CM385" t="str">
        <f>""</f>
        <v/>
      </c>
      <c r="CN385" t="str">
        <f>""</f>
        <v/>
      </c>
      <c r="CO385" t="str">
        <f>""</f>
        <v/>
      </c>
      <c r="CP385" t="str">
        <f>""</f>
        <v/>
      </c>
      <c r="CQ385" t="str">
        <f>""</f>
        <v/>
      </c>
      <c r="CR385" t="str">
        <f>""</f>
        <v/>
      </c>
      <c r="CS385" t="str">
        <f>""</f>
        <v/>
      </c>
      <c r="CT385" t="str">
        <f>""</f>
        <v/>
      </c>
      <c r="CU385" t="str">
        <f>""</f>
        <v/>
      </c>
      <c r="CV385" t="str">
        <f>""</f>
        <v/>
      </c>
      <c r="CW385" t="str">
        <f>""</f>
        <v/>
      </c>
      <c r="CX385" t="str">
        <f>""</f>
        <v/>
      </c>
      <c r="CY385" t="str">
        <f>""</f>
        <v/>
      </c>
      <c r="CZ385" t="str">
        <f>""</f>
        <v/>
      </c>
      <c r="DA385" t="str">
        <f>""</f>
        <v/>
      </c>
      <c r="DB385" t="str">
        <f>""</f>
        <v/>
      </c>
      <c r="DC385" t="str">
        <f>""</f>
        <v/>
      </c>
      <c r="DD385" t="str">
        <f>""</f>
        <v/>
      </c>
      <c r="DE385" t="str">
        <f>""</f>
        <v/>
      </c>
      <c r="DF385" t="str">
        <f>""</f>
        <v/>
      </c>
      <c r="DG385" t="str">
        <f>""</f>
        <v/>
      </c>
      <c r="DH385" t="str">
        <f>""</f>
        <v/>
      </c>
      <c r="DI385" t="str">
        <f>""</f>
        <v/>
      </c>
      <c r="DJ385" t="str">
        <f>""</f>
        <v/>
      </c>
      <c r="DK385" t="str">
        <f>""</f>
        <v/>
      </c>
      <c r="DL385" t="str">
        <f>""</f>
        <v/>
      </c>
      <c r="DM385" t="str">
        <f>""</f>
        <v/>
      </c>
      <c r="DN385" t="str">
        <f>""</f>
        <v/>
      </c>
      <c r="DO385" t="str">
        <f>""</f>
        <v/>
      </c>
      <c r="DP385" t="str">
        <f>""</f>
        <v/>
      </c>
      <c r="DQ385" t="str">
        <f>""</f>
        <v/>
      </c>
      <c r="DR385" t="str">
        <f>""</f>
        <v/>
      </c>
      <c r="DS385" t="str">
        <f>""</f>
        <v/>
      </c>
      <c r="DT385" t="str">
        <f>""</f>
        <v/>
      </c>
      <c r="DU385" t="str">
        <f>""</f>
        <v/>
      </c>
    </row>
    <row r="386" spans="1:125">
      <c r="A386" t="str">
        <f>$A$182</f>
        <v xml:space="preserve">    Mid-America Apartment Communit</v>
      </c>
      <c r="B386" t="str">
        <f>$B$182</f>
        <v>MAA US Equity</v>
      </c>
      <c r="C386" t="str">
        <f>$C$182</f>
        <v>RR263</v>
      </c>
      <c r="D386" t="str">
        <f>$D$182</f>
        <v>DEBT_TO_MKT_CAP</v>
      </c>
      <c r="E386" t="str">
        <f>$E$182</f>
        <v>动态</v>
      </c>
      <c r="F386" t="str">
        <f ca="1">BDH($B$182,$C$182,$B$224,$B$225,CONCATENATE("Per=",$B$222),"Dts=H","Dir=H",CONCATENATE("Points=",$B$223),"Sort=R","Days=A","Fill=B",CONCATENATE("FX=", $B$221) )</f>
        <v>#N/A Authorization</v>
      </c>
      <c r="BN386" t="str">
        <f>""</f>
        <v/>
      </c>
      <c r="BO386" t="str">
        <f>""</f>
        <v/>
      </c>
      <c r="BP386" t="str">
        <f>""</f>
        <v/>
      </c>
      <c r="BQ386" t="str">
        <f>""</f>
        <v/>
      </c>
      <c r="BR386" t="str">
        <f>""</f>
        <v/>
      </c>
      <c r="BS386" t="str">
        <f>""</f>
        <v/>
      </c>
      <c r="BT386" t="str">
        <f>""</f>
        <v/>
      </c>
      <c r="BU386" t="str">
        <f>""</f>
        <v/>
      </c>
      <c r="BV386" t="str">
        <f>""</f>
        <v/>
      </c>
      <c r="BW386" t="str">
        <f>""</f>
        <v/>
      </c>
      <c r="BX386" t="str">
        <f>""</f>
        <v/>
      </c>
      <c r="BY386" t="str">
        <f>""</f>
        <v/>
      </c>
      <c r="BZ386" t="str">
        <f>""</f>
        <v/>
      </c>
      <c r="CA386" t="str">
        <f>""</f>
        <v/>
      </c>
      <c r="CB386" t="str">
        <f>""</f>
        <v/>
      </c>
      <c r="CC386" t="str">
        <f>""</f>
        <v/>
      </c>
      <c r="CD386" t="str">
        <f>""</f>
        <v/>
      </c>
      <c r="CE386" t="str">
        <f>""</f>
        <v/>
      </c>
      <c r="CF386" t="str">
        <f>""</f>
        <v/>
      </c>
      <c r="CG386" t="str">
        <f>""</f>
        <v/>
      </c>
      <c r="CH386" t="str">
        <f>""</f>
        <v/>
      </c>
      <c r="CI386" t="str">
        <f>""</f>
        <v/>
      </c>
      <c r="CJ386" t="str">
        <f>""</f>
        <v/>
      </c>
      <c r="CK386" t="str">
        <f>""</f>
        <v/>
      </c>
      <c r="CL386" t="str">
        <f>""</f>
        <v/>
      </c>
      <c r="CM386" t="str">
        <f>""</f>
        <v/>
      </c>
      <c r="CN386" t="str">
        <f>""</f>
        <v/>
      </c>
      <c r="CO386" t="str">
        <f>""</f>
        <v/>
      </c>
      <c r="CP386" t="str">
        <f>""</f>
        <v/>
      </c>
      <c r="CQ386" t="str">
        <f>""</f>
        <v/>
      </c>
      <c r="CR386" t="str">
        <f>""</f>
        <v/>
      </c>
      <c r="CS386" t="str">
        <f>""</f>
        <v/>
      </c>
      <c r="CT386" t="str">
        <f>""</f>
        <v/>
      </c>
      <c r="CU386" t="str">
        <f>""</f>
        <v/>
      </c>
      <c r="CV386" t="str">
        <f>""</f>
        <v/>
      </c>
      <c r="CW386" t="str">
        <f>""</f>
        <v/>
      </c>
      <c r="CX386" t="str">
        <f>""</f>
        <v/>
      </c>
      <c r="CY386" t="str">
        <f>""</f>
        <v/>
      </c>
      <c r="CZ386" t="str">
        <f>""</f>
        <v/>
      </c>
      <c r="DA386" t="str">
        <f>""</f>
        <v/>
      </c>
      <c r="DB386" t="str">
        <f>""</f>
        <v/>
      </c>
      <c r="DC386" t="str">
        <f>""</f>
        <v/>
      </c>
      <c r="DD386" t="str">
        <f>""</f>
        <v/>
      </c>
      <c r="DE386" t="str">
        <f>""</f>
        <v/>
      </c>
      <c r="DF386" t="str">
        <f>""</f>
        <v/>
      </c>
      <c r="DG386" t="str">
        <f>""</f>
        <v/>
      </c>
      <c r="DH386" t="str">
        <f>""</f>
        <v/>
      </c>
      <c r="DI386" t="str">
        <f>""</f>
        <v/>
      </c>
      <c r="DJ386" t="str">
        <f>""</f>
        <v/>
      </c>
      <c r="DK386" t="str">
        <f>""</f>
        <v/>
      </c>
      <c r="DL386" t="str">
        <f>""</f>
        <v/>
      </c>
      <c r="DM386" t="str">
        <f>""</f>
        <v/>
      </c>
      <c r="DN386" t="str">
        <f>""</f>
        <v/>
      </c>
      <c r="DO386" t="str">
        <f>""</f>
        <v/>
      </c>
      <c r="DP386" t="str">
        <f>""</f>
        <v/>
      </c>
      <c r="DQ386" t="str">
        <f>""</f>
        <v/>
      </c>
      <c r="DR386" t="str">
        <f>""</f>
        <v/>
      </c>
      <c r="DS386" t="str">
        <f>""</f>
        <v/>
      </c>
      <c r="DT386" t="str">
        <f>""</f>
        <v/>
      </c>
      <c r="DU386" t="str">
        <f>""</f>
        <v/>
      </c>
    </row>
    <row r="387" spans="1:125">
      <c r="A387" t="str">
        <f>$A$183</f>
        <v xml:space="preserve">    UDR Inc</v>
      </c>
      <c r="B387" t="str">
        <f>$B$183</f>
        <v>UDR US Equity</v>
      </c>
      <c r="C387" t="str">
        <f>$C$183</f>
        <v>RR263</v>
      </c>
      <c r="D387" t="str">
        <f>$D$183</f>
        <v>DEBT_TO_MKT_CAP</v>
      </c>
      <c r="E387" t="str">
        <f>$E$183</f>
        <v>动态</v>
      </c>
      <c r="F387" t="str">
        <f ca="1">BDH($B$183,$C$183,$B$224,$B$225,CONCATENATE("Per=",$B$222),"Dts=H","Dir=H",CONCATENATE("Points=",$B$223),"Sort=R","Days=A","Fill=B",CONCATENATE("FX=", $B$221) )</f>
        <v>#N/A Authorization</v>
      </c>
      <c r="BN387" t="str">
        <f>""</f>
        <v/>
      </c>
      <c r="BO387" t="str">
        <f>""</f>
        <v/>
      </c>
      <c r="BP387" t="str">
        <f>""</f>
        <v/>
      </c>
      <c r="BQ387" t="str">
        <f>""</f>
        <v/>
      </c>
      <c r="BR387" t="str">
        <f>""</f>
        <v/>
      </c>
      <c r="BS387" t="str">
        <f>""</f>
        <v/>
      </c>
      <c r="BT387" t="str">
        <f>""</f>
        <v/>
      </c>
      <c r="BU387" t="str">
        <f>""</f>
        <v/>
      </c>
      <c r="BV387" t="str">
        <f>""</f>
        <v/>
      </c>
      <c r="BW387" t="str">
        <f>""</f>
        <v/>
      </c>
      <c r="BX387" t="str">
        <f>""</f>
        <v/>
      </c>
      <c r="BY387" t="str">
        <f>""</f>
        <v/>
      </c>
      <c r="BZ387" t="str">
        <f>""</f>
        <v/>
      </c>
      <c r="CA387" t="str">
        <f>""</f>
        <v/>
      </c>
      <c r="CB387" t="str">
        <f>""</f>
        <v/>
      </c>
      <c r="CC387" t="str">
        <f>""</f>
        <v/>
      </c>
      <c r="CD387" t="str">
        <f>""</f>
        <v/>
      </c>
      <c r="CE387" t="str">
        <f>""</f>
        <v/>
      </c>
      <c r="CF387" t="str">
        <f>""</f>
        <v/>
      </c>
      <c r="CG387" t="str">
        <f>""</f>
        <v/>
      </c>
      <c r="CH387" t="str">
        <f>""</f>
        <v/>
      </c>
      <c r="CI387" t="str">
        <f>""</f>
        <v/>
      </c>
      <c r="CJ387" t="str">
        <f>""</f>
        <v/>
      </c>
      <c r="CK387" t="str">
        <f>""</f>
        <v/>
      </c>
      <c r="CL387" t="str">
        <f>""</f>
        <v/>
      </c>
      <c r="CM387" t="str">
        <f>""</f>
        <v/>
      </c>
      <c r="CN387" t="str">
        <f>""</f>
        <v/>
      </c>
      <c r="CO387" t="str">
        <f>""</f>
        <v/>
      </c>
      <c r="CP387" t="str">
        <f>""</f>
        <v/>
      </c>
      <c r="CQ387" t="str">
        <f>""</f>
        <v/>
      </c>
      <c r="CR387" t="str">
        <f>""</f>
        <v/>
      </c>
      <c r="CS387" t="str">
        <f>""</f>
        <v/>
      </c>
      <c r="CT387" t="str">
        <f>""</f>
        <v/>
      </c>
      <c r="CU387" t="str">
        <f>""</f>
        <v/>
      </c>
      <c r="CV387" t="str">
        <f>""</f>
        <v/>
      </c>
      <c r="CW387" t="str">
        <f>""</f>
        <v/>
      </c>
      <c r="CX387" t="str">
        <f>""</f>
        <v/>
      </c>
      <c r="CY387" t="str">
        <f>""</f>
        <v/>
      </c>
      <c r="CZ387" t="str">
        <f>""</f>
        <v/>
      </c>
      <c r="DA387" t="str">
        <f>""</f>
        <v/>
      </c>
      <c r="DB387" t="str">
        <f>""</f>
        <v/>
      </c>
      <c r="DC387" t="str">
        <f>""</f>
        <v/>
      </c>
      <c r="DD387" t="str">
        <f>""</f>
        <v/>
      </c>
      <c r="DE387" t="str">
        <f>""</f>
        <v/>
      </c>
      <c r="DF387" t="str">
        <f>""</f>
        <v/>
      </c>
      <c r="DG387" t="str">
        <f>""</f>
        <v/>
      </c>
      <c r="DH387" t="str">
        <f>""</f>
        <v/>
      </c>
      <c r="DI387" t="str">
        <f>""</f>
        <v/>
      </c>
      <c r="DJ387" t="str">
        <f>""</f>
        <v/>
      </c>
      <c r="DK387" t="str">
        <f>""</f>
        <v/>
      </c>
      <c r="DL387" t="str">
        <f>""</f>
        <v/>
      </c>
      <c r="DM387" t="str">
        <f>""</f>
        <v/>
      </c>
      <c r="DN387" t="str">
        <f>""</f>
        <v/>
      </c>
      <c r="DO387" t="str">
        <f>""</f>
        <v/>
      </c>
      <c r="DP387" t="str">
        <f>""</f>
        <v/>
      </c>
      <c r="DQ387" t="str">
        <f>""</f>
        <v/>
      </c>
      <c r="DR387" t="str">
        <f>""</f>
        <v/>
      </c>
      <c r="DS387" t="str">
        <f>""</f>
        <v/>
      </c>
      <c r="DT387" t="str">
        <f>""</f>
        <v/>
      </c>
      <c r="DU387" t="str">
        <f>""</f>
        <v/>
      </c>
    </row>
    <row r="388" spans="1:125">
      <c r="A388" t="str">
        <f>$A$185</f>
        <v xml:space="preserve">    American Campus Communities In</v>
      </c>
      <c r="B388" t="str">
        <f>$B$185</f>
        <v>ACC US Equity</v>
      </c>
      <c r="C388" t="str">
        <f>$C$185</f>
        <v>RR253</v>
      </c>
      <c r="D388" t="str">
        <f>$D$185</f>
        <v>CASH_AND_MARKETABLE_SECURITIES</v>
      </c>
      <c r="E388" t="str">
        <f>$E$185</f>
        <v>动态</v>
      </c>
      <c r="F388" t="str">
        <f ca="1">BDH($B$185,$C$185,$B$224,$B$225,CONCATENATE("Per=",$B$222),"Dts=H","Dir=H",CONCATENATE("Points=",$B$223),"Sort=R","Days=A","Fill=B",CONCATENATE("FX=", $B$221) )</f>
        <v>#N/A Authorization</v>
      </c>
      <c r="BN388" t="str">
        <f>""</f>
        <v/>
      </c>
      <c r="BO388" t="str">
        <f>""</f>
        <v/>
      </c>
      <c r="BP388" t="str">
        <f>""</f>
        <v/>
      </c>
      <c r="BQ388" t="str">
        <f>""</f>
        <v/>
      </c>
      <c r="BR388" t="str">
        <f>""</f>
        <v/>
      </c>
      <c r="BS388" t="str">
        <f>""</f>
        <v/>
      </c>
      <c r="BT388" t="str">
        <f>""</f>
        <v/>
      </c>
      <c r="BU388" t="str">
        <f>""</f>
        <v/>
      </c>
      <c r="BV388" t="str">
        <f>""</f>
        <v/>
      </c>
      <c r="BW388" t="str">
        <f>""</f>
        <v/>
      </c>
      <c r="BX388" t="str">
        <f>""</f>
        <v/>
      </c>
      <c r="BY388" t="str">
        <f>""</f>
        <v/>
      </c>
      <c r="BZ388" t="str">
        <f>""</f>
        <v/>
      </c>
      <c r="CA388" t="str">
        <f>""</f>
        <v/>
      </c>
      <c r="CB388" t="str">
        <f>""</f>
        <v/>
      </c>
      <c r="CC388" t="str">
        <f>""</f>
        <v/>
      </c>
      <c r="CD388" t="str">
        <f>""</f>
        <v/>
      </c>
      <c r="CE388" t="str">
        <f>""</f>
        <v/>
      </c>
      <c r="CF388" t="str">
        <f>""</f>
        <v/>
      </c>
      <c r="CG388" t="str">
        <f>""</f>
        <v/>
      </c>
      <c r="CH388" t="str">
        <f>""</f>
        <v/>
      </c>
      <c r="CI388" t="str">
        <f>""</f>
        <v/>
      </c>
      <c r="CJ388" t="str">
        <f>""</f>
        <v/>
      </c>
      <c r="CK388" t="str">
        <f>""</f>
        <v/>
      </c>
      <c r="CL388" t="str">
        <f>""</f>
        <v/>
      </c>
      <c r="CM388" t="str">
        <f>""</f>
        <v/>
      </c>
      <c r="CN388" t="str">
        <f>""</f>
        <v/>
      </c>
      <c r="CO388" t="str">
        <f>""</f>
        <v/>
      </c>
      <c r="CP388" t="str">
        <f>""</f>
        <v/>
      </c>
      <c r="CQ388" t="str">
        <f>""</f>
        <v/>
      </c>
      <c r="CR388" t="str">
        <f>""</f>
        <v/>
      </c>
      <c r="CS388" t="str">
        <f>""</f>
        <v/>
      </c>
      <c r="CT388" t="str">
        <f>""</f>
        <v/>
      </c>
      <c r="CU388" t="str">
        <f>""</f>
        <v/>
      </c>
      <c r="CV388" t="str">
        <f>""</f>
        <v/>
      </c>
      <c r="CW388" t="str">
        <f>""</f>
        <v/>
      </c>
      <c r="CX388" t="str">
        <f>""</f>
        <v/>
      </c>
      <c r="CY388" t="str">
        <f>""</f>
        <v/>
      </c>
      <c r="CZ388" t="str">
        <f>""</f>
        <v/>
      </c>
      <c r="DA388" t="str">
        <f>""</f>
        <v/>
      </c>
      <c r="DB388" t="str">
        <f>""</f>
        <v/>
      </c>
      <c r="DC388" t="str">
        <f>""</f>
        <v/>
      </c>
      <c r="DD388" t="str">
        <f>""</f>
        <v/>
      </c>
      <c r="DE388" t="str">
        <f>""</f>
        <v/>
      </c>
      <c r="DF388" t="str">
        <f>""</f>
        <v/>
      </c>
      <c r="DG388" t="str">
        <f>""</f>
        <v/>
      </c>
      <c r="DH388" t="str">
        <f>""</f>
        <v/>
      </c>
      <c r="DI388" t="str">
        <f>""</f>
        <v/>
      </c>
      <c r="DJ388" t="str">
        <f>""</f>
        <v/>
      </c>
      <c r="DK388" t="str">
        <f>""</f>
        <v/>
      </c>
      <c r="DL388" t="str">
        <f>""</f>
        <v/>
      </c>
      <c r="DM388" t="str">
        <f>""</f>
        <v/>
      </c>
      <c r="DN388" t="str">
        <f>""</f>
        <v/>
      </c>
      <c r="DO388" t="str">
        <f>""</f>
        <v/>
      </c>
      <c r="DP388" t="str">
        <f>""</f>
        <v/>
      </c>
      <c r="DQ388" t="str">
        <f>""</f>
        <v/>
      </c>
      <c r="DR388" t="str">
        <f>""</f>
        <v/>
      </c>
      <c r="DS388" t="str">
        <f>""</f>
        <v/>
      </c>
      <c r="DT388" t="str">
        <f>""</f>
        <v/>
      </c>
      <c r="DU388" t="str">
        <f>""</f>
        <v/>
      </c>
    </row>
    <row r="389" spans="1:125">
      <c r="A389" t="str">
        <f>$A$186</f>
        <v xml:space="preserve">    AvalonBay Communities Inc</v>
      </c>
      <c r="B389" t="str">
        <f>$B$186</f>
        <v>AVB US Equity</v>
      </c>
      <c r="C389" t="str">
        <f>$C$186</f>
        <v>RR253</v>
      </c>
      <c r="D389" t="str">
        <f>$D$186</f>
        <v>CASH_AND_MARKETABLE_SECURITIES</v>
      </c>
      <c r="E389" t="str">
        <f>$E$186</f>
        <v>动态</v>
      </c>
      <c r="F389" t="str">
        <f ca="1">BDH($B$186,$C$186,$B$224,$B$225,CONCATENATE("Per=",$B$222),"Dts=H","Dir=H",CONCATENATE("Points=",$B$223),"Sort=R","Days=A","Fill=B",CONCATENATE("FX=", $B$221) )</f>
        <v>#N/A Authorization</v>
      </c>
      <c r="BN389" t="str">
        <f>""</f>
        <v/>
      </c>
      <c r="BO389" t="str">
        <f>""</f>
        <v/>
      </c>
      <c r="BP389" t="str">
        <f>""</f>
        <v/>
      </c>
      <c r="BQ389" t="str">
        <f>""</f>
        <v/>
      </c>
      <c r="BR389" t="str">
        <f>""</f>
        <v/>
      </c>
      <c r="BS389" t="str">
        <f>""</f>
        <v/>
      </c>
      <c r="BT389" t="str">
        <f>""</f>
        <v/>
      </c>
      <c r="BU389" t="str">
        <f>""</f>
        <v/>
      </c>
      <c r="BV389" t="str">
        <f>""</f>
        <v/>
      </c>
      <c r="BW389" t="str">
        <f>""</f>
        <v/>
      </c>
      <c r="BX389" t="str">
        <f>""</f>
        <v/>
      </c>
      <c r="BY389" t="str">
        <f>""</f>
        <v/>
      </c>
      <c r="BZ389" t="str">
        <f>""</f>
        <v/>
      </c>
      <c r="CA389" t="str">
        <f>""</f>
        <v/>
      </c>
      <c r="CB389" t="str">
        <f>""</f>
        <v/>
      </c>
      <c r="CC389" t="str">
        <f>""</f>
        <v/>
      </c>
      <c r="CD389" t="str">
        <f>""</f>
        <v/>
      </c>
      <c r="CE389" t="str">
        <f>""</f>
        <v/>
      </c>
      <c r="CF389" t="str">
        <f>""</f>
        <v/>
      </c>
      <c r="CG389" t="str">
        <f>""</f>
        <v/>
      </c>
      <c r="CH389" t="str">
        <f>""</f>
        <v/>
      </c>
      <c r="CI389" t="str">
        <f>""</f>
        <v/>
      </c>
      <c r="CJ389" t="str">
        <f>""</f>
        <v/>
      </c>
      <c r="CK389" t="str">
        <f>""</f>
        <v/>
      </c>
      <c r="CL389" t="str">
        <f>""</f>
        <v/>
      </c>
      <c r="CM389" t="str">
        <f>""</f>
        <v/>
      </c>
      <c r="CN389" t="str">
        <f>""</f>
        <v/>
      </c>
      <c r="CO389" t="str">
        <f>""</f>
        <v/>
      </c>
      <c r="CP389" t="str">
        <f>""</f>
        <v/>
      </c>
      <c r="CQ389" t="str">
        <f>""</f>
        <v/>
      </c>
      <c r="CR389" t="str">
        <f>""</f>
        <v/>
      </c>
      <c r="CS389" t="str">
        <f>""</f>
        <v/>
      </c>
      <c r="CT389" t="str">
        <f>""</f>
        <v/>
      </c>
      <c r="CU389" t="str">
        <f>""</f>
        <v/>
      </c>
      <c r="CV389" t="str">
        <f>""</f>
        <v/>
      </c>
      <c r="CW389" t="str">
        <f>""</f>
        <v/>
      </c>
      <c r="CX389" t="str">
        <f>""</f>
        <v/>
      </c>
      <c r="CY389" t="str">
        <f>""</f>
        <v/>
      </c>
      <c r="CZ389" t="str">
        <f>""</f>
        <v/>
      </c>
      <c r="DA389" t="str">
        <f>""</f>
        <v/>
      </c>
      <c r="DB389" t="str">
        <f>""</f>
        <v/>
      </c>
      <c r="DC389" t="str">
        <f>""</f>
        <v/>
      </c>
      <c r="DD389" t="str">
        <f>""</f>
        <v/>
      </c>
      <c r="DE389" t="str">
        <f>""</f>
        <v/>
      </c>
      <c r="DF389" t="str">
        <f>""</f>
        <v/>
      </c>
      <c r="DG389" t="str">
        <f>""</f>
        <v/>
      </c>
      <c r="DH389" t="str">
        <f>""</f>
        <v/>
      </c>
      <c r="DI389" t="str">
        <f>""</f>
        <v/>
      </c>
      <c r="DJ389" t="str">
        <f>""</f>
        <v/>
      </c>
      <c r="DK389" t="str">
        <f>""</f>
        <v/>
      </c>
      <c r="DL389" t="str">
        <f>""</f>
        <v/>
      </c>
      <c r="DM389" t="str">
        <f>""</f>
        <v/>
      </c>
      <c r="DN389" t="str">
        <f>""</f>
        <v/>
      </c>
      <c r="DO389" t="str">
        <f>""</f>
        <v/>
      </c>
      <c r="DP389" t="str">
        <f>""</f>
        <v/>
      </c>
      <c r="DQ389" t="str">
        <f>""</f>
        <v/>
      </c>
      <c r="DR389" t="str">
        <f>""</f>
        <v/>
      </c>
      <c r="DS389" t="str">
        <f>""</f>
        <v/>
      </c>
      <c r="DT389" t="str">
        <f>""</f>
        <v/>
      </c>
      <c r="DU389" t="str">
        <f>""</f>
        <v/>
      </c>
    </row>
    <row r="390" spans="1:125">
      <c r="A390" t="str">
        <f>$A$187</f>
        <v xml:space="preserve">    Camden Property Trust</v>
      </c>
      <c r="B390" t="str">
        <f>$B$187</f>
        <v>CPT US Equity</v>
      </c>
      <c r="C390" t="str">
        <f>$C$187</f>
        <v>RR253</v>
      </c>
      <c r="D390" t="str">
        <f>$D$187</f>
        <v>CASH_AND_MARKETABLE_SECURITIES</v>
      </c>
      <c r="E390" t="str">
        <f>$E$187</f>
        <v>动态</v>
      </c>
      <c r="F390" t="str">
        <f ca="1">BDH($B$187,$C$187,$B$224,$B$225,CONCATENATE("Per=",$B$222),"Dts=H","Dir=H",CONCATENATE("Points=",$B$223),"Sort=R","Days=A","Fill=B",CONCATENATE("FX=", $B$221) )</f>
        <v>#N/A Authorization</v>
      </c>
      <c r="BN390" t="str">
        <f>""</f>
        <v/>
      </c>
      <c r="BO390" t="str">
        <f>""</f>
        <v/>
      </c>
      <c r="BP390" t="str">
        <f>""</f>
        <v/>
      </c>
      <c r="BQ390" t="str">
        <f>""</f>
        <v/>
      </c>
      <c r="BR390" t="str">
        <f>""</f>
        <v/>
      </c>
      <c r="BS390" t="str">
        <f>""</f>
        <v/>
      </c>
      <c r="BT390" t="str">
        <f>""</f>
        <v/>
      </c>
      <c r="BU390" t="str">
        <f>""</f>
        <v/>
      </c>
      <c r="BV390" t="str">
        <f>""</f>
        <v/>
      </c>
      <c r="BW390" t="str">
        <f>""</f>
        <v/>
      </c>
      <c r="BX390" t="str">
        <f>""</f>
        <v/>
      </c>
      <c r="BY390" t="str">
        <f>""</f>
        <v/>
      </c>
      <c r="BZ390" t="str">
        <f>""</f>
        <v/>
      </c>
      <c r="CA390" t="str">
        <f>""</f>
        <v/>
      </c>
      <c r="CB390" t="str">
        <f>""</f>
        <v/>
      </c>
      <c r="CC390" t="str">
        <f>""</f>
        <v/>
      </c>
      <c r="CD390" t="str">
        <f>""</f>
        <v/>
      </c>
      <c r="CE390" t="str">
        <f>""</f>
        <v/>
      </c>
      <c r="CF390" t="str">
        <f>""</f>
        <v/>
      </c>
      <c r="CG390" t="str">
        <f>""</f>
        <v/>
      </c>
      <c r="CH390" t="str">
        <f>""</f>
        <v/>
      </c>
      <c r="CI390" t="str">
        <f>""</f>
        <v/>
      </c>
      <c r="CJ390" t="str">
        <f>""</f>
        <v/>
      </c>
      <c r="CK390" t="str">
        <f>""</f>
        <v/>
      </c>
      <c r="CL390" t="str">
        <f>""</f>
        <v/>
      </c>
      <c r="CM390" t="str">
        <f>""</f>
        <v/>
      </c>
      <c r="CN390" t="str">
        <f>""</f>
        <v/>
      </c>
      <c r="CO390" t="str">
        <f>""</f>
        <v/>
      </c>
      <c r="CP390" t="str">
        <f>""</f>
        <v/>
      </c>
      <c r="CQ390" t="str">
        <f>""</f>
        <v/>
      </c>
      <c r="CR390" t="str">
        <f>""</f>
        <v/>
      </c>
      <c r="CS390" t="str">
        <f>""</f>
        <v/>
      </c>
      <c r="CT390" t="str">
        <f>""</f>
        <v/>
      </c>
      <c r="CU390" t="str">
        <f>""</f>
        <v/>
      </c>
      <c r="CV390" t="str">
        <f>""</f>
        <v/>
      </c>
      <c r="CW390" t="str">
        <f>""</f>
        <v/>
      </c>
      <c r="CX390" t="str">
        <f>""</f>
        <v/>
      </c>
      <c r="CY390" t="str">
        <f>""</f>
        <v/>
      </c>
      <c r="CZ390" t="str">
        <f>""</f>
        <v/>
      </c>
      <c r="DA390" t="str">
        <f>""</f>
        <v/>
      </c>
      <c r="DB390" t="str">
        <f>""</f>
        <v/>
      </c>
      <c r="DC390" t="str">
        <f>""</f>
        <v/>
      </c>
      <c r="DD390" t="str">
        <f>""</f>
        <v/>
      </c>
      <c r="DE390" t="str">
        <f>""</f>
        <v/>
      </c>
      <c r="DF390" t="str">
        <f>""</f>
        <v/>
      </c>
      <c r="DG390" t="str">
        <f>""</f>
        <v/>
      </c>
      <c r="DH390" t="str">
        <f>""</f>
        <v/>
      </c>
      <c r="DI390" t="str">
        <f>""</f>
        <v/>
      </c>
      <c r="DJ390" t="str">
        <f>""</f>
        <v/>
      </c>
      <c r="DK390" t="str">
        <f>""</f>
        <v/>
      </c>
      <c r="DL390" t="str">
        <f>""</f>
        <v/>
      </c>
      <c r="DM390" t="str">
        <f>""</f>
        <v/>
      </c>
      <c r="DN390" t="str">
        <f>""</f>
        <v/>
      </c>
      <c r="DO390" t="str">
        <f>""</f>
        <v/>
      </c>
      <c r="DP390" t="str">
        <f>""</f>
        <v/>
      </c>
      <c r="DQ390" t="str">
        <f>""</f>
        <v/>
      </c>
      <c r="DR390" t="str">
        <f>""</f>
        <v/>
      </c>
      <c r="DS390" t="str">
        <f>""</f>
        <v/>
      </c>
      <c r="DT390" t="str">
        <f>""</f>
        <v/>
      </c>
      <c r="DU390" t="str">
        <f>""</f>
        <v/>
      </c>
    </row>
    <row r="391" spans="1:125">
      <c r="A391" t="str">
        <f>$A$188</f>
        <v xml:space="preserve">    Education Realty Trust Inc</v>
      </c>
      <c r="B391" t="str">
        <f>$B$188</f>
        <v>EDR US Equity</v>
      </c>
      <c r="C391" t="str">
        <f>$C$188</f>
        <v>RR253</v>
      </c>
      <c r="D391" t="str">
        <f>$D$188</f>
        <v>CASH_AND_MARKETABLE_SECURITIES</v>
      </c>
      <c r="E391" t="str">
        <f>$E$188</f>
        <v>动态</v>
      </c>
      <c r="F391" t="str">
        <f ca="1">BDH($B$188,$C$188,$B$224,$B$225,CONCATENATE("Per=",$B$222),"Dts=H","Dir=H",CONCATENATE("Points=",$B$223),"Sort=R","Days=A","Fill=B",CONCATENATE("FX=", $B$221) )</f>
        <v>#N/A Authorization</v>
      </c>
      <c r="BN391" t="str">
        <f>""</f>
        <v/>
      </c>
      <c r="BO391" t="str">
        <f>""</f>
        <v/>
      </c>
      <c r="BP391" t="str">
        <f>""</f>
        <v/>
      </c>
      <c r="BQ391" t="str">
        <f>""</f>
        <v/>
      </c>
      <c r="BR391" t="str">
        <f>""</f>
        <v/>
      </c>
      <c r="BS391" t="str">
        <f>""</f>
        <v/>
      </c>
      <c r="BT391" t="str">
        <f>""</f>
        <v/>
      </c>
      <c r="BU391" t="str">
        <f>""</f>
        <v/>
      </c>
      <c r="BV391" t="str">
        <f>""</f>
        <v/>
      </c>
      <c r="BW391" t="str">
        <f>""</f>
        <v/>
      </c>
      <c r="BX391" t="str">
        <f>""</f>
        <v/>
      </c>
      <c r="BY391" t="str">
        <f>""</f>
        <v/>
      </c>
      <c r="BZ391" t="str">
        <f>""</f>
        <v/>
      </c>
      <c r="CA391" t="str">
        <f>""</f>
        <v/>
      </c>
      <c r="CB391" t="str">
        <f>""</f>
        <v/>
      </c>
      <c r="CC391" t="str">
        <f>""</f>
        <v/>
      </c>
      <c r="CD391" t="str">
        <f>""</f>
        <v/>
      </c>
      <c r="CE391" t="str">
        <f>""</f>
        <v/>
      </c>
      <c r="CF391" t="str">
        <f>""</f>
        <v/>
      </c>
      <c r="CG391" t="str">
        <f>""</f>
        <v/>
      </c>
      <c r="CH391" t="str">
        <f>""</f>
        <v/>
      </c>
      <c r="CI391" t="str">
        <f>""</f>
        <v/>
      </c>
      <c r="CJ391" t="str">
        <f>""</f>
        <v/>
      </c>
      <c r="CK391" t="str">
        <f>""</f>
        <v/>
      </c>
      <c r="CL391" t="str">
        <f>""</f>
        <v/>
      </c>
      <c r="CM391" t="str">
        <f>""</f>
        <v/>
      </c>
      <c r="CN391" t="str">
        <f>""</f>
        <v/>
      </c>
      <c r="CO391" t="str">
        <f>""</f>
        <v/>
      </c>
      <c r="CP391" t="str">
        <f>""</f>
        <v/>
      </c>
      <c r="CQ391" t="str">
        <f>""</f>
        <v/>
      </c>
      <c r="CR391" t="str">
        <f>""</f>
        <v/>
      </c>
      <c r="CS391" t="str">
        <f>""</f>
        <v/>
      </c>
      <c r="CT391" t="str">
        <f>""</f>
        <v/>
      </c>
      <c r="CU391" t="str">
        <f>""</f>
        <v/>
      </c>
      <c r="CV391" t="str">
        <f>""</f>
        <v/>
      </c>
      <c r="CW391" t="str">
        <f>""</f>
        <v/>
      </c>
      <c r="CX391" t="str">
        <f>""</f>
        <v/>
      </c>
      <c r="CY391" t="str">
        <f>""</f>
        <v/>
      </c>
      <c r="CZ391" t="str">
        <f>""</f>
        <v/>
      </c>
      <c r="DA391" t="str">
        <f>""</f>
        <v/>
      </c>
      <c r="DB391" t="str">
        <f>""</f>
        <v/>
      </c>
      <c r="DC391" t="str">
        <f>""</f>
        <v/>
      </c>
      <c r="DD391" t="str">
        <f>""</f>
        <v/>
      </c>
      <c r="DE391" t="str">
        <f>""</f>
        <v/>
      </c>
      <c r="DF391" t="str">
        <f>""</f>
        <v/>
      </c>
      <c r="DG391" t="str">
        <f>""</f>
        <v/>
      </c>
      <c r="DH391" t="str">
        <f>""</f>
        <v/>
      </c>
      <c r="DI391" t="str">
        <f>""</f>
        <v/>
      </c>
      <c r="DJ391" t="str">
        <f>""</f>
        <v/>
      </c>
      <c r="DK391" t="str">
        <f>""</f>
        <v/>
      </c>
      <c r="DL391" t="str">
        <f>""</f>
        <v/>
      </c>
      <c r="DM391" t="str">
        <f>""</f>
        <v/>
      </c>
      <c r="DN391" t="str">
        <f>""</f>
        <v/>
      </c>
      <c r="DO391" t="str">
        <f>""</f>
        <v/>
      </c>
      <c r="DP391" t="str">
        <f>""</f>
        <v/>
      </c>
      <c r="DQ391" t="str">
        <f>""</f>
        <v/>
      </c>
      <c r="DR391" t="str">
        <f>""</f>
        <v/>
      </c>
      <c r="DS391" t="str">
        <f>""</f>
        <v/>
      </c>
      <c r="DT391" t="str">
        <f>""</f>
        <v/>
      </c>
      <c r="DU391" t="str">
        <f>""</f>
        <v/>
      </c>
    </row>
    <row r="392" spans="1:125">
      <c r="A392" t="str">
        <f>$A$189</f>
        <v xml:space="preserve">    Equity Residential</v>
      </c>
      <c r="B392" t="str">
        <f>$B$189</f>
        <v>EQR US Equity</v>
      </c>
      <c r="C392" t="str">
        <f>$C$189</f>
        <v>RR253</v>
      </c>
      <c r="D392" t="str">
        <f>$D$189</f>
        <v>CASH_AND_MARKETABLE_SECURITIES</v>
      </c>
      <c r="E392" t="str">
        <f>$E$189</f>
        <v>动态</v>
      </c>
      <c r="F392" t="str">
        <f ca="1">BDH($B$189,$C$189,$B$224,$B$225,CONCATENATE("Per=",$B$222),"Dts=H","Dir=H",CONCATENATE("Points=",$B$223),"Sort=R","Days=A","Fill=B",CONCATENATE("FX=", $B$221) )</f>
        <v>#N/A Authorization</v>
      </c>
      <c r="BN392" t="str">
        <f>""</f>
        <v/>
      </c>
      <c r="BO392" t="str">
        <f>""</f>
        <v/>
      </c>
      <c r="BP392" t="str">
        <f>""</f>
        <v/>
      </c>
      <c r="BQ392" t="str">
        <f>""</f>
        <v/>
      </c>
      <c r="BR392" t="str">
        <f>""</f>
        <v/>
      </c>
      <c r="BS392" t="str">
        <f>""</f>
        <v/>
      </c>
      <c r="BT392" t="str">
        <f>""</f>
        <v/>
      </c>
      <c r="BU392" t="str">
        <f>""</f>
        <v/>
      </c>
      <c r="BV392" t="str">
        <f>""</f>
        <v/>
      </c>
      <c r="BW392" t="str">
        <f>""</f>
        <v/>
      </c>
      <c r="BX392" t="str">
        <f>""</f>
        <v/>
      </c>
      <c r="BY392" t="str">
        <f>""</f>
        <v/>
      </c>
      <c r="BZ392" t="str">
        <f>""</f>
        <v/>
      </c>
      <c r="CA392" t="str">
        <f>""</f>
        <v/>
      </c>
      <c r="CB392" t="str">
        <f>""</f>
        <v/>
      </c>
      <c r="CC392" t="str">
        <f>""</f>
        <v/>
      </c>
      <c r="CD392" t="str">
        <f>""</f>
        <v/>
      </c>
      <c r="CE392" t="str">
        <f>""</f>
        <v/>
      </c>
      <c r="CF392" t="str">
        <f>""</f>
        <v/>
      </c>
      <c r="CG392" t="str">
        <f>""</f>
        <v/>
      </c>
      <c r="CH392" t="str">
        <f>""</f>
        <v/>
      </c>
      <c r="CI392" t="str">
        <f>""</f>
        <v/>
      </c>
      <c r="CJ392" t="str">
        <f>""</f>
        <v/>
      </c>
      <c r="CK392" t="str">
        <f>""</f>
        <v/>
      </c>
      <c r="CL392" t="str">
        <f>""</f>
        <v/>
      </c>
      <c r="CM392" t="str">
        <f>""</f>
        <v/>
      </c>
      <c r="CN392" t="str">
        <f>""</f>
        <v/>
      </c>
      <c r="CO392" t="str">
        <f>""</f>
        <v/>
      </c>
      <c r="CP392" t="str">
        <f>""</f>
        <v/>
      </c>
      <c r="CQ392" t="str">
        <f>""</f>
        <v/>
      </c>
      <c r="CR392" t="str">
        <f>""</f>
        <v/>
      </c>
      <c r="CS392" t="str">
        <f>""</f>
        <v/>
      </c>
      <c r="CT392" t="str">
        <f>""</f>
        <v/>
      </c>
      <c r="CU392" t="str">
        <f>""</f>
        <v/>
      </c>
      <c r="CV392" t="str">
        <f>""</f>
        <v/>
      </c>
      <c r="CW392" t="str">
        <f>""</f>
        <v/>
      </c>
      <c r="CX392" t="str">
        <f>""</f>
        <v/>
      </c>
      <c r="CY392" t="str">
        <f>""</f>
        <v/>
      </c>
      <c r="CZ392" t="str">
        <f>""</f>
        <v/>
      </c>
      <c r="DA392" t="str">
        <f>""</f>
        <v/>
      </c>
      <c r="DB392" t="str">
        <f>""</f>
        <v/>
      </c>
      <c r="DC392" t="str">
        <f>""</f>
        <v/>
      </c>
      <c r="DD392" t="str">
        <f>""</f>
        <v/>
      </c>
      <c r="DE392" t="str">
        <f>""</f>
        <v/>
      </c>
      <c r="DF392" t="str">
        <f>""</f>
        <v/>
      </c>
      <c r="DG392" t="str">
        <f>""</f>
        <v/>
      </c>
      <c r="DH392" t="str">
        <f>""</f>
        <v/>
      </c>
      <c r="DI392" t="str">
        <f>""</f>
        <v/>
      </c>
      <c r="DJ392" t="str">
        <f>""</f>
        <v/>
      </c>
      <c r="DK392" t="str">
        <f>""</f>
        <v/>
      </c>
      <c r="DL392" t="str">
        <f>""</f>
        <v/>
      </c>
      <c r="DM392" t="str">
        <f>""</f>
        <v/>
      </c>
      <c r="DN392" t="str">
        <f>""</f>
        <v/>
      </c>
      <c r="DO392" t="str">
        <f>""</f>
        <v/>
      </c>
      <c r="DP392" t="str">
        <f>""</f>
        <v/>
      </c>
      <c r="DQ392" t="str">
        <f>""</f>
        <v/>
      </c>
      <c r="DR392" t="str">
        <f>""</f>
        <v/>
      </c>
      <c r="DS392" t="str">
        <f>""</f>
        <v/>
      </c>
      <c r="DT392" t="str">
        <f>""</f>
        <v/>
      </c>
      <c r="DU392" t="str">
        <f>""</f>
        <v/>
      </c>
    </row>
    <row r="393" spans="1:125">
      <c r="A393" t="str">
        <f>$A$190</f>
        <v xml:space="preserve">    Essex Property Trust Inc</v>
      </c>
      <c r="B393" t="str">
        <f>$B$190</f>
        <v>ESS US Equity</v>
      </c>
      <c r="C393" t="str">
        <f>$C$190</f>
        <v>RR253</v>
      </c>
      <c r="D393" t="str">
        <f>$D$190</f>
        <v>CASH_AND_MARKETABLE_SECURITIES</v>
      </c>
      <c r="E393" t="str">
        <f>$E$190</f>
        <v>动态</v>
      </c>
      <c r="F393" t="str">
        <f ca="1">BDH($B$190,$C$190,$B$224,$B$225,CONCATENATE("Per=",$B$222),"Dts=H","Dir=H",CONCATENATE("Points=",$B$223),"Sort=R","Days=A","Fill=B",CONCATENATE("FX=", $B$221) )</f>
        <v>#N/A Authorization</v>
      </c>
      <c r="BN393" t="str">
        <f>""</f>
        <v/>
      </c>
      <c r="BO393" t="str">
        <f>""</f>
        <v/>
      </c>
      <c r="BP393" t="str">
        <f>""</f>
        <v/>
      </c>
      <c r="BQ393" t="str">
        <f>""</f>
        <v/>
      </c>
      <c r="BR393" t="str">
        <f>""</f>
        <v/>
      </c>
      <c r="BS393" t="str">
        <f>""</f>
        <v/>
      </c>
      <c r="BT393" t="str">
        <f>""</f>
        <v/>
      </c>
      <c r="BU393" t="str">
        <f>""</f>
        <v/>
      </c>
      <c r="BV393" t="str">
        <f>""</f>
        <v/>
      </c>
      <c r="BW393" t="str">
        <f>""</f>
        <v/>
      </c>
      <c r="BX393" t="str">
        <f>""</f>
        <v/>
      </c>
      <c r="BY393" t="str">
        <f>""</f>
        <v/>
      </c>
      <c r="BZ393" t="str">
        <f>""</f>
        <v/>
      </c>
      <c r="CA393" t="str">
        <f>""</f>
        <v/>
      </c>
      <c r="CB393" t="str">
        <f>""</f>
        <v/>
      </c>
      <c r="CC393" t="str">
        <f>""</f>
        <v/>
      </c>
      <c r="CD393" t="str">
        <f>""</f>
        <v/>
      </c>
      <c r="CE393" t="str">
        <f>""</f>
        <v/>
      </c>
      <c r="CF393" t="str">
        <f>""</f>
        <v/>
      </c>
      <c r="CG393" t="str">
        <f>""</f>
        <v/>
      </c>
      <c r="CH393" t="str">
        <f>""</f>
        <v/>
      </c>
      <c r="CI393" t="str">
        <f>""</f>
        <v/>
      </c>
      <c r="CJ393" t="str">
        <f>""</f>
        <v/>
      </c>
      <c r="CK393" t="str">
        <f>""</f>
        <v/>
      </c>
      <c r="CL393" t="str">
        <f>""</f>
        <v/>
      </c>
      <c r="CM393" t="str">
        <f>""</f>
        <v/>
      </c>
      <c r="CN393" t="str">
        <f>""</f>
        <v/>
      </c>
      <c r="CO393" t="str">
        <f>""</f>
        <v/>
      </c>
      <c r="CP393" t="str">
        <f>""</f>
        <v/>
      </c>
      <c r="CQ393" t="str">
        <f>""</f>
        <v/>
      </c>
      <c r="CR393" t="str">
        <f>""</f>
        <v/>
      </c>
      <c r="CS393" t="str">
        <f>""</f>
        <v/>
      </c>
      <c r="CT393" t="str">
        <f>""</f>
        <v/>
      </c>
      <c r="CU393" t="str">
        <f>""</f>
        <v/>
      </c>
      <c r="CV393" t="str">
        <f>""</f>
        <v/>
      </c>
      <c r="CW393" t="str">
        <f>""</f>
        <v/>
      </c>
      <c r="CX393" t="str">
        <f>""</f>
        <v/>
      </c>
      <c r="CY393" t="str">
        <f>""</f>
        <v/>
      </c>
      <c r="CZ393" t="str">
        <f>""</f>
        <v/>
      </c>
      <c r="DA393" t="str">
        <f>""</f>
        <v/>
      </c>
      <c r="DB393" t="str">
        <f>""</f>
        <v/>
      </c>
      <c r="DC393" t="str">
        <f>""</f>
        <v/>
      </c>
      <c r="DD393" t="str">
        <f>""</f>
        <v/>
      </c>
      <c r="DE393" t="str">
        <f>""</f>
        <v/>
      </c>
      <c r="DF393" t="str">
        <f>""</f>
        <v/>
      </c>
      <c r="DG393" t="str">
        <f>""</f>
        <v/>
      </c>
      <c r="DH393" t="str">
        <f>""</f>
        <v/>
      </c>
      <c r="DI393" t="str">
        <f>""</f>
        <v/>
      </c>
      <c r="DJ393" t="str">
        <f>""</f>
        <v/>
      </c>
      <c r="DK393" t="str">
        <f>""</f>
        <v/>
      </c>
      <c r="DL393" t="str">
        <f>""</f>
        <v/>
      </c>
      <c r="DM393" t="str">
        <f>""</f>
        <v/>
      </c>
      <c r="DN393" t="str">
        <f>""</f>
        <v/>
      </c>
      <c r="DO393" t="str">
        <f>""</f>
        <v/>
      </c>
      <c r="DP393" t="str">
        <f>""</f>
        <v/>
      </c>
      <c r="DQ393" t="str">
        <f>""</f>
        <v/>
      </c>
      <c r="DR393" t="str">
        <f>""</f>
        <v/>
      </c>
      <c r="DS393" t="str">
        <f>""</f>
        <v/>
      </c>
      <c r="DT393" t="str">
        <f>""</f>
        <v/>
      </c>
      <c r="DU393" t="str">
        <f>""</f>
        <v/>
      </c>
    </row>
    <row r="394" spans="1:125">
      <c r="A394" t="str">
        <f>$A$191</f>
        <v xml:space="preserve">    Mid-America Apartment Communit</v>
      </c>
      <c r="B394" t="str">
        <f>$B$191</f>
        <v>MAA US Equity</v>
      </c>
      <c r="C394" t="str">
        <f>$C$191</f>
        <v>RR253</v>
      </c>
      <c r="D394" t="str">
        <f>$D$191</f>
        <v>CASH_AND_MARKETABLE_SECURITIES</v>
      </c>
      <c r="E394" t="str">
        <f>$E$191</f>
        <v>动态</v>
      </c>
      <c r="F394" t="str">
        <f ca="1">BDH($B$191,$C$191,$B$224,$B$225,CONCATENATE("Per=",$B$222),"Dts=H","Dir=H",CONCATENATE("Points=",$B$223),"Sort=R","Days=A","Fill=B",CONCATENATE("FX=", $B$221) )</f>
        <v>#N/A Authorization</v>
      </c>
      <c r="BN394" t="str">
        <f>""</f>
        <v/>
      </c>
      <c r="BO394" t="str">
        <f>""</f>
        <v/>
      </c>
      <c r="BP394" t="str">
        <f>""</f>
        <v/>
      </c>
      <c r="BQ394" t="str">
        <f>""</f>
        <v/>
      </c>
      <c r="BR394" t="str">
        <f>""</f>
        <v/>
      </c>
      <c r="BS394" t="str">
        <f>""</f>
        <v/>
      </c>
      <c r="BT394" t="str">
        <f>""</f>
        <v/>
      </c>
      <c r="BU394" t="str">
        <f>""</f>
        <v/>
      </c>
      <c r="BV394" t="str">
        <f>""</f>
        <v/>
      </c>
      <c r="BW394" t="str">
        <f>""</f>
        <v/>
      </c>
      <c r="BX394" t="str">
        <f>""</f>
        <v/>
      </c>
      <c r="BY394" t="str">
        <f>""</f>
        <v/>
      </c>
      <c r="BZ394" t="str">
        <f>""</f>
        <v/>
      </c>
      <c r="CA394" t="str">
        <f>""</f>
        <v/>
      </c>
      <c r="CB394" t="str">
        <f>""</f>
        <v/>
      </c>
      <c r="CC394" t="str">
        <f>""</f>
        <v/>
      </c>
      <c r="CD394" t="str">
        <f>""</f>
        <v/>
      </c>
      <c r="CE394" t="str">
        <f>""</f>
        <v/>
      </c>
      <c r="CF394" t="str">
        <f>""</f>
        <v/>
      </c>
      <c r="CG394" t="str">
        <f>""</f>
        <v/>
      </c>
      <c r="CH394" t="str">
        <f>""</f>
        <v/>
      </c>
      <c r="CI394" t="str">
        <f>""</f>
        <v/>
      </c>
      <c r="CJ394" t="str">
        <f>""</f>
        <v/>
      </c>
      <c r="CK394" t="str">
        <f>""</f>
        <v/>
      </c>
      <c r="CL394" t="str">
        <f>""</f>
        <v/>
      </c>
      <c r="CM394" t="str">
        <f>""</f>
        <v/>
      </c>
      <c r="CN394" t="str">
        <f>""</f>
        <v/>
      </c>
      <c r="CO394" t="str">
        <f>""</f>
        <v/>
      </c>
      <c r="CP394" t="str">
        <f>""</f>
        <v/>
      </c>
      <c r="CQ394" t="str">
        <f>""</f>
        <v/>
      </c>
      <c r="CR394" t="str">
        <f>""</f>
        <v/>
      </c>
      <c r="CS394" t="str">
        <f>""</f>
        <v/>
      </c>
      <c r="CT394" t="str">
        <f>""</f>
        <v/>
      </c>
      <c r="CU394" t="str">
        <f>""</f>
        <v/>
      </c>
      <c r="CV394" t="str">
        <f>""</f>
        <v/>
      </c>
      <c r="CW394" t="str">
        <f>""</f>
        <v/>
      </c>
      <c r="CX394" t="str">
        <f>""</f>
        <v/>
      </c>
      <c r="CY394" t="str">
        <f>""</f>
        <v/>
      </c>
      <c r="CZ394" t="str">
        <f>""</f>
        <v/>
      </c>
      <c r="DA394" t="str">
        <f>""</f>
        <v/>
      </c>
      <c r="DB394" t="str">
        <f>""</f>
        <v/>
      </c>
      <c r="DC394" t="str">
        <f>""</f>
        <v/>
      </c>
      <c r="DD394" t="str">
        <f>""</f>
        <v/>
      </c>
      <c r="DE394" t="str">
        <f>""</f>
        <v/>
      </c>
      <c r="DF394" t="str">
        <f>""</f>
        <v/>
      </c>
      <c r="DG394" t="str">
        <f>""</f>
        <v/>
      </c>
      <c r="DH394" t="str">
        <f>""</f>
        <v/>
      </c>
      <c r="DI394" t="str">
        <f>""</f>
        <v/>
      </c>
      <c r="DJ394" t="str">
        <f>""</f>
        <v/>
      </c>
      <c r="DK394" t="str">
        <f>""</f>
        <v/>
      </c>
      <c r="DL394" t="str">
        <f>""</f>
        <v/>
      </c>
      <c r="DM394" t="str">
        <f>""</f>
        <v/>
      </c>
      <c r="DN394" t="str">
        <f>""</f>
        <v/>
      </c>
      <c r="DO394" t="str">
        <f>""</f>
        <v/>
      </c>
      <c r="DP394" t="str">
        <f>""</f>
        <v/>
      </c>
      <c r="DQ394" t="str">
        <f>""</f>
        <v/>
      </c>
      <c r="DR394" t="str">
        <f>""</f>
        <v/>
      </c>
      <c r="DS394" t="str">
        <f>""</f>
        <v/>
      </c>
      <c r="DT394" t="str">
        <f>""</f>
        <v/>
      </c>
      <c r="DU394" t="str">
        <f>""</f>
        <v/>
      </c>
    </row>
    <row r="395" spans="1:125">
      <c r="A395" t="str">
        <f>$A$192</f>
        <v xml:space="preserve">    UDR Inc</v>
      </c>
      <c r="B395" t="str">
        <f>$B$192</f>
        <v>UDR US Equity</v>
      </c>
      <c r="C395" t="str">
        <f>$C$192</f>
        <v>RR253</v>
      </c>
      <c r="D395" t="str">
        <f>$D$192</f>
        <v>CASH_AND_MARKETABLE_SECURITIES</v>
      </c>
      <c r="E395" t="str">
        <f>$E$192</f>
        <v>动态</v>
      </c>
      <c r="F395" t="str">
        <f ca="1">BDH($B$192,$C$192,$B$224,$B$225,CONCATENATE("Per=",$B$222),"Dts=H","Dir=H",CONCATENATE("Points=",$B$223),"Sort=R","Days=A","Fill=B",CONCATENATE("FX=", $B$221) )</f>
        <v>#N/A Authorization</v>
      </c>
      <c r="BN395" t="str">
        <f>""</f>
        <v/>
      </c>
      <c r="BO395" t="str">
        <f>""</f>
        <v/>
      </c>
      <c r="BP395" t="str">
        <f>""</f>
        <v/>
      </c>
      <c r="BQ395" t="str">
        <f>""</f>
        <v/>
      </c>
      <c r="BR395" t="str">
        <f>""</f>
        <v/>
      </c>
      <c r="BS395" t="str">
        <f>""</f>
        <v/>
      </c>
      <c r="BT395" t="str">
        <f>""</f>
        <v/>
      </c>
      <c r="BU395" t="str">
        <f>""</f>
        <v/>
      </c>
      <c r="BV395" t="str">
        <f>""</f>
        <v/>
      </c>
      <c r="BW395" t="str">
        <f>""</f>
        <v/>
      </c>
      <c r="BX395" t="str">
        <f>""</f>
        <v/>
      </c>
      <c r="BY395" t="str">
        <f>""</f>
        <v/>
      </c>
      <c r="BZ395" t="str">
        <f>""</f>
        <v/>
      </c>
      <c r="CA395" t="str">
        <f>""</f>
        <v/>
      </c>
      <c r="CB395" t="str">
        <f>""</f>
        <v/>
      </c>
      <c r="CC395" t="str">
        <f>""</f>
        <v/>
      </c>
      <c r="CD395" t="str">
        <f>""</f>
        <v/>
      </c>
      <c r="CE395" t="str">
        <f>""</f>
        <v/>
      </c>
      <c r="CF395" t="str">
        <f>""</f>
        <v/>
      </c>
      <c r="CG395" t="str">
        <f>""</f>
        <v/>
      </c>
      <c r="CH395" t="str">
        <f>""</f>
        <v/>
      </c>
      <c r="CI395" t="str">
        <f>""</f>
        <v/>
      </c>
      <c r="CJ395" t="str">
        <f>""</f>
        <v/>
      </c>
      <c r="CK395" t="str">
        <f>""</f>
        <v/>
      </c>
      <c r="CL395" t="str">
        <f>""</f>
        <v/>
      </c>
      <c r="CM395" t="str">
        <f>""</f>
        <v/>
      </c>
      <c r="CN395" t="str">
        <f>""</f>
        <v/>
      </c>
      <c r="CO395" t="str">
        <f>""</f>
        <v/>
      </c>
      <c r="CP395" t="str">
        <f>""</f>
        <v/>
      </c>
      <c r="CQ395" t="str">
        <f>""</f>
        <v/>
      </c>
      <c r="CR395" t="str">
        <f>""</f>
        <v/>
      </c>
      <c r="CS395" t="str">
        <f>""</f>
        <v/>
      </c>
      <c r="CT395" t="str">
        <f>""</f>
        <v/>
      </c>
      <c r="CU395" t="str">
        <f>""</f>
        <v/>
      </c>
      <c r="CV395" t="str">
        <f>""</f>
        <v/>
      </c>
      <c r="CW395" t="str">
        <f>""</f>
        <v/>
      </c>
      <c r="CX395" t="str">
        <f>""</f>
        <v/>
      </c>
      <c r="CY395" t="str">
        <f>""</f>
        <v/>
      </c>
      <c r="CZ395" t="str">
        <f>""</f>
        <v/>
      </c>
      <c r="DA395" t="str">
        <f>""</f>
        <v/>
      </c>
      <c r="DB395" t="str">
        <f>""</f>
        <v/>
      </c>
      <c r="DC395" t="str">
        <f>""</f>
        <v/>
      </c>
      <c r="DD395" t="str">
        <f>""</f>
        <v/>
      </c>
      <c r="DE395" t="str">
        <f>""</f>
        <v/>
      </c>
      <c r="DF395" t="str">
        <f>""</f>
        <v/>
      </c>
      <c r="DG395" t="str">
        <f>""</f>
        <v/>
      </c>
      <c r="DH395" t="str">
        <f>""</f>
        <v/>
      </c>
      <c r="DI395" t="str">
        <f>""</f>
        <v/>
      </c>
      <c r="DJ395" t="str">
        <f>""</f>
        <v/>
      </c>
      <c r="DK395" t="str">
        <f>""</f>
        <v/>
      </c>
      <c r="DL395" t="str">
        <f>""</f>
        <v/>
      </c>
      <c r="DM395" t="str">
        <f>""</f>
        <v/>
      </c>
      <c r="DN395" t="str">
        <f>""</f>
        <v/>
      </c>
      <c r="DO395" t="str">
        <f>""</f>
        <v/>
      </c>
      <c r="DP395" t="str">
        <f>""</f>
        <v/>
      </c>
      <c r="DQ395" t="str">
        <f>""</f>
        <v/>
      </c>
      <c r="DR395" t="str">
        <f>""</f>
        <v/>
      </c>
      <c r="DS395" t="str">
        <f>""</f>
        <v/>
      </c>
      <c r="DT395" t="str">
        <f>""</f>
        <v/>
      </c>
      <c r="DU395" t="str">
        <f>""</f>
        <v/>
      </c>
    </row>
    <row r="396" spans="1:125">
      <c r="A396" t="str">
        <f>$A$194</f>
        <v xml:space="preserve">    American Campus Communities In</v>
      </c>
      <c r="B396" t="str">
        <f>$B$194</f>
        <v>ACC US Equity</v>
      </c>
      <c r="C396" t="str">
        <f>$C$194</f>
        <v>RR008</v>
      </c>
      <c r="D396" t="str">
        <f>$D$194</f>
        <v>CF_FREE_CASH_FLOW</v>
      </c>
      <c r="E396" t="str">
        <f>$E$194</f>
        <v>动态</v>
      </c>
      <c r="F396" t="str">
        <f ca="1">BDH($B$194,$C$194,$B$224,$B$225,CONCATENATE("Per=",$B$222),"Dts=H","Dir=H",CONCATENATE("Points=",$B$223),"Sort=R","Days=A","Fill=B",CONCATENATE("FX=", $B$221) )</f>
        <v>#N/A Authorization</v>
      </c>
      <c r="BN396" t="str">
        <f>""</f>
        <v/>
      </c>
      <c r="BO396" t="str">
        <f>""</f>
        <v/>
      </c>
      <c r="BP396" t="str">
        <f>""</f>
        <v/>
      </c>
      <c r="BQ396" t="str">
        <f>""</f>
        <v/>
      </c>
      <c r="BR396" t="str">
        <f>""</f>
        <v/>
      </c>
      <c r="BS396" t="str">
        <f>""</f>
        <v/>
      </c>
      <c r="BT396" t="str">
        <f>""</f>
        <v/>
      </c>
      <c r="BU396" t="str">
        <f>""</f>
        <v/>
      </c>
      <c r="BV396" t="str">
        <f>""</f>
        <v/>
      </c>
      <c r="BW396" t="str">
        <f>""</f>
        <v/>
      </c>
      <c r="BX396" t="str">
        <f>""</f>
        <v/>
      </c>
      <c r="BY396" t="str">
        <f>""</f>
        <v/>
      </c>
      <c r="BZ396" t="str">
        <f>""</f>
        <v/>
      </c>
      <c r="CA396" t="str">
        <f>""</f>
        <v/>
      </c>
      <c r="CB396" t="str">
        <f>""</f>
        <v/>
      </c>
      <c r="CC396" t="str">
        <f>""</f>
        <v/>
      </c>
      <c r="CD396" t="str">
        <f>""</f>
        <v/>
      </c>
      <c r="CE396" t="str">
        <f>""</f>
        <v/>
      </c>
      <c r="CF396" t="str">
        <f>""</f>
        <v/>
      </c>
      <c r="CG396" t="str">
        <f>""</f>
        <v/>
      </c>
      <c r="CH396" t="str">
        <f>""</f>
        <v/>
      </c>
      <c r="CI396" t="str">
        <f>""</f>
        <v/>
      </c>
      <c r="CJ396" t="str">
        <f>""</f>
        <v/>
      </c>
      <c r="CK396" t="str">
        <f>""</f>
        <v/>
      </c>
      <c r="CL396" t="str">
        <f>""</f>
        <v/>
      </c>
      <c r="CM396" t="str">
        <f>""</f>
        <v/>
      </c>
      <c r="CN396" t="str">
        <f>""</f>
        <v/>
      </c>
      <c r="CO396" t="str">
        <f>""</f>
        <v/>
      </c>
      <c r="CP396" t="str">
        <f>""</f>
        <v/>
      </c>
      <c r="CQ396" t="str">
        <f>""</f>
        <v/>
      </c>
      <c r="CR396" t="str">
        <f>""</f>
        <v/>
      </c>
      <c r="CS396" t="str">
        <f>""</f>
        <v/>
      </c>
      <c r="CT396" t="str">
        <f>""</f>
        <v/>
      </c>
      <c r="CU396" t="str">
        <f>""</f>
        <v/>
      </c>
      <c r="CV396" t="str">
        <f>""</f>
        <v/>
      </c>
      <c r="CW396" t="str">
        <f>""</f>
        <v/>
      </c>
      <c r="CX396" t="str">
        <f>""</f>
        <v/>
      </c>
      <c r="CY396" t="str">
        <f>""</f>
        <v/>
      </c>
      <c r="CZ396" t="str">
        <f>""</f>
        <v/>
      </c>
      <c r="DA396" t="str">
        <f>""</f>
        <v/>
      </c>
      <c r="DB396" t="str">
        <f>""</f>
        <v/>
      </c>
      <c r="DC396" t="str">
        <f>""</f>
        <v/>
      </c>
      <c r="DD396" t="str">
        <f>""</f>
        <v/>
      </c>
      <c r="DE396" t="str">
        <f>""</f>
        <v/>
      </c>
      <c r="DF396" t="str">
        <f>""</f>
        <v/>
      </c>
      <c r="DG396" t="str">
        <f>""</f>
        <v/>
      </c>
      <c r="DH396" t="str">
        <f>""</f>
        <v/>
      </c>
      <c r="DI396" t="str">
        <f>""</f>
        <v/>
      </c>
      <c r="DJ396" t="str">
        <f>""</f>
        <v/>
      </c>
      <c r="DK396" t="str">
        <f>""</f>
        <v/>
      </c>
      <c r="DL396" t="str">
        <f>""</f>
        <v/>
      </c>
      <c r="DM396" t="str">
        <f>""</f>
        <v/>
      </c>
      <c r="DN396" t="str">
        <f>""</f>
        <v/>
      </c>
      <c r="DO396" t="str">
        <f>""</f>
        <v/>
      </c>
      <c r="DP396" t="str">
        <f>""</f>
        <v/>
      </c>
      <c r="DQ396" t="str">
        <f>""</f>
        <v/>
      </c>
      <c r="DR396" t="str">
        <f>""</f>
        <v/>
      </c>
      <c r="DS396" t="str">
        <f>""</f>
        <v/>
      </c>
      <c r="DT396" t="str">
        <f>""</f>
        <v/>
      </c>
      <c r="DU396" t="str">
        <f>""</f>
        <v/>
      </c>
    </row>
    <row r="397" spans="1:125">
      <c r="A397" t="str">
        <f>$A$195</f>
        <v xml:space="preserve">    AvalonBay Communities Inc</v>
      </c>
      <c r="B397" t="str">
        <f>$B$195</f>
        <v>AVB US Equity</v>
      </c>
      <c r="C397" t="str">
        <f>$C$195</f>
        <v>RR008</v>
      </c>
      <c r="D397" t="str">
        <f>$D$195</f>
        <v>CF_FREE_CASH_FLOW</v>
      </c>
      <c r="E397" t="str">
        <f>$E$195</f>
        <v>动态</v>
      </c>
      <c r="F397" t="str">
        <f ca="1">BDH($B$195,$C$195,$B$224,$B$225,CONCATENATE("Per=",$B$222),"Dts=H","Dir=H",CONCATENATE("Points=",$B$223),"Sort=R","Days=A","Fill=B",CONCATENATE("FX=", $B$221) )</f>
        <v>#N/A Authorization</v>
      </c>
      <c r="BN397" t="str">
        <f>""</f>
        <v/>
      </c>
      <c r="BO397" t="str">
        <f>""</f>
        <v/>
      </c>
      <c r="BP397" t="str">
        <f>""</f>
        <v/>
      </c>
      <c r="BQ397" t="str">
        <f>""</f>
        <v/>
      </c>
      <c r="BR397" t="str">
        <f>""</f>
        <v/>
      </c>
      <c r="BS397" t="str">
        <f>""</f>
        <v/>
      </c>
      <c r="BT397" t="str">
        <f>""</f>
        <v/>
      </c>
      <c r="BU397" t="str">
        <f>""</f>
        <v/>
      </c>
      <c r="BV397" t="str">
        <f>""</f>
        <v/>
      </c>
      <c r="BW397" t="str">
        <f>""</f>
        <v/>
      </c>
      <c r="BX397" t="str">
        <f>""</f>
        <v/>
      </c>
      <c r="BY397" t="str">
        <f>""</f>
        <v/>
      </c>
      <c r="BZ397" t="str">
        <f>""</f>
        <v/>
      </c>
      <c r="CA397" t="str">
        <f>""</f>
        <v/>
      </c>
      <c r="CB397" t="str">
        <f>""</f>
        <v/>
      </c>
      <c r="CC397" t="str">
        <f>""</f>
        <v/>
      </c>
      <c r="CD397" t="str">
        <f>""</f>
        <v/>
      </c>
      <c r="CE397" t="str">
        <f>""</f>
        <v/>
      </c>
      <c r="CF397" t="str">
        <f>""</f>
        <v/>
      </c>
      <c r="CG397" t="str">
        <f>""</f>
        <v/>
      </c>
      <c r="CH397" t="str">
        <f>""</f>
        <v/>
      </c>
      <c r="CI397" t="str">
        <f>""</f>
        <v/>
      </c>
      <c r="CJ397" t="str">
        <f>""</f>
        <v/>
      </c>
      <c r="CK397" t="str">
        <f>""</f>
        <v/>
      </c>
      <c r="CL397" t="str">
        <f>""</f>
        <v/>
      </c>
      <c r="CM397" t="str">
        <f>""</f>
        <v/>
      </c>
      <c r="CN397" t="str">
        <f>""</f>
        <v/>
      </c>
      <c r="CO397" t="str">
        <f>""</f>
        <v/>
      </c>
      <c r="CP397" t="str">
        <f>""</f>
        <v/>
      </c>
      <c r="CQ397" t="str">
        <f>""</f>
        <v/>
      </c>
      <c r="CR397" t="str">
        <f>""</f>
        <v/>
      </c>
      <c r="CS397" t="str">
        <f>""</f>
        <v/>
      </c>
      <c r="CT397" t="str">
        <f>""</f>
        <v/>
      </c>
      <c r="CU397" t="str">
        <f>""</f>
        <v/>
      </c>
      <c r="CV397" t="str">
        <f>""</f>
        <v/>
      </c>
      <c r="CW397" t="str">
        <f>""</f>
        <v/>
      </c>
      <c r="CX397" t="str">
        <f>""</f>
        <v/>
      </c>
      <c r="CY397" t="str">
        <f>""</f>
        <v/>
      </c>
      <c r="CZ397" t="str">
        <f>""</f>
        <v/>
      </c>
      <c r="DA397" t="str">
        <f>""</f>
        <v/>
      </c>
      <c r="DB397" t="str">
        <f>""</f>
        <v/>
      </c>
      <c r="DC397" t="str">
        <f>""</f>
        <v/>
      </c>
      <c r="DD397" t="str">
        <f>""</f>
        <v/>
      </c>
      <c r="DE397" t="str">
        <f>""</f>
        <v/>
      </c>
      <c r="DF397" t="str">
        <f>""</f>
        <v/>
      </c>
      <c r="DG397" t="str">
        <f>""</f>
        <v/>
      </c>
      <c r="DH397" t="str">
        <f>""</f>
        <v/>
      </c>
      <c r="DI397" t="str">
        <f>""</f>
        <v/>
      </c>
      <c r="DJ397" t="str">
        <f>""</f>
        <v/>
      </c>
      <c r="DK397" t="str">
        <f>""</f>
        <v/>
      </c>
      <c r="DL397" t="str">
        <f>""</f>
        <v/>
      </c>
      <c r="DM397" t="str">
        <f>""</f>
        <v/>
      </c>
      <c r="DN397" t="str">
        <f>""</f>
        <v/>
      </c>
      <c r="DO397" t="str">
        <f>""</f>
        <v/>
      </c>
      <c r="DP397" t="str">
        <f>""</f>
        <v/>
      </c>
      <c r="DQ397" t="str">
        <f>""</f>
        <v/>
      </c>
      <c r="DR397" t="str">
        <f>""</f>
        <v/>
      </c>
      <c r="DS397" t="str">
        <f>""</f>
        <v/>
      </c>
      <c r="DT397" t="str">
        <f>""</f>
        <v/>
      </c>
      <c r="DU397" t="str">
        <f>""</f>
        <v/>
      </c>
    </row>
    <row r="398" spans="1:125">
      <c r="A398" t="str">
        <f>$A$196</f>
        <v xml:space="preserve">    Camden Property Trust</v>
      </c>
      <c r="B398" t="str">
        <f>$B$196</f>
        <v>CPT US Equity</v>
      </c>
      <c r="C398" t="str">
        <f>$C$196</f>
        <v>RR008</v>
      </c>
      <c r="D398" t="str">
        <f>$D$196</f>
        <v>CF_FREE_CASH_FLOW</v>
      </c>
      <c r="E398" t="str">
        <f>$E$196</f>
        <v>动态</v>
      </c>
      <c r="F398" t="str">
        <f ca="1">BDH($B$196,$C$196,$B$224,$B$225,CONCATENATE("Per=",$B$222),"Dts=H","Dir=H",CONCATENATE("Points=",$B$223),"Sort=R","Days=A","Fill=B",CONCATENATE("FX=", $B$221) )</f>
        <v>#N/A Authorization</v>
      </c>
      <c r="BN398" t="str">
        <f>""</f>
        <v/>
      </c>
      <c r="BO398" t="str">
        <f>""</f>
        <v/>
      </c>
      <c r="BP398" t="str">
        <f>""</f>
        <v/>
      </c>
      <c r="BQ398" t="str">
        <f>""</f>
        <v/>
      </c>
      <c r="BR398" t="str">
        <f>""</f>
        <v/>
      </c>
      <c r="BS398" t="str">
        <f>""</f>
        <v/>
      </c>
      <c r="BT398" t="str">
        <f>""</f>
        <v/>
      </c>
      <c r="BU398" t="str">
        <f>""</f>
        <v/>
      </c>
      <c r="BV398" t="str">
        <f>""</f>
        <v/>
      </c>
      <c r="BW398" t="str">
        <f>""</f>
        <v/>
      </c>
      <c r="BX398" t="str">
        <f>""</f>
        <v/>
      </c>
      <c r="BY398" t="str">
        <f>""</f>
        <v/>
      </c>
      <c r="BZ398" t="str">
        <f>""</f>
        <v/>
      </c>
      <c r="CA398" t="str">
        <f>""</f>
        <v/>
      </c>
      <c r="CB398" t="str">
        <f>""</f>
        <v/>
      </c>
      <c r="CC398" t="str">
        <f>""</f>
        <v/>
      </c>
      <c r="CD398" t="str">
        <f>""</f>
        <v/>
      </c>
      <c r="CE398" t="str">
        <f>""</f>
        <v/>
      </c>
      <c r="CF398" t="str">
        <f>""</f>
        <v/>
      </c>
      <c r="CG398" t="str">
        <f>""</f>
        <v/>
      </c>
      <c r="CH398" t="str">
        <f>""</f>
        <v/>
      </c>
      <c r="CI398" t="str">
        <f>""</f>
        <v/>
      </c>
      <c r="CJ398" t="str">
        <f>""</f>
        <v/>
      </c>
      <c r="CK398" t="str">
        <f>""</f>
        <v/>
      </c>
      <c r="CL398" t="str">
        <f>""</f>
        <v/>
      </c>
      <c r="CM398" t="str">
        <f>""</f>
        <v/>
      </c>
      <c r="CN398" t="str">
        <f>""</f>
        <v/>
      </c>
      <c r="CO398" t="str">
        <f>""</f>
        <v/>
      </c>
      <c r="CP398" t="str">
        <f>""</f>
        <v/>
      </c>
      <c r="CQ398" t="str">
        <f>""</f>
        <v/>
      </c>
      <c r="CR398" t="str">
        <f>""</f>
        <v/>
      </c>
      <c r="CS398" t="str">
        <f>""</f>
        <v/>
      </c>
      <c r="CT398" t="str">
        <f>""</f>
        <v/>
      </c>
      <c r="CU398" t="str">
        <f>""</f>
        <v/>
      </c>
      <c r="CV398" t="str">
        <f>""</f>
        <v/>
      </c>
      <c r="CW398" t="str">
        <f>""</f>
        <v/>
      </c>
      <c r="CX398" t="str">
        <f>""</f>
        <v/>
      </c>
      <c r="CY398" t="str">
        <f>""</f>
        <v/>
      </c>
      <c r="CZ398" t="str">
        <f>""</f>
        <v/>
      </c>
      <c r="DA398" t="str">
        <f>""</f>
        <v/>
      </c>
      <c r="DB398" t="str">
        <f>""</f>
        <v/>
      </c>
      <c r="DC398" t="str">
        <f>""</f>
        <v/>
      </c>
      <c r="DD398" t="str">
        <f>""</f>
        <v/>
      </c>
      <c r="DE398" t="str">
        <f>""</f>
        <v/>
      </c>
      <c r="DF398" t="str">
        <f>""</f>
        <v/>
      </c>
      <c r="DG398" t="str">
        <f>""</f>
        <v/>
      </c>
      <c r="DH398" t="str">
        <f>""</f>
        <v/>
      </c>
      <c r="DI398" t="str">
        <f>""</f>
        <v/>
      </c>
      <c r="DJ398" t="str">
        <f>""</f>
        <v/>
      </c>
      <c r="DK398" t="str">
        <f>""</f>
        <v/>
      </c>
      <c r="DL398" t="str">
        <f>""</f>
        <v/>
      </c>
      <c r="DM398" t="str">
        <f>""</f>
        <v/>
      </c>
      <c r="DN398" t="str">
        <f>""</f>
        <v/>
      </c>
      <c r="DO398" t="str">
        <f>""</f>
        <v/>
      </c>
      <c r="DP398" t="str">
        <f>""</f>
        <v/>
      </c>
      <c r="DQ398" t="str">
        <f>""</f>
        <v/>
      </c>
      <c r="DR398" t="str">
        <f>""</f>
        <v/>
      </c>
      <c r="DS398" t="str">
        <f>""</f>
        <v/>
      </c>
      <c r="DT398" t="str">
        <f>""</f>
        <v/>
      </c>
      <c r="DU398" t="str">
        <f>""</f>
        <v/>
      </c>
    </row>
    <row r="399" spans="1:125">
      <c r="A399" t="str">
        <f>$A$197</f>
        <v xml:space="preserve">    Education Realty Trust Inc</v>
      </c>
      <c r="B399" t="str">
        <f>$B$197</f>
        <v>EDR US Equity</v>
      </c>
      <c r="C399" t="str">
        <f>$C$197</f>
        <v>RR008</v>
      </c>
      <c r="D399" t="str">
        <f>$D$197</f>
        <v>CF_FREE_CASH_FLOW</v>
      </c>
      <c r="E399" t="str">
        <f>$E$197</f>
        <v>动态</v>
      </c>
      <c r="F399" t="str">
        <f ca="1">BDH($B$197,$C$197,$B$224,$B$225,CONCATENATE("Per=",$B$222),"Dts=H","Dir=H",CONCATENATE("Points=",$B$223),"Sort=R","Days=A","Fill=B",CONCATENATE("FX=", $B$221) )</f>
        <v>#N/A Authorization</v>
      </c>
      <c r="BN399" t="str">
        <f>""</f>
        <v/>
      </c>
      <c r="BO399" t="str">
        <f>""</f>
        <v/>
      </c>
      <c r="BP399" t="str">
        <f>""</f>
        <v/>
      </c>
      <c r="BQ399" t="str">
        <f>""</f>
        <v/>
      </c>
      <c r="BR399" t="str">
        <f>""</f>
        <v/>
      </c>
      <c r="BS399" t="str">
        <f>""</f>
        <v/>
      </c>
      <c r="BT399" t="str">
        <f>""</f>
        <v/>
      </c>
      <c r="BU399" t="str">
        <f>""</f>
        <v/>
      </c>
      <c r="BV399" t="str">
        <f>""</f>
        <v/>
      </c>
      <c r="BW399" t="str">
        <f>""</f>
        <v/>
      </c>
      <c r="BX399" t="str">
        <f>""</f>
        <v/>
      </c>
      <c r="BY399" t="str">
        <f>""</f>
        <v/>
      </c>
      <c r="BZ399" t="str">
        <f>""</f>
        <v/>
      </c>
      <c r="CA399" t="str">
        <f>""</f>
        <v/>
      </c>
      <c r="CB399" t="str">
        <f>""</f>
        <v/>
      </c>
      <c r="CC399" t="str">
        <f>""</f>
        <v/>
      </c>
      <c r="CD399" t="str">
        <f>""</f>
        <v/>
      </c>
      <c r="CE399" t="str">
        <f>""</f>
        <v/>
      </c>
      <c r="CF399" t="str">
        <f>""</f>
        <v/>
      </c>
      <c r="CG399" t="str">
        <f>""</f>
        <v/>
      </c>
      <c r="CH399" t="str">
        <f>""</f>
        <v/>
      </c>
      <c r="CI399" t="str">
        <f>""</f>
        <v/>
      </c>
      <c r="CJ399" t="str">
        <f>""</f>
        <v/>
      </c>
      <c r="CK399" t="str">
        <f>""</f>
        <v/>
      </c>
      <c r="CL399" t="str">
        <f>""</f>
        <v/>
      </c>
      <c r="CM399" t="str">
        <f>""</f>
        <v/>
      </c>
      <c r="CN399" t="str">
        <f>""</f>
        <v/>
      </c>
      <c r="CO399" t="str">
        <f>""</f>
        <v/>
      </c>
      <c r="CP399" t="str">
        <f>""</f>
        <v/>
      </c>
      <c r="CQ399" t="str">
        <f>""</f>
        <v/>
      </c>
      <c r="CR399" t="str">
        <f>""</f>
        <v/>
      </c>
      <c r="CS399" t="str">
        <f>""</f>
        <v/>
      </c>
      <c r="CT399" t="str">
        <f>""</f>
        <v/>
      </c>
      <c r="CU399" t="str">
        <f>""</f>
        <v/>
      </c>
      <c r="CV399" t="str">
        <f>""</f>
        <v/>
      </c>
      <c r="CW399" t="str">
        <f>""</f>
        <v/>
      </c>
      <c r="CX399" t="str">
        <f>""</f>
        <v/>
      </c>
      <c r="CY399" t="str">
        <f>""</f>
        <v/>
      </c>
      <c r="CZ399" t="str">
        <f>""</f>
        <v/>
      </c>
      <c r="DA399" t="str">
        <f>""</f>
        <v/>
      </c>
      <c r="DB399" t="str">
        <f>""</f>
        <v/>
      </c>
      <c r="DC399" t="str">
        <f>""</f>
        <v/>
      </c>
      <c r="DD399" t="str">
        <f>""</f>
        <v/>
      </c>
      <c r="DE399" t="str">
        <f>""</f>
        <v/>
      </c>
      <c r="DF399" t="str">
        <f>""</f>
        <v/>
      </c>
      <c r="DG399" t="str">
        <f>""</f>
        <v/>
      </c>
      <c r="DH399" t="str">
        <f>""</f>
        <v/>
      </c>
      <c r="DI399" t="str">
        <f>""</f>
        <v/>
      </c>
      <c r="DJ399" t="str">
        <f>""</f>
        <v/>
      </c>
      <c r="DK399" t="str">
        <f>""</f>
        <v/>
      </c>
      <c r="DL399" t="str">
        <f>""</f>
        <v/>
      </c>
      <c r="DM399" t="str">
        <f>""</f>
        <v/>
      </c>
      <c r="DN399" t="str">
        <f>""</f>
        <v/>
      </c>
      <c r="DO399" t="str">
        <f>""</f>
        <v/>
      </c>
      <c r="DP399" t="str">
        <f>""</f>
        <v/>
      </c>
      <c r="DQ399" t="str">
        <f>""</f>
        <v/>
      </c>
      <c r="DR399" t="str">
        <f>""</f>
        <v/>
      </c>
      <c r="DS399" t="str">
        <f>""</f>
        <v/>
      </c>
      <c r="DT399" t="str">
        <f>""</f>
        <v/>
      </c>
      <c r="DU399" t="str">
        <f>""</f>
        <v/>
      </c>
    </row>
    <row r="400" spans="1:125">
      <c r="A400" t="str">
        <f>$A$198</f>
        <v xml:space="preserve">    Equity Residential</v>
      </c>
      <c r="B400" t="str">
        <f>$B$198</f>
        <v>EQR US Equity</v>
      </c>
      <c r="C400" t="str">
        <f>$C$198</f>
        <v>RR008</v>
      </c>
      <c r="D400" t="str">
        <f>$D$198</f>
        <v>CF_FREE_CASH_FLOW</v>
      </c>
      <c r="E400" t="str">
        <f>$E$198</f>
        <v>动态</v>
      </c>
      <c r="F400" t="str">
        <f ca="1">BDH($B$198,$C$198,$B$224,$B$225,CONCATENATE("Per=",$B$222),"Dts=H","Dir=H",CONCATENATE("Points=",$B$223),"Sort=R","Days=A","Fill=B",CONCATENATE("FX=", $B$221) )</f>
        <v>#N/A Authorization</v>
      </c>
      <c r="BN400" t="str">
        <f>""</f>
        <v/>
      </c>
      <c r="BO400" t="str">
        <f>""</f>
        <v/>
      </c>
      <c r="BP400" t="str">
        <f>""</f>
        <v/>
      </c>
      <c r="BQ400" t="str">
        <f>""</f>
        <v/>
      </c>
      <c r="BR400" t="str">
        <f>""</f>
        <v/>
      </c>
      <c r="BS400" t="str">
        <f>""</f>
        <v/>
      </c>
      <c r="BT400" t="str">
        <f>""</f>
        <v/>
      </c>
      <c r="BU400" t="str">
        <f>""</f>
        <v/>
      </c>
      <c r="BV400" t="str">
        <f>""</f>
        <v/>
      </c>
      <c r="BW400" t="str">
        <f>""</f>
        <v/>
      </c>
      <c r="BX400" t="str">
        <f>""</f>
        <v/>
      </c>
      <c r="BY400" t="str">
        <f>""</f>
        <v/>
      </c>
      <c r="BZ400" t="str">
        <f>""</f>
        <v/>
      </c>
      <c r="CA400" t="str">
        <f>""</f>
        <v/>
      </c>
      <c r="CB400" t="str">
        <f>""</f>
        <v/>
      </c>
      <c r="CC400" t="str">
        <f>""</f>
        <v/>
      </c>
      <c r="CD400" t="str">
        <f>""</f>
        <v/>
      </c>
      <c r="CE400" t="str">
        <f>""</f>
        <v/>
      </c>
      <c r="CF400" t="str">
        <f>""</f>
        <v/>
      </c>
      <c r="CG400" t="str">
        <f>""</f>
        <v/>
      </c>
      <c r="CH400" t="str">
        <f>""</f>
        <v/>
      </c>
      <c r="CI400" t="str">
        <f>""</f>
        <v/>
      </c>
      <c r="CJ400" t="str">
        <f>""</f>
        <v/>
      </c>
      <c r="CK400" t="str">
        <f>""</f>
        <v/>
      </c>
      <c r="CL400" t="str">
        <f>""</f>
        <v/>
      </c>
      <c r="CM400" t="str">
        <f>""</f>
        <v/>
      </c>
      <c r="CN400" t="str">
        <f>""</f>
        <v/>
      </c>
      <c r="CO400" t="str">
        <f>""</f>
        <v/>
      </c>
      <c r="CP400" t="str">
        <f>""</f>
        <v/>
      </c>
      <c r="CQ400" t="str">
        <f>""</f>
        <v/>
      </c>
      <c r="CR400" t="str">
        <f>""</f>
        <v/>
      </c>
      <c r="CS400" t="str">
        <f>""</f>
        <v/>
      </c>
      <c r="CT400" t="str">
        <f>""</f>
        <v/>
      </c>
      <c r="CU400" t="str">
        <f>""</f>
        <v/>
      </c>
      <c r="CV400" t="str">
        <f>""</f>
        <v/>
      </c>
      <c r="CW400" t="str">
        <f>""</f>
        <v/>
      </c>
      <c r="CX400" t="str">
        <f>""</f>
        <v/>
      </c>
      <c r="CY400" t="str">
        <f>""</f>
        <v/>
      </c>
      <c r="CZ400" t="str">
        <f>""</f>
        <v/>
      </c>
      <c r="DA400" t="str">
        <f>""</f>
        <v/>
      </c>
      <c r="DB400" t="str">
        <f>""</f>
        <v/>
      </c>
      <c r="DC400" t="str">
        <f>""</f>
        <v/>
      </c>
      <c r="DD400" t="str">
        <f>""</f>
        <v/>
      </c>
      <c r="DE400" t="str">
        <f>""</f>
        <v/>
      </c>
      <c r="DF400" t="str">
        <f>""</f>
        <v/>
      </c>
      <c r="DG400" t="str">
        <f>""</f>
        <v/>
      </c>
      <c r="DH400" t="str">
        <f>""</f>
        <v/>
      </c>
      <c r="DI400" t="str">
        <f>""</f>
        <v/>
      </c>
      <c r="DJ400" t="str">
        <f>""</f>
        <v/>
      </c>
      <c r="DK400" t="str">
        <f>""</f>
        <v/>
      </c>
      <c r="DL400" t="str">
        <f>""</f>
        <v/>
      </c>
      <c r="DM400" t="str">
        <f>""</f>
        <v/>
      </c>
      <c r="DN400" t="str">
        <f>""</f>
        <v/>
      </c>
      <c r="DO400" t="str">
        <f>""</f>
        <v/>
      </c>
      <c r="DP400" t="str">
        <f>""</f>
        <v/>
      </c>
      <c r="DQ400" t="str">
        <f>""</f>
        <v/>
      </c>
      <c r="DR400" t="str">
        <f>""</f>
        <v/>
      </c>
      <c r="DS400" t="str">
        <f>""</f>
        <v/>
      </c>
      <c r="DT400" t="str">
        <f>""</f>
        <v/>
      </c>
      <c r="DU400" t="str">
        <f>""</f>
        <v/>
      </c>
    </row>
    <row r="401" spans="1:125">
      <c r="A401" t="str">
        <f>$A$199</f>
        <v xml:space="preserve">    Essex Property Trust Inc</v>
      </c>
      <c r="B401" t="str">
        <f>$B$199</f>
        <v>ESS US Equity</v>
      </c>
      <c r="C401" t="str">
        <f>$C$199</f>
        <v>RR008</v>
      </c>
      <c r="D401" t="str">
        <f>$D$199</f>
        <v>CF_FREE_CASH_FLOW</v>
      </c>
      <c r="E401" t="str">
        <f>$E$199</f>
        <v>动态</v>
      </c>
      <c r="F401" t="str">
        <f ca="1">BDH($B$199,$C$199,$B$224,$B$225,CONCATENATE("Per=",$B$222),"Dts=H","Dir=H",CONCATENATE("Points=",$B$223),"Sort=R","Days=A","Fill=B",CONCATENATE("FX=", $B$221) )</f>
        <v>#N/A Authorization</v>
      </c>
      <c r="BN401" t="str">
        <f>""</f>
        <v/>
      </c>
      <c r="BO401" t="str">
        <f>""</f>
        <v/>
      </c>
      <c r="BP401" t="str">
        <f>""</f>
        <v/>
      </c>
      <c r="BQ401" t="str">
        <f>""</f>
        <v/>
      </c>
      <c r="BR401" t="str">
        <f>""</f>
        <v/>
      </c>
      <c r="BS401" t="str">
        <f>""</f>
        <v/>
      </c>
      <c r="BT401" t="str">
        <f>""</f>
        <v/>
      </c>
      <c r="BU401" t="str">
        <f>""</f>
        <v/>
      </c>
      <c r="BV401" t="str">
        <f>""</f>
        <v/>
      </c>
      <c r="BW401" t="str">
        <f>""</f>
        <v/>
      </c>
      <c r="BX401" t="str">
        <f>""</f>
        <v/>
      </c>
      <c r="BY401" t="str">
        <f>""</f>
        <v/>
      </c>
      <c r="BZ401" t="str">
        <f>""</f>
        <v/>
      </c>
      <c r="CA401" t="str">
        <f>""</f>
        <v/>
      </c>
      <c r="CB401" t="str">
        <f>""</f>
        <v/>
      </c>
      <c r="CC401" t="str">
        <f>""</f>
        <v/>
      </c>
      <c r="CD401" t="str">
        <f>""</f>
        <v/>
      </c>
      <c r="CE401" t="str">
        <f>""</f>
        <v/>
      </c>
      <c r="CF401" t="str">
        <f>""</f>
        <v/>
      </c>
      <c r="CG401" t="str">
        <f>""</f>
        <v/>
      </c>
      <c r="CH401" t="str">
        <f>""</f>
        <v/>
      </c>
      <c r="CI401" t="str">
        <f>""</f>
        <v/>
      </c>
      <c r="CJ401" t="str">
        <f>""</f>
        <v/>
      </c>
      <c r="CK401" t="str">
        <f>""</f>
        <v/>
      </c>
      <c r="CL401" t="str">
        <f>""</f>
        <v/>
      </c>
      <c r="CM401" t="str">
        <f>""</f>
        <v/>
      </c>
      <c r="CN401" t="str">
        <f>""</f>
        <v/>
      </c>
      <c r="CO401" t="str">
        <f>""</f>
        <v/>
      </c>
      <c r="CP401" t="str">
        <f>""</f>
        <v/>
      </c>
      <c r="CQ401" t="str">
        <f>""</f>
        <v/>
      </c>
      <c r="CR401" t="str">
        <f>""</f>
        <v/>
      </c>
      <c r="CS401" t="str">
        <f>""</f>
        <v/>
      </c>
      <c r="CT401" t="str">
        <f>""</f>
        <v/>
      </c>
      <c r="CU401" t="str">
        <f>""</f>
        <v/>
      </c>
      <c r="CV401" t="str">
        <f>""</f>
        <v/>
      </c>
      <c r="CW401" t="str">
        <f>""</f>
        <v/>
      </c>
      <c r="CX401" t="str">
        <f>""</f>
        <v/>
      </c>
      <c r="CY401" t="str">
        <f>""</f>
        <v/>
      </c>
      <c r="CZ401" t="str">
        <f>""</f>
        <v/>
      </c>
      <c r="DA401" t="str">
        <f>""</f>
        <v/>
      </c>
      <c r="DB401" t="str">
        <f>""</f>
        <v/>
      </c>
      <c r="DC401" t="str">
        <f>""</f>
        <v/>
      </c>
      <c r="DD401" t="str">
        <f>""</f>
        <v/>
      </c>
      <c r="DE401" t="str">
        <f>""</f>
        <v/>
      </c>
      <c r="DF401" t="str">
        <f>""</f>
        <v/>
      </c>
      <c r="DG401" t="str">
        <f>""</f>
        <v/>
      </c>
      <c r="DH401" t="str">
        <f>""</f>
        <v/>
      </c>
      <c r="DI401" t="str">
        <f>""</f>
        <v/>
      </c>
      <c r="DJ401" t="str">
        <f>""</f>
        <v/>
      </c>
      <c r="DK401" t="str">
        <f>""</f>
        <v/>
      </c>
      <c r="DL401" t="str">
        <f>""</f>
        <v/>
      </c>
      <c r="DM401" t="str">
        <f>""</f>
        <v/>
      </c>
      <c r="DN401" t="str">
        <f>""</f>
        <v/>
      </c>
      <c r="DO401" t="str">
        <f>""</f>
        <v/>
      </c>
      <c r="DP401" t="str">
        <f>""</f>
        <v/>
      </c>
      <c r="DQ401" t="str">
        <f>""</f>
        <v/>
      </c>
      <c r="DR401" t="str">
        <f>""</f>
        <v/>
      </c>
      <c r="DS401" t="str">
        <f>""</f>
        <v/>
      </c>
      <c r="DT401" t="str">
        <f>""</f>
        <v/>
      </c>
      <c r="DU401" t="str">
        <f>""</f>
        <v/>
      </c>
    </row>
    <row r="402" spans="1:125">
      <c r="A402" t="str">
        <f>$A$200</f>
        <v xml:space="preserve">    Mid-America Apartment Communit</v>
      </c>
      <c r="B402" t="str">
        <f>$B$200</f>
        <v>MAA US Equity</v>
      </c>
      <c r="C402" t="str">
        <f>$C$200</f>
        <v>RR008</v>
      </c>
      <c r="D402" t="str">
        <f>$D$200</f>
        <v>CF_FREE_CASH_FLOW</v>
      </c>
      <c r="E402" t="str">
        <f>$E$200</f>
        <v>动态</v>
      </c>
      <c r="F402" t="str">
        <f ca="1">BDH($B$200,$C$200,$B$224,$B$225,CONCATENATE("Per=",$B$222),"Dts=H","Dir=H",CONCATENATE("Points=",$B$223),"Sort=R","Days=A","Fill=B",CONCATENATE("FX=", $B$221) )</f>
        <v>#N/A Authorization</v>
      </c>
      <c r="BN402" t="str">
        <f>""</f>
        <v/>
      </c>
      <c r="BO402" t="str">
        <f>""</f>
        <v/>
      </c>
      <c r="BP402" t="str">
        <f>""</f>
        <v/>
      </c>
      <c r="BQ402" t="str">
        <f>""</f>
        <v/>
      </c>
      <c r="BR402" t="str">
        <f>""</f>
        <v/>
      </c>
      <c r="BS402" t="str">
        <f>""</f>
        <v/>
      </c>
      <c r="BT402" t="str">
        <f>""</f>
        <v/>
      </c>
      <c r="BU402" t="str">
        <f>""</f>
        <v/>
      </c>
      <c r="BV402" t="str">
        <f>""</f>
        <v/>
      </c>
      <c r="BW402" t="str">
        <f>""</f>
        <v/>
      </c>
      <c r="BX402" t="str">
        <f>""</f>
        <v/>
      </c>
      <c r="BY402" t="str">
        <f>""</f>
        <v/>
      </c>
      <c r="BZ402" t="str">
        <f>""</f>
        <v/>
      </c>
      <c r="CA402" t="str">
        <f>""</f>
        <v/>
      </c>
      <c r="CB402" t="str">
        <f>""</f>
        <v/>
      </c>
      <c r="CC402" t="str">
        <f>""</f>
        <v/>
      </c>
      <c r="CD402" t="str">
        <f>""</f>
        <v/>
      </c>
      <c r="CE402" t="str">
        <f>""</f>
        <v/>
      </c>
      <c r="CF402" t="str">
        <f>""</f>
        <v/>
      </c>
      <c r="CG402" t="str">
        <f>""</f>
        <v/>
      </c>
      <c r="CH402" t="str">
        <f>""</f>
        <v/>
      </c>
      <c r="CI402" t="str">
        <f>""</f>
        <v/>
      </c>
      <c r="CJ402" t="str">
        <f>""</f>
        <v/>
      </c>
      <c r="CK402" t="str">
        <f>""</f>
        <v/>
      </c>
      <c r="CL402" t="str">
        <f>""</f>
        <v/>
      </c>
      <c r="CM402" t="str">
        <f>""</f>
        <v/>
      </c>
      <c r="CN402" t="str">
        <f>""</f>
        <v/>
      </c>
      <c r="CO402" t="str">
        <f>""</f>
        <v/>
      </c>
      <c r="CP402" t="str">
        <f>""</f>
        <v/>
      </c>
      <c r="CQ402" t="str">
        <f>""</f>
        <v/>
      </c>
      <c r="CR402" t="str">
        <f>""</f>
        <v/>
      </c>
      <c r="CS402" t="str">
        <f>""</f>
        <v/>
      </c>
      <c r="CT402" t="str">
        <f>""</f>
        <v/>
      </c>
      <c r="CU402" t="str">
        <f>""</f>
        <v/>
      </c>
      <c r="CV402" t="str">
        <f>""</f>
        <v/>
      </c>
      <c r="CW402" t="str">
        <f>""</f>
        <v/>
      </c>
      <c r="CX402" t="str">
        <f>""</f>
        <v/>
      </c>
      <c r="CY402" t="str">
        <f>""</f>
        <v/>
      </c>
      <c r="CZ402" t="str">
        <f>""</f>
        <v/>
      </c>
      <c r="DA402" t="str">
        <f>""</f>
        <v/>
      </c>
      <c r="DB402" t="str">
        <f>""</f>
        <v/>
      </c>
      <c r="DC402" t="str">
        <f>""</f>
        <v/>
      </c>
      <c r="DD402" t="str">
        <f>""</f>
        <v/>
      </c>
      <c r="DE402" t="str">
        <f>""</f>
        <v/>
      </c>
      <c r="DF402" t="str">
        <f>""</f>
        <v/>
      </c>
      <c r="DG402" t="str">
        <f>""</f>
        <v/>
      </c>
      <c r="DH402" t="str">
        <f>""</f>
        <v/>
      </c>
      <c r="DI402" t="str">
        <f>""</f>
        <v/>
      </c>
      <c r="DJ402" t="str">
        <f>""</f>
        <v/>
      </c>
      <c r="DK402" t="str">
        <f>""</f>
        <v/>
      </c>
      <c r="DL402" t="str">
        <f>""</f>
        <v/>
      </c>
      <c r="DM402" t="str">
        <f>""</f>
        <v/>
      </c>
      <c r="DN402" t="str">
        <f>""</f>
        <v/>
      </c>
      <c r="DO402" t="str">
        <f>""</f>
        <v/>
      </c>
      <c r="DP402" t="str">
        <f>""</f>
        <v/>
      </c>
      <c r="DQ402" t="str">
        <f>""</f>
        <v/>
      </c>
      <c r="DR402" t="str">
        <f>""</f>
        <v/>
      </c>
      <c r="DS402" t="str">
        <f>""</f>
        <v/>
      </c>
      <c r="DT402" t="str">
        <f>""</f>
        <v/>
      </c>
      <c r="DU402" t="str">
        <f>""</f>
        <v/>
      </c>
    </row>
    <row r="403" spans="1:125">
      <c r="A403" t="str">
        <f>$A$201</f>
        <v xml:space="preserve">    UDR Inc</v>
      </c>
      <c r="B403" t="str">
        <f>$B$201</f>
        <v>UDR US Equity</v>
      </c>
      <c r="C403" t="str">
        <f>$C$201</f>
        <v>RR008</v>
      </c>
      <c r="D403" t="str">
        <f>$D$201</f>
        <v>CF_FREE_CASH_FLOW</v>
      </c>
      <c r="E403" t="str">
        <f>$E$201</f>
        <v>动态</v>
      </c>
      <c r="F403" t="str">
        <f ca="1">BDH($B$201,$C$201,$B$224,$B$225,CONCATENATE("Per=",$B$222),"Dts=H","Dir=H",CONCATENATE("Points=",$B$223),"Sort=R","Days=A","Fill=B",CONCATENATE("FX=", $B$221) )</f>
        <v>#N/A Authorization</v>
      </c>
      <c r="BN403" t="str">
        <f>""</f>
        <v/>
      </c>
      <c r="BO403" t="str">
        <f>""</f>
        <v/>
      </c>
      <c r="BP403" t="str">
        <f>""</f>
        <v/>
      </c>
      <c r="BQ403" t="str">
        <f>""</f>
        <v/>
      </c>
      <c r="BR403" t="str">
        <f>""</f>
        <v/>
      </c>
      <c r="BS403" t="str">
        <f>""</f>
        <v/>
      </c>
      <c r="BT403" t="str">
        <f>""</f>
        <v/>
      </c>
      <c r="BU403" t="str">
        <f>""</f>
        <v/>
      </c>
      <c r="BV403" t="str">
        <f>""</f>
        <v/>
      </c>
      <c r="BW403" t="str">
        <f>""</f>
        <v/>
      </c>
      <c r="BX403" t="str">
        <f>""</f>
        <v/>
      </c>
      <c r="BY403" t="str">
        <f>""</f>
        <v/>
      </c>
      <c r="BZ403" t="str">
        <f>""</f>
        <v/>
      </c>
      <c r="CA403" t="str">
        <f>""</f>
        <v/>
      </c>
      <c r="CB403" t="str">
        <f>""</f>
        <v/>
      </c>
      <c r="CC403" t="str">
        <f>""</f>
        <v/>
      </c>
      <c r="CD403" t="str">
        <f>""</f>
        <v/>
      </c>
      <c r="CE403" t="str">
        <f>""</f>
        <v/>
      </c>
      <c r="CF403" t="str">
        <f>""</f>
        <v/>
      </c>
      <c r="CG403" t="str">
        <f>""</f>
        <v/>
      </c>
      <c r="CH403" t="str">
        <f>""</f>
        <v/>
      </c>
      <c r="CI403" t="str">
        <f>""</f>
        <v/>
      </c>
      <c r="CJ403" t="str">
        <f>""</f>
        <v/>
      </c>
      <c r="CK403" t="str">
        <f>""</f>
        <v/>
      </c>
      <c r="CL403" t="str">
        <f>""</f>
        <v/>
      </c>
      <c r="CM403" t="str">
        <f>""</f>
        <v/>
      </c>
      <c r="CN403" t="str">
        <f>""</f>
        <v/>
      </c>
      <c r="CO403" t="str">
        <f>""</f>
        <v/>
      </c>
      <c r="CP403" t="str">
        <f>""</f>
        <v/>
      </c>
      <c r="CQ403" t="str">
        <f>""</f>
        <v/>
      </c>
      <c r="CR403" t="str">
        <f>""</f>
        <v/>
      </c>
      <c r="CS403" t="str">
        <f>""</f>
        <v/>
      </c>
      <c r="CT403" t="str">
        <f>""</f>
        <v/>
      </c>
      <c r="CU403" t="str">
        <f>""</f>
        <v/>
      </c>
      <c r="CV403" t="str">
        <f>""</f>
        <v/>
      </c>
      <c r="CW403" t="str">
        <f>""</f>
        <v/>
      </c>
      <c r="CX403" t="str">
        <f>""</f>
        <v/>
      </c>
      <c r="CY403" t="str">
        <f>""</f>
        <v/>
      </c>
      <c r="CZ403" t="str">
        <f>""</f>
        <v/>
      </c>
      <c r="DA403" t="str">
        <f>""</f>
        <v/>
      </c>
      <c r="DB403" t="str">
        <f>""</f>
        <v/>
      </c>
      <c r="DC403" t="str">
        <f>""</f>
        <v/>
      </c>
      <c r="DD403" t="str">
        <f>""</f>
        <v/>
      </c>
      <c r="DE403" t="str">
        <f>""</f>
        <v/>
      </c>
      <c r="DF403" t="str">
        <f>""</f>
        <v/>
      </c>
      <c r="DG403" t="str">
        <f>""</f>
        <v/>
      </c>
      <c r="DH403" t="str">
        <f>""</f>
        <v/>
      </c>
      <c r="DI403" t="str">
        <f>""</f>
        <v/>
      </c>
      <c r="DJ403" t="str">
        <f>""</f>
        <v/>
      </c>
      <c r="DK403" t="str">
        <f>""</f>
        <v/>
      </c>
      <c r="DL403" t="str">
        <f>""</f>
        <v/>
      </c>
      <c r="DM403" t="str">
        <f>""</f>
        <v/>
      </c>
      <c r="DN403" t="str">
        <f>""</f>
        <v/>
      </c>
      <c r="DO403" t="str">
        <f>""</f>
        <v/>
      </c>
      <c r="DP403" t="str">
        <f>""</f>
        <v/>
      </c>
      <c r="DQ403" t="str">
        <f>""</f>
        <v/>
      </c>
      <c r="DR403" t="str">
        <f>""</f>
        <v/>
      </c>
      <c r="DS403" t="str">
        <f>""</f>
        <v/>
      </c>
      <c r="DT403" t="str">
        <f>""</f>
        <v/>
      </c>
      <c r="DU403" t="str">
        <f>""</f>
        <v/>
      </c>
    </row>
    <row r="404" spans="1:125">
      <c r="A404" t="str">
        <f>$A$203</f>
        <v xml:space="preserve">    American Campus Communities In</v>
      </c>
      <c r="B404" t="str">
        <f>$B$203</f>
        <v>ACC US Equity</v>
      </c>
      <c r="C404" t="str">
        <f>$C$203</f>
        <v>RR106</v>
      </c>
      <c r="D404" t="str">
        <f>$D$203</f>
        <v>FFO_PAYOUT_RATIO</v>
      </c>
      <c r="E404" t="str">
        <f>$E$203</f>
        <v>动态</v>
      </c>
      <c r="F404" t="str">
        <f ca="1">BDH($B$203,$C$203,$B$224,$B$225,CONCATENATE("Per=",$B$222),"Dts=H","Dir=H",CONCATENATE("Points=",$B$223),"Sort=R","Days=A","Fill=B",CONCATENATE("FX=", $B$221) )</f>
        <v>#N/A Authorization</v>
      </c>
      <c r="BN404" t="str">
        <f>""</f>
        <v/>
      </c>
      <c r="BO404" t="str">
        <f>""</f>
        <v/>
      </c>
      <c r="BP404" t="str">
        <f>""</f>
        <v/>
      </c>
      <c r="BQ404" t="str">
        <f>""</f>
        <v/>
      </c>
      <c r="BR404" t="str">
        <f>""</f>
        <v/>
      </c>
      <c r="BS404" t="str">
        <f>""</f>
        <v/>
      </c>
      <c r="BT404" t="str">
        <f>""</f>
        <v/>
      </c>
      <c r="BU404" t="str">
        <f>""</f>
        <v/>
      </c>
      <c r="BV404" t="str">
        <f>""</f>
        <v/>
      </c>
      <c r="BW404" t="str">
        <f>""</f>
        <v/>
      </c>
      <c r="BX404" t="str">
        <f>""</f>
        <v/>
      </c>
      <c r="BY404" t="str">
        <f>""</f>
        <v/>
      </c>
      <c r="BZ404" t="str">
        <f>""</f>
        <v/>
      </c>
      <c r="CA404" t="str">
        <f>""</f>
        <v/>
      </c>
      <c r="CB404" t="str">
        <f>""</f>
        <v/>
      </c>
      <c r="CC404" t="str">
        <f>""</f>
        <v/>
      </c>
      <c r="CD404" t="str">
        <f>""</f>
        <v/>
      </c>
      <c r="CE404" t="str">
        <f>""</f>
        <v/>
      </c>
      <c r="CF404" t="str">
        <f>""</f>
        <v/>
      </c>
      <c r="CG404" t="str">
        <f>""</f>
        <v/>
      </c>
      <c r="CH404" t="str">
        <f>""</f>
        <v/>
      </c>
      <c r="CI404" t="str">
        <f>""</f>
        <v/>
      </c>
      <c r="CJ404" t="str">
        <f>""</f>
        <v/>
      </c>
      <c r="CK404" t="str">
        <f>""</f>
        <v/>
      </c>
      <c r="CL404" t="str">
        <f>""</f>
        <v/>
      </c>
      <c r="CM404" t="str">
        <f>""</f>
        <v/>
      </c>
      <c r="CN404" t="str">
        <f>""</f>
        <v/>
      </c>
      <c r="CO404" t="str">
        <f>""</f>
        <v/>
      </c>
      <c r="CP404" t="str">
        <f>""</f>
        <v/>
      </c>
      <c r="CQ404" t="str">
        <f>""</f>
        <v/>
      </c>
      <c r="CR404" t="str">
        <f>""</f>
        <v/>
      </c>
      <c r="CS404" t="str">
        <f>""</f>
        <v/>
      </c>
      <c r="CT404" t="str">
        <f>""</f>
        <v/>
      </c>
      <c r="CU404" t="str">
        <f>""</f>
        <v/>
      </c>
      <c r="CV404" t="str">
        <f>""</f>
        <v/>
      </c>
      <c r="CW404" t="str">
        <f>""</f>
        <v/>
      </c>
      <c r="CX404" t="str">
        <f>""</f>
        <v/>
      </c>
      <c r="CY404" t="str">
        <f>""</f>
        <v/>
      </c>
      <c r="CZ404" t="str">
        <f>""</f>
        <v/>
      </c>
      <c r="DA404" t="str">
        <f>""</f>
        <v/>
      </c>
      <c r="DB404" t="str">
        <f>""</f>
        <v/>
      </c>
      <c r="DC404" t="str">
        <f>""</f>
        <v/>
      </c>
      <c r="DD404" t="str">
        <f>""</f>
        <v/>
      </c>
      <c r="DE404" t="str">
        <f>""</f>
        <v/>
      </c>
      <c r="DF404" t="str">
        <f>""</f>
        <v/>
      </c>
      <c r="DG404" t="str">
        <f>""</f>
        <v/>
      </c>
      <c r="DH404" t="str">
        <f>""</f>
        <v/>
      </c>
      <c r="DI404" t="str">
        <f>""</f>
        <v/>
      </c>
      <c r="DJ404" t="str">
        <f>""</f>
        <v/>
      </c>
      <c r="DK404" t="str">
        <f>""</f>
        <v/>
      </c>
      <c r="DL404" t="str">
        <f>""</f>
        <v/>
      </c>
      <c r="DM404" t="str">
        <f>""</f>
        <v/>
      </c>
      <c r="DN404" t="str">
        <f>""</f>
        <v/>
      </c>
      <c r="DO404" t="str">
        <f>""</f>
        <v/>
      </c>
      <c r="DP404" t="str">
        <f>""</f>
        <v/>
      </c>
      <c r="DQ404" t="str">
        <f>""</f>
        <v/>
      </c>
      <c r="DR404" t="str">
        <f>""</f>
        <v/>
      </c>
      <c r="DS404" t="str">
        <f>""</f>
        <v/>
      </c>
      <c r="DT404" t="str">
        <f>""</f>
        <v/>
      </c>
      <c r="DU404" t="str">
        <f>""</f>
        <v/>
      </c>
    </row>
    <row r="405" spans="1:125">
      <c r="A405" t="str">
        <f>$A$204</f>
        <v xml:space="preserve">    AvalonBay Communities Inc</v>
      </c>
      <c r="B405" t="str">
        <f>$B$204</f>
        <v>AVB US Equity</v>
      </c>
      <c r="C405" t="str">
        <f>$C$204</f>
        <v>RR106</v>
      </c>
      <c r="D405" t="str">
        <f>$D$204</f>
        <v>FFO_PAYOUT_RATIO</v>
      </c>
      <c r="E405" t="str">
        <f>$E$204</f>
        <v>动态</v>
      </c>
      <c r="F405" t="str">
        <f ca="1">BDH($B$204,$C$204,$B$224,$B$225,CONCATENATE("Per=",$B$222),"Dts=H","Dir=H",CONCATENATE("Points=",$B$223),"Sort=R","Days=A","Fill=B",CONCATENATE("FX=", $B$221) )</f>
        <v>#N/A Authorization</v>
      </c>
      <c r="BN405" t="str">
        <f>""</f>
        <v/>
      </c>
      <c r="BO405" t="str">
        <f>""</f>
        <v/>
      </c>
      <c r="BP405" t="str">
        <f>""</f>
        <v/>
      </c>
      <c r="BQ405" t="str">
        <f>""</f>
        <v/>
      </c>
      <c r="BR405" t="str">
        <f>""</f>
        <v/>
      </c>
      <c r="BS405" t="str">
        <f>""</f>
        <v/>
      </c>
      <c r="BT405" t="str">
        <f>""</f>
        <v/>
      </c>
      <c r="BU405" t="str">
        <f>""</f>
        <v/>
      </c>
      <c r="BV405" t="str">
        <f>""</f>
        <v/>
      </c>
      <c r="BW405" t="str">
        <f>""</f>
        <v/>
      </c>
      <c r="BX405" t="str">
        <f>""</f>
        <v/>
      </c>
      <c r="BY405" t="str">
        <f>""</f>
        <v/>
      </c>
      <c r="BZ405" t="str">
        <f>""</f>
        <v/>
      </c>
      <c r="CA405" t="str">
        <f>""</f>
        <v/>
      </c>
      <c r="CB405" t="str">
        <f>""</f>
        <v/>
      </c>
      <c r="CC405" t="str">
        <f>""</f>
        <v/>
      </c>
      <c r="CD405" t="str">
        <f>""</f>
        <v/>
      </c>
      <c r="CE405" t="str">
        <f>""</f>
        <v/>
      </c>
      <c r="CF405" t="str">
        <f>""</f>
        <v/>
      </c>
      <c r="CG405" t="str">
        <f>""</f>
        <v/>
      </c>
      <c r="CH405" t="str">
        <f>""</f>
        <v/>
      </c>
      <c r="CI405" t="str">
        <f>""</f>
        <v/>
      </c>
      <c r="CJ405" t="str">
        <f>""</f>
        <v/>
      </c>
      <c r="CK405" t="str">
        <f>""</f>
        <v/>
      </c>
      <c r="CL405" t="str">
        <f>""</f>
        <v/>
      </c>
      <c r="CM405" t="str">
        <f>""</f>
        <v/>
      </c>
      <c r="CN405" t="str">
        <f>""</f>
        <v/>
      </c>
      <c r="CO405" t="str">
        <f>""</f>
        <v/>
      </c>
      <c r="CP405" t="str">
        <f>""</f>
        <v/>
      </c>
      <c r="CQ405" t="str">
        <f>""</f>
        <v/>
      </c>
      <c r="CR405" t="str">
        <f>""</f>
        <v/>
      </c>
      <c r="CS405" t="str">
        <f>""</f>
        <v/>
      </c>
      <c r="CT405" t="str">
        <f>""</f>
        <v/>
      </c>
      <c r="CU405" t="str">
        <f>""</f>
        <v/>
      </c>
      <c r="CV405" t="str">
        <f>""</f>
        <v/>
      </c>
      <c r="CW405" t="str">
        <f>""</f>
        <v/>
      </c>
      <c r="CX405" t="str">
        <f>""</f>
        <v/>
      </c>
      <c r="CY405" t="str">
        <f>""</f>
        <v/>
      </c>
      <c r="CZ405" t="str">
        <f>""</f>
        <v/>
      </c>
      <c r="DA405" t="str">
        <f>""</f>
        <v/>
      </c>
      <c r="DB405" t="str">
        <f>""</f>
        <v/>
      </c>
      <c r="DC405" t="str">
        <f>""</f>
        <v/>
      </c>
      <c r="DD405" t="str">
        <f>""</f>
        <v/>
      </c>
      <c r="DE405" t="str">
        <f>""</f>
        <v/>
      </c>
      <c r="DF405" t="str">
        <f>""</f>
        <v/>
      </c>
      <c r="DG405" t="str">
        <f>""</f>
        <v/>
      </c>
      <c r="DH405" t="str">
        <f>""</f>
        <v/>
      </c>
      <c r="DI405" t="str">
        <f>""</f>
        <v/>
      </c>
      <c r="DJ405" t="str">
        <f>""</f>
        <v/>
      </c>
      <c r="DK405" t="str">
        <f>""</f>
        <v/>
      </c>
      <c r="DL405" t="str">
        <f>""</f>
        <v/>
      </c>
      <c r="DM405" t="str">
        <f>""</f>
        <v/>
      </c>
      <c r="DN405" t="str">
        <f>""</f>
        <v/>
      </c>
      <c r="DO405" t="str">
        <f>""</f>
        <v/>
      </c>
      <c r="DP405" t="str">
        <f>""</f>
        <v/>
      </c>
      <c r="DQ405" t="str">
        <f>""</f>
        <v/>
      </c>
      <c r="DR405" t="str">
        <f>""</f>
        <v/>
      </c>
      <c r="DS405" t="str">
        <f>""</f>
        <v/>
      </c>
      <c r="DT405" t="str">
        <f>""</f>
        <v/>
      </c>
      <c r="DU405" t="str">
        <f>""</f>
        <v/>
      </c>
    </row>
    <row r="406" spans="1:125">
      <c r="A406" t="str">
        <f>$A$205</f>
        <v xml:space="preserve">    Camden Property Trust</v>
      </c>
      <c r="B406" t="str">
        <f>$B$205</f>
        <v>CPT US Equity</v>
      </c>
      <c r="C406" t="str">
        <f>$C$205</f>
        <v>RR106</v>
      </c>
      <c r="D406" t="str">
        <f>$D$205</f>
        <v>FFO_PAYOUT_RATIO</v>
      </c>
      <c r="E406" t="str">
        <f>$E$205</f>
        <v>动态</v>
      </c>
      <c r="F406" t="str">
        <f ca="1">BDH($B$205,$C$205,$B$224,$B$225,CONCATENATE("Per=",$B$222),"Dts=H","Dir=H",CONCATENATE("Points=",$B$223),"Sort=R","Days=A","Fill=B",CONCATENATE("FX=", $B$221) )</f>
        <v>#N/A Authorization</v>
      </c>
      <c r="BN406" t="str">
        <f>""</f>
        <v/>
      </c>
      <c r="BO406" t="str">
        <f>""</f>
        <v/>
      </c>
      <c r="BP406" t="str">
        <f>""</f>
        <v/>
      </c>
      <c r="BQ406" t="str">
        <f>""</f>
        <v/>
      </c>
      <c r="BR406" t="str">
        <f>""</f>
        <v/>
      </c>
      <c r="BS406" t="str">
        <f>""</f>
        <v/>
      </c>
      <c r="BT406" t="str">
        <f>""</f>
        <v/>
      </c>
      <c r="BU406" t="str">
        <f>""</f>
        <v/>
      </c>
      <c r="BV406" t="str">
        <f>""</f>
        <v/>
      </c>
      <c r="BW406" t="str">
        <f>""</f>
        <v/>
      </c>
      <c r="BX406" t="str">
        <f>""</f>
        <v/>
      </c>
      <c r="BY406" t="str">
        <f>""</f>
        <v/>
      </c>
      <c r="BZ406" t="str">
        <f>""</f>
        <v/>
      </c>
      <c r="CA406" t="str">
        <f>""</f>
        <v/>
      </c>
      <c r="CB406" t="str">
        <f>""</f>
        <v/>
      </c>
      <c r="CC406" t="str">
        <f>""</f>
        <v/>
      </c>
      <c r="CD406" t="str">
        <f>""</f>
        <v/>
      </c>
      <c r="CE406" t="str">
        <f>""</f>
        <v/>
      </c>
      <c r="CF406" t="str">
        <f>""</f>
        <v/>
      </c>
      <c r="CG406" t="str">
        <f>""</f>
        <v/>
      </c>
      <c r="CH406" t="str">
        <f>""</f>
        <v/>
      </c>
      <c r="CI406" t="str">
        <f>""</f>
        <v/>
      </c>
      <c r="CJ406" t="str">
        <f>""</f>
        <v/>
      </c>
      <c r="CK406" t="str">
        <f>""</f>
        <v/>
      </c>
      <c r="CL406" t="str">
        <f>""</f>
        <v/>
      </c>
      <c r="CM406" t="str">
        <f>""</f>
        <v/>
      </c>
      <c r="CN406" t="str">
        <f>""</f>
        <v/>
      </c>
      <c r="CO406" t="str">
        <f>""</f>
        <v/>
      </c>
      <c r="CP406" t="str">
        <f>""</f>
        <v/>
      </c>
      <c r="CQ406" t="str">
        <f>""</f>
        <v/>
      </c>
      <c r="CR406" t="str">
        <f>""</f>
        <v/>
      </c>
      <c r="CS406" t="str">
        <f>""</f>
        <v/>
      </c>
      <c r="CT406" t="str">
        <f>""</f>
        <v/>
      </c>
      <c r="CU406" t="str">
        <f>""</f>
        <v/>
      </c>
      <c r="CV406" t="str">
        <f>""</f>
        <v/>
      </c>
      <c r="CW406" t="str">
        <f>""</f>
        <v/>
      </c>
      <c r="CX406" t="str">
        <f>""</f>
        <v/>
      </c>
      <c r="CY406" t="str">
        <f>""</f>
        <v/>
      </c>
      <c r="CZ406" t="str">
        <f>""</f>
        <v/>
      </c>
      <c r="DA406" t="str">
        <f>""</f>
        <v/>
      </c>
      <c r="DB406" t="str">
        <f>""</f>
        <v/>
      </c>
      <c r="DC406" t="str">
        <f>""</f>
        <v/>
      </c>
      <c r="DD406" t="str">
        <f>""</f>
        <v/>
      </c>
      <c r="DE406" t="str">
        <f>""</f>
        <v/>
      </c>
      <c r="DF406" t="str">
        <f>""</f>
        <v/>
      </c>
      <c r="DG406" t="str">
        <f>""</f>
        <v/>
      </c>
      <c r="DH406" t="str">
        <f>""</f>
        <v/>
      </c>
      <c r="DI406" t="str">
        <f>""</f>
        <v/>
      </c>
      <c r="DJ406" t="str">
        <f>""</f>
        <v/>
      </c>
      <c r="DK406" t="str">
        <f>""</f>
        <v/>
      </c>
      <c r="DL406" t="str">
        <f>""</f>
        <v/>
      </c>
      <c r="DM406" t="str">
        <f>""</f>
        <v/>
      </c>
      <c r="DN406" t="str">
        <f>""</f>
        <v/>
      </c>
      <c r="DO406" t="str">
        <f>""</f>
        <v/>
      </c>
      <c r="DP406" t="str">
        <f>""</f>
        <v/>
      </c>
      <c r="DQ406" t="str">
        <f>""</f>
        <v/>
      </c>
      <c r="DR406" t="str">
        <f>""</f>
        <v/>
      </c>
      <c r="DS406" t="str">
        <f>""</f>
        <v/>
      </c>
      <c r="DT406" t="str">
        <f>""</f>
        <v/>
      </c>
      <c r="DU406" t="str">
        <f>""</f>
        <v/>
      </c>
    </row>
    <row r="407" spans="1:125">
      <c r="A407" t="str">
        <f>$A$206</f>
        <v xml:space="preserve">    Education Realty Trust Inc</v>
      </c>
      <c r="B407" t="str">
        <f>$B$206</f>
        <v>EDR US Equity</v>
      </c>
      <c r="C407" t="str">
        <f>$C$206</f>
        <v>RR106</v>
      </c>
      <c r="D407" t="str">
        <f>$D$206</f>
        <v>FFO_PAYOUT_RATIO</v>
      </c>
      <c r="E407" t="str">
        <f>$E$206</f>
        <v>动态</v>
      </c>
      <c r="F407" t="str">
        <f ca="1">BDH($B$206,$C$206,$B$224,$B$225,CONCATENATE("Per=",$B$222),"Dts=H","Dir=H",CONCATENATE("Points=",$B$223),"Sort=R","Days=A","Fill=B",CONCATENATE("FX=", $B$221) )</f>
        <v>#N/A Authorization</v>
      </c>
      <c r="BN407" t="str">
        <f>""</f>
        <v/>
      </c>
      <c r="BO407" t="str">
        <f>""</f>
        <v/>
      </c>
      <c r="BP407" t="str">
        <f>""</f>
        <v/>
      </c>
      <c r="BQ407" t="str">
        <f>""</f>
        <v/>
      </c>
      <c r="BR407" t="str">
        <f>""</f>
        <v/>
      </c>
      <c r="BS407" t="str">
        <f>""</f>
        <v/>
      </c>
      <c r="BT407" t="str">
        <f>""</f>
        <v/>
      </c>
      <c r="BU407" t="str">
        <f>""</f>
        <v/>
      </c>
      <c r="BV407" t="str">
        <f>""</f>
        <v/>
      </c>
      <c r="BW407" t="str">
        <f>""</f>
        <v/>
      </c>
      <c r="BX407" t="str">
        <f>""</f>
        <v/>
      </c>
      <c r="BY407" t="str">
        <f>""</f>
        <v/>
      </c>
      <c r="BZ407" t="str">
        <f>""</f>
        <v/>
      </c>
      <c r="CA407" t="str">
        <f>""</f>
        <v/>
      </c>
      <c r="CB407" t="str">
        <f>""</f>
        <v/>
      </c>
      <c r="CC407" t="str">
        <f>""</f>
        <v/>
      </c>
      <c r="CD407" t="str">
        <f>""</f>
        <v/>
      </c>
      <c r="CE407" t="str">
        <f>""</f>
        <v/>
      </c>
      <c r="CF407" t="str">
        <f>""</f>
        <v/>
      </c>
      <c r="CG407" t="str">
        <f>""</f>
        <v/>
      </c>
      <c r="CH407" t="str">
        <f>""</f>
        <v/>
      </c>
      <c r="CI407" t="str">
        <f>""</f>
        <v/>
      </c>
      <c r="CJ407" t="str">
        <f>""</f>
        <v/>
      </c>
      <c r="CK407" t="str">
        <f>""</f>
        <v/>
      </c>
      <c r="CL407" t="str">
        <f>""</f>
        <v/>
      </c>
      <c r="CM407" t="str">
        <f>""</f>
        <v/>
      </c>
      <c r="CN407" t="str">
        <f>""</f>
        <v/>
      </c>
      <c r="CO407" t="str">
        <f>""</f>
        <v/>
      </c>
      <c r="CP407" t="str">
        <f>""</f>
        <v/>
      </c>
      <c r="CQ407" t="str">
        <f>""</f>
        <v/>
      </c>
      <c r="CR407" t="str">
        <f>""</f>
        <v/>
      </c>
      <c r="CS407" t="str">
        <f>""</f>
        <v/>
      </c>
      <c r="CT407" t="str">
        <f>""</f>
        <v/>
      </c>
      <c r="CU407" t="str">
        <f>""</f>
        <v/>
      </c>
      <c r="CV407" t="str">
        <f>""</f>
        <v/>
      </c>
      <c r="CW407" t="str">
        <f>""</f>
        <v/>
      </c>
      <c r="CX407" t="str">
        <f>""</f>
        <v/>
      </c>
      <c r="CY407" t="str">
        <f>""</f>
        <v/>
      </c>
      <c r="CZ407" t="str">
        <f>""</f>
        <v/>
      </c>
      <c r="DA407" t="str">
        <f>""</f>
        <v/>
      </c>
      <c r="DB407" t="str">
        <f>""</f>
        <v/>
      </c>
      <c r="DC407" t="str">
        <f>""</f>
        <v/>
      </c>
      <c r="DD407" t="str">
        <f>""</f>
        <v/>
      </c>
      <c r="DE407" t="str">
        <f>""</f>
        <v/>
      </c>
      <c r="DF407" t="str">
        <f>""</f>
        <v/>
      </c>
      <c r="DG407" t="str">
        <f>""</f>
        <v/>
      </c>
      <c r="DH407" t="str">
        <f>""</f>
        <v/>
      </c>
      <c r="DI407" t="str">
        <f>""</f>
        <v/>
      </c>
      <c r="DJ407" t="str">
        <f>""</f>
        <v/>
      </c>
      <c r="DK407" t="str">
        <f>""</f>
        <v/>
      </c>
      <c r="DL407" t="str">
        <f>""</f>
        <v/>
      </c>
      <c r="DM407" t="str">
        <f>""</f>
        <v/>
      </c>
      <c r="DN407" t="str">
        <f>""</f>
        <v/>
      </c>
      <c r="DO407" t="str">
        <f>""</f>
        <v/>
      </c>
      <c r="DP407" t="str">
        <f>""</f>
        <v/>
      </c>
      <c r="DQ407" t="str">
        <f>""</f>
        <v/>
      </c>
      <c r="DR407" t="str">
        <f>""</f>
        <v/>
      </c>
      <c r="DS407" t="str">
        <f>""</f>
        <v/>
      </c>
      <c r="DT407" t="str">
        <f>""</f>
        <v/>
      </c>
      <c r="DU407" t="str">
        <f>""</f>
        <v/>
      </c>
    </row>
    <row r="408" spans="1:125">
      <c r="A408" t="str">
        <f>$A$207</f>
        <v xml:space="preserve">    Equity Residential</v>
      </c>
      <c r="B408" t="str">
        <f>$B$207</f>
        <v>EQR US Equity</v>
      </c>
      <c r="C408" t="str">
        <f>$C$207</f>
        <v>RR106</v>
      </c>
      <c r="D408" t="str">
        <f>$D$207</f>
        <v>FFO_PAYOUT_RATIO</v>
      </c>
      <c r="E408" t="str">
        <f>$E$207</f>
        <v>动态</v>
      </c>
      <c r="F408" t="str">
        <f ca="1">BDH($B$207,$C$207,$B$224,$B$225,CONCATENATE("Per=",$B$222),"Dts=H","Dir=H",CONCATENATE("Points=",$B$223),"Sort=R","Days=A","Fill=B",CONCATENATE("FX=", $B$221) )</f>
        <v>#N/A Authorization</v>
      </c>
      <c r="BN408" t="str">
        <f>""</f>
        <v/>
      </c>
      <c r="BO408" t="str">
        <f>""</f>
        <v/>
      </c>
      <c r="BP408" t="str">
        <f>""</f>
        <v/>
      </c>
      <c r="BQ408" t="str">
        <f>""</f>
        <v/>
      </c>
      <c r="BR408" t="str">
        <f>""</f>
        <v/>
      </c>
      <c r="BS408" t="str">
        <f>""</f>
        <v/>
      </c>
      <c r="BT408" t="str">
        <f>""</f>
        <v/>
      </c>
      <c r="BU408" t="str">
        <f>""</f>
        <v/>
      </c>
      <c r="BV408" t="str">
        <f>""</f>
        <v/>
      </c>
      <c r="BW408" t="str">
        <f>""</f>
        <v/>
      </c>
      <c r="BX408" t="str">
        <f>""</f>
        <v/>
      </c>
      <c r="BY408" t="str">
        <f>""</f>
        <v/>
      </c>
      <c r="BZ408" t="str">
        <f>""</f>
        <v/>
      </c>
      <c r="CA408" t="str">
        <f>""</f>
        <v/>
      </c>
      <c r="CB408" t="str">
        <f>""</f>
        <v/>
      </c>
      <c r="CC408" t="str">
        <f>""</f>
        <v/>
      </c>
      <c r="CD408" t="str">
        <f>""</f>
        <v/>
      </c>
      <c r="CE408" t="str">
        <f>""</f>
        <v/>
      </c>
      <c r="CF408" t="str">
        <f>""</f>
        <v/>
      </c>
      <c r="CG408" t="str">
        <f>""</f>
        <v/>
      </c>
      <c r="CH408" t="str">
        <f>""</f>
        <v/>
      </c>
      <c r="CI408" t="str">
        <f>""</f>
        <v/>
      </c>
      <c r="CJ408" t="str">
        <f>""</f>
        <v/>
      </c>
      <c r="CK408" t="str">
        <f>""</f>
        <v/>
      </c>
      <c r="CL408" t="str">
        <f>""</f>
        <v/>
      </c>
      <c r="CM408" t="str">
        <f>""</f>
        <v/>
      </c>
      <c r="CN408" t="str">
        <f>""</f>
        <v/>
      </c>
      <c r="CO408" t="str">
        <f>""</f>
        <v/>
      </c>
      <c r="CP408" t="str">
        <f>""</f>
        <v/>
      </c>
      <c r="CQ408" t="str">
        <f>""</f>
        <v/>
      </c>
      <c r="CR408" t="str">
        <f>""</f>
        <v/>
      </c>
      <c r="CS408" t="str">
        <f>""</f>
        <v/>
      </c>
      <c r="CT408" t="str">
        <f>""</f>
        <v/>
      </c>
      <c r="CU408" t="str">
        <f>""</f>
        <v/>
      </c>
      <c r="CV408" t="str">
        <f>""</f>
        <v/>
      </c>
      <c r="CW408" t="str">
        <f>""</f>
        <v/>
      </c>
      <c r="CX408" t="str">
        <f>""</f>
        <v/>
      </c>
      <c r="CY408" t="str">
        <f>""</f>
        <v/>
      </c>
      <c r="CZ408" t="str">
        <f>""</f>
        <v/>
      </c>
      <c r="DA408" t="str">
        <f>""</f>
        <v/>
      </c>
      <c r="DB408" t="str">
        <f>""</f>
        <v/>
      </c>
      <c r="DC408" t="str">
        <f>""</f>
        <v/>
      </c>
      <c r="DD408" t="str">
        <f>""</f>
        <v/>
      </c>
      <c r="DE408" t="str">
        <f>""</f>
        <v/>
      </c>
      <c r="DF408" t="str">
        <f>""</f>
        <v/>
      </c>
      <c r="DG408" t="str">
        <f>""</f>
        <v/>
      </c>
      <c r="DH408" t="str">
        <f>""</f>
        <v/>
      </c>
      <c r="DI408" t="str">
        <f>""</f>
        <v/>
      </c>
      <c r="DJ408" t="str">
        <f>""</f>
        <v/>
      </c>
      <c r="DK408" t="str">
        <f>""</f>
        <v/>
      </c>
      <c r="DL408" t="str">
        <f>""</f>
        <v/>
      </c>
      <c r="DM408" t="str">
        <f>""</f>
        <v/>
      </c>
      <c r="DN408" t="str">
        <f>""</f>
        <v/>
      </c>
      <c r="DO408" t="str">
        <f>""</f>
        <v/>
      </c>
      <c r="DP408" t="str">
        <f>""</f>
        <v/>
      </c>
      <c r="DQ408" t="str">
        <f>""</f>
        <v/>
      </c>
      <c r="DR408" t="str">
        <f>""</f>
        <v/>
      </c>
      <c r="DS408" t="str">
        <f>""</f>
        <v/>
      </c>
      <c r="DT408" t="str">
        <f>""</f>
        <v/>
      </c>
      <c r="DU408" t="str">
        <f>""</f>
        <v/>
      </c>
    </row>
    <row r="409" spans="1:125">
      <c r="A409" t="str">
        <f>$A$208</f>
        <v xml:space="preserve">    Essex Property Trust Inc</v>
      </c>
      <c r="B409" t="str">
        <f>$B$208</f>
        <v>ESS US Equity</v>
      </c>
      <c r="C409" t="str">
        <f>$C$208</f>
        <v>RR106</v>
      </c>
      <c r="D409" t="str">
        <f>$D$208</f>
        <v>FFO_PAYOUT_RATIO</v>
      </c>
      <c r="E409" t="str">
        <f>$E$208</f>
        <v>动态</v>
      </c>
      <c r="F409" t="str">
        <f ca="1">BDH($B$208,$C$208,$B$224,$B$225,CONCATENATE("Per=",$B$222),"Dts=H","Dir=H",CONCATENATE("Points=",$B$223),"Sort=R","Days=A","Fill=B",CONCATENATE("FX=", $B$221) )</f>
        <v>#N/A Authorization</v>
      </c>
      <c r="BN409" t="str">
        <f>""</f>
        <v/>
      </c>
      <c r="BO409" t="str">
        <f>""</f>
        <v/>
      </c>
      <c r="BP409" t="str">
        <f>""</f>
        <v/>
      </c>
      <c r="BQ409" t="str">
        <f>""</f>
        <v/>
      </c>
      <c r="BR409" t="str">
        <f>""</f>
        <v/>
      </c>
      <c r="BS409" t="str">
        <f>""</f>
        <v/>
      </c>
      <c r="BT409" t="str">
        <f>""</f>
        <v/>
      </c>
      <c r="BU409" t="str">
        <f>""</f>
        <v/>
      </c>
      <c r="BV409" t="str">
        <f>""</f>
        <v/>
      </c>
      <c r="BW409" t="str">
        <f>""</f>
        <v/>
      </c>
      <c r="BX409" t="str">
        <f>""</f>
        <v/>
      </c>
      <c r="BY409" t="str">
        <f>""</f>
        <v/>
      </c>
      <c r="BZ409" t="str">
        <f>""</f>
        <v/>
      </c>
      <c r="CA409" t="str">
        <f>""</f>
        <v/>
      </c>
      <c r="CB409" t="str">
        <f>""</f>
        <v/>
      </c>
      <c r="CC409" t="str">
        <f>""</f>
        <v/>
      </c>
      <c r="CD409" t="str">
        <f>""</f>
        <v/>
      </c>
      <c r="CE409" t="str">
        <f>""</f>
        <v/>
      </c>
      <c r="CF409" t="str">
        <f>""</f>
        <v/>
      </c>
      <c r="CG409" t="str">
        <f>""</f>
        <v/>
      </c>
      <c r="CH409" t="str">
        <f>""</f>
        <v/>
      </c>
      <c r="CI409" t="str">
        <f>""</f>
        <v/>
      </c>
      <c r="CJ409" t="str">
        <f>""</f>
        <v/>
      </c>
      <c r="CK409" t="str">
        <f>""</f>
        <v/>
      </c>
      <c r="CL409" t="str">
        <f>""</f>
        <v/>
      </c>
      <c r="CM409" t="str">
        <f>""</f>
        <v/>
      </c>
      <c r="CN409" t="str">
        <f>""</f>
        <v/>
      </c>
      <c r="CO409" t="str">
        <f>""</f>
        <v/>
      </c>
      <c r="CP409" t="str">
        <f>""</f>
        <v/>
      </c>
      <c r="CQ409" t="str">
        <f>""</f>
        <v/>
      </c>
      <c r="CR409" t="str">
        <f>""</f>
        <v/>
      </c>
      <c r="CS409" t="str">
        <f>""</f>
        <v/>
      </c>
      <c r="CT409" t="str">
        <f>""</f>
        <v/>
      </c>
      <c r="CU409" t="str">
        <f>""</f>
        <v/>
      </c>
      <c r="CV409" t="str">
        <f>""</f>
        <v/>
      </c>
      <c r="CW409" t="str">
        <f>""</f>
        <v/>
      </c>
      <c r="CX409" t="str">
        <f>""</f>
        <v/>
      </c>
      <c r="CY409" t="str">
        <f>""</f>
        <v/>
      </c>
      <c r="CZ409" t="str">
        <f>""</f>
        <v/>
      </c>
      <c r="DA409" t="str">
        <f>""</f>
        <v/>
      </c>
      <c r="DB409" t="str">
        <f>""</f>
        <v/>
      </c>
      <c r="DC409" t="str">
        <f>""</f>
        <v/>
      </c>
      <c r="DD409" t="str">
        <f>""</f>
        <v/>
      </c>
      <c r="DE409" t="str">
        <f>""</f>
        <v/>
      </c>
      <c r="DF409" t="str">
        <f>""</f>
        <v/>
      </c>
      <c r="DG409" t="str">
        <f>""</f>
        <v/>
      </c>
      <c r="DH409" t="str">
        <f>""</f>
        <v/>
      </c>
      <c r="DI409" t="str">
        <f>""</f>
        <v/>
      </c>
      <c r="DJ409" t="str">
        <f>""</f>
        <v/>
      </c>
      <c r="DK409" t="str">
        <f>""</f>
        <v/>
      </c>
      <c r="DL409" t="str">
        <f>""</f>
        <v/>
      </c>
      <c r="DM409" t="str">
        <f>""</f>
        <v/>
      </c>
      <c r="DN409" t="str">
        <f>""</f>
        <v/>
      </c>
      <c r="DO409" t="str">
        <f>""</f>
        <v/>
      </c>
      <c r="DP409" t="str">
        <f>""</f>
        <v/>
      </c>
      <c r="DQ409" t="str">
        <f>""</f>
        <v/>
      </c>
      <c r="DR409" t="str">
        <f>""</f>
        <v/>
      </c>
      <c r="DS409" t="str">
        <f>""</f>
        <v/>
      </c>
      <c r="DT409" t="str">
        <f>""</f>
        <v/>
      </c>
      <c r="DU409" t="str">
        <f>""</f>
        <v/>
      </c>
    </row>
    <row r="410" spans="1:125">
      <c r="A410" t="str">
        <f>$A$209</f>
        <v xml:space="preserve">    Mid-America Apartment Communit</v>
      </c>
      <c r="B410" t="str">
        <f>$B$209</f>
        <v>MAA US Equity</v>
      </c>
      <c r="C410" t="str">
        <f>$C$209</f>
        <v>RR106</v>
      </c>
      <c r="D410" t="str">
        <f>$D$209</f>
        <v>FFO_PAYOUT_RATIO</v>
      </c>
      <c r="E410" t="str">
        <f>$E$209</f>
        <v>动态</v>
      </c>
      <c r="F410" t="str">
        <f ca="1">BDH($B$209,$C$209,$B$224,$B$225,CONCATENATE("Per=",$B$222),"Dts=H","Dir=H",CONCATENATE("Points=",$B$223),"Sort=R","Days=A","Fill=B",CONCATENATE("FX=", $B$221) )</f>
        <v>#N/A Authorization</v>
      </c>
      <c r="BN410" t="str">
        <f>""</f>
        <v/>
      </c>
      <c r="BO410" t="str">
        <f>""</f>
        <v/>
      </c>
      <c r="BP410" t="str">
        <f>""</f>
        <v/>
      </c>
      <c r="BQ410" t="str">
        <f>""</f>
        <v/>
      </c>
      <c r="BR410" t="str">
        <f>""</f>
        <v/>
      </c>
      <c r="BS410" t="str">
        <f>""</f>
        <v/>
      </c>
      <c r="BT410" t="str">
        <f>""</f>
        <v/>
      </c>
      <c r="BU410" t="str">
        <f>""</f>
        <v/>
      </c>
      <c r="BV410" t="str">
        <f>""</f>
        <v/>
      </c>
      <c r="BW410" t="str">
        <f>""</f>
        <v/>
      </c>
      <c r="BX410" t="str">
        <f>""</f>
        <v/>
      </c>
      <c r="BY410" t="str">
        <f>""</f>
        <v/>
      </c>
      <c r="BZ410" t="str">
        <f>""</f>
        <v/>
      </c>
      <c r="CA410" t="str">
        <f>""</f>
        <v/>
      </c>
      <c r="CB410" t="str">
        <f>""</f>
        <v/>
      </c>
      <c r="CC410" t="str">
        <f>""</f>
        <v/>
      </c>
      <c r="CD410" t="str">
        <f>""</f>
        <v/>
      </c>
      <c r="CE410" t="str">
        <f>""</f>
        <v/>
      </c>
      <c r="CF410" t="str">
        <f>""</f>
        <v/>
      </c>
      <c r="CG410" t="str">
        <f>""</f>
        <v/>
      </c>
      <c r="CH410" t="str">
        <f>""</f>
        <v/>
      </c>
      <c r="CI410" t="str">
        <f>""</f>
        <v/>
      </c>
      <c r="CJ410" t="str">
        <f>""</f>
        <v/>
      </c>
      <c r="CK410" t="str">
        <f>""</f>
        <v/>
      </c>
      <c r="CL410" t="str">
        <f>""</f>
        <v/>
      </c>
      <c r="CM410" t="str">
        <f>""</f>
        <v/>
      </c>
      <c r="CN410" t="str">
        <f>""</f>
        <v/>
      </c>
      <c r="CO410" t="str">
        <f>""</f>
        <v/>
      </c>
      <c r="CP410" t="str">
        <f>""</f>
        <v/>
      </c>
      <c r="CQ410" t="str">
        <f>""</f>
        <v/>
      </c>
      <c r="CR410" t="str">
        <f>""</f>
        <v/>
      </c>
      <c r="CS410" t="str">
        <f>""</f>
        <v/>
      </c>
      <c r="CT410" t="str">
        <f>""</f>
        <v/>
      </c>
      <c r="CU410" t="str">
        <f>""</f>
        <v/>
      </c>
      <c r="CV410" t="str">
        <f>""</f>
        <v/>
      </c>
      <c r="CW410" t="str">
        <f>""</f>
        <v/>
      </c>
      <c r="CX410" t="str">
        <f>""</f>
        <v/>
      </c>
      <c r="CY410" t="str">
        <f>""</f>
        <v/>
      </c>
      <c r="CZ410" t="str">
        <f>""</f>
        <v/>
      </c>
      <c r="DA410" t="str">
        <f>""</f>
        <v/>
      </c>
      <c r="DB410" t="str">
        <f>""</f>
        <v/>
      </c>
      <c r="DC410" t="str">
        <f>""</f>
        <v/>
      </c>
      <c r="DD410" t="str">
        <f>""</f>
        <v/>
      </c>
      <c r="DE410" t="str">
        <f>""</f>
        <v/>
      </c>
      <c r="DF410" t="str">
        <f>""</f>
        <v/>
      </c>
      <c r="DG410" t="str">
        <f>""</f>
        <v/>
      </c>
      <c r="DH410" t="str">
        <f>""</f>
        <v/>
      </c>
      <c r="DI410" t="str">
        <f>""</f>
        <v/>
      </c>
      <c r="DJ410" t="str">
        <f>""</f>
        <v/>
      </c>
      <c r="DK410" t="str">
        <f>""</f>
        <v/>
      </c>
      <c r="DL410" t="str">
        <f>""</f>
        <v/>
      </c>
      <c r="DM410" t="str">
        <f>""</f>
        <v/>
      </c>
      <c r="DN410" t="str">
        <f>""</f>
        <v/>
      </c>
      <c r="DO410" t="str">
        <f>""</f>
        <v/>
      </c>
      <c r="DP410" t="str">
        <f>""</f>
        <v/>
      </c>
      <c r="DQ410" t="str">
        <f>""</f>
        <v/>
      </c>
      <c r="DR410" t="str">
        <f>""</f>
        <v/>
      </c>
      <c r="DS410" t="str">
        <f>""</f>
        <v/>
      </c>
      <c r="DT410" t="str">
        <f>""</f>
        <v/>
      </c>
      <c r="DU410" t="str">
        <f>""</f>
        <v/>
      </c>
    </row>
    <row r="411" spans="1:125">
      <c r="A411" t="str">
        <f>$A$210</f>
        <v xml:space="preserve">    UDR Inc</v>
      </c>
      <c r="B411" t="str">
        <f>$B$210</f>
        <v>UDR US Equity</v>
      </c>
      <c r="C411" t="str">
        <f>$C$210</f>
        <v>RR106</v>
      </c>
      <c r="D411" t="str">
        <f>$D$210</f>
        <v>FFO_PAYOUT_RATIO</v>
      </c>
      <c r="E411" t="str">
        <f>$E$210</f>
        <v>动态</v>
      </c>
      <c r="F411" t="str">
        <f ca="1">BDH($B$210,$C$210,$B$224,$B$225,CONCATENATE("Per=",$B$222),"Dts=H","Dir=H",CONCATENATE("Points=",$B$223),"Sort=R","Days=A","Fill=B",CONCATENATE("FX=", $B$221) )</f>
        <v>#N/A Authorization</v>
      </c>
      <c r="BN411" t="str">
        <f>""</f>
        <v/>
      </c>
      <c r="BO411" t="str">
        <f>""</f>
        <v/>
      </c>
      <c r="BP411" t="str">
        <f>""</f>
        <v/>
      </c>
      <c r="BQ411" t="str">
        <f>""</f>
        <v/>
      </c>
      <c r="BR411" t="str">
        <f>""</f>
        <v/>
      </c>
      <c r="BS411" t="str">
        <f>""</f>
        <v/>
      </c>
      <c r="BT411" t="str">
        <f>""</f>
        <v/>
      </c>
      <c r="BU411" t="str">
        <f>""</f>
        <v/>
      </c>
      <c r="BV411" t="str">
        <f>""</f>
        <v/>
      </c>
      <c r="BW411" t="str">
        <f>""</f>
        <v/>
      </c>
      <c r="BX411" t="str">
        <f>""</f>
        <v/>
      </c>
      <c r="BY411" t="str">
        <f>""</f>
        <v/>
      </c>
      <c r="BZ411" t="str">
        <f>""</f>
        <v/>
      </c>
      <c r="CA411" t="str">
        <f>""</f>
        <v/>
      </c>
      <c r="CB411" t="str">
        <f>""</f>
        <v/>
      </c>
      <c r="CC411" t="str">
        <f>""</f>
        <v/>
      </c>
      <c r="CD411" t="str">
        <f>""</f>
        <v/>
      </c>
      <c r="CE411" t="str">
        <f>""</f>
        <v/>
      </c>
      <c r="CF411" t="str">
        <f>""</f>
        <v/>
      </c>
      <c r="CG411" t="str">
        <f>""</f>
        <v/>
      </c>
      <c r="CH411" t="str">
        <f>""</f>
        <v/>
      </c>
      <c r="CI411" t="str">
        <f>""</f>
        <v/>
      </c>
      <c r="CJ411" t="str">
        <f>""</f>
        <v/>
      </c>
      <c r="CK411" t="str">
        <f>""</f>
        <v/>
      </c>
      <c r="CL411" t="str">
        <f>""</f>
        <v/>
      </c>
      <c r="CM411" t="str">
        <f>""</f>
        <v/>
      </c>
      <c r="CN411" t="str">
        <f>""</f>
        <v/>
      </c>
      <c r="CO411" t="str">
        <f>""</f>
        <v/>
      </c>
      <c r="CP411" t="str">
        <f>""</f>
        <v/>
      </c>
      <c r="CQ411" t="str">
        <f>""</f>
        <v/>
      </c>
      <c r="CR411" t="str">
        <f>""</f>
        <v/>
      </c>
      <c r="CS411" t="str">
        <f>""</f>
        <v/>
      </c>
      <c r="CT411" t="str">
        <f>""</f>
        <v/>
      </c>
      <c r="CU411" t="str">
        <f>""</f>
        <v/>
      </c>
      <c r="CV411" t="str">
        <f>""</f>
        <v/>
      </c>
      <c r="CW411" t="str">
        <f>""</f>
        <v/>
      </c>
      <c r="CX411" t="str">
        <f>""</f>
        <v/>
      </c>
      <c r="CY411" t="str">
        <f>""</f>
        <v/>
      </c>
      <c r="CZ411" t="str">
        <f>""</f>
        <v/>
      </c>
      <c r="DA411" t="str">
        <f>""</f>
        <v/>
      </c>
      <c r="DB411" t="str">
        <f>""</f>
        <v/>
      </c>
      <c r="DC411" t="str">
        <f>""</f>
        <v/>
      </c>
      <c r="DD411" t="str">
        <f>""</f>
        <v/>
      </c>
      <c r="DE411" t="str">
        <f>""</f>
        <v/>
      </c>
      <c r="DF411" t="str">
        <f>""</f>
        <v/>
      </c>
      <c r="DG411" t="str">
        <f>""</f>
        <v/>
      </c>
      <c r="DH411" t="str">
        <f>""</f>
        <v/>
      </c>
      <c r="DI411" t="str">
        <f>""</f>
        <v/>
      </c>
      <c r="DJ411" t="str">
        <f>""</f>
        <v/>
      </c>
      <c r="DK411" t="str">
        <f>""</f>
        <v/>
      </c>
      <c r="DL411" t="str">
        <f>""</f>
        <v/>
      </c>
      <c r="DM411" t="str">
        <f>""</f>
        <v/>
      </c>
      <c r="DN411" t="str">
        <f>""</f>
        <v/>
      </c>
      <c r="DO411" t="str">
        <f>""</f>
        <v/>
      </c>
      <c r="DP411" t="str">
        <f>""</f>
        <v/>
      </c>
      <c r="DQ411" t="str">
        <f>""</f>
        <v/>
      </c>
      <c r="DR411" t="str">
        <f>""</f>
        <v/>
      </c>
      <c r="DS411" t="str">
        <f>""</f>
        <v/>
      </c>
      <c r="DT411" t="str">
        <f>""</f>
        <v/>
      </c>
      <c r="DU411" t="str">
        <f>""</f>
        <v/>
      </c>
    </row>
    <row r="412" spans="1:125">
      <c r="A412" t="str">
        <f>""</f>
        <v/>
      </c>
      <c r="B412" t="str">
        <f>""</f>
        <v/>
      </c>
      <c r="C412" t="str">
        <f>""</f>
        <v/>
      </c>
      <c r="D412" t="str">
        <f>""</f>
        <v/>
      </c>
      <c r="E412" t="str">
        <f>""</f>
        <v/>
      </c>
      <c r="BN412" t="str">
        <f>""</f>
        <v/>
      </c>
      <c r="BO412" t="str">
        <f>""</f>
        <v/>
      </c>
      <c r="BP412" t="str">
        <f>""</f>
        <v/>
      </c>
      <c r="BQ412" t="str">
        <f>""</f>
        <v/>
      </c>
      <c r="BR412" t="str">
        <f>""</f>
        <v/>
      </c>
      <c r="BS412" t="str">
        <f>""</f>
        <v/>
      </c>
      <c r="BT412" t="str">
        <f>""</f>
        <v/>
      </c>
      <c r="BU412" t="str">
        <f>""</f>
        <v/>
      </c>
      <c r="BV412" t="str">
        <f>""</f>
        <v/>
      </c>
      <c r="BW412" t="str">
        <f>""</f>
        <v/>
      </c>
      <c r="BX412" t="str">
        <f>""</f>
        <v/>
      </c>
      <c r="BY412" t="str">
        <f>""</f>
        <v/>
      </c>
      <c r="BZ412" t="str">
        <f>""</f>
        <v/>
      </c>
      <c r="CA412" t="str">
        <f>""</f>
        <v/>
      </c>
      <c r="CB412" t="str">
        <f>""</f>
        <v/>
      </c>
      <c r="CC412" t="str">
        <f>""</f>
        <v/>
      </c>
      <c r="CD412" t="str">
        <f>""</f>
        <v/>
      </c>
      <c r="CE412" t="str">
        <f>""</f>
        <v/>
      </c>
      <c r="CF412" t="str">
        <f>""</f>
        <v/>
      </c>
      <c r="CG412" t="str">
        <f>""</f>
        <v/>
      </c>
      <c r="CH412" t="str">
        <f>""</f>
        <v/>
      </c>
      <c r="CI412" t="str">
        <f>""</f>
        <v/>
      </c>
      <c r="CJ412" t="str">
        <f>""</f>
        <v/>
      </c>
      <c r="CK412" t="str">
        <f>""</f>
        <v/>
      </c>
      <c r="CL412" t="str">
        <f>""</f>
        <v/>
      </c>
      <c r="CM412" t="str">
        <f>""</f>
        <v/>
      </c>
      <c r="CN412" t="str">
        <f>""</f>
        <v/>
      </c>
      <c r="CO412" t="str">
        <f>""</f>
        <v/>
      </c>
      <c r="CP412" t="str">
        <f>""</f>
        <v/>
      </c>
      <c r="CQ412" t="str">
        <f>""</f>
        <v/>
      </c>
      <c r="CR412" t="str">
        <f>""</f>
        <v/>
      </c>
      <c r="CS412" t="str">
        <f>""</f>
        <v/>
      </c>
      <c r="CT412" t="str">
        <f>""</f>
        <v/>
      </c>
      <c r="CU412" t="str">
        <f>""</f>
        <v/>
      </c>
      <c r="CV412" t="str">
        <f>""</f>
        <v/>
      </c>
      <c r="CW412" t="str">
        <f>""</f>
        <v/>
      </c>
      <c r="CX412" t="str">
        <f>""</f>
        <v/>
      </c>
      <c r="CY412" t="str">
        <f>""</f>
        <v/>
      </c>
      <c r="CZ412" t="str">
        <f>""</f>
        <v/>
      </c>
      <c r="DA412" t="str">
        <f>""</f>
        <v/>
      </c>
      <c r="DB412" t="str">
        <f>""</f>
        <v/>
      </c>
      <c r="DC412" t="str">
        <f>""</f>
        <v/>
      </c>
      <c r="DD412" t="str">
        <f>""</f>
        <v/>
      </c>
      <c r="DE412" t="str">
        <f>""</f>
        <v/>
      </c>
      <c r="DF412" t="str">
        <f>""</f>
        <v/>
      </c>
      <c r="DG412" t="str">
        <f>""</f>
        <v/>
      </c>
      <c r="DH412" t="str">
        <f>""</f>
        <v/>
      </c>
      <c r="DI412" t="str">
        <f>""</f>
        <v/>
      </c>
      <c r="DJ412" t="str">
        <f>""</f>
        <v/>
      </c>
      <c r="DK412" t="str">
        <f>""</f>
        <v/>
      </c>
      <c r="DL412" t="str">
        <f>""</f>
        <v/>
      </c>
      <c r="DM412" t="str">
        <f>""</f>
        <v/>
      </c>
      <c r="DN412" t="str">
        <f>""</f>
        <v/>
      </c>
      <c r="DO412" t="str">
        <f>""</f>
        <v/>
      </c>
      <c r="DP412" t="str">
        <f>""</f>
        <v/>
      </c>
      <c r="DQ412" t="str">
        <f>""</f>
        <v/>
      </c>
      <c r="DR412" t="str">
        <f>""</f>
        <v/>
      </c>
      <c r="DS412" t="str">
        <f>""</f>
        <v/>
      </c>
      <c r="DT412" t="str">
        <f>""</f>
        <v/>
      </c>
      <c r="DU412" t="str">
        <f>""</f>
        <v/>
      </c>
    </row>
    <row r="413" spans="1:125">
      <c r="A413" t="str">
        <f>""</f>
        <v/>
      </c>
      <c r="B413" t="str">
        <f>""</f>
        <v/>
      </c>
      <c r="C413" t="str">
        <f>""</f>
        <v/>
      </c>
      <c r="D413" t="str">
        <f>""</f>
        <v/>
      </c>
      <c r="E413" t="str">
        <f>""</f>
        <v/>
      </c>
      <c r="BN413" t="str">
        <f>""</f>
        <v/>
      </c>
      <c r="BO413" t="str">
        <f>""</f>
        <v/>
      </c>
      <c r="BP413" t="str">
        <f>""</f>
        <v/>
      </c>
      <c r="BQ413" t="str">
        <f>""</f>
        <v/>
      </c>
      <c r="BR413" t="str">
        <f>""</f>
        <v/>
      </c>
      <c r="BS413" t="str">
        <f>""</f>
        <v/>
      </c>
      <c r="BT413" t="str">
        <f>""</f>
        <v/>
      </c>
      <c r="BU413" t="str">
        <f>""</f>
        <v/>
      </c>
      <c r="BV413" t="str">
        <f>""</f>
        <v/>
      </c>
      <c r="BW413" t="str">
        <f>""</f>
        <v/>
      </c>
      <c r="BX413" t="str">
        <f>""</f>
        <v/>
      </c>
      <c r="BY413" t="str">
        <f>""</f>
        <v/>
      </c>
      <c r="BZ413" t="str">
        <f>""</f>
        <v/>
      </c>
      <c r="CA413" t="str">
        <f>""</f>
        <v/>
      </c>
      <c r="CB413" t="str">
        <f>""</f>
        <v/>
      </c>
      <c r="CC413" t="str">
        <f>""</f>
        <v/>
      </c>
      <c r="CD413" t="str">
        <f>""</f>
        <v/>
      </c>
      <c r="CE413" t="str">
        <f>""</f>
        <v/>
      </c>
      <c r="CF413" t="str">
        <f>""</f>
        <v/>
      </c>
      <c r="CG413" t="str">
        <f>""</f>
        <v/>
      </c>
      <c r="CH413" t="str">
        <f>""</f>
        <v/>
      </c>
      <c r="CI413" t="str">
        <f>""</f>
        <v/>
      </c>
      <c r="CJ413" t="str">
        <f>""</f>
        <v/>
      </c>
      <c r="CK413" t="str">
        <f>""</f>
        <v/>
      </c>
      <c r="CL413" t="str">
        <f>""</f>
        <v/>
      </c>
      <c r="CM413" t="str">
        <f>""</f>
        <v/>
      </c>
      <c r="CN413" t="str">
        <f>""</f>
        <v/>
      </c>
      <c r="CO413" t="str">
        <f>""</f>
        <v/>
      </c>
      <c r="CP413" t="str">
        <f>""</f>
        <v/>
      </c>
      <c r="CQ413" t="str">
        <f>""</f>
        <v/>
      </c>
      <c r="CR413" t="str">
        <f>""</f>
        <v/>
      </c>
      <c r="CS413" t="str">
        <f>""</f>
        <v/>
      </c>
      <c r="CT413" t="str">
        <f>""</f>
        <v/>
      </c>
      <c r="CU413" t="str">
        <f>""</f>
        <v/>
      </c>
      <c r="CV413" t="str">
        <f>""</f>
        <v/>
      </c>
      <c r="CW413" t="str">
        <f>""</f>
        <v/>
      </c>
      <c r="CX413" t="str">
        <f>""</f>
        <v/>
      </c>
      <c r="CY413" t="str">
        <f>""</f>
        <v/>
      </c>
      <c r="CZ413" t="str">
        <f>""</f>
        <v/>
      </c>
      <c r="DA413" t="str">
        <f>""</f>
        <v/>
      </c>
      <c r="DB413" t="str">
        <f>""</f>
        <v/>
      </c>
      <c r="DC413" t="str">
        <f>""</f>
        <v/>
      </c>
      <c r="DD413" t="str">
        <f>""</f>
        <v/>
      </c>
      <c r="DE413" t="str">
        <f>""</f>
        <v/>
      </c>
      <c r="DF413" t="str">
        <f>""</f>
        <v/>
      </c>
      <c r="DG413" t="str">
        <f>""</f>
        <v/>
      </c>
      <c r="DH413" t="str">
        <f>""</f>
        <v/>
      </c>
      <c r="DI413" t="str">
        <f>""</f>
        <v/>
      </c>
      <c r="DJ413" t="str">
        <f>""</f>
        <v/>
      </c>
      <c r="DK413" t="str">
        <f>""</f>
        <v/>
      </c>
      <c r="DL413" t="str">
        <f>""</f>
        <v/>
      </c>
      <c r="DM413" t="str">
        <f>""</f>
        <v/>
      </c>
      <c r="DN413" t="str">
        <f>""</f>
        <v/>
      </c>
      <c r="DO413" t="str">
        <f>""</f>
        <v/>
      </c>
      <c r="DP413" t="str">
        <f>""</f>
        <v/>
      </c>
      <c r="DQ413" t="str">
        <f>""</f>
        <v/>
      </c>
      <c r="DR413" t="str">
        <f>""</f>
        <v/>
      </c>
      <c r="DS413" t="str">
        <f>""</f>
        <v/>
      </c>
      <c r="DT413" t="str">
        <f>""</f>
        <v/>
      </c>
      <c r="DU413" t="str">
        <f>""</f>
        <v/>
      </c>
    </row>
    <row r="414" spans="1:125">
      <c r="A414" t="str">
        <f>""</f>
        <v/>
      </c>
      <c r="B414" t="str">
        <f>""</f>
        <v/>
      </c>
      <c r="C414" t="str">
        <f>""</f>
        <v/>
      </c>
      <c r="D414" t="str">
        <f>""</f>
        <v/>
      </c>
      <c r="E414" t="str">
        <f>""</f>
        <v/>
      </c>
      <c r="BN414" t="str">
        <f>""</f>
        <v/>
      </c>
      <c r="BO414" t="str">
        <f>""</f>
        <v/>
      </c>
      <c r="BP414" t="str">
        <f>""</f>
        <v/>
      </c>
      <c r="BQ414" t="str">
        <f>""</f>
        <v/>
      </c>
      <c r="BR414" t="str">
        <f>""</f>
        <v/>
      </c>
      <c r="BS414" t="str">
        <f>""</f>
        <v/>
      </c>
      <c r="BT414" t="str">
        <f>""</f>
        <v/>
      </c>
      <c r="BU414" t="str">
        <f>""</f>
        <v/>
      </c>
      <c r="BV414" t="str">
        <f>""</f>
        <v/>
      </c>
      <c r="BW414" t="str">
        <f>""</f>
        <v/>
      </c>
      <c r="BX414" t="str">
        <f>""</f>
        <v/>
      </c>
      <c r="BY414" t="str">
        <f>""</f>
        <v/>
      </c>
      <c r="BZ414" t="str">
        <f>""</f>
        <v/>
      </c>
      <c r="CA414" t="str">
        <f>""</f>
        <v/>
      </c>
      <c r="CB414" t="str">
        <f>""</f>
        <v/>
      </c>
      <c r="CC414" t="str">
        <f>""</f>
        <v/>
      </c>
      <c r="CD414" t="str">
        <f>""</f>
        <v/>
      </c>
      <c r="CE414" t="str">
        <f>""</f>
        <v/>
      </c>
      <c r="CF414" t="str">
        <f>""</f>
        <v/>
      </c>
      <c r="CG414" t="str">
        <f>""</f>
        <v/>
      </c>
      <c r="CH414" t="str">
        <f>""</f>
        <v/>
      </c>
      <c r="CI414" t="str">
        <f>""</f>
        <v/>
      </c>
      <c r="CJ414" t="str">
        <f>""</f>
        <v/>
      </c>
      <c r="CK414" t="str">
        <f>""</f>
        <v/>
      </c>
      <c r="CL414" t="str">
        <f>""</f>
        <v/>
      </c>
      <c r="CM414" t="str">
        <f>""</f>
        <v/>
      </c>
      <c r="CN414" t="str">
        <f>""</f>
        <v/>
      </c>
      <c r="CO414" t="str">
        <f>""</f>
        <v/>
      </c>
      <c r="CP414" t="str">
        <f>""</f>
        <v/>
      </c>
      <c r="CQ414" t="str">
        <f>""</f>
        <v/>
      </c>
      <c r="CR414" t="str">
        <f>""</f>
        <v/>
      </c>
      <c r="CS414" t="str">
        <f>""</f>
        <v/>
      </c>
      <c r="CT414" t="str">
        <f>""</f>
        <v/>
      </c>
      <c r="CU414" t="str">
        <f>""</f>
        <v/>
      </c>
      <c r="CV414" t="str">
        <f>""</f>
        <v/>
      </c>
      <c r="CW414" t="str">
        <f>""</f>
        <v/>
      </c>
      <c r="CX414" t="str">
        <f>""</f>
        <v/>
      </c>
      <c r="CY414" t="str">
        <f>""</f>
        <v/>
      </c>
      <c r="CZ414" t="str">
        <f>""</f>
        <v/>
      </c>
      <c r="DA414" t="str">
        <f>""</f>
        <v/>
      </c>
      <c r="DB414" t="str">
        <f>""</f>
        <v/>
      </c>
      <c r="DC414" t="str">
        <f>""</f>
        <v/>
      </c>
      <c r="DD414" t="str">
        <f>""</f>
        <v/>
      </c>
      <c r="DE414" t="str">
        <f>""</f>
        <v/>
      </c>
      <c r="DF414" t="str">
        <f>""</f>
        <v/>
      </c>
      <c r="DG414" t="str">
        <f>""</f>
        <v/>
      </c>
      <c r="DH414" t="str">
        <f>""</f>
        <v/>
      </c>
      <c r="DI414" t="str">
        <f>""</f>
        <v/>
      </c>
      <c r="DJ414" t="str">
        <f>""</f>
        <v/>
      </c>
      <c r="DK414" t="str">
        <f>""</f>
        <v/>
      </c>
      <c r="DL414" t="str">
        <f>""</f>
        <v/>
      </c>
      <c r="DM414" t="str">
        <f>""</f>
        <v/>
      </c>
      <c r="DN414" t="str">
        <f>""</f>
        <v/>
      </c>
      <c r="DO414" t="str">
        <f>""</f>
        <v/>
      </c>
      <c r="DP414" t="str">
        <f>""</f>
        <v/>
      </c>
      <c r="DQ414" t="str">
        <f>""</f>
        <v/>
      </c>
      <c r="DR414" t="str">
        <f>""</f>
        <v/>
      </c>
      <c r="DS414" t="str">
        <f>""</f>
        <v/>
      </c>
      <c r="DT414" t="str">
        <f>""</f>
        <v/>
      </c>
      <c r="DU414" t="str">
        <f>""</f>
        <v/>
      </c>
    </row>
    <row r="415" spans="1:125">
      <c r="A415" t="str">
        <f>""</f>
        <v/>
      </c>
      <c r="B415" t="str">
        <f>""</f>
        <v/>
      </c>
      <c r="C415" t="str">
        <f>""</f>
        <v/>
      </c>
      <c r="D415" t="str">
        <f>""</f>
        <v/>
      </c>
      <c r="E415" t="str">
        <f>""</f>
        <v/>
      </c>
      <c r="BN415" t="str">
        <f>""</f>
        <v/>
      </c>
      <c r="BO415" t="str">
        <f>""</f>
        <v/>
      </c>
      <c r="BP415" t="str">
        <f>""</f>
        <v/>
      </c>
      <c r="BQ415" t="str">
        <f>""</f>
        <v/>
      </c>
      <c r="BR415" t="str">
        <f>""</f>
        <v/>
      </c>
      <c r="BS415" t="str">
        <f>""</f>
        <v/>
      </c>
      <c r="BT415" t="str">
        <f>""</f>
        <v/>
      </c>
      <c r="BU415" t="str">
        <f>""</f>
        <v/>
      </c>
      <c r="BV415" t="str">
        <f>""</f>
        <v/>
      </c>
      <c r="BW415" t="str">
        <f>""</f>
        <v/>
      </c>
      <c r="BX415" t="str">
        <f>""</f>
        <v/>
      </c>
      <c r="BY415" t="str">
        <f>""</f>
        <v/>
      </c>
      <c r="BZ415" t="str">
        <f>""</f>
        <v/>
      </c>
      <c r="CA415" t="str">
        <f>""</f>
        <v/>
      </c>
      <c r="CB415" t="str">
        <f>""</f>
        <v/>
      </c>
      <c r="CC415" t="str">
        <f>""</f>
        <v/>
      </c>
      <c r="CD415" t="str">
        <f>""</f>
        <v/>
      </c>
      <c r="CE415" t="str">
        <f>""</f>
        <v/>
      </c>
      <c r="CF415" t="str">
        <f>""</f>
        <v/>
      </c>
      <c r="CG415" t="str">
        <f>""</f>
        <v/>
      </c>
      <c r="CH415" t="str">
        <f>""</f>
        <v/>
      </c>
      <c r="CI415" t="str">
        <f>""</f>
        <v/>
      </c>
      <c r="CJ415" t="str">
        <f>""</f>
        <v/>
      </c>
      <c r="CK415" t="str">
        <f>""</f>
        <v/>
      </c>
      <c r="CL415" t="str">
        <f>""</f>
        <v/>
      </c>
      <c r="CM415" t="str">
        <f>""</f>
        <v/>
      </c>
      <c r="CN415" t="str">
        <f>""</f>
        <v/>
      </c>
      <c r="CO415" t="str">
        <f>""</f>
        <v/>
      </c>
      <c r="CP415" t="str">
        <f>""</f>
        <v/>
      </c>
      <c r="CQ415" t="str">
        <f>""</f>
        <v/>
      </c>
      <c r="CR415" t="str">
        <f>""</f>
        <v/>
      </c>
      <c r="CS415" t="str">
        <f>""</f>
        <v/>
      </c>
      <c r="CT415" t="str">
        <f>""</f>
        <v/>
      </c>
      <c r="CU415" t="str">
        <f>""</f>
        <v/>
      </c>
      <c r="CV415" t="str">
        <f>""</f>
        <v/>
      </c>
      <c r="CW415" t="str">
        <f>""</f>
        <v/>
      </c>
      <c r="CX415" t="str">
        <f>""</f>
        <v/>
      </c>
      <c r="CY415" t="str">
        <f>""</f>
        <v/>
      </c>
      <c r="CZ415" t="str">
        <f>""</f>
        <v/>
      </c>
      <c r="DA415" t="str">
        <f>""</f>
        <v/>
      </c>
      <c r="DB415" t="str">
        <f>""</f>
        <v/>
      </c>
      <c r="DC415" t="str">
        <f>""</f>
        <v/>
      </c>
      <c r="DD415" t="str">
        <f>""</f>
        <v/>
      </c>
      <c r="DE415" t="str">
        <f>""</f>
        <v/>
      </c>
      <c r="DF415" t="str">
        <f>""</f>
        <v/>
      </c>
      <c r="DG415" t="str">
        <f>""</f>
        <v/>
      </c>
      <c r="DH415" t="str">
        <f>""</f>
        <v/>
      </c>
      <c r="DI415" t="str">
        <f>""</f>
        <v/>
      </c>
      <c r="DJ415" t="str">
        <f>""</f>
        <v/>
      </c>
      <c r="DK415" t="str">
        <f>""</f>
        <v/>
      </c>
      <c r="DL415" t="str">
        <f>""</f>
        <v/>
      </c>
      <c r="DM415" t="str">
        <f>""</f>
        <v/>
      </c>
      <c r="DN415" t="str">
        <f>""</f>
        <v/>
      </c>
      <c r="DO415" t="str">
        <f>""</f>
        <v/>
      </c>
      <c r="DP415" t="str">
        <f>""</f>
        <v/>
      </c>
      <c r="DQ415" t="str">
        <f>""</f>
        <v/>
      </c>
      <c r="DR415" t="str">
        <f>""</f>
        <v/>
      </c>
      <c r="DS415" t="str">
        <f>""</f>
        <v/>
      </c>
      <c r="DT415" t="str">
        <f>""</f>
        <v/>
      </c>
      <c r="DU415" t="str">
        <f>""</f>
        <v/>
      </c>
    </row>
    <row r="416" spans="1:125">
      <c r="A416" t="str">
        <f>""</f>
        <v/>
      </c>
      <c r="B416" t="str">
        <f>""</f>
        <v/>
      </c>
      <c r="C416" t="str">
        <f>""</f>
        <v/>
      </c>
      <c r="D416" t="str">
        <f>""</f>
        <v/>
      </c>
      <c r="E416" t="str">
        <f>""</f>
        <v/>
      </c>
      <c r="BN416" t="str">
        <f>""</f>
        <v/>
      </c>
      <c r="BO416" t="str">
        <f>""</f>
        <v/>
      </c>
      <c r="BP416" t="str">
        <f>""</f>
        <v/>
      </c>
      <c r="BQ416" t="str">
        <f>""</f>
        <v/>
      </c>
      <c r="BR416" t="str">
        <f>""</f>
        <v/>
      </c>
      <c r="BS416" t="str">
        <f>""</f>
        <v/>
      </c>
      <c r="BT416" t="str">
        <f>""</f>
        <v/>
      </c>
      <c r="BU416" t="str">
        <f>""</f>
        <v/>
      </c>
      <c r="BV416" t="str">
        <f>""</f>
        <v/>
      </c>
      <c r="BW416" t="str">
        <f>""</f>
        <v/>
      </c>
      <c r="BX416" t="str">
        <f>""</f>
        <v/>
      </c>
      <c r="BY416" t="str">
        <f>""</f>
        <v/>
      </c>
      <c r="BZ416" t="str">
        <f>""</f>
        <v/>
      </c>
      <c r="CA416" t="str">
        <f>""</f>
        <v/>
      </c>
      <c r="CB416" t="str">
        <f>""</f>
        <v/>
      </c>
      <c r="CC416" t="str">
        <f>""</f>
        <v/>
      </c>
      <c r="CD416" t="str">
        <f>""</f>
        <v/>
      </c>
      <c r="CE416" t="str">
        <f>""</f>
        <v/>
      </c>
      <c r="CF416" t="str">
        <f>""</f>
        <v/>
      </c>
      <c r="CG416" t="str">
        <f>""</f>
        <v/>
      </c>
      <c r="CH416" t="str">
        <f>""</f>
        <v/>
      </c>
      <c r="CI416" t="str">
        <f>""</f>
        <v/>
      </c>
      <c r="CJ416" t="str">
        <f>""</f>
        <v/>
      </c>
      <c r="CK416" t="str">
        <f>""</f>
        <v/>
      </c>
      <c r="CL416" t="str">
        <f>""</f>
        <v/>
      </c>
      <c r="CM416" t="str">
        <f>""</f>
        <v/>
      </c>
      <c r="CN416" t="str">
        <f>""</f>
        <v/>
      </c>
      <c r="CO416" t="str">
        <f>""</f>
        <v/>
      </c>
      <c r="CP416" t="str">
        <f>""</f>
        <v/>
      </c>
      <c r="CQ416" t="str">
        <f>""</f>
        <v/>
      </c>
      <c r="CR416" t="str">
        <f>""</f>
        <v/>
      </c>
      <c r="CS416" t="str">
        <f>""</f>
        <v/>
      </c>
      <c r="CT416" t="str">
        <f>""</f>
        <v/>
      </c>
      <c r="CU416" t="str">
        <f>""</f>
        <v/>
      </c>
      <c r="CV416" t="str">
        <f>""</f>
        <v/>
      </c>
      <c r="CW416" t="str">
        <f>""</f>
        <v/>
      </c>
      <c r="CX416" t="str">
        <f>""</f>
        <v/>
      </c>
      <c r="CY416" t="str">
        <f>""</f>
        <v/>
      </c>
      <c r="CZ416" t="str">
        <f>""</f>
        <v/>
      </c>
      <c r="DA416" t="str">
        <f>""</f>
        <v/>
      </c>
      <c r="DB416" t="str">
        <f>""</f>
        <v/>
      </c>
      <c r="DC416" t="str">
        <f>""</f>
        <v/>
      </c>
      <c r="DD416" t="str">
        <f>""</f>
        <v/>
      </c>
      <c r="DE416" t="str">
        <f>""</f>
        <v/>
      </c>
      <c r="DF416" t="str">
        <f>""</f>
        <v/>
      </c>
      <c r="DG416" t="str">
        <f>""</f>
        <v/>
      </c>
      <c r="DH416" t="str">
        <f>""</f>
        <v/>
      </c>
      <c r="DI416" t="str">
        <f>""</f>
        <v/>
      </c>
      <c r="DJ416" t="str">
        <f>""</f>
        <v/>
      </c>
      <c r="DK416" t="str">
        <f>""</f>
        <v/>
      </c>
      <c r="DL416" t="str">
        <f>""</f>
        <v/>
      </c>
      <c r="DM416" t="str">
        <f>""</f>
        <v/>
      </c>
      <c r="DN416" t="str">
        <f>""</f>
        <v/>
      </c>
      <c r="DO416" t="str">
        <f>""</f>
        <v/>
      </c>
      <c r="DP416" t="str">
        <f>""</f>
        <v/>
      </c>
      <c r="DQ416" t="str">
        <f>""</f>
        <v/>
      </c>
      <c r="DR416" t="str">
        <f>""</f>
        <v/>
      </c>
      <c r="DS416" t="str">
        <f>""</f>
        <v/>
      </c>
      <c r="DT416" t="str">
        <f>""</f>
        <v/>
      </c>
      <c r="DU416" t="str">
        <f>""</f>
        <v/>
      </c>
    </row>
    <row r="417" spans="1:125">
      <c r="A417" t="str">
        <f>"~~~~~~~~~~~~~~~~~~~~~"</f>
        <v>~~~~~~~~~~~~~~~~~~~~~</v>
      </c>
      <c r="B417" t="str">
        <f>"~~~~~~~~~~~~~~~~~~~~~"</f>
        <v>~~~~~~~~~~~~~~~~~~~~~</v>
      </c>
      <c r="C417" t="str">
        <f>"~~~~~~~~~~~~~~~~~~~~~"</f>
        <v>~~~~~~~~~~~~~~~~~~~~~</v>
      </c>
      <c r="D417" t="str">
        <f>"~~~~~~~~~~~~~~~~~~~~~"</f>
        <v>~~~~~~~~~~~~~~~~~~~~~</v>
      </c>
      <c r="E417" t="str">
        <f>"~~~~~~~~~~~~~~~~~~~~~"</f>
        <v>~~~~~~~~~~~~~~~~~~~~~</v>
      </c>
      <c r="BN417" t="str">
        <f>""</f>
        <v/>
      </c>
      <c r="BO417" t="str">
        <f>""</f>
        <v/>
      </c>
      <c r="BP417" t="str">
        <f>""</f>
        <v/>
      </c>
      <c r="BQ417" t="str">
        <f>""</f>
        <v/>
      </c>
      <c r="BR417" t="str">
        <f>""</f>
        <v/>
      </c>
      <c r="BS417" t="str">
        <f>""</f>
        <v/>
      </c>
      <c r="BT417" t="str">
        <f>""</f>
        <v/>
      </c>
      <c r="BU417" t="str">
        <f>""</f>
        <v/>
      </c>
      <c r="BV417" t="str">
        <f>""</f>
        <v/>
      </c>
      <c r="BW417" t="str">
        <f>""</f>
        <v/>
      </c>
      <c r="BX417" t="str">
        <f>""</f>
        <v/>
      </c>
      <c r="BY417" t="str">
        <f>""</f>
        <v/>
      </c>
      <c r="BZ417" t="str">
        <f>""</f>
        <v/>
      </c>
      <c r="CA417" t="str">
        <f>""</f>
        <v/>
      </c>
      <c r="CB417" t="str">
        <f>""</f>
        <v/>
      </c>
      <c r="CC417" t="str">
        <f>""</f>
        <v/>
      </c>
      <c r="CD417" t="str">
        <f>""</f>
        <v/>
      </c>
      <c r="CE417" t="str">
        <f>""</f>
        <v/>
      </c>
      <c r="CF417" t="str">
        <f>""</f>
        <v/>
      </c>
      <c r="CG417" t="str">
        <f>""</f>
        <v/>
      </c>
      <c r="CH417" t="str">
        <f>""</f>
        <v/>
      </c>
      <c r="CI417" t="str">
        <f>""</f>
        <v/>
      </c>
      <c r="CJ417" t="str">
        <f>""</f>
        <v/>
      </c>
      <c r="CK417" t="str">
        <f>""</f>
        <v/>
      </c>
      <c r="CL417" t="str">
        <f>""</f>
        <v/>
      </c>
      <c r="CM417" t="str">
        <f>""</f>
        <v/>
      </c>
      <c r="CN417" t="str">
        <f>""</f>
        <v/>
      </c>
      <c r="CO417" t="str">
        <f>""</f>
        <v/>
      </c>
      <c r="CP417" t="str">
        <f>""</f>
        <v/>
      </c>
      <c r="CQ417" t="str">
        <f>""</f>
        <v/>
      </c>
      <c r="CR417" t="str">
        <f>""</f>
        <v/>
      </c>
      <c r="CS417" t="str">
        <f>""</f>
        <v/>
      </c>
      <c r="CT417" t="str">
        <f>""</f>
        <v/>
      </c>
      <c r="CU417" t="str">
        <f>""</f>
        <v/>
      </c>
      <c r="CV417" t="str">
        <f>""</f>
        <v/>
      </c>
      <c r="CW417" t="str">
        <f>""</f>
        <v/>
      </c>
      <c r="CX417" t="str">
        <f>""</f>
        <v/>
      </c>
      <c r="CY417" t="str">
        <f>""</f>
        <v/>
      </c>
      <c r="CZ417" t="str">
        <f>""</f>
        <v/>
      </c>
      <c r="DA417" t="str">
        <f>""</f>
        <v/>
      </c>
      <c r="DB417" t="str">
        <f>""</f>
        <v/>
      </c>
      <c r="DC417" t="str">
        <f>""</f>
        <v/>
      </c>
      <c r="DD417" t="str">
        <f>""</f>
        <v/>
      </c>
      <c r="DE417" t="str">
        <f>""</f>
        <v/>
      </c>
      <c r="DF417" t="str">
        <f>""</f>
        <v/>
      </c>
      <c r="DG417" t="str">
        <f>""</f>
        <v/>
      </c>
      <c r="DH417" t="str">
        <f>""</f>
        <v/>
      </c>
      <c r="DI417" t="str">
        <f>""</f>
        <v/>
      </c>
      <c r="DJ417" t="str">
        <f>""</f>
        <v/>
      </c>
      <c r="DK417" t="str">
        <f>""</f>
        <v/>
      </c>
      <c r="DL417" t="str">
        <f>""</f>
        <v/>
      </c>
      <c r="DM417" t="str">
        <f>""</f>
        <v/>
      </c>
      <c r="DN417" t="str">
        <f>""</f>
        <v/>
      </c>
      <c r="DO417" t="str">
        <f>""</f>
        <v/>
      </c>
      <c r="DP417" t="str">
        <f>""</f>
        <v/>
      </c>
      <c r="DQ417" t="str">
        <f>""</f>
        <v/>
      </c>
      <c r="DR417" t="str">
        <f>""</f>
        <v/>
      </c>
      <c r="DS417" t="str">
        <f>""</f>
        <v/>
      </c>
      <c r="DT417" t="str">
        <f>""</f>
        <v/>
      </c>
      <c r="DU417" t="str">
        <f>""</f>
        <v/>
      </c>
    </row>
    <row r="418" spans="1:125">
      <c r="A418" t="str">
        <f>"Rows below for column date calculation"</f>
        <v>Rows below for column date calculation</v>
      </c>
      <c r="BN418" t="str">
        <f>""</f>
        <v/>
      </c>
      <c r="BO418" t="str">
        <f>""</f>
        <v/>
      </c>
      <c r="BP418" t="str">
        <f>""</f>
        <v/>
      </c>
      <c r="BQ418" t="str">
        <f>""</f>
        <v/>
      </c>
      <c r="BR418" t="str">
        <f>""</f>
        <v/>
      </c>
      <c r="BS418" t="str">
        <f>""</f>
        <v/>
      </c>
      <c r="BT418" t="str">
        <f>""</f>
        <v/>
      </c>
      <c r="BU418" t="str">
        <f>""</f>
        <v/>
      </c>
      <c r="BV418" t="str">
        <f>""</f>
        <v/>
      </c>
      <c r="BW418" t="str">
        <f>""</f>
        <v/>
      </c>
      <c r="BX418" t="str">
        <f>""</f>
        <v/>
      </c>
      <c r="BY418" t="str">
        <f>""</f>
        <v/>
      </c>
      <c r="BZ418" t="str">
        <f>""</f>
        <v/>
      </c>
      <c r="CA418" t="str">
        <f>""</f>
        <v/>
      </c>
      <c r="CB418" t="str">
        <f>""</f>
        <v/>
      </c>
      <c r="CC418" t="str">
        <f>""</f>
        <v/>
      </c>
      <c r="CD418" t="str">
        <f>""</f>
        <v/>
      </c>
      <c r="CE418" t="str">
        <f>""</f>
        <v/>
      </c>
      <c r="CF418" t="str">
        <f>""</f>
        <v/>
      </c>
      <c r="CG418" t="str">
        <f>""</f>
        <v/>
      </c>
      <c r="CH418" t="str">
        <f>""</f>
        <v/>
      </c>
      <c r="CI418" t="str">
        <f>""</f>
        <v/>
      </c>
      <c r="CJ418" t="str">
        <f>""</f>
        <v/>
      </c>
      <c r="CK418" t="str">
        <f>""</f>
        <v/>
      </c>
      <c r="CL418" t="str">
        <f>""</f>
        <v/>
      </c>
      <c r="CM418" t="str">
        <f>""</f>
        <v/>
      </c>
      <c r="CN418" t="str">
        <f>""</f>
        <v/>
      </c>
      <c r="CO418" t="str">
        <f>""</f>
        <v/>
      </c>
      <c r="CP418" t="str">
        <f>""</f>
        <v/>
      </c>
      <c r="CQ418" t="str">
        <f>""</f>
        <v/>
      </c>
      <c r="CR418" t="str">
        <f>""</f>
        <v/>
      </c>
      <c r="CS418" t="str">
        <f>""</f>
        <v/>
      </c>
      <c r="CT418" t="str">
        <f>""</f>
        <v/>
      </c>
      <c r="CU418" t="str">
        <f>""</f>
        <v/>
      </c>
      <c r="CV418" t="str">
        <f>""</f>
        <v/>
      </c>
      <c r="CW418" t="str">
        <f>""</f>
        <v/>
      </c>
      <c r="CX418" t="str">
        <f>""</f>
        <v/>
      </c>
      <c r="CY418" t="str">
        <f>""</f>
        <v/>
      </c>
      <c r="CZ418" t="str">
        <f>""</f>
        <v/>
      </c>
      <c r="DA418" t="str">
        <f>""</f>
        <v/>
      </c>
      <c r="DB418" t="str">
        <f>""</f>
        <v/>
      </c>
      <c r="DC418" t="str">
        <f>""</f>
        <v/>
      </c>
      <c r="DD418" t="str">
        <f>""</f>
        <v/>
      </c>
      <c r="DE418" t="str">
        <f>""</f>
        <v/>
      </c>
      <c r="DF418" t="str">
        <f>""</f>
        <v/>
      </c>
      <c r="DG418" t="str">
        <f>""</f>
        <v/>
      </c>
      <c r="DH418" t="str">
        <f>""</f>
        <v/>
      </c>
      <c r="DI418" t="str">
        <f>""</f>
        <v/>
      </c>
      <c r="DJ418" t="str">
        <f>""</f>
        <v/>
      </c>
      <c r="DK418" t="str">
        <f>""</f>
        <v/>
      </c>
      <c r="DL418" t="str">
        <f>""</f>
        <v/>
      </c>
      <c r="DM418" t="str">
        <f>""</f>
        <v/>
      </c>
      <c r="DN418" t="str">
        <f>""</f>
        <v/>
      </c>
      <c r="DO418" t="str">
        <f>""</f>
        <v/>
      </c>
      <c r="DP418" t="str">
        <f>""</f>
        <v/>
      </c>
      <c r="DQ418" t="str">
        <f>""</f>
        <v/>
      </c>
      <c r="DR418" t="str">
        <f>""</f>
        <v/>
      </c>
      <c r="DS418" t="str">
        <f>""</f>
        <v/>
      </c>
      <c r="DT418" t="str">
        <f>""</f>
        <v/>
      </c>
      <c r="DU418" t="str">
        <f>""</f>
        <v/>
      </c>
    </row>
    <row r="419" spans="1:125">
      <c r="A419" t="str">
        <f>"Downloaded at"</f>
        <v>Downloaded at</v>
      </c>
      <c r="B419">
        <f>DATE(2018, 3,13)</f>
        <v>43172</v>
      </c>
      <c r="C419" t="str">
        <f>""</f>
        <v/>
      </c>
      <c r="D419" t="str">
        <f>""</f>
        <v/>
      </c>
      <c r="E419" t="str">
        <f>""</f>
        <v/>
      </c>
      <c r="BN419" t="str">
        <f>""</f>
        <v/>
      </c>
      <c r="BO419" t="str">
        <f>""</f>
        <v/>
      </c>
      <c r="BP419" t="str">
        <f>""</f>
        <v/>
      </c>
      <c r="BQ419" t="str">
        <f>""</f>
        <v/>
      </c>
      <c r="BR419" t="str">
        <f>""</f>
        <v/>
      </c>
      <c r="BS419" t="str">
        <f>""</f>
        <v/>
      </c>
      <c r="BT419" t="str">
        <f>""</f>
        <v/>
      </c>
      <c r="BU419" t="str">
        <f>""</f>
        <v/>
      </c>
      <c r="BV419" t="str">
        <f>""</f>
        <v/>
      </c>
      <c r="BW419" t="str">
        <f>""</f>
        <v/>
      </c>
      <c r="BX419" t="str">
        <f>""</f>
        <v/>
      </c>
      <c r="BY419" t="str">
        <f>""</f>
        <v/>
      </c>
      <c r="BZ419" t="str">
        <f>""</f>
        <v/>
      </c>
      <c r="CA419" t="str">
        <f>""</f>
        <v/>
      </c>
      <c r="CB419" t="str">
        <f>""</f>
        <v/>
      </c>
      <c r="CC419" t="str">
        <f>""</f>
        <v/>
      </c>
      <c r="CD419" t="str">
        <f>""</f>
        <v/>
      </c>
      <c r="CE419" t="str">
        <f>""</f>
        <v/>
      </c>
      <c r="CF419" t="str">
        <f>""</f>
        <v/>
      </c>
      <c r="CG419" t="str">
        <f>""</f>
        <v/>
      </c>
      <c r="CH419" t="str">
        <f>""</f>
        <v/>
      </c>
      <c r="CI419" t="str">
        <f>""</f>
        <v/>
      </c>
      <c r="CJ419" t="str">
        <f>""</f>
        <v/>
      </c>
      <c r="CK419" t="str">
        <f>""</f>
        <v/>
      </c>
      <c r="CL419" t="str">
        <f>""</f>
        <v/>
      </c>
      <c r="CM419" t="str">
        <f>""</f>
        <v/>
      </c>
      <c r="CN419" t="str">
        <f>""</f>
        <v/>
      </c>
      <c r="CO419" t="str">
        <f>""</f>
        <v/>
      </c>
      <c r="CP419" t="str">
        <f>""</f>
        <v/>
      </c>
      <c r="CQ419" t="str">
        <f>""</f>
        <v/>
      </c>
      <c r="CR419" t="str">
        <f>""</f>
        <v/>
      </c>
      <c r="CS419" t="str">
        <f>""</f>
        <v/>
      </c>
      <c r="CT419" t="str">
        <f>""</f>
        <v/>
      </c>
      <c r="CU419" t="str">
        <f>""</f>
        <v/>
      </c>
      <c r="CV419" t="str">
        <f>""</f>
        <v/>
      </c>
      <c r="CW419" t="str">
        <f>""</f>
        <v/>
      </c>
      <c r="CX419" t="str">
        <f>""</f>
        <v/>
      </c>
      <c r="CY419" t="str">
        <f>""</f>
        <v/>
      </c>
      <c r="CZ419" t="str">
        <f>""</f>
        <v/>
      </c>
      <c r="DA419" t="str">
        <f>""</f>
        <v/>
      </c>
      <c r="DB419" t="str">
        <f>""</f>
        <v/>
      </c>
      <c r="DC419" t="str">
        <f>""</f>
        <v/>
      </c>
      <c r="DD419" t="str">
        <f>""</f>
        <v/>
      </c>
      <c r="DE419" t="str">
        <f>""</f>
        <v/>
      </c>
      <c r="DF419" t="str">
        <f>""</f>
        <v/>
      </c>
      <c r="DG419" t="str">
        <f>""</f>
        <v/>
      </c>
      <c r="DH419" t="str">
        <f>""</f>
        <v/>
      </c>
      <c r="DI419" t="str">
        <f>""</f>
        <v/>
      </c>
      <c r="DJ419" t="str">
        <f>""</f>
        <v/>
      </c>
      <c r="DK419" t="str">
        <f>""</f>
        <v/>
      </c>
      <c r="DL419" t="str">
        <f>""</f>
        <v/>
      </c>
      <c r="DM419" t="str">
        <f>""</f>
        <v/>
      </c>
      <c r="DN419" t="str">
        <f>""</f>
        <v/>
      </c>
      <c r="DO419" t="str">
        <f>""</f>
        <v/>
      </c>
      <c r="DP419" t="str">
        <f>""</f>
        <v/>
      </c>
      <c r="DQ419" t="str">
        <f>""</f>
        <v/>
      </c>
      <c r="DR419" t="str">
        <f>""</f>
        <v/>
      </c>
      <c r="DS419" t="str">
        <f>""</f>
        <v/>
      </c>
      <c r="DT419" t="str">
        <f>""</f>
        <v/>
      </c>
      <c r="DU419" t="str">
        <f>""</f>
        <v/>
      </c>
    </row>
    <row r="420" spans="1:125">
      <c r="A420" t="str">
        <f>"This is End Date"</f>
        <v>This is End Date</v>
      </c>
      <c r="B420">
        <f ca="1">$B$225</f>
        <v>43190</v>
      </c>
      <c r="C420" t="str">
        <f>""</f>
        <v/>
      </c>
      <c r="D420" t="str">
        <f>""</f>
        <v/>
      </c>
      <c r="E420" t="str">
        <f>""</f>
        <v/>
      </c>
      <c r="BN420" t="str">
        <f>""</f>
        <v/>
      </c>
      <c r="BO420" t="str">
        <f>""</f>
        <v/>
      </c>
      <c r="BP420" t="str">
        <f>""</f>
        <v/>
      </c>
      <c r="BQ420" t="str">
        <f>""</f>
        <v/>
      </c>
      <c r="BR420" t="str">
        <f>""</f>
        <v/>
      </c>
      <c r="BS420" t="str">
        <f>""</f>
        <v/>
      </c>
      <c r="BT420" t="str">
        <f>""</f>
        <v/>
      </c>
      <c r="BU420" t="str">
        <f>""</f>
        <v/>
      </c>
      <c r="BV420" t="str">
        <f>""</f>
        <v/>
      </c>
      <c r="BW420" t="str">
        <f>""</f>
        <v/>
      </c>
      <c r="BX420" t="str">
        <f>""</f>
        <v/>
      </c>
      <c r="BY420" t="str">
        <f>""</f>
        <v/>
      </c>
      <c r="BZ420" t="str">
        <f>""</f>
        <v/>
      </c>
      <c r="CA420" t="str">
        <f>""</f>
        <v/>
      </c>
      <c r="CB420" t="str">
        <f>""</f>
        <v/>
      </c>
      <c r="CC420" t="str">
        <f>""</f>
        <v/>
      </c>
      <c r="CD420" t="str">
        <f>""</f>
        <v/>
      </c>
      <c r="CE420" t="str">
        <f>""</f>
        <v/>
      </c>
      <c r="CF420" t="str">
        <f>""</f>
        <v/>
      </c>
      <c r="CG420" t="str">
        <f>""</f>
        <v/>
      </c>
      <c r="CH420" t="str">
        <f>""</f>
        <v/>
      </c>
      <c r="CI420" t="str">
        <f>""</f>
        <v/>
      </c>
      <c r="CJ420" t="str">
        <f>""</f>
        <v/>
      </c>
      <c r="CK420" t="str">
        <f>""</f>
        <v/>
      </c>
      <c r="CL420" t="str">
        <f>""</f>
        <v/>
      </c>
      <c r="CM420" t="str">
        <f>""</f>
        <v/>
      </c>
      <c r="CN420" t="str">
        <f>""</f>
        <v/>
      </c>
      <c r="CO420" t="str">
        <f>""</f>
        <v/>
      </c>
      <c r="CP420" t="str">
        <f>""</f>
        <v/>
      </c>
      <c r="CQ420" t="str">
        <f>""</f>
        <v/>
      </c>
      <c r="CR420" t="str">
        <f>""</f>
        <v/>
      </c>
      <c r="CS420" t="str">
        <f>""</f>
        <v/>
      </c>
      <c r="CT420" t="str">
        <f>""</f>
        <v/>
      </c>
      <c r="CU420" t="str">
        <f>""</f>
        <v/>
      </c>
      <c r="CV420" t="str">
        <f>""</f>
        <v/>
      </c>
      <c r="CW420" t="str">
        <f>""</f>
        <v/>
      </c>
      <c r="CX420" t="str">
        <f>""</f>
        <v/>
      </c>
      <c r="CY420" t="str">
        <f>""</f>
        <v/>
      </c>
      <c r="CZ420" t="str">
        <f>""</f>
        <v/>
      </c>
      <c r="DA420" t="str">
        <f>""</f>
        <v/>
      </c>
      <c r="DB420" t="str">
        <f>""</f>
        <v/>
      </c>
      <c r="DC420" t="str">
        <f>""</f>
        <v/>
      </c>
      <c r="DD420" t="str">
        <f>""</f>
        <v/>
      </c>
      <c r="DE420" t="str">
        <f>""</f>
        <v/>
      </c>
      <c r="DF420" t="str">
        <f>""</f>
        <v/>
      </c>
      <c r="DG420" t="str">
        <f>""</f>
        <v/>
      </c>
      <c r="DH420" t="str">
        <f>""</f>
        <v/>
      </c>
      <c r="DI420" t="str">
        <f>""</f>
        <v/>
      </c>
      <c r="DJ420" t="str">
        <f>""</f>
        <v/>
      </c>
      <c r="DK420" t="str">
        <f>""</f>
        <v/>
      </c>
      <c r="DL420" t="str">
        <f>""</f>
        <v/>
      </c>
      <c r="DM420" t="str">
        <f>""</f>
        <v/>
      </c>
      <c r="DN420" t="str">
        <f>""</f>
        <v/>
      </c>
      <c r="DO420" t="str">
        <f>""</f>
        <v/>
      </c>
      <c r="DP420" t="str">
        <f>""</f>
        <v/>
      </c>
      <c r="DQ420" t="str">
        <f>""</f>
        <v/>
      </c>
      <c r="DR420" t="str">
        <f>""</f>
        <v/>
      </c>
      <c r="DS420" t="str">
        <f>""</f>
        <v/>
      </c>
      <c r="DT420" t="str">
        <f>""</f>
        <v/>
      </c>
      <c r="DU420" t="str">
        <f>""</f>
        <v/>
      </c>
    </row>
    <row r="421" spans="1:125">
      <c r="A421" t="str">
        <f>"简述"</f>
        <v>简述</v>
      </c>
      <c r="B421" t="str">
        <f>"代码"</f>
        <v>代码</v>
      </c>
      <c r="C421" t="str">
        <f>"栏目ID"</f>
        <v>栏目ID</v>
      </c>
      <c r="D421" t="str">
        <f>"栏目助记符"</f>
        <v>栏目助记符</v>
      </c>
      <c r="E421" t="str">
        <f>"数据状态"</f>
        <v>数据状态</v>
      </c>
      <c r="BN421" t="str">
        <f>""</f>
        <v/>
      </c>
      <c r="BO421" t="str">
        <f>""</f>
        <v/>
      </c>
      <c r="BP421" t="str">
        <f>""</f>
        <v/>
      </c>
      <c r="BQ421" t="str">
        <f>""</f>
        <v/>
      </c>
      <c r="BR421" t="str">
        <f>""</f>
        <v/>
      </c>
      <c r="BS421" t="str">
        <f>""</f>
        <v/>
      </c>
      <c r="BT421" t="str">
        <f>""</f>
        <v/>
      </c>
      <c r="BU421" t="str">
        <f>""</f>
        <v/>
      </c>
      <c r="BV421" t="str">
        <f>""</f>
        <v/>
      </c>
      <c r="BW421" t="str">
        <f>""</f>
        <v/>
      </c>
      <c r="BX421" t="str">
        <f>""</f>
        <v/>
      </c>
      <c r="BY421" t="str">
        <f>""</f>
        <v/>
      </c>
      <c r="BZ421" t="str">
        <f>""</f>
        <v/>
      </c>
      <c r="CA421" t="str">
        <f>""</f>
        <v/>
      </c>
      <c r="CB421" t="str">
        <f>""</f>
        <v/>
      </c>
      <c r="CC421" t="str">
        <f>""</f>
        <v/>
      </c>
      <c r="CD421" t="str">
        <f>""</f>
        <v/>
      </c>
      <c r="CE421" t="str">
        <f>""</f>
        <v/>
      </c>
      <c r="CF421" t="str">
        <f>""</f>
        <v/>
      </c>
      <c r="CG421" t="str">
        <f>""</f>
        <v/>
      </c>
      <c r="CH421" t="str">
        <f>""</f>
        <v/>
      </c>
      <c r="CI421" t="str">
        <f>""</f>
        <v/>
      </c>
      <c r="CJ421" t="str">
        <f>""</f>
        <v/>
      </c>
      <c r="CK421" t="str">
        <f>""</f>
        <v/>
      </c>
      <c r="CL421" t="str">
        <f>""</f>
        <v/>
      </c>
      <c r="CM421" t="str">
        <f>""</f>
        <v/>
      </c>
      <c r="CN421" t="str">
        <f>""</f>
        <v/>
      </c>
      <c r="CO421" t="str">
        <f>""</f>
        <v/>
      </c>
      <c r="CP421" t="str">
        <f>""</f>
        <v/>
      </c>
      <c r="CQ421" t="str">
        <f>""</f>
        <v/>
      </c>
      <c r="CR421" t="str">
        <f>""</f>
        <v/>
      </c>
      <c r="CS421" t="str">
        <f>""</f>
        <v/>
      </c>
      <c r="CT421" t="str">
        <f>""</f>
        <v/>
      </c>
      <c r="CU421" t="str">
        <f>""</f>
        <v/>
      </c>
      <c r="CV421" t="str">
        <f>""</f>
        <v/>
      </c>
      <c r="CW421" t="str">
        <f>""</f>
        <v/>
      </c>
      <c r="CX421" t="str">
        <f>""</f>
        <v/>
      </c>
      <c r="CY421" t="str">
        <f>""</f>
        <v/>
      </c>
      <c r="CZ421" t="str">
        <f>""</f>
        <v/>
      </c>
      <c r="DA421" t="str">
        <f>""</f>
        <v/>
      </c>
      <c r="DB421" t="str">
        <f>""</f>
        <v/>
      </c>
      <c r="DC421" t="str">
        <f>""</f>
        <v/>
      </c>
      <c r="DD421" t="str">
        <f>""</f>
        <v/>
      </c>
      <c r="DE421" t="str">
        <f>""</f>
        <v/>
      </c>
      <c r="DF421" t="str">
        <f>""</f>
        <v/>
      </c>
      <c r="DG421" t="str">
        <f>""</f>
        <v/>
      </c>
      <c r="DH421" t="str">
        <f>""</f>
        <v/>
      </c>
      <c r="DI421" t="str">
        <f>""</f>
        <v/>
      </c>
      <c r="DJ421" t="str">
        <f>""</f>
        <v/>
      </c>
      <c r="DK421" t="str">
        <f>""</f>
        <v/>
      </c>
      <c r="DL421" t="str">
        <f>""</f>
        <v/>
      </c>
      <c r="DM421" t="str">
        <f>""</f>
        <v/>
      </c>
      <c r="DN421" t="str">
        <f>""</f>
        <v/>
      </c>
      <c r="DO421" t="str">
        <f>""</f>
        <v/>
      </c>
      <c r="DP421" t="str">
        <f>""</f>
        <v/>
      </c>
      <c r="DQ421" t="str">
        <f>""</f>
        <v/>
      </c>
      <c r="DR421" t="str">
        <f>""</f>
        <v/>
      </c>
      <c r="DS421" t="str">
        <f>""</f>
        <v/>
      </c>
      <c r="DT421" t="str">
        <f>""</f>
        <v/>
      </c>
      <c r="DU421" t="str">
        <f>""</f>
        <v/>
      </c>
    </row>
    <row r="422" spans="1:125">
      <c r="A422" t="str">
        <f>"Snapshot Date"</f>
        <v>Snapshot Date</v>
      </c>
      <c r="B422">
        <f>DATE(2018, 3,31)</f>
        <v>43190</v>
      </c>
      <c r="C422" t="str">
        <f>""</f>
        <v/>
      </c>
      <c r="D422" t="str">
        <f>""</f>
        <v/>
      </c>
      <c r="E422" t="str">
        <f>""</f>
        <v/>
      </c>
      <c r="BN422" t="str">
        <f>""</f>
        <v/>
      </c>
      <c r="BO422" t="str">
        <f>""</f>
        <v/>
      </c>
      <c r="BP422" t="str">
        <f>""</f>
        <v/>
      </c>
      <c r="BQ422" t="str">
        <f>""</f>
        <v/>
      </c>
      <c r="BR422" t="str">
        <f>""</f>
        <v/>
      </c>
      <c r="BS422" t="str">
        <f>""</f>
        <v/>
      </c>
      <c r="BT422" t="str">
        <f>""</f>
        <v/>
      </c>
      <c r="BU422" t="str">
        <f>""</f>
        <v/>
      </c>
      <c r="BV422" t="str">
        <f>""</f>
        <v/>
      </c>
      <c r="BW422" t="str">
        <f>""</f>
        <v/>
      </c>
      <c r="BX422" t="str">
        <f>""</f>
        <v/>
      </c>
      <c r="BY422" t="str">
        <f>""</f>
        <v/>
      </c>
      <c r="BZ422" t="str">
        <f>""</f>
        <v/>
      </c>
      <c r="CA422" t="str">
        <f>""</f>
        <v/>
      </c>
      <c r="CB422" t="str">
        <f>""</f>
        <v/>
      </c>
      <c r="CC422" t="str">
        <f>""</f>
        <v/>
      </c>
      <c r="CD422" t="str">
        <f>""</f>
        <v/>
      </c>
      <c r="CE422" t="str">
        <f>""</f>
        <v/>
      </c>
      <c r="CF422" t="str">
        <f>""</f>
        <v/>
      </c>
      <c r="CG422" t="str">
        <f>""</f>
        <v/>
      </c>
      <c r="CH422" t="str">
        <f>""</f>
        <v/>
      </c>
      <c r="CI422" t="str">
        <f>""</f>
        <v/>
      </c>
      <c r="CJ422" t="str">
        <f>""</f>
        <v/>
      </c>
      <c r="CK422" t="str">
        <f>""</f>
        <v/>
      </c>
      <c r="CL422" t="str">
        <f>""</f>
        <v/>
      </c>
      <c r="CM422" t="str">
        <f>""</f>
        <v/>
      </c>
      <c r="CN422" t="str">
        <f>""</f>
        <v/>
      </c>
      <c r="CO422" t="str">
        <f>""</f>
        <v/>
      </c>
      <c r="CP422" t="str">
        <f>""</f>
        <v/>
      </c>
      <c r="CQ422" t="str">
        <f>""</f>
        <v/>
      </c>
      <c r="CR422" t="str">
        <f>""</f>
        <v/>
      </c>
      <c r="CS422" t="str">
        <f>""</f>
        <v/>
      </c>
      <c r="CT422" t="str">
        <f>""</f>
        <v/>
      </c>
      <c r="CU422" t="str">
        <f>""</f>
        <v/>
      </c>
      <c r="CV422" t="str">
        <f>""</f>
        <v/>
      </c>
      <c r="CW422" t="str">
        <f>""</f>
        <v/>
      </c>
      <c r="CX422" t="str">
        <f>""</f>
        <v/>
      </c>
      <c r="CY422" t="str">
        <f>""</f>
        <v/>
      </c>
      <c r="CZ422" t="str">
        <f>""</f>
        <v/>
      </c>
      <c r="DA422" t="str">
        <f>""</f>
        <v/>
      </c>
      <c r="DB422" t="str">
        <f>""</f>
        <v/>
      </c>
      <c r="DC422" t="str">
        <f>""</f>
        <v/>
      </c>
      <c r="DD422" t="str">
        <f>""</f>
        <v/>
      </c>
      <c r="DE422" t="str">
        <f>""</f>
        <v/>
      </c>
      <c r="DF422" t="str">
        <f>""</f>
        <v/>
      </c>
      <c r="DG422" t="str">
        <f>""</f>
        <v/>
      </c>
      <c r="DH422" t="str">
        <f>""</f>
        <v/>
      </c>
      <c r="DI422" t="str">
        <f>""</f>
        <v/>
      </c>
      <c r="DJ422" t="str">
        <f>""</f>
        <v/>
      </c>
      <c r="DK422" t="str">
        <f>""</f>
        <v/>
      </c>
      <c r="DL422" t="str">
        <f>""</f>
        <v/>
      </c>
      <c r="DM422" t="str">
        <f>""</f>
        <v/>
      </c>
      <c r="DN422" t="str">
        <f>""</f>
        <v/>
      </c>
      <c r="DO422" t="str">
        <f>""</f>
        <v/>
      </c>
      <c r="DP422" t="str">
        <f>""</f>
        <v/>
      </c>
      <c r="DQ422" t="str">
        <f>""</f>
        <v/>
      </c>
      <c r="DR422" t="str">
        <f>""</f>
        <v/>
      </c>
      <c r="DS422" t="str">
        <f>""</f>
        <v/>
      </c>
      <c r="DT422" t="str">
        <f>""</f>
        <v/>
      </c>
      <c r="DU422" t="str">
        <f>""</f>
        <v/>
      </c>
    </row>
    <row r="423" spans="1:125">
      <c r="A423" t="str">
        <f>"Snapshot header"</f>
        <v>Snapshot header</v>
      </c>
      <c r="B423">
        <f>2</f>
        <v>2</v>
      </c>
      <c r="C423" t="str">
        <f>"2018 Q1"</f>
        <v>2018 Q1</v>
      </c>
      <c r="D423" t="str">
        <f>"2017 Q4"</f>
        <v>2017 Q4</v>
      </c>
      <c r="E423" t="str">
        <f>"2017 Q3"</f>
        <v>2017 Q3</v>
      </c>
      <c r="F423" t="str">
        <f>"2017 Q2"</f>
        <v>2017 Q2</v>
      </c>
      <c r="G423" t="str">
        <f>"2017 Q1"</f>
        <v>2017 Q1</v>
      </c>
      <c r="H423" t="str">
        <f>"2016 Q4"</f>
        <v>2016 Q4</v>
      </c>
      <c r="I423" t="str">
        <f>"2016 Q3"</f>
        <v>2016 Q3</v>
      </c>
      <c r="J423" t="str">
        <f>"2016 Q2"</f>
        <v>2016 Q2</v>
      </c>
      <c r="K423" t="str">
        <f>"2016 Q1"</f>
        <v>2016 Q1</v>
      </c>
      <c r="L423" t="str">
        <f>"2015 Q4"</f>
        <v>2015 Q4</v>
      </c>
      <c r="M423" t="str">
        <f>"2015 Q3"</f>
        <v>2015 Q3</v>
      </c>
      <c r="N423" t="str">
        <f>"2015 Q2"</f>
        <v>2015 Q2</v>
      </c>
      <c r="O423" t="str">
        <f>"2015 Q1"</f>
        <v>2015 Q1</v>
      </c>
      <c r="P423" t="str">
        <f>"2014 Q4"</f>
        <v>2014 Q4</v>
      </c>
      <c r="Q423" t="str">
        <f>"2014 Q3"</f>
        <v>2014 Q3</v>
      </c>
      <c r="R423" t="str">
        <f>"2014 Q2"</f>
        <v>2014 Q2</v>
      </c>
      <c r="S423" t="str">
        <f>"2014 Q1"</f>
        <v>2014 Q1</v>
      </c>
      <c r="T423" t="str">
        <f>"2013 Q4"</f>
        <v>2013 Q4</v>
      </c>
      <c r="U423" t="str">
        <f>"2013 Q3"</f>
        <v>2013 Q3</v>
      </c>
      <c r="V423" t="str">
        <f>"2013 Q2"</f>
        <v>2013 Q2</v>
      </c>
      <c r="W423" t="str">
        <f>"2013 Q1"</f>
        <v>2013 Q1</v>
      </c>
      <c r="X423" t="str">
        <f>"2012 Q4"</f>
        <v>2012 Q4</v>
      </c>
      <c r="Y423" t="str">
        <f>"2012 Q3"</f>
        <v>2012 Q3</v>
      </c>
      <c r="Z423" t="str">
        <f>"2012 Q2"</f>
        <v>2012 Q2</v>
      </c>
      <c r="AA423" t="str">
        <f>"2012 Q1"</f>
        <v>2012 Q1</v>
      </c>
      <c r="AB423" t="str">
        <f>"2011 Q4"</f>
        <v>2011 Q4</v>
      </c>
      <c r="AC423" t="str">
        <f>"2011 Q3"</f>
        <v>2011 Q3</v>
      </c>
      <c r="AD423" t="str">
        <f>"2011 Q2"</f>
        <v>2011 Q2</v>
      </c>
      <c r="AE423" t="str">
        <f>"2011 Q1"</f>
        <v>2011 Q1</v>
      </c>
      <c r="AF423" t="str">
        <f>"2010 Q4"</f>
        <v>2010 Q4</v>
      </c>
      <c r="AG423" t="str">
        <f>"2010 Q3"</f>
        <v>2010 Q3</v>
      </c>
      <c r="AH423" t="str">
        <f>"2010 Q2"</f>
        <v>2010 Q2</v>
      </c>
      <c r="AI423" t="str">
        <f>"2010 Q1"</f>
        <v>2010 Q1</v>
      </c>
      <c r="AJ423" t="str">
        <f>"2009 Q4"</f>
        <v>2009 Q4</v>
      </c>
      <c r="AK423" t="str">
        <f>"2009 Q3"</f>
        <v>2009 Q3</v>
      </c>
      <c r="AL423" t="str">
        <f>"2009 Q2"</f>
        <v>2009 Q2</v>
      </c>
      <c r="AM423" t="str">
        <f>"2009 Q1"</f>
        <v>2009 Q1</v>
      </c>
      <c r="AN423" t="str">
        <f>"2008 Q4"</f>
        <v>2008 Q4</v>
      </c>
      <c r="AO423" t="str">
        <f>"2008 Q3"</f>
        <v>2008 Q3</v>
      </c>
      <c r="AP423" t="str">
        <f>"2008 Q2"</f>
        <v>2008 Q2</v>
      </c>
      <c r="AQ423" t="str">
        <f>"2008 Q1"</f>
        <v>2008 Q1</v>
      </c>
      <c r="AR423" t="str">
        <f>"2007 Q4"</f>
        <v>2007 Q4</v>
      </c>
      <c r="AS423" t="str">
        <f>"2007 Q3"</f>
        <v>2007 Q3</v>
      </c>
      <c r="AT423" t="str">
        <f>"2007 Q2"</f>
        <v>2007 Q2</v>
      </c>
      <c r="AU423" t="str">
        <f>"2007 Q1"</f>
        <v>2007 Q1</v>
      </c>
      <c r="AV423" t="str">
        <f>"2006 Q4"</f>
        <v>2006 Q4</v>
      </c>
      <c r="AW423" t="str">
        <f>"2006 Q3"</f>
        <v>2006 Q3</v>
      </c>
      <c r="AX423" t="str">
        <f>"2006 Q2"</f>
        <v>2006 Q2</v>
      </c>
      <c r="AY423" t="str">
        <f>"2006 Q1"</f>
        <v>2006 Q1</v>
      </c>
      <c r="AZ423" t="str">
        <f>"2005 Q4"</f>
        <v>2005 Q4</v>
      </c>
      <c r="BA423" t="str">
        <f>"2005 Q3"</f>
        <v>2005 Q3</v>
      </c>
      <c r="BB423" t="str">
        <f>"2005 Q2"</f>
        <v>2005 Q2</v>
      </c>
      <c r="BC423" t="str">
        <f>"2005 Q1"</f>
        <v>2005 Q1</v>
      </c>
      <c r="BD423" t="str">
        <f>"2004 Q4"</f>
        <v>2004 Q4</v>
      </c>
      <c r="BE423" t="str">
        <f>"2004 Q3"</f>
        <v>2004 Q3</v>
      </c>
      <c r="BF423" t="str">
        <f>"2004 Q2"</f>
        <v>2004 Q2</v>
      </c>
      <c r="BG423" t="str">
        <f>"2004 Q1"</f>
        <v>2004 Q1</v>
      </c>
      <c r="BH423" t="str">
        <f>"2003 Q4"</f>
        <v>2003 Q4</v>
      </c>
      <c r="BI423" t="str">
        <f>"2003 Q3"</f>
        <v>2003 Q3</v>
      </c>
      <c r="BJ423" t="str">
        <f>"2003 Q2"</f>
        <v>2003 Q2</v>
      </c>
      <c r="BN423" t="str">
        <f>""</f>
        <v/>
      </c>
      <c r="BO423" t="str">
        <f>""</f>
        <v/>
      </c>
      <c r="BP423" t="str">
        <f>""</f>
        <v/>
      </c>
      <c r="BQ423" t="str">
        <f>""</f>
        <v/>
      </c>
      <c r="BR423" t="str">
        <f>""</f>
        <v/>
      </c>
      <c r="BS423" t="str">
        <f>""</f>
        <v/>
      </c>
      <c r="BT423" t="str">
        <f>""</f>
        <v/>
      </c>
      <c r="BU423" t="str">
        <f>""</f>
        <v/>
      </c>
      <c r="BV423" t="str">
        <f>""</f>
        <v/>
      </c>
      <c r="BW423" t="str">
        <f>""</f>
        <v/>
      </c>
      <c r="BX423" t="str">
        <f>""</f>
        <v/>
      </c>
      <c r="BY423" t="str">
        <f>""</f>
        <v/>
      </c>
      <c r="BZ423" t="str">
        <f>""</f>
        <v/>
      </c>
      <c r="CA423" t="str">
        <f>""</f>
        <v/>
      </c>
      <c r="CB423" t="str">
        <f>""</f>
        <v/>
      </c>
      <c r="CC423" t="str">
        <f>""</f>
        <v/>
      </c>
      <c r="CD423" t="str">
        <f>""</f>
        <v/>
      </c>
      <c r="CE423" t="str">
        <f>""</f>
        <v/>
      </c>
      <c r="CF423" t="str">
        <f>""</f>
        <v/>
      </c>
      <c r="CG423" t="str">
        <f>""</f>
        <v/>
      </c>
      <c r="CH423" t="str">
        <f>""</f>
        <v/>
      </c>
      <c r="CI423" t="str">
        <f>""</f>
        <v/>
      </c>
      <c r="CJ423" t="str">
        <f>""</f>
        <v/>
      </c>
      <c r="CK423" t="str">
        <f>""</f>
        <v/>
      </c>
      <c r="CL423" t="str">
        <f>""</f>
        <v/>
      </c>
      <c r="CM423" t="str">
        <f>""</f>
        <v/>
      </c>
      <c r="CN423" t="str">
        <f>""</f>
        <v/>
      </c>
      <c r="CO423" t="str">
        <f>""</f>
        <v/>
      </c>
      <c r="CP423" t="str">
        <f>""</f>
        <v/>
      </c>
      <c r="CQ423" t="str">
        <f>""</f>
        <v/>
      </c>
      <c r="CR423" t="str">
        <f>""</f>
        <v/>
      </c>
      <c r="CS423" t="str">
        <f>""</f>
        <v/>
      </c>
      <c r="CT423" t="str">
        <f>""</f>
        <v/>
      </c>
      <c r="CU423" t="str">
        <f>""</f>
        <v/>
      </c>
      <c r="CV423" t="str">
        <f>""</f>
        <v/>
      </c>
      <c r="CW423" t="str">
        <f>""</f>
        <v/>
      </c>
      <c r="CX423" t="str">
        <f>""</f>
        <v/>
      </c>
      <c r="CY423" t="str">
        <f>""</f>
        <v/>
      </c>
      <c r="CZ423" t="str">
        <f>""</f>
        <v/>
      </c>
      <c r="DA423" t="str">
        <f>""</f>
        <v/>
      </c>
      <c r="DB423" t="str">
        <f>""</f>
        <v/>
      </c>
      <c r="DC423" t="str">
        <f>""</f>
        <v/>
      </c>
      <c r="DD423" t="str">
        <f>""</f>
        <v/>
      </c>
      <c r="DE423" t="str">
        <f>""</f>
        <v/>
      </c>
      <c r="DF423" t="str">
        <f>""</f>
        <v/>
      </c>
      <c r="DG423" t="str">
        <f>""</f>
        <v/>
      </c>
      <c r="DH423" t="str">
        <f>""</f>
        <v/>
      </c>
      <c r="DI423" t="str">
        <f>""</f>
        <v/>
      </c>
      <c r="DJ423" t="str">
        <f>""</f>
        <v/>
      </c>
      <c r="DK423" t="str">
        <f>""</f>
        <v/>
      </c>
      <c r="DL423" t="str">
        <f>""</f>
        <v/>
      </c>
      <c r="DM423" t="str">
        <f>""</f>
        <v/>
      </c>
      <c r="DN423" t="str">
        <f>""</f>
        <v/>
      </c>
      <c r="DO423" t="str">
        <f>""</f>
        <v/>
      </c>
      <c r="DP423" t="str">
        <f>""</f>
        <v/>
      </c>
      <c r="DQ423" t="str">
        <f>""</f>
        <v/>
      </c>
      <c r="DR423" t="str">
        <f>""</f>
        <v/>
      </c>
      <c r="DS423" t="str">
        <f>""</f>
        <v/>
      </c>
      <c r="DT423" t="str">
        <f>""</f>
        <v/>
      </c>
      <c r="DU423" t="str">
        <f>""</f>
        <v/>
      </c>
    </row>
    <row r="424" spans="1:125">
      <c r="A424" t="str">
        <f>"BDH snapshot header0"</f>
        <v>BDH snapshot header0</v>
      </c>
      <c r="B424">
        <f>IF(OR(ISERROR($C$424),ISBLANK($C$424),ISNUMBER(SEARCH("N/A",$C$424) ),ISERROR($C$425),ISBLANK($C$425)),0,1)</f>
        <v>0</v>
      </c>
      <c r="C424" t="str">
        <f>BDH($B$5,$C$5,$B$224,$B$422,"PER=CQ","Dts=S","DtFmt=FI", "rows=2","Dir=H","Points=60","Sort=R","Days=A","Fill=B","FX=USD" )</f>
        <v>#N/A Authorization</v>
      </c>
      <c r="BN424" t="str">
        <f>""</f>
        <v/>
      </c>
      <c r="BO424" t="str">
        <f>""</f>
        <v/>
      </c>
      <c r="BP424" t="str">
        <f>""</f>
        <v/>
      </c>
      <c r="BQ424" t="str">
        <f>""</f>
        <v/>
      </c>
      <c r="BR424" t="str">
        <f>""</f>
        <v/>
      </c>
      <c r="BS424" t="str">
        <f>""</f>
        <v/>
      </c>
      <c r="BT424" t="str">
        <f>""</f>
        <v/>
      </c>
      <c r="BU424" t="str">
        <f>""</f>
        <v/>
      </c>
      <c r="BV424" t="str">
        <f>""</f>
        <v/>
      </c>
      <c r="BW424" t="str">
        <f>""</f>
        <v/>
      </c>
      <c r="BX424" t="str">
        <f>""</f>
        <v/>
      </c>
      <c r="BY424" t="str">
        <f>""</f>
        <v/>
      </c>
      <c r="BZ424" t="str">
        <f>""</f>
        <v/>
      </c>
      <c r="CA424" t="str">
        <f>""</f>
        <v/>
      </c>
      <c r="CB424" t="str">
        <f>""</f>
        <v/>
      </c>
      <c r="CC424" t="str">
        <f>""</f>
        <v/>
      </c>
      <c r="CD424" t="str">
        <f>""</f>
        <v/>
      </c>
      <c r="CE424" t="str">
        <f>""</f>
        <v/>
      </c>
      <c r="CF424" t="str">
        <f>""</f>
        <v/>
      </c>
      <c r="CG424" t="str">
        <f>""</f>
        <v/>
      </c>
      <c r="CH424" t="str">
        <f>""</f>
        <v/>
      </c>
      <c r="CI424" t="str">
        <f>""</f>
        <v/>
      </c>
      <c r="CJ424" t="str">
        <f>""</f>
        <v/>
      </c>
      <c r="CK424" t="str">
        <f>""</f>
        <v/>
      </c>
      <c r="CL424" t="str">
        <f>""</f>
        <v/>
      </c>
      <c r="CM424" t="str">
        <f>""</f>
        <v/>
      </c>
      <c r="CN424" t="str">
        <f>""</f>
        <v/>
      </c>
      <c r="CO424" t="str">
        <f>""</f>
        <v/>
      </c>
      <c r="CP424" t="str">
        <f>""</f>
        <v/>
      </c>
      <c r="CQ424" t="str">
        <f>""</f>
        <v/>
      </c>
      <c r="CR424" t="str">
        <f>""</f>
        <v/>
      </c>
      <c r="CS424" t="str">
        <f>""</f>
        <v/>
      </c>
      <c r="CT424" t="str">
        <f>""</f>
        <v/>
      </c>
      <c r="CU424" t="str">
        <f>""</f>
        <v/>
      </c>
      <c r="CV424" t="str">
        <f>""</f>
        <v/>
      </c>
      <c r="CW424" t="str">
        <f>""</f>
        <v/>
      </c>
      <c r="CX424" t="str">
        <f>""</f>
        <v/>
      </c>
      <c r="CY424" t="str">
        <f>""</f>
        <v/>
      </c>
      <c r="CZ424" t="str">
        <f>""</f>
        <v/>
      </c>
      <c r="DA424" t="str">
        <f>""</f>
        <v/>
      </c>
      <c r="DB424" t="str">
        <f>""</f>
        <v/>
      </c>
      <c r="DC424" t="str">
        <f>""</f>
        <v/>
      </c>
      <c r="DD424" t="str">
        <f>""</f>
        <v/>
      </c>
      <c r="DE424" t="str">
        <f>""</f>
        <v/>
      </c>
      <c r="DF424" t="str">
        <f>""</f>
        <v/>
      </c>
      <c r="DG424" t="str">
        <f>""</f>
        <v/>
      </c>
      <c r="DH424" t="str">
        <f>""</f>
        <v/>
      </c>
      <c r="DI424" t="str">
        <f>""</f>
        <v/>
      </c>
      <c r="DJ424" t="str">
        <f>""</f>
        <v/>
      </c>
      <c r="DK424" t="str">
        <f>""</f>
        <v/>
      </c>
      <c r="DL424" t="str">
        <f>""</f>
        <v/>
      </c>
      <c r="DM424" t="str">
        <f>""</f>
        <v/>
      </c>
      <c r="DN424" t="str">
        <f>""</f>
        <v/>
      </c>
      <c r="DO424" t="str">
        <f>""</f>
        <v/>
      </c>
      <c r="DP424" t="str">
        <f>""</f>
        <v/>
      </c>
      <c r="DQ424" t="str">
        <f>""</f>
        <v/>
      </c>
      <c r="DR424" t="str">
        <f>""</f>
        <v/>
      </c>
      <c r="DS424" t="str">
        <f>""</f>
        <v/>
      </c>
      <c r="DT424" t="str">
        <f>""</f>
        <v/>
      </c>
      <c r="DU424" t="str">
        <f>""</f>
        <v/>
      </c>
    </row>
    <row r="425" spans="1:125">
      <c r="A425" t="str">
        <f>"BDH snapshot result0"</f>
        <v>BDH snapshot result0</v>
      </c>
      <c r="BN425" t="str">
        <f>""</f>
        <v/>
      </c>
      <c r="BO425" t="str">
        <f>""</f>
        <v/>
      </c>
      <c r="BP425" t="str">
        <f>""</f>
        <v/>
      </c>
      <c r="BQ425" t="str">
        <f>""</f>
        <v/>
      </c>
      <c r="BR425" t="str">
        <f>""</f>
        <v/>
      </c>
      <c r="BS425" t="str">
        <f>""</f>
        <v/>
      </c>
      <c r="BT425" t="str">
        <f>""</f>
        <v/>
      </c>
      <c r="BU425" t="str">
        <f>""</f>
        <v/>
      </c>
      <c r="BV425" t="str">
        <f>""</f>
        <v/>
      </c>
      <c r="BW425" t="str">
        <f>""</f>
        <v/>
      </c>
      <c r="BX425" t="str">
        <f>""</f>
        <v/>
      </c>
      <c r="BY425" t="str">
        <f>""</f>
        <v/>
      </c>
      <c r="BZ425" t="str">
        <f>""</f>
        <v/>
      </c>
      <c r="CA425" t="str">
        <f>""</f>
        <v/>
      </c>
      <c r="CB425" t="str">
        <f>""</f>
        <v/>
      </c>
      <c r="CC425" t="str">
        <f>""</f>
        <v/>
      </c>
      <c r="CD425" t="str">
        <f>""</f>
        <v/>
      </c>
      <c r="CE425" t="str">
        <f>""</f>
        <v/>
      </c>
      <c r="CF425" t="str">
        <f>""</f>
        <v/>
      </c>
      <c r="CG425" t="str">
        <f>""</f>
        <v/>
      </c>
      <c r="CH425" t="str">
        <f>""</f>
        <v/>
      </c>
      <c r="CI425" t="str">
        <f>""</f>
        <v/>
      </c>
      <c r="CJ425" t="str">
        <f>""</f>
        <v/>
      </c>
      <c r="CK425" t="str">
        <f>""</f>
        <v/>
      </c>
      <c r="CL425" t="str">
        <f>""</f>
        <v/>
      </c>
      <c r="CM425" t="str">
        <f>""</f>
        <v/>
      </c>
      <c r="CN425" t="str">
        <f>""</f>
        <v/>
      </c>
      <c r="CO425" t="str">
        <f>""</f>
        <v/>
      </c>
      <c r="CP425" t="str">
        <f>""</f>
        <v/>
      </c>
      <c r="CQ425" t="str">
        <f>""</f>
        <v/>
      </c>
      <c r="CR425" t="str">
        <f>""</f>
        <v/>
      </c>
      <c r="CS425" t="str">
        <f>""</f>
        <v/>
      </c>
      <c r="CT425" t="str">
        <f>""</f>
        <v/>
      </c>
      <c r="CU425" t="str">
        <f>""</f>
        <v/>
      </c>
      <c r="CV425" t="str">
        <f>""</f>
        <v/>
      </c>
      <c r="CW425" t="str">
        <f>""</f>
        <v/>
      </c>
      <c r="CX425" t="str">
        <f>""</f>
        <v/>
      </c>
      <c r="CY425" t="str">
        <f>""</f>
        <v/>
      </c>
      <c r="CZ425" t="str">
        <f>""</f>
        <v/>
      </c>
      <c r="DA425" t="str">
        <f>""</f>
        <v/>
      </c>
      <c r="DB425" t="str">
        <f>""</f>
        <v/>
      </c>
      <c r="DC425" t="str">
        <f>""</f>
        <v/>
      </c>
      <c r="DD425" t="str">
        <f>""</f>
        <v/>
      </c>
      <c r="DE425" t="str">
        <f>""</f>
        <v/>
      </c>
      <c r="DF425" t="str">
        <f>""</f>
        <v/>
      </c>
      <c r="DG425" t="str">
        <f>""</f>
        <v/>
      </c>
      <c r="DH425" t="str">
        <f>""</f>
        <v/>
      </c>
      <c r="DI425" t="str">
        <f>""</f>
        <v/>
      </c>
      <c r="DJ425" t="str">
        <f>""</f>
        <v/>
      </c>
      <c r="DK425" t="str">
        <f>""</f>
        <v/>
      </c>
      <c r="DL425" t="str">
        <f>""</f>
        <v/>
      </c>
      <c r="DM425" t="str">
        <f>""</f>
        <v/>
      </c>
      <c r="DN425" t="str">
        <f>""</f>
        <v/>
      </c>
      <c r="DO425" t="str">
        <f>""</f>
        <v/>
      </c>
      <c r="DP425" t="str">
        <f>""</f>
        <v/>
      </c>
      <c r="DQ425" t="str">
        <f>""</f>
        <v/>
      </c>
      <c r="DR425" t="str">
        <f>""</f>
        <v/>
      </c>
      <c r="DS425" t="str">
        <f>""</f>
        <v/>
      </c>
      <c r="DT425" t="str">
        <f>""</f>
        <v/>
      </c>
      <c r="DU425" t="str">
        <f>""</f>
        <v/>
      </c>
    </row>
    <row r="426" spans="1:125">
      <c r="A426" t="str">
        <f>"BDH snapshot header1"</f>
        <v>BDH snapshot header1</v>
      </c>
      <c r="B426">
        <f>IF(OR(ISERROR($C$426),ISBLANK($C$426),ISNUMBER(SEARCH("N/A",$C$426) ),ISERROR($C$427),ISBLANK($C$427)),0,1)</f>
        <v>0</v>
      </c>
      <c r="C426" t="str">
        <f>BDH($B$6,$C$6,$B$224,$B$422,"PER=CQ","Dts=S","DtFmt=FI", "rows=2","Dir=H","Points=60","Sort=R","Days=A","Fill=B","FX=USD" )</f>
        <v>#N/A Authorization</v>
      </c>
      <c r="BN426" t="str">
        <f>""</f>
        <v/>
      </c>
      <c r="BO426" t="str">
        <f>""</f>
        <v/>
      </c>
      <c r="BP426" t="str">
        <f>""</f>
        <v/>
      </c>
      <c r="BQ426" t="str">
        <f>""</f>
        <v/>
      </c>
      <c r="BR426" t="str">
        <f>""</f>
        <v/>
      </c>
      <c r="BS426" t="str">
        <f>""</f>
        <v/>
      </c>
      <c r="BT426" t="str">
        <f>""</f>
        <v/>
      </c>
      <c r="BU426" t="str">
        <f>""</f>
        <v/>
      </c>
      <c r="BV426" t="str">
        <f>""</f>
        <v/>
      </c>
      <c r="BW426" t="str">
        <f>""</f>
        <v/>
      </c>
      <c r="BX426" t="str">
        <f>""</f>
        <v/>
      </c>
      <c r="BY426" t="str">
        <f>""</f>
        <v/>
      </c>
      <c r="BZ426" t="str">
        <f>""</f>
        <v/>
      </c>
      <c r="CA426" t="str">
        <f>""</f>
        <v/>
      </c>
      <c r="CB426" t="str">
        <f>""</f>
        <v/>
      </c>
      <c r="CC426" t="str">
        <f>""</f>
        <v/>
      </c>
      <c r="CD426" t="str">
        <f>""</f>
        <v/>
      </c>
      <c r="CE426" t="str">
        <f>""</f>
        <v/>
      </c>
      <c r="CF426" t="str">
        <f>""</f>
        <v/>
      </c>
      <c r="CG426" t="str">
        <f>""</f>
        <v/>
      </c>
      <c r="CH426" t="str">
        <f>""</f>
        <v/>
      </c>
      <c r="CI426" t="str">
        <f>""</f>
        <v/>
      </c>
      <c r="CJ426" t="str">
        <f>""</f>
        <v/>
      </c>
      <c r="CK426" t="str">
        <f>""</f>
        <v/>
      </c>
      <c r="CL426" t="str">
        <f>""</f>
        <v/>
      </c>
      <c r="CM426" t="str">
        <f>""</f>
        <v/>
      </c>
      <c r="CN426" t="str">
        <f>""</f>
        <v/>
      </c>
      <c r="CO426" t="str">
        <f>""</f>
        <v/>
      </c>
      <c r="CP426" t="str">
        <f>""</f>
        <v/>
      </c>
      <c r="CQ426" t="str">
        <f>""</f>
        <v/>
      </c>
      <c r="CR426" t="str">
        <f>""</f>
        <v/>
      </c>
      <c r="CS426" t="str">
        <f>""</f>
        <v/>
      </c>
      <c r="CT426" t="str">
        <f>""</f>
        <v/>
      </c>
      <c r="CU426" t="str">
        <f>""</f>
        <v/>
      </c>
      <c r="CV426" t="str">
        <f>""</f>
        <v/>
      </c>
      <c r="CW426" t="str">
        <f>""</f>
        <v/>
      </c>
      <c r="CX426" t="str">
        <f>""</f>
        <v/>
      </c>
      <c r="CY426" t="str">
        <f>""</f>
        <v/>
      </c>
      <c r="CZ426" t="str">
        <f>""</f>
        <v/>
      </c>
      <c r="DA426" t="str">
        <f>""</f>
        <v/>
      </c>
      <c r="DB426" t="str">
        <f>""</f>
        <v/>
      </c>
      <c r="DC426" t="str">
        <f>""</f>
        <v/>
      </c>
      <c r="DD426" t="str">
        <f>""</f>
        <v/>
      </c>
      <c r="DE426" t="str">
        <f>""</f>
        <v/>
      </c>
      <c r="DF426" t="str">
        <f>""</f>
        <v/>
      </c>
      <c r="DG426" t="str">
        <f>""</f>
        <v/>
      </c>
      <c r="DH426" t="str">
        <f>""</f>
        <v/>
      </c>
      <c r="DI426" t="str">
        <f>""</f>
        <v/>
      </c>
      <c r="DJ426" t="str">
        <f>""</f>
        <v/>
      </c>
      <c r="DK426" t="str">
        <f>""</f>
        <v/>
      </c>
      <c r="DL426" t="str">
        <f>""</f>
        <v/>
      </c>
      <c r="DM426" t="str">
        <f>""</f>
        <v/>
      </c>
      <c r="DN426" t="str">
        <f>""</f>
        <v/>
      </c>
      <c r="DO426" t="str">
        <f>""</f>
        <v/>
      </c>
      <c r="DP426" t="str">
        <f>""</f>
        <v/>
      </c>
      <c r="DQ426" t="str">
        <f>""</f>
        <v/>
      </c>
      <c r="DR426" t="str">
        <f>""</f>
        <v/>
      </c>
      <c r="DS426" t="str">
        <f>""</f>
        <v/>
      </c>
      <c r="DT426" t="str">
        <f>""</f>
        <v/>
      </c>
      <c r="DU426" t="str">
        <f>""</f>
        <v/>
      </c>
    </row>
    <row r="427" spans="1:125">
      <c r="A427" t="str">
        <f>"BDH snapshot result1"</f>
        <v>BDH snapshot result1</v>
      </c>
      <c r="BN427" t="str">
        <f>""</f>
        <v/>
      </c>
      <c r="BO427" t="str">
        <f>""</f>
        <v/>
      </c>
      <c r="BP427" t="str">
        <f>""</f>
        <v/>
      </c>
      <c r="BQ427" t="str">
        <f>""</f>
        <v/>
      </c>
      <c r="BR427" t="str">
        <f>""</f>
        <v/>
      </c>
      <c r="BS427" t="str">
        <f>""</f>
        <v/>
      </c>
      <c r="BT427" t="str">
        <f>""</f>
        <v/>
      </c>
      <c r="BU427" t="str">
        <f>""</f>
        <v/>
      </c>
      <c r="BV427" t="str">
        <f>""</f>
        <v/>
      </c>
      <c r="BW427" t="str">
        <f>""</f>
        <v/>
      </c>
      <c r="BX427" t="str">
        <f>""</f>
        <v/>
      </c>
      <c r="BY427" t="str">
        <f>""</f>
        <v/>
      </c>
      <c r="BZ427" t="str">
        <f>""</f>
        <v/>
      </c>
      <c r="CA427" t="str">
        <f>""</f>
        <v/>
      </c>
      <c r="CB427" t="str">
        <f>""</f>
        <v/>
      </c>
      <c r="CC427" t="str">
        <f>""</f>
        <v/>
      </c>
      <c r="CD427" t="str">
        <f>""</f>
        <v/>
      </c>
      <c r="CE427" t="str">
        <f>""</f>
        <v/>
      </c>
      <c r="CF427" t="str">
        <f>""</f>
        <v/>
      </c>
      <c r="CG427" t="str">
        <f>""</f>
        <v/>
      </c>
      <c r="CH427" t="str">
        <f>""</f>
        <v/>
      </c>
      <c r="CI427" t="str">
        <f>""</f>
        <v/>
      </c>
      <c r="CJ427" t="str">
        <f>""</f>
        <v/>
      </c>
      <c r="CK427" t="str">
        <f>""</f>
        <v/>
      </c>
      <c r="CL427" t="str">
        <f>""</f>
        <v/>
      </c>
      <c r="CM427" t="str">
        <f>""</f>
        <v/>
      </c>
      <c r="CN427" t="str">
        <f>""</f>
        <v/>
      </c>
      <c r="CO427" t="str">
        <f>""</f>
        <v/>
      </c>
      <c r="CP427" t="str">
        <f>""</f>
        <v/>
      </c>
      <c r="CQ427" t="str">
        <f>""</f>
        <v/>
      </c>
      <c r="CR427" t="str">
        <f>""</f>
        <v/>
      </c>
      <c r="CS427" t="str">
        <f>""</f>
        <v/>
      </c>
      <c r="CT427" t="str">
        <f>""</f>
        <v/>
      </c>
      <c r="CU427" t="str">
        <f>""</f>
        <v/>
      </c>
      <c r="CV427" t="str">
        <f>""</f>
        <v/>
      </c>
      <c r="CW427" t="str">
        <f>""</f>
        <v/>
      </c>
      <c r="CX427" t="str">
        <f>""</f>
        <v/>
      </c>
      <c r="CY427" t="str">
        <f>""</f>
        <v/>
      </c>
      <c r="CZ427" t="str">
        <f>""</f>
        <v/>
      </c>
      <c r="DA427" t="str">
        <f>""</f>
        <v/>
      </c>
      <c r="DB427" t="str">
        <f>""</f>
        <v/>
      </c>
      <c r="DC427" t="str">
        <f>""</f>
        <v/>
      </c>
      <c r="DD427" t="str">
        <f>""</f>
        <v/>
      </c>
      <c r="DE427" t="str">
        <f>""</f>
        <v/>
      </c>
      <c r="DF427" t="str">
        <f>""</f>
        <v/>
      </c>
      <c r="DG427" t="str">
        <f>""</f>
        <v/>
      </c>
      <c r="DH427" t="str">
        <f>""</f>
        <v/>
      </c>
      <c r="DI427" t="str">
        <f>""</f>
        <v/>
      </c>
      <c r="DJ427" t="str">
        <f>""</f>
        <v/>
      </c>
      <c r="DK427" t="str">
        <f>""</f>
        <v/>
      </c>
      <c r="DL427" t="str">
        <f>""</f>
        <v/>
      </c>
      <c r="DM427" t="str">
        <f>""</f>
        <v/>
      </c>
      <c r="DN427" t="str">
        <f>""</f>
        <v/>
      </c>
      <c r="DO427" t="str">
        <f>""</f>
        <v/>
      </c>
      <c r="DP427" t="str">
        <f>""</f>
        <v/>
      </c>
      <c r="DQ427" t="str">
        <f>""</f>
        <v/>
      </c>
      <c r="DR427" t="str">
        <f>""</f>
        <v/>
      </c>
      <c r="DS427" t="str">
        <f>""</f>
        <v/>
      </c>
      <c r="DT427" t="str">
        <f>""</f>
        <v/>
      </c>
      <c r="DU427" t="str">
        <f>""</f>
        <v/>
      </c>
    </row>
    <row r="428" spans="1:125">
      <c r="A428" t="str">
        <f>"BDH snapshot header2"</f>
        <v>BDH snapshot header2</v>
      </c>
      <c r="B428">
        <f>IF(OR(ISERROR($C$428),ISBLANK($C$428),ISNUMBER(SEARCH("N/A",$C$428) ),ISERROR($C$429),ISBLANK($C$429)),0,1)</f>
        <v>0</v>
      </c>
      <c r="C428" t="str">
        <f>BDH($B$7,$C$7,$B$224,$B$422,"PER=CQ","Dts=S","DtFmt=FI", "rows=2","Dir=H","Points=60","Sort=R","Days=A","Fill=B","FX=USD" )</f>
        <v>#N/A Authorization</v>
      </c>
      <c r="BN428" t="str">
        <f>""</f>
        <v/>
      </c>
      <c r="BO428" t="str">
        <f>""</f>
        <v/>
      </c>
      <c r="BP428" t="str">
        <f>""</f>
        <v/>
      </c>
      <c r="BQ428" t="str">
        <f>""</f>
        <v/>
      </c>
      <c r="BR428" t="str">
        <f>""</f>
        <v/>
      </c>
      <c r="BS428" t="str">
        <f>""</f>
        <v/>
      </c>
      <c r="BT428" t="str">
        <f>""</f>
        <v/>
      </c>
      <c r="BU428" t="str">
        <f>""</f>
        <v/>
      </c>
      <c r="BV428" t="str">
        <f>""</f>
        <v/>
      </c>
      <c r="BW428" t="str">
        <f>""</f>
        <v/>
      </c>
      <c r="BX428" t="str">
        <f>""</f>
        <v/>
      </c>
      <c r="BY428" t="str">
        <f>""</f>
        <v/>
      </c>
      <c r="BZ428" t="str">
        <f>""</f>
        <v/>
      </c>
      <c r="CA428" t="str">
        <f>""</f>
        <v/>
      </c>
      <c r="CB428" t="str">
        <f>""</f>
        <v/>
      </c>
      <c r="CC428" t="str">
        <f>""</f>
        <v/>
      </c>
      <c r="CD428" t="str">
        <f>""</f>
        <v/>
      </c>
      <c r="CE428" t="str">
        <f>""</f>
        <v/>
      </c>
      <c r="CF428" t="str">
        <f>""</f>
        <v/>
      </c>
      <c r="CG428" t="str">
        <f>""</f>
        <v/>
      </c>
      <c r="CH428" t="str">
        <f>""</f>
        <v/>
      </c>
      <c r="CI428" t="str">
        <f>""</f>
        <v/>
      </c>
      <c r="CJ428" t="str">
        <f>""</f>
        <v/>
      </c>
      <c r="CK428" t="str">
        <f>""</f>
        <v/>
      </c>
      <c r="CL428" t="str">
        <f>""</f>
        <v/>
      </c>
      <c r="CM428" t="str">
        <f>""</f>
        <v/>
      </c>
      <c r="CN428" t="str">
        <f>""</f>
        <v/>
      </c>
      <c r="CO428" t="str">
        <f>""</f>
        <v/>
      </c>
      <c r="CP428" t="str">
        <f>""</f>
        <v/>
      </c>
      <c r="CQ428" t="str">
        <f>""</f>
        <v/>
      </c>
      <c r="CR428" t="str">
        <f>""</f>
        <v/>
      </c>
      <c r="CS428" t="str">
        <f>""</f>
        <v/>
      </c>
      <c r="CT428" t="str">
        <f>""</f>
        <v/>
      </c>
      <c r="CU428" t="str">
        <f>""</f>
        <v/>
      </c>
      <c r="CV428" t="str">
        <f>""</f>
        <v/>
      </c>
      <c r="CW428" t="str">
        <f>""</f>
        <v/>
      </c>
      <c r="CX428" t="str">
        <f>""</f>
        <v/>
      </c>
      <c r="CY428" t="str">
        <f>""</f>
        <v/>
      </c>
      <c r="CZ428" t="str">
        <f>""</f>
        <v/>
      </c>
      <c r="DA428" t="str">
        <f>""</f>
        <v/>
      </c>
      <c r="DB428" t="str">
        <f>""</f>
        <v/>
      </c>
      <c r="DC428" t="str">
        <f>""</f>
        <v/>
      </c>
      <c r="DD428" t="str">
        <f>""</f>
        <v/>
      </c>
      <c r="DE428" t="str">
        <f>""</f>
        <v/>
      </c>
      <c r="DF428" t="str">
        <f>""</f>
        <v/>
      </c>
      <c r="DG428" t="str">
        <f>""</f>
        <v/>
      </c>
      <c r="DH428" t="str">
        <f>""</f>
        <v/>
      </c>
      <c r="DI428" t="str">
        <f>""</f>
        <v/>
      </c>
      <c r="DJ428" t="str">
        <f>""</f>
        <v/>
      </c>
      <c r="DK428" t="str">
        <f>""</f>
        <v/>
      </c>
      <c r="DL428" t="str">
        <f>""</f>
        <v/>
      </c>
      <c r="DM428" t="str">
        <f>""</f>
        <v/>
      </c>
      <c r="DN428" t="str">
        <f>""</f>
        <v/>
      </c>
      <c r="DO428" t="str">
        <f>""</f>
        <v/>
      </c>
      <c r="DP428" t="str">
        <f>""</f>
        <v/>
      </c>
      <c r="DQ428" t="str">
        <f>""</f>
        <v/>
      </c>
      <c r="DR428" t="str">
        <f>""</f>
        <v/>
      </c>
      <c r="DS428" t="str">
        <f>""</f>
        <v/>
      </c>
      <c r="DT428" t="str">
        <f>""</f>
        <v/>
      </c>
      <c r="DU428" t="str">
        <f>""</f>
        <v/>
      </c>
    </row>
    <row r="429" spans="1:125">
      <c r="A429" t="str">
        <f>"BDH snapshot result2"</f>
        <v>BDH snapshot result2</v>
      </c>
      <c r="BN429" t="str">
        <f>""</f>
        <v/>
      </c>
      <c r="BO429" t="str">
        <f>""</f>
        <v/>
      </c>
      <c r="BP429" t="str">
        <f>""</f>
        <v/>
      </c>
      <c r="BQ429" t="str">
        <f>""</f>
        <v/>
      </c>
      <c r="BR429" t="str">
        <f>""</f>
        <v/>
      </c>
      <c r="BS429" t="str">
        <f>""</f>
        <v/>
      </c>
      <c r="BT429" t="str">
        <f>""</f>
        <v/>
      </c>
      <c r="BU429" t="str">
        <f>""</f>
        <v/>
      </c>
      <c r="BV429" t="str">
        <f>""</f>
        <v/>
      </c>
      <c r="BW429" t="str">
        <f>""</f>
        <v/>
      </c>
      <c r="BX429" t="str">
        <f>""</f>
        <v/>
      </c>
      <c r="BY429" t="str">
        <f>""</f>
        <v/>
      </c>
      <c r="BZ429" t="str">
        <f>""</f>
        <v/>
      </c>
      <c r="CA429" t="str">
        <f>""</f>
        <v/>
      </c>
      <c r="CB429" t="str">
        <f>""</f>
        <v/>
      </c>
      <c r="CC429" t="str">
        <f>""</f>
        <v/>
      </c>
      <c r="CD429" t="str">
        <f>""</f>
        <v/>
      </c>
      <c r="CE429" t="str">
        <f>""</f>
        <v/>
      </c>
      <c r="CF429" t="str">
        <f>""</f>
        <v/>
      </c>
      <c r="CG429" t="str">
        <f>""</f>
        <v/>
      </c>
      <c r="CH429" t="str">
        <f>""</f>
        <v/>
      </c>
      <c r="CI429" t="str">
        <f>""</f>
        <v/>
      </c>
      <c r="CJ429" t="str">
        <f>""</f>
        <v/>
      </c>
      <c r="CK429" t="str">
        <f>""</f>
        <v/>
      </c>
      <c r="CL429" t="str">
        <f>""</f>
        <v/>
      </c>
      <c r="CM429" t="str">
        <f>""</f>
        <v/>
      </c>
      <c r="CN429" t="str">
        <f>""</f>
        <v/>
      </c>
      <c r="CO429" t="str">
        <f>""</f>
        <v/>
      </c>
      <c r="CP429" t="str">
        <f>""</f>
        <v/>
      </c>
      <c r="CQ429" t="str">
        <f>""</f>
        <v/>
      </c>
      <c r="CR429" t="str">
        <f>""</f>
        <v/>
      </c>
      <c r="CS429" t="str">
        <f>""</f>
        <v/>
      </c>
      <c r="CT429" t="str">
        <f>""</f>
        <v/>
      </c>
      <c r="CU429" t="str">
        <f>""</f>
        <v/>
      </c>
      <c r="CV429" t="str">
        <f>""</f>
        <v/>
      </c>
      <c r="CW429" t="str">
        <f>""</f>
        <v/>
      </c>
      <c r="CX429" t="str">
        <f>""</f>
        <v/>
      </c>
      <c r="CY429" t="str">
        <f>""</f>
        <v/>
      </c>
      <c r="CZ429" t="str">
        <f>""</f>
        <v/>
      </c>
      <c r="DA429" t="str">
        <f>""</f>
        <v/>
      </c>
      <c r="DB429" t="str">
        <f>""</f>
        <v/>
      </c>
      <c r="DC429" t="str">
        <f>""</f>
        <v/>
      </c>
      <c r="DD429" t="str">
        <f>""</f>
        <v/>
      </c>
      <c r="DE429" t="str">
        <f>""</f>
        <v/>
      </c>
      <c r="DF429" t="str">
        <f>""</f>
        <v/>
      </c>
      <c r="DG429" t="str">
        <f>""</f>
        <v/>
      </c>
      <c r="DH429" t="str">
        <f>""</f>
        <v/>
      </c>
      <c r="DI429" t="str">
        <f>""</f>
        <v/>
      </c>
      <c r="DJ429" t="str">
        <f>""</f>
        <v/>
      </c>
      <c r="DK429" t="str">
        <f>""</f>
        <v/>
      </c>
      <c r="DL429" t="str">
        <f>""</f>
        <v/>
      </c>
      <c r="DM429" t="str">
        <f>""</f>
        <v/>
      </c>
      <c r="DN429" t="str">
        <f>""</f>
        <v/>
      </c>
      <c r="DO429" t="str">
        <f>""</f>
        <v/>
      </c>
      <c r="DP429" t="str">
        <f>""</f>
        <v/>
      </c>
      <c r="DQ429" t="str">
        <f>""</f>
        <v/>
      </c>
      <c r="DR429" t="str">
        <f>""</f>
        <v/>
      </c>
      <c r="DS429" t="str">
        <f>""</f>
        <v/>
      </c>
      <c r="DT429" t="str">
        <f>""</f>
        <v/>
      </c>
      <c r="DU429" t="str">
        <f>""</f>
        <v/>
      </c>
    </row>
    <row r="430" spans="1:125">
      <c r="A430" t="str">
        <f>"BDH snapshot"</f>
        <v>BDH snapshot</v>
      </c>
      <c r="B430">
        <f>IF($B$424&gt;=1,$B$424,IF($B$426&gt;=1,$B$426,IF($B$428&gt;=1,$B$428,$B$423)))</f>
        <v>2</v>
      </c>
      <c r="C430" t="str">
        <f>IF($B$424&gt;=1,$C$424,IF($B$426&gt;=1,$C$426,IF($B$428&gt;=1,$C$428,$C$423)))</f>
        <v>2018 Q1</v>
      </c>
      <c r="D430" t="str">
        <f>IF($B$424&gt;=1,$D$424,IF($B$426&gt;=1,$D$426,IF($B$428&gt;=1,$D$428,$D$423)))</f>
        <v>2017 Q4</v>
      </c>
      <c r="E430" t="str">
        <f>IF($B$424&gt;=1,$E$424,IF($B$426&gt;=1,$E$426,IF($B$428&gt;=1,$E$428,$E$423)))</f>
        <v>2017 Q3</v>
      </c>
      <c r="F430" t="str">
        <f>IF($B$424&gt;=1,$F$424,IF($B$426&gt;=1,$F$426,IF($B$428&gt;=1,$F$428,$F$423)))</f>
        <v>2017 Q2</v>
      </c>
      <c r="G430" t="str">
        <f>IF($B$424&gt;=1,$G$424,IF($B$426&gt;=1,$G$426,IF($B$428&gt;=1,$G$428,$G$423)))</f>
        <v>2017 Q1</v>
      </c>
      <c r="H430" t="str">
        <f>IF($B$424&gt;=1,$H$424,IF($B$426&gt;=1,$H$426,IF($B$428&gt;=1,$H$428,$H$423)))</f>
        <v>2016 Q4</v>
      </c>
      <c r="I430" t="str">
        <f>IF($B$424&gt;=1,$I$424,IF($B$426&gt;=1,$I$426,IF($B$428&gt;=1,$I$428,$I$423)))</f>
        <v>2016 Q3</v>
      </c>
      <c r="J430" t="str">
        <f>IF($B$424&gt;=1,$J$424,IF($B$426&gt;=1,$J$426,IF($B$428&gt;=1,$J$428,$J$423)))</f>
        <v>2016 Q2</v>
      </c>
      <c r="K430" t="str">
        <f>IF($B$424&gt;=1,$K$424,IF($B$426&gt;=1,$K$426,IF($B$428&gt;=1,$K$428,$K$423)))</f>
        <v>2016 Q1</v>
      </c>
      <c r="L430" t="str">
        <f>IF($B$424&gt;=1,$L$424,IF($B$426&gt;=1,$L$426,IF($B$428&gt;=1,$L$428,$L$423)))</f>
        <v>2015 Q4</v>
      </c>
      <c r="M430" t="str">
        <f>IF($B$424&gt;=1,$M$424,IF($B$426&gt;=1,$M$426,IF($B$428&gt;=1,$M$428,$M$423)))</f>
        <v>2015 Q3</v>
      </c>
      <c r="N430" t="str">
        <f>IF($B$424&gt;=1,$N$424,IF($B$426&gt;=1,$N$426,IF($B$428&gt;=1,$N$428,$N$423)))</f>
        <v>2015 Q2</v>
      </c>
      <c r="O430" t="str">
        <f>IF($B$424&gt;=1,$O$424,IF($B$426&gt;=1,$O$426,IF($B$428&gt;=1,$O$428,$O$423)))</f>
        <v>2015 Q1</v>
      </c>
      <c r="P430" t="str">
        <f>IF($B$424&gt;=1,$P$424,IF($B$426&gt;=1,$P$426,IF($B$428&gt;=1,$P$428,$P$423)))</f>
        <v>2014 Q4</v>
      </c>
      <c r="Q430" t="str">
        <f>IF($B$424&gt;=1,$Q$424,IF($B$426&gt;=1,$Q$426,IF($B$428&gt;=1,$Q$428,$Q$423)))</f>
        <v>2014 Q3</v>
      </c>
      <c r="R430" t="str">
        <f>IF($B$424&gt;=1,$R$424,IF($B$426&gt;=1,$R$426,IF($B$428&gt;=1,$R$428,$R$423)))</f>
        <v>2014 Q2</v>
      </c>
      <c r="S430" t="str">
        <f>IF($B$424&gt;=1,$S$424,IF($B$426&gt;=1,$S$426,IF($B$428&gt;=1,$S$428,$S$423)))</f>
        <v>2014 Q1</v>
      </c>
      <c r="T430" t="str">
        <f>IF($B$424&gt;=1,$T$424,IF($B$426&gt;=1,$T$426,IF($B$428&gt;=1,$T$428,$T$423)))</f>
        <v>2013 Q4</v>
      </c>
      <c r="U430" t="str">
        <f>IF($B$424&gt;=1,$U$424,IF($B$426&gt;=1,$U$426,IF($B$428&gt;=1,$U$428,$U$423)))</f>
        <v>2013 Q3</v>
      </c>
      <c r="V430" t="str">
        <f>IF($B$424&gt;=1,$V$424,IF($B$426&gt;=1,$V$426,IF($B$428&gt;=1,$V$428,$V$423)))</f>
        <v>2013 Q2</v>
      </c>
      <c r="W430" t="str">
        <f>IF($B$424&gt;=1,$W$424,IF($B$426&gt;=1,$W$426,IF($B$428&gt;=1,$W$428,$W$423)))</f>
        <v>2013 Q1</v>
      </c>
      <c r="X430" t="str">
        <f>IF($B$424&gt;=1,$X$424,IF($B$426&gt;=1,$X$426,IF($B$428&gt;=1,$X$428,$X$423)))</f>
        <v>2012 Q4</v>
      </c>
      <c r="Y430" t="str">
        <f>IF($B$424&gt;=1,$Y$424,IF($B$426&gt;=1,$Y$426,IF($B$428&gt;=1,$Y$428,$Y$423)))</f>
        <v>2012 Q3</v>
      </c>
      <c r="Z430" t="str">
        <f>IF($B$424&gt;=1,$Z$424,IF($B$426&gt;=1,$Z$426,IF($B$428&gt;=1,$Z$428,$Z$423)))</f>
        <v>2012 Q2</v>
      </c>
      <c r="AA430" t="str">
        <f>IF($B$424&gt;=1,$AA$424,IF($B$426&gt;=1,$AA$426,IF($B$428&gt;=1,$AA$428,$AA$423)))</f>
        <v>2012 Q1</v>
      </c>
      <c r="AB430" t="str">
        <f>IF($B$424&gt;=1,$AB$424,IF($B$426&gt;=1,$AB$426,IF($B$428&gt;=1,$AB$428,$AB$423)))</f>
        <v>2011 Q4</v>
      </c>
      <c r="AC430" t="str">
        <f>IF($B$424&gt;=1,$AC$424,IF($B$426&gt;=1,$AC$426,IF($B$428&gt;=1,$AC$428,$AC$423)))</f>
        <v>2011 Q3</v>
      </c>
      <c r="AD430" t="str">
        <f>IF($B$424&gt;=1,$AD$424,IF($B$426&gt;=1,$AD$426,IF($B$428&gt;=1,$AD$428,$AD$423)))</f>
        <v>2011 Q2</v>
      </c>
      <c r="AE430" t="str">
        <f>IF($B$424&gt;=1,$AE$424,IF($B$426&gt;=1,$AE$426,IF($B$428&gt;=1,$AE$428,$AE$423)))</f>
        <v>2011 Q1</v>
      </c>
      <c r="AF430" t="str">
        <f>IF($B$424&gt;=1,$AF$424,IF($B$426&gt;=1,$AF$426,IF($B$428&gt;=1,$AF$428,$AF$423)))</f>
        <v>2010 Q4</v>
      </c>
      <c r="AG430" t="str">
        <f>IF($B$424&gt;=1,$AG$424,IF($B$426&gt;=1,$AG$426,IF($B$428&gt;=1,$AG$428,$AG$423)))</f>
        <v>2010 Q3</v>
      </c>
      <c r="AH430" t="str">
        <f>IF($B$424&gt;=1,$AH$424,IF($B$426&gt;=1,$AH$426,IF($B$428&gt;=1,$AH$428,$AH$423)))</f>
        <v>2010 Q2</v>
      </c>
      <c r="AI430" t="str">
        <f>IF($B$424&gt;=1,$AI$424,IF($B$426&gt;=1,$AI$426,IF($B$428&gt;=1,$AI$428,$AI$423)))</f>
        <v>2010 Q1</v>
      </c>
      <c r="AJ430" t="str">
        <f>IF($B$424&gt;=1,$AJ$424,IF($B$426&gt;=1,$AJ$426,IF($B$428&gt;=1,$AJ$428,$AJ$423)))</f>
        <v>2009 Q4</v>
      </c>
      <c r="AK430" t="str">
        <f>IF($B$424&gt;=1,$AK$424,IF($B$426&gt;=1,$AK$426,IF($B$428&gt;=1,$AK$428,$AK$423)))</f>
        <v>2009 Q3</v>
      </c>
      <c r="AL430" t="str">
        <f>IF($B$424&gt;=1,$AL$424,IF($B$426&gt;=1,$AL$426,IF($B$428&gt;=1,$AL$428,$AL$423)))</f>
        <v>2009 Q2</v>
      </c>
      <c r="AM430" t="str">
        <f>IF($B$424&gt;=1,$AM$424,IF($B$426&gt;=1,$AM$426,IF($B$428&gt;=1,$AM$428,$AM$423)))</f>
        <v>2009 Q1</v>
      </c>
      <c r="AN430" t="str">
        <f>IF($B$424&gt;=1,$AN$424,IF($B$426&gt;=1,$AN$426,IF($B$428&gt;=1,$AN$428,$AN$423)))</f>
        <v>2008 Q4</v>
      </c>
      <c r="AO430" t="str">
        <f>IF($B$424&gt;=1,$AO$424,IF($B$426&gt;=1,$AO$426,IF($B$428&gt;=1,$AO$428,$AO$423)))</f>
        <v>2008 Q3</v>
      </c>
      <c r="AP430" t="str">
        <f>IF($B$424&gt;=1,$AP$424,IF($B$426&gt;=1,$AP$426,IF($B$428&gt;=1,$AP$428,$AP$423)))</f>
        <v>2008 Q2</v>
      </c>
      <c r="AQ430" t="str">
        <f>IF($B$424&gt;=1,$AQ$424,IF($B$426&gt;=1,$AQ$426,IF($B$428&gt;=1,$AQ$428,$AQ$423)))</f>
        <v>2008 Q1</v>
      </c>
      <c r="AR430" t="str">
        <f>IF($B$424&gt;=1,$AR$424,IF($B$426&gt;=1,$AR$426,IF($B$428&gt;=1,$AR$428,$AR$423)))</f>
        <v>2007 Q4</v>
      </c>
      <c r="AS430" t="str">
        <f>IF($B$424&gt;=1,$AS$424,IF($B$426&gt;=1,$AS$426,IF($B$428&gt;=1,$AS$428,$AS$423)))</f>
        <v>2007 Q3</v>
      </c>
      <c r="AT430" t="str">
        <f>IF($B$424&gt;=1,$AT$424,IF($B$426&gt;=1,$AT$426,IF($B$428&gt;=1,$AT$428,$AT$423)))</f>
        <v>2007 Q2</v>
      </c>
      <c r="AU430" t="str">
        <f>IF($B$424&gt;=1,$AU$424,IF($B$426&gt;=1,$AU$426,IF($B$428&gt;=1,$AU$428,$AU$423)))</f>
        <v>2007 Q1</v>
      </c>
      <c r="AV430" t="str">
        <f>IF($B$424&gt;=1,$AV$424,IF($B$426&gt;=1,$AV$426,IF($B$428&gt;=1,$AV$428,$AV$423)))</f>
        <v>2006 Q4</v>
      </c>
      <c r="AW430" t="str">
        <f>IF($B$424&gt;=1,$AW$424,IF($B$426&gt;=1,$AW$426,IF($B$428&gt;=1,$AW$428,$AW$423)))</f>
        <v>2006 Q3</v>
      </c>
      <c r="AX430" t="str">
        <f>IF($B$424&gt;=1,$AX$424,IF($B$426&gt;=1,$AX$426,IF($B$428&gt;=1,$AX$428,$AX$423)))</f>
        <v>2006 Q2</v>
      </c>
      <c r="AY430" t="str">
        <f>IF($B$424&gt;=1,$AY$424,IF($B$426&gt;=1,$AY$426,IF($B$428&gt;=1,$AY$428,$AY$423)))</f>
        <v>2006 Q1</v>
      </c>
      <c r="AZ430" t="str">
        <f>IF($B$424&gt;=1,$AZ$424,IF($B$426&gt;=1,$AZ$426,IF($B$428&gt;=1,$AZ$428,$AZ$423)))</f>
        <v>2005 Q4</v>
      </c>
      <c r="BA430" t="str">
        <f>IF($B$424&gt;=1,$BA$424,IF($B$426&gt;=1,$BA$426,IF($B$428&gt;=1,$BA$428,$BA$423)))</f>
        <v>2005 Q3</v>
      </c>
      <c r="BB430" t="str">
        <f>IF($B$424&gt;=1,$BB$424,IF($B$426&gt;=1,$BB$426,IF($B$428&gt;=1,$BB$428,$BB$423)))</f>
        <v>2005 Q2</v>
      </c>
      <c r="BC430" t="str">
        <f>IF($B$424&gt;=1,$BC$424,IF($B$426&gt;=1,$BC$426,IF($B$428&gt;=1,$BC$428,$BC$423)))</f>
        <v>2005 Q1</v>
      </c>
      <c r="BD430" t="str">
        <f>IF($B$424&gt;=1,$BD$424,IF($B$426&gt;=1,$BD$426,IF($B$428&gt;=1,$BD$428,$BD$423)))</f>
        <v>2004 Q4</v>
      </c>
      <c r="BE430" t="str">
        <f>IF($B$424&gt;=1,$BE$424,IF($B$426&gt;=1,$BE$426,IF($B$428&gt;=1,$BE$428,$BE$423)))</f>
        <v>2004 Q3</v>
      </c>
      <c r="BF430" t="str">
        <f>IF($B$424&gt;=1,$BF$424,IF($B$426&gt;=1,$BF$426,IF($B$428&gt;=1,$BF$428,$BF$423)))</f>
        <v>2004 Q2</v>
      </c>
      <c r="BG430" t="str">
        <f>IF($B$424&gt;=1,$BG$424,IF($B$426&gt;=1,$BG$426,IF($B$428&gt;=1,$BG$428,$BG$423)))</f>
        <v>2004 Q1</v>
      </c>
      <c r="BH430" t="str">
        <f>IF($B$424&gt;=1,$BH$424,IF($B$426&gt;=1,$BH$426,IF($B$428&gt;=1,$BH$428,$BH$423)))</f>
        <v>2003 Q4</v>
      </c>
      <c r="BI430" t="str">
        <f>IF($B$424&gt;=1,$BI$424,IF($B$426&gt;=1,$BI$426,IF($B$428&gt;=1,$BI$428,$BI$423)))</f>
        <v>2003 Q3</v>
      </c>
      <c r="BJ430" t="str">
        <f>IF($B$424&gt;=1,$BJ$424,IF($B$426&gt;=1,$BJ$426,IF($B$428&gt;=1,$BJ$428,$BJ$423)))</f>
        <v>2003 Q2</v>
      </c>
      <c r="BN430" t="str">
        <f>""</f>
        <v/>
      </c>
      <c r="BO430" t="str">
        <f>""</f>
        <v/>
      </c>
      <c r="BP430" t="str">
        <f>""</f>
        <v/>
      </c>
      <c r="BQ430" t="str">
        <f>""</f>
        <v/>
      </c>
      <c r="BR430" t="str">
        <f>""</f>
        <v/>
      </c>
      <c r="BS430" t="str">
        <f>""</f>
        <v/>
      </c>
      <c r="BT430" t="str">
        <f>""</f>
        <v/>
      </c>
      <c r="BU430" t="str">
        <f>""</f>
        <v/>
      </c>
      <c r="BV430" t="str">
        <f>""</f>
        <v/>
      </c>
      <c r="BW430" t="str">
        <f>""</f>
        <v/>
      </c>
      <c r="BX430" t="str">
        <f>""</f>
        <v/>
      </c>
      <c r="BY430" t="str">
        <f>""</f>
        <v/>
      </c>
      <c r="BZ430" t="str">
        <f>""</f>
        <v/>
      </c>
      <c r="CA430" t="str">
        <f>""</f>
        <v/>
      </c>
      <c r="CB430" t="str">
        <f>""</f>
        <v/>
      </c>
      <c r="CC430" t="str">
        <f>""</f>
        <v/>
      </c>
      <c r="CD430" t="str">
        <f>""</f>
        <v/>
      </c>
      <c r="CE430" t="str">
        <f>""</f>
        <v/>
      </c>
      <c r="CF430" t="str">
        <f>""</f>
        <v/>
      </c>
      <c r="CG430" t="str">
        <f>""</f>
        <v/>
      </c>
      <c r="CH430" t="str">
        <f>""</f>
        <v/>
      </c>
      <c r="CI430" t="str">
        <f>""</f>
        <v/>
      </c>
      <c r="CJ430" t="str">
        <f>""</f>
        <v/>
      </c>
      <c r="CK430" t="str">
        <f>""</f>
        <v/>
      </c>
      <c r="CL430" t="str">
        <f>""</f>
        <v/>
      </c>
      <c r="CM430" t="str">
        <f>""</f>
        <v/>
      </c>
      <c r="CN430" t="str">
        <f>""</f>
        <v/>
      </c>
      <c r="CO430" t="str">
        <f>""</f>
        <v/>
      </c>
      <c r="CP430" t="str">
        <f>""</f>
        <v/>
      </c>
      <c r="CQ430" t="str">
        <f>""</f>
        <v/>
      </c>
      <c r="CR430" t="str">
        <f>""</f>
        <v/>
      </c>
      <c r="CS430" t="str">
        <f>""</f>
        <v/>
      </c>
      <c r="CT430" t="str">
        <f>""</f>
        <v/>
      </c>
      <c r="CU430" t="str">
        <f>""</f>
        <v/>
      </c>
      <c r="CV430" t="str">
        <f>""</f>
        <v/>
      </c>
      <c r="CW430" t="str">
        <f>""</f>
        <v/>
      </c>
      <c r="CX430" t="str">
        <f>""</f>
        <v/>
      </c>
      <c r="CY430" t="str">
        <f>""</f>
        <v/>
      </c>
      <c r="CZ430" t="str">
        <f>""</f>
        <v/>
      </c>
      <c r="DA430" t="str">
        <f>""</f>
        <v/>
      </c>
      <c r="DB430" t="str">
        <f>""</f>
        <v/>
      </c>
      <c r="DC430" t="str">
        <f>""</f>
        <v/>
      </c>
      <c r="DD430" t="str">
        <f>""</f>
        <v/>
      </c>
      <c r="DE430" t="str">
        <f>""</f>
        <v/>
      </c>
      <c r="DF430" t="str">
        <f>""</f>
        <v/>
      </c>
      <c r="DG430" t="str">
        <f>""</f>
        <v/>
      </c>
      <c r="DH430" t="str">
        <f>""</f>
        <v/>
      </c>
      <c r="DI430" t="str">
        <f>""</f>
        <v/>
      </c>
      <c r="DJ430" t="str">
        <f>""</f>
        <v/>
      </c>
      <c r="DK430" t="str">
        <f>""</f>
        <v/>
      </c>
      <c r="DL430" t="str">
        <f>""</f>
        <v/>
      </c>
      <c r="DM430" t="str">
        <f>""</f>
        <v/>
      </c>
      <c r="DN430" t="str">
        <f>""</f>
        <v/>
      </c>
      <c r="DO430" t="str">
        <f>""</f>
        <v/>
      </c>
      <c r="DP430" t="str">
        <f>""</f>
        <v/>
      </c>
      <c r="DQ430" t="str">
        <f>""</f>
        <v/>
      </c>
      <c r="DR430" t="str">
        <f>""</f>
        <v/>
      </c>
      <c r="DS430" t="str">
        <f>""</f>
        <v/>
      </c>
      <c r="DT430" t="str">
        <f>""</f>
        <v/>
      </c>
      <c r="DU430" t="str">
        <f>""</f>
        <v/>
      </c>
    </row>
    <row r="431" spans="1:125">
      <c r="A431" t="str">
        <f>"BDH snapshot title"</f>
        <v>BDH snapshot title</v>
      </c>
      <c r="B431">
        <f>$B$430</f>
        <v>2</v>
      </c>
      <c r="C431" t="str">
        <f>IF(LEN($C$430)&lt;&gt;8,$C$430,RIGHT($C$430,4)&amp;" "&amp;MID($C$430,3,1)&amp;LEFT($C$430,1))</f>
        <v>2018 Q1</v>
      </c>
      <c r="D431" t="str">
        <f>IF(LEN($D$430)&lt;&gt;8,$D$430,RIGHT($D$430,4)&amp;" "&amp;MID($D$430,3,1)&amp;LEFT($D$430,1))</f>
        <v>2017 Q4</v>
      </c>
      <c r="E431" t="str">
        <f>IF(LEN($E$430)&lt;&gt;8,$E$430,RIGHT($E$430,4)&amp;" "&amp;MID($E$430,3,1)&amp;LEFT($E$430,1))</f>
        <v>2017 Q3</v>
      </c>
      <c r="F431" t="str">
        <f>IF(LEN($F$430)&lt;&gt;8,$F$430,RIGHT($F$430,4)&amp;" "&amp;MID($F$430,3,1)&amp;LEFT($F$430,1))</f>
        <v>2017 Q2</v>
      </c>
      <c r="G431" t="str">
        <f>IF(LEN($G$430)&lt;&gt;8,$G$430,RIGHT($G$430,4)&amp;" "&amp;MID($G$430,3,1)&amp;LEFT($G$430,1))</f>
        <v>2017 Q1</v>
      </c>
      <c r="H431" t="str">
        <f>IF(LEN($H$430)&lt;&gt;8,$H$430,RIGHT($H$430,4)&amp;" "&amp;MID($H$430,3,1)&amp;LEFT($H$430,1))</f>
        <v>2016 Q4</v>
      </c>
      <c r="I431" t="str">
        <f>IF(LEN($I$430)&lt;&gt;8,$I$430,RIGHT($I$430,4)&amp;" "&amp;MID($I$430,3,1)&amp;LEFT($I$430,1))</f>
        <v>2016 Q3</v>
      </c>
      <c r="J431" t="str">
        <f>IF(LEN($J$430)&lt;&gt;8,$J$430,RIGHT($J$430,4)&amp;" "&amp;MID($J$430,3,1)&amp;LEFT($J$430,1))</f>
        <v>2016 Q2</v>
      </c>
      <c r="K431" t="str">
        <f>IF(LEN($K$430)&lt;&gt;8,$K$430,RIGHT($K$430,4)&amp;" "&amp;MID($K$430,3,1)&amp;LEFT($K$430,1))</f>
        <v>2016 Q1</v>
      </c>
      <c r="L431" t="str">
        <f>IF(LEN($L$430)&lt;&gt;8,$L$430,RIGHT($L$430,4)&amp;" "&amp;MID($L$430,3,1)&amp;LEFT($L$430,1))</f>
        <v>2015 Q4</v>
      </c>
      <c r="M431" t="str">
        <f>IF(LEN($M$430)&lt;&gt;8,$M$430,RIGHT($M$430,4)&amp;" "&amp;MID($M$430,3,1)&amp;LEFT($M$430,1))</f>
        <v>2015 Q3</v>
      </c>
      <c r="N431" t="str">
        <f>IF(LEN($N$430)&lt;&gt;8,$N$430,RIGHT($N$430,4)&amp;" "&amp;MID($N$430,3,1)&amp;LEFT($N$430,1))</f>
        <v>2015 Q2</v>
      </c>
      <c r="O431" t="str">
        <f>IF(LEN($O$430)&lt;&gt;8,$O$430,RIGHT($O$430,4)&amp;" "&amp;MID($O$430,3,1)&amp;LEFT($O$430,1))</f>
        <v>2015 Q1</v>
      </c>
      <c r="P431" t="str">
        <f>IF(LEN($P$430)&lt;&gt;8,$P$430,RIGHT($P$430,4)&amp;" "&amp;MID($P$430,3,1)&amp;LEFT($P$430,1))</f>
        <v>2014 Q4</v>
      </c>
      <c r="Q431" t="str">
        <f>IF(LEN($Q$430)&lt;&gt;8,$Q$430,RIGHT($Q$430,4)&amp;" "&amp;MID($Q$430,3,1)&amp;LEFT($Q$430,1))</f>
        <v>2014 Q3</v>
      </c>
      <c r="R431" t="str">
        <f>IF(LEN($R$430)&lt;&gt;8,$R$430,RIGHT($R$430,4)&amp;" "&amp;MID($R$430,3,1)&amp;LEFT($R$430,1))</f>
        <v>2014 Q2</v>
      </c>
      <c r="S431" t="str">
        <f>IF(LEN($S$430)&lt;&gt;8,$S$430,RIGHT($S$430,4)&amp;" "&amp;MID($S$430,3,1)&amp;LEFT($S$430,1))</f>
        <v>2014 Q1</v>
      </c>
      <c r="T431" t="str">
        <f>IF(LEN($T$430)&lt;&gt;8,$T$430,RIGHT($T$430,4)&amp;" "&amp;MID($T$430,3,1)&amp;LEFT($T$430,1))</f>
        <v>2013 Q4</v>
      </c>
      <c r="U431" t="str">
        <f>IF(LEN($U$430)&lt;&gt;8,$U$430,RIGHT($U$430,4)&amp;" "&amp;MID($U$430,3,1)&amp;LEFT($U$430,1))</f>
        <v>2013 Q3</v>
      </c>
      <c r="V431" t="str">
        <f>IF(LEN($V$430)&lt;&gt;8,$V$430,RIGHT($V$430,4)&amp;" "&amp;MID($V$430,3,1)&amp;LEFT($V$430,1))</f>
        <v>2013 Q2</v>
      </c>
      <c r="W431" t="str">
        <f>IF(LEN($W$430)&lt;&gt;8,$W$430,RIGHT($W$430,4)&amp;" "&amp;MID($W$430,3,1)&amp;LEFT($W$430,1))</f>
        <v>2013 Q1</v>
      </c>
      <c r="X431" t="str">
        <f>IF(LEN($X$430)&lt;&gt;8,$X$430,RIGHT($X$430,4)&amp;" "&amp;MID($X$430,3,1)&amp;LEFT($X$430,1))</f>
        <v>2012 Q4</v>
      </c>
      <c r="Y431" t="str">
        <f>IF(LEN($Y$430)&lt;&gt;8,$Y$430,RIGHT($Y$430,4)&amp;" "&amp;MID($Y$430,3,1)&amp;LEFT($Y$430,1))</f>
        <v>2012 Q3</v>
      </c>
      <c r="Z431" t="str">
        <f>IF(LEN($Z$430)&lt;&gt;8,$Z$430,RIGHT($Z$430,4)&amp;" "&amp;MID($Z$430,3,1)&amp;LEFT($Z$430,1))</f>
        <v>2012 Q2</v>
      </c>
      <c r="AA431" t="str">
        <f>IF(LEN($AA$430)&lt;&gt;8,$AA$430,RIGHT($AA$430,4)&amp;" "&amp;MID($AA$430,3,1)&amp;LEFT($AA$430,1))</f>
        <v>2012 Q1</v>
      </c>
      <c r="AB431" t="str">
        <f>IF(LEN($AB$430)&lt;&gt;8,$AB$430,RIGHT($AB$430,4)&amp;" "&amp;MID($AB$430,3,1)&amp;LEFT($AB$430,1))</f>
        <v>2011 Q4</v>
      </c>
      <c r="AC431" t="str">
        <f>IF(LEN($AC$430)&lt;&gt;8,$AC$430,RIGHT($AC$430,4)&amp;" "&amp;MID($AC$430,3,1)&amp;LEFT($AC$430,1))</f>
        <v>2011 Q3</v>
      </c>
      <c r="AD431" t="str">
        <f>IF(LEN($AD$430)&lt;&gt;8,$AD$430,RIGHT($AD$430,4)&amp;" "&amp;MID($AD$430,3,1)&amp;LEFT($AD$430,1))</f>
        <v>2011 Q2</v>
      </c>
      <c r="AE431" t="str">
        <f>IF(LEN($AE$430)&lt;&gt;8,$AE$430,RIGHT($AE$430,4)&amp;" "&amp;MID($AE$430,3,1)&amp;LEFT($AE$430,1))</f>
        <v>2011 Q1</v>
      </c>
      <c r="AF431" t="str">
        <f>IF(LEN($AF$430)&lt;&gt;8,$AF$430,RIGHT($AF$430,4)&amp;" "&amp;MID($AF$430,3,1)&amp;LEFT($AF$430,1))</f>
        <v>2010 Q4</v>
      </c>
      <c r="AG431" t="str">
        <f>IF(LEN($AG$430)&lt;&gt;8,$AG$430,RIGHT($AG$430,4)&amp;" "&amp;MID($AG$430,3,1)&amp;LEFT($AG$430,1))</f>
        <v>2010 Q3</v>
      </c>
      <c r="AH431" t="str">
        <f>IF(LEN($AH$430)&lt;&gt;8,$AH$430,RIGHT($AH$430,4)&amp;" "&amp;MID($AH$430,3,1)&amp;LEFT($AH$430,1))</f>
        <v>2010 Q2</v>
      </c>
      <c r="AI431" t="str">
        <f>IF(LEN($AI$430)&lt;&gt;8,$AI$430,RIGHT($AI$430,4)&amp;" "&amp;MID($AI$430,3,1)&amp;LEFT($AI$430,1))</f>
        <v>2010 Q1</v>
      </c>
      <c r="AJ431" t="str">
        <f>IF(LEN($AJ$430)&lt;&gt;8,$AJ$430,RIGHT($AJ$430,4)&amp;" "&amp;MID($AJ$430,3,1)&amp;LEFT($AJ$430,1))</f>
        <v>2009 Q4</v>
      </c>
      <c r="AK431" t="str">
        <f>IF(LEN($AK$430)&lt;&gt;8,$AK$430,RIGHT($AK$430,4)&amp;" "&amp;MID($AK$430,3,1)&amp;LEFT($AK$430,1))</f>
        <v>2009 Q3</v>
      </c>
      <c r="AL431" t="str">
        <f>IF(LEN($AL$430)&lt;&gt;8,$AL$430,RIGHT($AL$430,4)&amp;" "&amp;MID($AL$430,3,1)&amp;LEFT($AL$430,1))</f>
        <v>2009 Q2</v>
      </c>
      <c r="AM431" t="str">
        <f>IF(LEN($AM$430)&lt;&gt;8,$AM$430,RIGHT($AM$430,4)&amp;" "&amp;MID($AM$430,3,1)&amp;LEFT($AM$430,1))</f>
        <v>2009 Q1</v>
      </c>
      <c r="AN431" t="str">
        <f>IF(LEN($AN$430)&lt;&gt;8,$AN$430,RIGHT($AN$430,4)&amp;" "&amp;MID($AN$430,3,1)&amp;LEFT($AN$430,1))</f>
        <v>2008 Q4</v>
      </c>
      <c r="AO431" t="str">
        <f>IF(LEN($AO$430)&lt;&gt;8,$AO$430,RIGHT($AO$430,4)&amp;" "&amp;MID($AO$430,3,1)&amp;LEFT($AO$430,1))</f>
        <v>2008 Q3</v>
      </c>
      <c r="AP431" t="str">
        <f>IF(LEN($AP$430)&lt;&gt;8,$AP$430,RIGHT($AP$430,4)&amp;" "&amp;MID($AP$430,3,1)&amp;LEFT($AP$430,1))</f>
        <v>2008 Q2</v>
      </c>
      <c r="AQ431" t="str">
        <f>IF(LEN($AQ$430)&lt;&gt;8,$AQ$430,RIGHT($AQ$430,4)&amp;" "&amp;MID($AQ$430,3,1)&amp;LEFT($AQ$430,1))</f>
        <v>2008 Q1</v>
      </c>
      <c r="AR431" t="str">
        <f>IF(LEN($AR$430)&lt;&gt;8,$AR$430,RIGHT($AR$430,4)&amp;" "&amp;MID($AR$430,3,1)&amp;LEFT($AR$430,1))</f>
        <v>2007 Q4</v>
      </c>
      <c r="AS431" t="str">
        <f>IF(LEN($AS$430)&lt;&gt;8,$AS$430,RIGHT($AS$430,4)&amp;" "&amp;MID($AS$430,3,1)&amp;LEFT($AS$430,1))</f>
        <v>2007 Q3</v>
      </c>
      <c r="AT431" t="str">
        <f>IF(LEN($AT$430)&lt;&gt;8,$AT$430,RIGHT($AT$430,4)&amp;" "&amp;MID($AT$430,3,1)&amp;LEFT($AT$430,1))</f>
        <v>2007 Q2</v>
      </c>
      <c r="AU431" t="str">
        <f>IF(LEN($AU$430)&lt;&gt;8,$AU$430,RIGHT($AU$430,4)&amp;" "&amp;MID($AU$430,3,1)&amp;LEFT($AU$430,1))</f>
        <v>2007 Q1</v>
      </c>
      <c r="AV431" t="str">
        <f>IF(LEN($AV$430)&lt;&gt;8,$AV$430,RIGHT($AV$430,4)&amp;" "&amp;MID($AV$430,3,1)&amp;LEFT($AV$430,1))</f>
        <v>2006 Q4</v>
      </c>
      <c r="AW431" t="str">
        <f>IF(LEN($AW$430)&lt;&gt;8,$AW$430,RIGHT($AW$430,4)&amp;" "&amp;MID($AW$430,3,1)&amp;LEFT($AW$430,1))</f>
        <v>2006 Q3</v>
      </c>
      <c r="AX431" t="str">
        <f>IF(LEN($AX$430)&lt;&gt;8,$AX$430,RIGHT($AX$430,4)&amp;" "&amp;MID($AX$430,3,1)&amp;LEFT($AX$430,1))</f>
        <v>2006 Q2</v>
      </c>
      <c r="AY431" t="str">
        <f>IF(LEN($AY$430)&lt;&gt;8,$AY$430,RIGHT($AY$430,4)&amp;" "&amp;MID($AY$430,3,1)&amp;LEFT($AY$430,1))</f>
        <v>2006 Q1</v>
      </c>
      <c r="AZ431" t="str">
        <f>IF(LEN($AZ$430)&lt;&gt;8,$AZ$430,RIGHT($AZ$430,4)&amp;" "&amp;MID($AZ$430,3,1)&amp;LEFT($AZ$430,1))</f>
        <v>2005 Q4</v>
      </c>
      <c r="BA431" t="str">
        <f>IF(LEN($BA$430)&lt;&gt;8,$BA$430,RIGHT($BA$430,4)&amp;" "&amp;MID($BA$430,3,1)&amp;LEFT($BA$430,1))</f>
        <v>2005 Q3</v>
      </c>
      <c r="BB431" t="str">
        <f>IF(LEN($BB$430)&lt;&gt;8,$BB$430,RIGHT($BB$430,4)&amp;" "&amp;MID($BB$430,3,1)&amp;LEFT($BB$430,1))</f>
        <v>2005 Q2</v>
      </c>
      <c r="BC431" t="str">
        <f>IF(LEN($BC$430)&lt;&gt;8,$BC$430,RIGHT($BC$430,4)&amp;" "&amp;MID($BC$430,3,1)&amp;LEFT($BC$430,1))</f>
        <v>2005 Q1</v>
      </c>
      <c r="BD431" t="str">
        <f>IF(LEN($BD$430)&lt;&gt;8,$BD$430,RIGHT($BD$430,4)&amp;" "&amp;MID($BD$430,3,1)&amp;LEFT($BD$430,1))</f>
        <v>2004 Q4</v>
      </c>
      <c r="BE431" t="str">
        <f>IF(LEN($BE$430)&lt;&gt;8,$BE$430,RIGHT($BE$430,4)&amp;" "&amp;MID($BE$430,3,1)&amp;LEFT($BE$430,1))</f>
        <v>2004 Q3</v>
      </c>
      <c r="BF431" t="str">
        <f>IF(LEN($BF$430)&lt;&gt;8,$BF$430,RIGHT($BF$430,4)&amp;" "&amp;MID($BF$430,3,1)&amp;LEFT($BF$430,1))</f>
        <v>2004 Q2</v>
      </c>
      <c r="BG431" t="str">
        <f>IF(LEN($BG$430)&lt;&gt;8,$BG$430,RIGHT($BG$430,4)&amp;" "&amp;MID($BG$430,3,1)&amp;LEFT($BG$430,1))</f>
        <v>2004 Q1</v>
      </c>
      <c r="BH431" t="str">
        <f>IF(LEN($BH$430)&lt;&gt;8,$BH$430,RIGHT($BH$430,4)&amp;" "&amp;MID($BH$430,3,1)&amp;LEFT($BH$430,1))</f>
        <v>2003 Q4</v>
      </c>
      <c r="BI431" t="str">
        <f>IF(LEN($BI$430)&lt;&gt;8,$BI$430,RIGHT($BI$430,4)&amp;" "&amp;MID($BI$430,3,1)&amp;LEFT($BI$430,1))</f>
        <v>2003 Q3</v>
      </c>
      <c r="BJ431" t="str">
        <f>IF(LEN($BJ$430)&lt;&gt;8,$BJ$430,RIGHT($BJ$430,4)&amp;" "&amp;MID($BJ$430,3,1)&amp;LEFT($BJ$430,1))</f>
        <v>2003 Q2</v>
      </c>
      <c r="BN431" t="str">
        <f>""</f>
        <v/>
      </c>
      <c r="BO431" t="str">
        <f>""</f>
        <v/>
      </c>
      <c r="BP431" t="str">
        <f>""</f>
        <v/>
      </c>
      <c r="BQ431" t="str">
        <f>""</f>
        <v/>
      </c>
      <c r="BR431" t="str">
        <f>""</f>
        <v/>
      </c>
      <c r="BS431" t="str">
        <f>""</f>
        <v/>
      </c>
      <c r="BT431" t="str">
        <f>""</f>
        <v/>
      </c>
      <c r="BU431" t="str">
        <f>""</f>
        <v/>
      </c>
      <c r="BV431" t="str">
        <f>""</f>
        <v/>
      </c>
      <c r="BW431" t="str">
        <f>""</f>
        <v/>
      </c>
      <c r="BX431" t="str">
        <f>""</f>
        <v/>
      </c>
      <c r="BY431" t="str">
        <f>""</f>
        <v/>
      </c>
      <c r="BZ431" t="str">
        <f>""</f>
        <v/>
      </c>
      <c r="CA431" t="str">
        <f>""</f>
        <v/>
      </c>
      <c r="CB431" t="str">
        <f>""</f>
        <v/>
      </c>
      <c r="CC431" t="str">
        <f>""</f>
        <v/>
      </c>
      <c r="CD431" t="str">
        <f>""</f>
        <v/>
      </c>
      <c r="CE431" t="str">
        <f>""</f>
        <v/>
      </c>
      <c r="CF431" t="str">
        <f>""</f>
        <v/>
      </c>
      <c r="CG431" t="str">
        <f>""</f>
        <v/>
      </c>
      <c r="CH431" t="str">
        <f>""</f>
        <v/>
      </c>
      <c r="CI431" t="str">
        <f>""</f>
        <v/>
      </c>
      <c r="CJ431" t="str">
        <f>""</f>
        <v/>
      </c>
      <c r="CK431" t="str">
        <f>""</f>
        <v/>
      </c>
      <c r="CL431" t="str">
        <f>""</f>
        <v/>
      </c>
      <c r="CM431" t="str">
        <f>""</f>
        <v/>
      </c>
      <c r="CN431" t="str">
        <f>""</f>
        <v/>
      </c>
      <c r="CO431" t="str">
        <f>""</f>
        <v/>
      </c>
      <c r="CP431" t="str">
        <f>""</f>
        <v/>
      </c>
      <c r="CQ431" t="str">
        <f>""</f>
        <v/>
      </c>
      <c r="CR431" t="str">
        <f>""</f>
        <v/>
      </c>
      <c r="CS431" t="str">
        <f>""</f>
        <v/>
      </c>
      <c r="CT431" t="str">
        <f>""</f>
        <v/>
      </c>
      <c r="CU431" t="str">
        <f>""</f>
        <v/>
      </c>
      <c r="CV431" t="str">
        <f>""</f>
        <v/>
      </c>
      <c r="CW431" t="str">
        <f>""</f>
        <v/>
      </c>
      <c r="CX431" t="str">
        <f>""</f>
        <v/>
      </c>
      <c r="CY431" t="str">
        <f>""</f>
        <v/>
      </c>
      <c r="CZ431" t="str">
        <f>""</f>
        <v/>
      </c>
      <c r="DA431" t="str">
        <f>""</f>
        <v/>
      </c>
      <c r="DB431" t="str">
        <f>""</f>
        <v/>
      </c>
      <c r="DC431" t="str">
        <f>""</f>
        <v/>
      </c>
      <c r="DD431" t="str">
        <f>""</f>
        <v/>
      </c>
      <c r="DE431" t="str">
        <f>""</f>
        <v/>
      </c>
      <c r="DF431" t="str">
        <f>""</f>
        <v/>
      </c>
      <c r="DG431" t="str">
        <f>""</f>
        <v/>
      </c>
      <c r="DH431" t="str">
        <f>""</f>
        <v/>
      </c>
      <c r="DI431" t="str">
        <f>""</f>
        <v/>
      </c>
      <c r="DJ431" t="str">
        <f>""</f>
        <v/>
      </c>
      <c r="DK431" t="str">
        <f>""</f>
        <v/>
      </c>
      <c r="DL431" t="str">
        <f>""</f>
        <v/>
      </c>
      <c r="DM431" t="str">
        <f>""</f>
        <v/>
      </c>
      <c r="DN431" t="str">
        <f>""</f>
        <v/>
      </c>
      <c r="DO431" t="str">
        <f>""</f>
        <v/>
      </c>
      <c r="DP431" t="str">
        <f>""</f>
        <v/>
      </c>
      <c r="DQ431" t="str">
        <f>""</f>
        <v/>
      </c>
      <c r="DR431" t="str">
        <f>""</f>
        <v/>
      </c>
      <c r="DS431" t="str">
        <f>""</f>
        <v/>
      </c>
      <c r="DT431" t="str">
        <f>""</f>
        <v/>
      </c>
      <c r="DU431" t="str">
        <f>""</f>
        <v/>
      </c>
    </row>
    <row r="432" spans="1:125">
      <c r="A432" t="str">
        <f>"BDH dynamic header0"</f>
        <v>BDH dynamic header0</v>
      </c>
      <c r="B432">
        <f ca="1">IF(OR(ISERROR($C$432),ISBLANK($C$432),ISNUMBER(SEARCH("N/A",$C$432) ),ISERROR($C$433),ISBLANK($C$433)),0,1)</f>
        <v>0</v>
      </c>
      <c r="C432" t="str">
        <f ca="1">BDH($B$5,$C$5,$B$224,$B$225,"PER=CQ","Dts=S","DtFmt=FI", "rows=2","Dir=H","Points=60","Sort=R","Days=A","Fill=B","FX=USD" )</f>
        <v>#N/A Authorization</v>
      </c>
      <c r="BN432" t="str">
        <f>""</f>
        <v/>
      </c>
      <c r="BO432" t="str">
        <f>""</f>
        <v/>
      </c>
      <c r="BP432" t="str">
        <f>""</f>
        <v/>
      </c>
      <c r="BQ432" t="str">
        <f>""</f>
        <v/>
      </c>
      <c r="BR432" t="str">
        <f>""</f>
        <v/>
      </c>
      <c r="BS432" t="str">
        <f>""</f>
        <v/>
      </c>
      <c r="BT432" t="str">
        <f>""</f>
        <v/>
      </c>
      <c r="BU432" t="str">
        <f>""</f>
        <v/>
      </c>
      <c r="BV432" t="str">
        <f>""</f>
        <v/>
      </c>
      <c r="BW432" t="str">
        <f>""</f>
        <v/>
      </c>
      <c r="BX432" t="str">
        <f>""</f>
        <v/>
      </c>
      <c r="BY432" t="str">
        <f>""</f>
        <v/>
      </c>
      <c r="BZ432" t="str">
        <f>""</f>
        <v/>
      </c>
      <c r="CA432" t="str">
        <f>""</f>
        <v/>
      </c>
      <c r="CB432" t="str">
        <f>""</f>
        <v/>
      </c>
      <c r="CC432" t="str">
        <f>""</f>
        <v/>
      </c>
      <c r="CD432" t="str">
        <f>""</f>
        <v/>
      </c>
      <c r="CE432" t="str">
        <f>""</f>
        <v/>
      </c>
      <c r="CF432" t="str">
        <f>""</f>
        <v/>
      </c>
      <c r="CG432" t="str">
        <f>""</f>
        <v/>
      </c>
      <c r="CH432" t="str">
        <f>""</f>
        <v/>
      </c>
      <c r="CI432" t="str">
        <f>""</f>
        <v/>
      </c>
      <c r="CJ432" t="str">
        <f>""</f>
        <v/>
      </c>
      <c r="CK432" t="str">
        <f>""</f>
        <v/>
      </c>
      <c r="CL432" t="str">
        <f>""</f>
        <v/>
      </c>
      <c r="CM432" t="str">
        <f>""</f>
        <v/>
      </c>
      <c r="CN432" t="str">
        <f>""</f>
        <v/>
      </c>
      <c r="CO432" t="str">
        <f>""</f>
        <v/>
      </c>
      <c r="CP432" t="str">
        <f>""</f>
        <v/>
      </c>
      <c r="CQ432" t="str">
        <f>""</f>
        <v/>
      </c>
      <c r="CR432" t="str">
        <f>""</f>
        <v/>
      </c>
      <c r="CS432" t="str">
        <f>""</f>
        <v/>
      </c>
      <c r="CT432" t="str">
        <f>""</f>
        <v/>
      </c>
      <c r="CU432" t="str">
        <f>""</f>
        <v/>
      </c>
      <c r="CV432" t="str">
        <f>""</f>
        <v/>
      </c>
      <c r="CW432" t="str">
        <f>""</f>
        <v/>
      </c>
      <c r="CX432" t="str">
        <f>""</f>
        <v/>
      </c>
      <c r="CY432" t="str">
        <f>""</f>
        <v/>
      </c>
      <c r="CZ432" t="str">
        <f>""</f>
        <v/>
      </c>
      <c r="DA432" t="str">
        <f>""</f>
        <v/>
      </c>
      <c r="DB432" t="str">
        <f>""</f>
        <v/>
      </c>
      <c r="DC432" t="str">
        <f>""</f>
        <v/>
      </c>
      <c r="DD432" t="str">
        <f>""</f>
        <v/>
      </c>
      <c r="DE432" t="str">
        <f>""</f>
        <v/>
      </c>
      <c r="DF432" t="str">
        <f>""</f>
        <v/>
      </c>
      <c r="DG432" t="str">
        <f>""</f>
        <v/>
      </c>
      <c r="DH432" t="str">
        <f>""</f>
        <v/>
      </c>
      <c r="DI432" t="str">
        <f>""</f>
        <v/>
      </c>
      <c r="DJ432" t="str">
        <f>""</f>
        <v/>
      </c>
      <c r="DK432" t="str">
        <f>""</f>
        <v/>
      </c>
      <c r="DL432" t="str">
        <f>""</f>
        <v/>
      </c>
      <c r="DM432" t="str">
        <f>""</f>
        <v/>
      </c>
      <c r="DN432" t="str">
        <f>""</f>
        <v/>
      </c>
      <c r="DO432" t="str">
        <f>""</f>
        <v/>
      </c>
      <c r="DP432" t="str">
        <f>""</f>
        <v/>
      </c>
      <c r="DQ432" t="str">
        <f>""</f>
        <v/>
      </c>
      <c r="DR432" t="str">
        <f>""</f>
        <v/>
      </c>
      <c r="DS432" t="str">
        <f>""</f>
        <v/>
      </c>
      <c r="DT432" t="str">
        <f>""</f>
        <v/>
      </c>
      <c r="DU432" t="str">
        <f>""</f>
        <v/>
      </c>
    </row>
    <row r="433" spans="1:125">
      <c r="A433" t="str">
        <f>"BDH dynamic result0"</f>
        <v>BDH dynamic result0</v>
      </c>
      <c r="BN433" t="str">
        <f>""</f>
        <v/>
      </c>
      <c r="BO433" t="str">
        <f>""</f>
        <v/>
      </c>
      <c r="BP433" t="str">
        <f>""</f>
        <v/>
      </c>
      <c r="BQ433" t="str">
        <f>""</f>
        <v/>
      </c>
      <c r="BR433" t="str">
        <f>""</f>
        <v/>
      </c>
      <c r="BS433" t="str">
        <f>""</f>
        <v/>
      </c>
      <c r="BT433" t="str">
        <f>""</f>
        <v/>
      </c>
      <c r="BU433" t="str">
        <f>""</f>
        <v/>
      </c>
      <c r="BV433" t="str">
        <f>""</f>
        <v/>
      </c>
      <c r="BW433" t="str">
        <f>""</f>
        <v/>
      </c>
      <c r="BX433" t="str">
        <f>""</f>
        <v/>
      </c>
      <c r="BY433" t="str">
        <f>""</f>
        <v/>
      </c>
      <c r="BZ433" t="str">
        <f>""</f>
        <v/>
      </c>
      <c r="CA433" t="str">
        <f>""</f>
        <v/>
      </c>
      <c r="CB433" t="str">
        <f>""</f>
        <v/>
      </c>
      <c r="CC433" t="str">
        <f>""</f>
        <v/>
      </c>
      <c r="CD433" t="str">
        <f>""</f>
        <v/>
      </c>
      <c r="CE433" t="str">
        <f>""</f>
        <v/>
      </c>
      <c r="CF433" t="str">
        <f>""</f>
        <v/>
      </c>
      <c r="CG433" t="str">
        <f>""</f>
        <v/>
      </c>
      <c r="CH433" t="str">
        <f>""</f>
        <v/>
      </c>
      <c r="CI433" t="str">
        <f>""</f>
        <v/>
      </c>
      <c r="CJ433" t="str">
        <f>""</f>
        <v/>
      </c>
      <c r="CK433" t="str">
        <f>""</f>
        <v/>
      </c>
      <c r="CL433" t="str">
        <f>""</f>
        <v/>
      </c>
      <c r="CM433" t="str">
        <f>""</f>
        <v/>
      </c>
      <c r="CN433" t="str">
        <f>""</f>
        <v/>
      </c>
      <c r="CO433" t="str">
        <f>""</f>
        <v/>
      </c>
      <c r="CP433" t="str">
        <f>""</f>
        <v/>
      </c>
      <c r="CQ433" t="str">
        <f>""</f>
        <v/>
      </c>
      <c r="CR433" t="str">
        <f>""</f>
        <v/>
      </c>
      <c r="CS433" t="str">
        <f>""</f>
        <v/>
      </c>
      <c r="CT433" t="str">
        <f>""</f>
        <v/>
      </c>
      <c r="CU433" t="str">
        <f>""</f>
        <v/>
      </c>
      <c r="CV433" t="str">
        <f>""</f>
        <v/>
      </c>
      <c r="CW433" t="str">
        <f>""</f>
        <v/>
      </c>
      <c r="CX433" t="str">
        <f>""</f>
        <v/>
      </c>
      <c r="CY433" t="str">
        <f>""</f>
        <v/>
      </c>
      <c r="CZ433" t="str">
        <f>""</f>
        <v/>
      </c>
      <c r="DA433" t="str">
        <f>""</f>
        <v/>
      </c>
      <c r="DB433" t="str">
        <f>""</f>
        <v/>
      </c>
      <c r="DC433" t="str">
        <f>""</f>
        <v/>
      </c>
      <c r="DD433" t="str">
        <f>""</f>
        <v/>
      </c>
      <c r="DE433" t="str">
        <f>""</f>
        <v/>
      </c>
      <c r="DF433" t="str">
        <f>""</f>
        <v/>
      </c>
      <c r="DG433" t="str">
        <f>""</f>
        <v/>
      </c>
      <c r="DH433" t="str">
        <f>""</f>
        <v/>
      </c>
      <c r="DI433" t="str">
        <f>""</f>
        <v/>
      </c>
      <c r="DJ433" t="str">
        <f>""</f>
        <v/>
      </c>
      <c r="DK433" t="str">
        <f>""</f>
        <v/>
      </c>
      <c r="DL433" t="str">
        <f>""</f>
        <v/>
      </c>
      <c r="DM433" t="str">
        <f>""</f>
        <v/>
      </c>
      <c r="DN433" t="str">
        <f>""</f>
        <v/>
      </c>
      <c r="DO433" t="str">
        <f>""</f>
        <v/>
      </c>
      <c r="DP433" t="str">
        <f>""</f>
        <v/>
      </c>
      <c r="DQ433" t="str">
        <f>""</f>
        <v/>
      </c>
      <c r="DR433" t="str">
        <f>""</f>
        <v/>
      </c>
      <c r="DS433" t="str">
        <f>""</f>
        <v/>
      </c>
      <c r="DT433" t="str">
        <f>""</f>
        <v/>
      </c>
      <c r="DU433" t="str">
        <f>""</f>
        <v/>
      </c>
    </row>
    <row r="434" spans="1:125">
      <c r="A434" t="str">
        <f>"BDH dynamic header1"</f>
        <v>BDH dynamic header1</v>
      </c>
      <c r="B434">
        <f ca="1">IF(OR(ISERROR($C$434),ISBLANK($C$434),ISNUMBER(SEARCH("N/A",$C$434) ),ISERROR($C$435),ISBLANK($C$435)),0,1)</f>
        <v>0</v>
      </c>
      <c r="C434" t="str">
        <f ca="1">BDH($B$6,$C$6,$B$224,$B$225,"PER=CQ","Dts=S","DtFmt=FI", "rows=2","Dir=H","Points=60","Sort=R","Days=A","Fill=B","FX=USD" )</f>
        <v>#N/A Authorization</v>
      </c>
      <c r="BN434" t="str">
        <f>""</f>
        <v/>
      </c>
      <c r="BO434" t="str">
        <f>""</f>
        <v/>
      </c>
      <c r="BP434" t="str">
        <f>""</f>
        <v/>
      </c>
      <c r="BQ434" t="str">
        <f>""</f>
        <v/>
      </c>
      <c r="BR434" t="str">
        <f>""</f>
        <v/>
      </c>
      <c r="BS434" t="str">
        <f>""</f>
        <v/>
      </c>
      <c r="BT434" t="str">
        <f>""</f>
        <v/>
      </c>
      <c r="BU434" t="str">
        <f>""</f>
        <v/>
      </c>
      <c r="BV434" t="str">
        <f>""</f>
        <v/>
      </c>
      <c r="BW434" t="str">
        <f>""</f>
        <v/>
      </c>
      <c r="BX434" t="str">
        <f>""</f>
        <v/>
      </c>
      <c r="BY434" t="str">
        <f>""</f>
        <v/>
      </c>
      <c r="BZ434" t="str">
        <f>""</f>
        <v/>
      </c>
      <c r="CA434" t="str">
        <f>""</f>
        <v/>
      </c>
      <c r="CB434" t="str">
        <f>""</f>
        <v/>
      </c>
      <c r="CC434" t="str">
        <f>""</f>
        <v/>
      </c>
      <c r="CD434" t="str">
        <f>""</f>
        <v/>
      </c>
      <c r="CE434" t="str">
        <f>""</f>
        <v/>
      </c>
      <c r="CF434" t="str">
        <f>""</f>
        <v/>
      </c>
      <c r="CG434" t="str">
        <f>""</f>
        <v/>
      </c>
      <c r="CH434" t="str">
        <f>""</f>
        <v/>
      </c>
      <c r="CI434" t="str">
        <f>""</f>
        <v/>
      </c>
      <c r="CJ434" t="str">
        <f>""</f>
        <v/>
      </c>
      <c r="CK434" t="str">
        <f>""</f>
        <v/>
      </c>
      <c r="CL434" t="str">
        <f>""</f>
        <v/>
      </c>
      <c r="CM434" t="str">
        <f>""</f>
        <v/>
      </c>
      <c r="CN434" t="str">
        <f>""</f>
        <v/>
      </c>
      <c r="CO434" t="str">
        <f>""</f>
        <v/>
      </c>
      <c r="CP434" t="str">
        <f>""</f>
        <v/>
      </c>
      <c r="CQ434" t="str">
        <f>""</f>
        <v/>
      </c>
      <c r="CR434" t="str">
        <f>""</f>
        <v/>
      </c>
      <c r="CS434" t="str">
        <f>""</f>
        <v/>
      </c>
      <c r="CT434" t="str">
        <f>""</f>
        <v/>
      </c>
      <c r="CU434" t="str">
        <f>""</f>
        <v/>
      </c>
      <c r="CV434" t="str">
        <f>""</f>
        <v/>
      </c>
      <c r="CW434" t="str">
        <f>""</f>
        <v/>
      </c>
      <c r="CX434" t="str">
        <f>""</f>
        <v/>
      </c>
      <c r="CY434" t="str">
        <f>""</f>
        <v/>
      </c>
      <c r="CZ434" t="str">
        <f>""</f>
        <v/>
      </c>
      <c r="DA434" t="str">
        <f>""</f>
        <v/>
      </c>
      <c r="DB434" t="str">
        <f>""</f>
        <v/>
      </c>
      <c r="DC434" t="str">
        <f>""</f>
        <v/>
      </c>
      <c r="DD434" t="str">
        <f>""</f>
        <v/>
      </c>
      <c r="DE434" t="str">
        <f>""</f>
        <v/>
      </c>
      <c r="DF434" t="str">
        <f>""</f>
        <v/>
      </c>
      <c r="DG434" t="str">
        <f>""</f>
        <v/>
      </c>
      <c r="DH434" t="str">
        <f>""</f>
        <v/>
      </c>
      <c r="DI434" t="str">
        <f>""</f>
        <v/>
      </c>
      <c r="DJ434" t="str">
        <f>""</f>
        <v/>
      </c>
      <c r="DK434" t="str">
        <f>""</f>
        <v/>
      </c>
      <c r="DL434" t="str">
        <f>""</f>
        <v/>
      </c>
      <c r="DM434" t="str">
        <f>""</f>
        <v/>
      </c>
      <c r="DN434" t="str">
        <f>""</f>
        <v/>
      </c>
      <c r="DO434" t="str">
        <f>""</f>
        <v/>
      </c>
      <c r="DP434" t="str">
        <f>""</f>
        <v/>
      </c>
      <c r="DQ434" t="str">
        <f>""</f>
        <v/>
      </c>
      <c r="DR434" t="str">
        <f>""</f>
        <v/>
      </c>
      <c r="DS434" t="str">
        <f>""</f>
        <v/>
      </c>
      <c r="DT434" t="str">
        <f>""</f>
        <v/>
      </c>
      <c r="DU434" t="str">
        <f>""</f>
        <v/>
      </c>
    </row>
    <row r="435" spans="1:125">
      <c r="A435" t="str">
        <f>"BDH dynamic result1"</f>
        <v>BDH dynamic result1</v>
      </c>
      <c r="BN435" t="str">
        <f>""</f>
        <v/>
      </c>
      <c r="BO435" t="str">
        <f>""</f>
        <v/>
      </c>
      <c r="BP435" t="str">
        <f>""</f>
        <v/>
      </c>
      <c r="BQ435" t="str">
        <f>""</f>
        <v/>
      </c>
      <c r="BR435" t="str">
        <f>""</f>
        <v/>
      </c>
      <c r="BS435" t="str">
        <f>""</f>
        <v/>
      </c>
      <c r="BT435" t="str">
        <f>""</f>
        <v/>
      </c>
      <c r="BU435" t="str">
        <f>""</f>
        <v/>
      </c>
      <c r="BV435" t="str">
        <f>""</f>
        <v/>
      </c>
      <c r="BW435" t="str">
        <f>""</f>
        <v/>
      </c>
      <c r="BX435" t="str">
        <f>""</f>
        <v/>
      </c>
      <c r="BY435" t="str">
        <f>""</f>
        <v/>
      </c>
      <c r="BZ435" t="str">
        <f>""</f>
        <v/>
      </c>
      <c r="CA435" t="str">
        <f>""</f>
        <v/>
      </c>
      <c r="CB435" t="str">
        <f>""</f>
        <v/>
      </c>
      <c r="CC435" t="str">
        <f>""</f>
        <v/>
      </c>
      <c r="CD435" t="str">
        <f>""</f>
        <v/>
      </c>
      <c r="CE435" t="str">
        <f>""</f>
        <v/>
      </c>
      <c r="CF435" t="str">
        <f>""</f>
        <v/>
      </c>
      <c r="CG435" t="str">
        <f>""</f>
        <v/>
      </c>
      <c r="CH435" t="str">
        <f>""</f>
        <v/>
      </c>
      <c r="CI435" t="str">
        <f>""</f>
        <v/>
      </c>
      <c r="CJ435" t="str">
        <f>""</f>
        <v/>
      </c>
      <c r="CK435" t="str">
        <f>""</f>
        <v/>
      </c>
      <c r="CL435" t="str">
        <f>""</f>
        <v/>
      </c>
      <c r="CM435" t="str">
        <f>""</f>
        <v/>
      </c>
      <c r="CN435" t="str">
        <f>""</f>
        <v/>
      </c>
      <c r="CO435" t="str">
        <f>""</f>
        <v/>
      </c>
      <c r="CP435" t="str">
        <f>""</f>
        <v/>
      </c>
      <c r="CQ435" t="str">
        <f>""</f>
        <v/>
      </c>
      <c r="CR435" t="str">
        <f>""</f>
        <v/>
      </c>
      <c r="CS435" t="str">
        <f>""</f>
        <v/>
      </c>
      <c r="CT435" t="str">
        <f>""</f>
        <v/>
      </c>
      <c r="CU435" t="str">
        <f>""</f>
        <v/>
      </c>
      <c r="CV435" t="str">
        <f>""</f>
        <v/>
      </c>
      <c r="CW435" t="str">
        <f>""</f>
        <v/>
      </c>
      <c r="CX435" t="str">
        <f>""</f>
        <v/>
      </c>
      <c r="CY435" t="str">
        <f>""</f>
        <v/>
      </c>
      <c r="CZ435" t="str">
        <f>""</f>
        <v/>
      </c>
      <c r="DA435" t="str">
        <f>""</f>
        <v/>
      </c>
      <c r="DB435" t="str">
        <f>""</f>
        <v/>
      </c>
      <c r="DC435" t="str">
        <f>""</f>
        <v/>
      </c>
      <c r="DD435" t="str">
        <f>""</f>
        <v/>
      </c>
      <c r="DE435" t="str">
        <f>""</f>
        <v/>
      </c>
      <c r="DF435" t="str">
        <f>""</f>
        <v/>
      </c>
      <c r="DG435" t="str">
        <f>""</f>
        <v/>
      </c>
      <c r="DH435" t="str">
        <f>""</f>
        <v/>
      </c>
      <c r="DI435" t="str">
        <f>""</f>
        <v/>
      </c>
      <c r="DJ435" t="str">
        <f>""</f>
        <v/>
      </c>
      <c r="DK435" t="str">
        <f>""</f>
        <v/>
      </c>
      <c r="DL435" t="str">
        <f>""</f>
        <v/>
      </c>
      <c r="DM435" t="str">
        <f>""</f>
        <v/>
      </c>
      <c r="DN435" t="str">
        <f>""</f>
        <v/>
      </c>
      <c r="DO435" t="str">
        <f>""</f>
        <v/>
      </c>
      <c r="DP435" t="str">
        <f>""</f>
        <v/>
      </c>
      <c r="DQ435" t="str">
        <f>""</f>
        <v/>
      </c>
      <c r="DR435" t="str">
        <f>""</f>
        <v/>
      </c>
      <c r="DS435" t="str">
        <f>""</f>
        <v/>
      </c>
      <c r="DT435" t="str">
        <f>""</f>
        <v/>
      </c>
      <c r="DU435" t="str">
        <f>""</f>
        <v/>
      </c>
    </row>
    <row r="436" spans="1:125">
      <c r="A436" t="str">
        <f>"BDH dynamic header2"</f>
        <v>BDH dynamic header2</v>
      </c>
      <c r="B436">
        <f ca="1">IF(OR(ISERROR($C$436),ISBLANK($C$436),ISNUMBER(SEARCH("N/A",$C$436) ),ISERROR($C$437),ISBLANK($C$437)),0,1)</f>
        <v>0</v>
      </c>
      <c r="C436" t="str">
        <f ca="1">BDH($B$7,$C$7,$B$224,$B$225,"PER=CQ","Dts=S","DtFmt=FI", "rows=2","Dir=H","Points=60","Sort=R","Days=A","Fill=B","FX=USD" )</f>
        <v>#N/A Authorization</v>
      </c>
      <c r="BN436" t="str">
        <f>""</f>
        <v/>
      </c>
      <c r="BO436" t="str">
        <f>""</f>
        <v/>
      </c>
      <c r="BP436" t="str">
        <f>""</f>
        <v/>
      </c>
      <c r="BQ436" t="str">
        <f>""</f>
        <v/>
      </c>
      <c r="BR436" t="str">
        <f>""</f>
        <v/>
      </c>
      <c r="BS436" t="str">
        <f>""</f>
        <v/>
      </c>
      <c r="BT436" t="str">
        <f>""</f>
        <v/>
      </c>
      <c r="BU436" t="str">
        <f>""</f>
        <v/>
      </c>
      <c r="BV436" t="str">
        <f>""</f>
        <v/>
      </c>
      <c r="BW436" t="str">
        <f>""</f>
        <v/>
      </c>
      <c r="BX436" t="str">
        <f>""</f>
        <v/>
      </c>
      <c r="BY436" t="str">
        <f>""</f>
        <v/>
      </c>
      <c r="BZ436" t="str">
        <f>""</f>
        <v/>
      </c>
      <c r="CA436" t="str">
        <f>""</f>
        <v/>
      </c>
      <c r="CB436" t="str">
        <f>""</f>
        <v/>
      </c>
      <c r="CC436" t="str">
        <f>""</f>
        <v/>
      </c>
      <c r="CD436" t="str">
        <f>""</f>
        <v/>
      </c>
      <c r="CE436" t="str">
        <f>""</f>
        <v/>
      </c>
      <c r="CF436" t="str">
        <f>""</f>
        <v/>
      </c>
      <c r="CG436" t="str">
        <f>""</f>
        <v/>
      </c>
      <c r="CH436" t="str">
        <f>""</f>
        <v/>
      </c>
      <c r="CI436" t="str">
        <f>""</f>
        <v/>
      </c>
      <c r="CJ436" t="str">
        <f>""</f>
        <v/>
      </c>
      <c r="CK436" t="str">
        <f>""</f>
        <v/>
      </c>
      <c r="CL436" t="str">
        <f>""</f>
        <v/>
      </c>
      <c r="CM436" t="str">
        <f>""</f>
        <v/>
      </c>
      <c r="CN436" t="str">
        <f>""</f>
        <v/>
      </c>
      <c r="CO436" t="str">
        <f>""</f>
        <v/>
      </c>
      <c r="CP436" t="str">
        <f>""</f>
        <v/>
      </c>
      <c r="CQ436" t="str">
        <f>""</f>
        <v/>
      </c>
      <c r="CR436" t="str">
        <f>""</f>
        <v/>
      </c>
      <c r="CS436" t="str">
        <f>""</f>
        <v/>
      </c>
      <c r="CT436" t="str">
        <f>""</f>
        <v/>
      </c>
      <c r="CU436" t="str">
        <f>""</f>
        <v/>
      </c>
      <c r="CV436" t="str">
        <f>""</f>
        <v/>
      </c>
      <c r="CW436" t="str">
        <f>""</f>
        <v/>
      </c>
      <c r="CX436" t="str">
        <f>""</f>
        <v/>
      </c>
      <c r="CY436" t="str">
        <f>""</f>
        <v/>
      </c>
      <c r="CZ436" t="str">
        <f>""</f>
        <v/>
      </c>
      <c r="DA436" t="str">
        <f>""</f>
        <v/>
      </c>
      <c r="DB436" t="str">
        <f>""</f>
        <v/>
      </c>
      <c r="DC436" t="str">
        <f>""</f>
        <v/>
      </c>
      <c r="DD436" t="str">
        <f>""</f>
        <v/>
      </c>
      <c r="DE436" t="str">
        <f>""</f>
        <v/>
      </c>
      <c r="DF436" t="str">
        <f>""</f>
        <v/>
      </c>
      <c r="DG436" t="str">
        <f>""</f>
        <v/>
      </c>
      <c r="DH436" t="str">
        <f>""</f>
        <v/>
      </c>
      <c r="DI436" t="str">
        <f>""</f>
        <v/>
      </c>
      <c r="DJ436" t="str">
        <f>""</f>
        <v/>
      </c>
      <c r="DK436" t="str">
        <f>""</f>
        <v/>
      </c>
      <c r="DL436" t="str">
        <f>""</f>
        <v/>
      </c>
      <c r="DM436" t="str">
        <f>""</f>
        <v/>
      </c>
      <c r="DN436" t="str">
        <f>""</f>
        <v/>
      </c>
      <c r="DO436" t="str">
        <f>""</f>
        <v/>
      </c>
      <c r="DP436" t="str">
        <f>""</f>
        <v/>
      </c>
      <c r="DQ436" t="str">
        <f>""</f>
        <v/>
      </c>
      <c r="DR436" t="str">
        <f>""</f>
        <v/>
      </c>
      <c r="DS436" t="str">
        <f>""</f>
        <v/>
      </c>
      <c r="DT436" t="str">
        <f>""</f>
        <v/>
      </c>
      <c r="DU436" t="str">
        <f>""</f>
        <v/>
      </c>
    </row>
    <row r="437" spans="1:125">
      <c r="A437" t="str">
        <f>"BDH dynamic result2"</f>
        <v>BDH dynamic result2</v>
      </c>
      <c r="BN437" t="str">
        <f>""</f>
        <v/>
      </c>
      <c r="BO437" t="str">
        <f>""</f>
        <v/>
      </c>
      <c r="BP437" t="str">
        <f>""</f>
        <v/>
      </c>
      <c r="BQ437" t="str">
        <f>""</f>
        <v/>
      </c>
      <c r="BR437" t="str">
        <f>""</f>
        <v/>
      </c>
      <c r="BS437" t="str">
        <f>""</f>
        <v/>
      </c>
      <c r="BT437" t="str">
        <f>""</f>
        <v/>
      </c>
      <c r="BU437" t="str">
        <f>""</f>
        <v/>
      </c>
      <c r="BV437" t="str">
        <f>""</f>
        <v/>
      </c>
      <c r="BW437" t="str">
        <f>""</f>
        <v/>
      </c>
      <c r="BX437" t="str">
        <f>""</f>
        <v/>
      </c>
      <c r="BY437" t="str">
        <f>""</f>
        <v/>
      </c>
      <c r="BZ437" t="str">
        <f>""</f>
        <v/>
      </c>
      <c r="CA437" t="str">
        <f>""</f>
        <v/>
      </c>
      <c r="CB437" t="str">
        <f>""</f>
        <v/>
      </c>
      <c r="CC437" t="str">
        <f>""</f>
        <v/>
      </c>
      <c r="CD437" t="str">
        <f>""</f>
        <v/>
      </c>
      <c r="CE437" t="str">
        <f>""</f>
        <v/>
      </c>
      <c r="CF437" t="str">
        <f>""</f>
        <v/>
      </c>
      <c r="CG437" t="str">
        <f>""</f>
        <v/>
      </c>
      <c r="CH437" t="str">
        <f>""</f>
        <v/>
      </c>
      <c r="CI437" t="str">
        <f>""</f>
        <v/>
      </c>
      <c r="CJ437" t="str">
        <f>""</f>
        <v/>
      </c>
      <c r="CK437" t="str">
        <f>""</f>
        <v/>
      </c>
      <c r="CL437" t="str">
        <f>""</f>
        <v/>
      </c>
      <c r="CM437" t="str">
        <f>""</f>
        <v/>
      </c>
      <c r="CN437" t="str">
        <f>""</f>
        <v/>
      </c>
      <c r="CO437" t="str">
        <f>""</f>
        <v/>
      </c>
      <c r="CP437" t="str">
        <f>""</f>
        <v/>
      </c>
      <c r="CQ437" t="str">
        <f>""</f>
        <v/>
      </c>
      <c r="CR437" t="str">
        <f>""</f>
        <v/>
      </c>
      <c r="CS437" t="str">
        <f>""</f>
        <v/>
      </c>
      <c r="CT437" t="str">
        <f>""</f>
        <v/>
      </c>
      <c r="CU437" t="str">
        <f>""</f>
        <v/>
      </c>
      <c r="CV437" t="str">
        <f>""</f>
        <v/>
      </c>
      <c r="CW437" t="str">
        <f>""</f>
        <v/>
      </c>
      <c r="CX437" t="str">
        <f>""</f>
        <v/>
      </c>
      <c r="CY437" t="str">
        <f>""</f>
        <v/>
      </c>
      <c r="CZ437" t="str">
        <f>""</f>
        <v/>
      </c>
      <c r="DA437" t="str">
        <f>""</f>
        <v/>
      </c>
      <c r="DB437" t="str">
        <f>""</f>
        <v/>
      </c>
      <c r="DC437" t="str">
        <f>""</f>
        <v/>
      </c>
      <c r="DD437" t="str">
        <f>""</f>
        <v/>
      </c>
      <c r="DE437" t="str">
        <f>""</f>
        <v/>
      </c>
      <c r="DF437" t="str">
        <f>""</f>
        <v/>
      </c>
      <c r="DG437" t="str">
        <f>""</f>
        <v/>
      </c>
      <c r="DH437" t="str">
        <f>""</f>
        <v/>
      </c>
      <c r="DI437" t="str">
        <f>""</f>
        <v/>
      </c>
      <c r="DJ437" t="str">
        <f>""</f>
        <v/>
      </c>
      <c r="DK437" t="str">
        <f>""</f>
        <v/>
      </c>
      <c r="DL437" t="str">
        <f>""</f>
        <v/>
      </c>
      <c r="DM437" t="str">
        <f>""</f>
        <v/>
      </c>
      <c r="DN437" t="str">
        <f>""</f>
        <v/>
      </c>
      <c r="DO437" t="str">
        <f>""</f>
        <v/>
      </c>
      <c r="DP437" t="str">
        <f>""</f>
        <v/>
      </c>
      <c r="DQ437" t="str">
        <f>""</f>
        <v/>
      </c>
      <c r="DR437" t="str">
        <f>""</f>
        <v/>
      </c>
      <c r="DS437" t="str">
        <f>""</f>
        <v/>
      </c>
      <c r="DT437" t="str">
        <f>""</f>
        <v/>
      </c>
      <c r="DU437" t="str">
        <f>""</f>
        <v/>
      </c>
    </row>
    <row r="438" spans="1:125">
      <c r="A438" t="str">
        <f>"BDH dynamic"</f>
        <v>BDH dynamic</v>
      </c>
      <c r="B438">
        <f ca="1">IF($B$432&gt;=1,$B$432,IF($B$434&gt;=1,$B$434,IF($B$436&gt;=1,$B$436,$B$423)))</f>
        <v>2</v>
      </c>
      <c r="C438" t="str">
        <f ca="1">IF($B$432&gt;=1,$C$432,IF($B$434&gt;=1,$C$434,IF($B$436&gt;=1,$C$436,$C$423)))</f>
        <v>2018 Q1</v>
      </c>
      <c r="D438" t="str">
        <f ca="1">IF($B$432&gt;=1,$D$432,IF($B$434&gt;=1,$D$434,IF($B$436&gt;=1,$D$436,$D$423)))</f>
        <v>2017 Q4</v>
      </c>
      <c r="E438" t="str">
        <f ca="1">IF($B$432&gt;=1,$E$432,IF($B$434&gt;=1,$E$434,IF($B$436&gt;=1,$E$436,$E$423)))</f>
        <v>2017 Q3</v>
      </c>
      <c r="F438" t="str">
        <f ca="1">IF($B$432&gt;=1,$F$432,IF($B$434&gt;=1,$F$434,IF($B$436&gt;=1,$F$436,$F$423)))</f>
        <v>2017 Q2</v>
      </c>
      <c r="G438" t="str">
        <f ca="1">IF($B$432&gt;=1,$G$432,IF($B$434&gt;=1,$G$434,IF($B$436&gt;=1,$G$436,$G$423)))</f>
        <v>2017 Q1</v>
      </c>
      <c r="H438" t="str">
        <f ca="1">IF($B$432&gt;=1,$H$432,IF($B$434&gt;=1,$H$434,IF($B$436&gt;=1,$H$436,$H$423)))</f>
        <v>2016 Q4</v>
      </c>
      <c r="I438" t="str">
        <f ca="1">IF($B$432&gt;=1,$I$432,IF($B$434&gt;=1,$I$434,IF($B$436&gt;=1,$I$436,$I$423)))</f>
        <v>2016 Q3</v>
      </c>
      <c r="J438" t="str">
        <f ca="1">IF($B$432&gt;=1,$J$432,IF($B$434&gt;=1,$J$434,IF($B$436&gt;=1,$J$436,$J$423)))</f>
        <v>2016 Q2</v>
      </c>
      <c r="K438" t="str">
        <f ca="1">IF($B$432&gt;=1,$K$432,IF($B$434&gt;=1,$K$434,IF($B$436&gt;=1,$K$436,$K$423)))</f>
        <v>2016 Q1</v>
      </c>
      <c r="L438" t="str">
        <f ca="1">IF($B$432&gt;=1,$L$432,IF($B$434&gt;=1,$L$434,IF($B$436&gt;=1,$L$436,$L$423)))</f>
        <v>2015 Q4</v>
      </c>
      <c r="M438" t="str">
        <f ca="1">IF($B$432&gt;=1,$M$432,IF($B$434&gt;=1,$M$434,IF($B$436&gt;=1,$M$436,$M$423)))</f>
        <v>2015 Q3</v>
      </c>
      <c r="N438" t="str">
        <f ca="1">IF($B$432&gt;=1,$N$432,IF($B$434&gt;=1,$N$434,IF($B$436&gt;=1,$N$436,$N$423)))</f>
        <v>2015 Q2</v>
      </c>
      <c r="O438" t="str">
        <f ca="1">IF($B$432&gt;=1,$O$432,IF($B$434&gt;=1,$O$434,IF($B$436&gt;=1,$O$436,$O$423)))</f>
        <v>2015 Q1</v>
      </c>
      <c r="P438" t="str">
        <f ca="1">IF($B$432&gt;=1,$P$432,IF($B$434&gt;=1,$P$434,IF($B$436&gt;=1,$P$436,$P$423)))</f>
        <v>2014 Q4</v>
      </c>
      <c r="Q438" t="str">
        <f ca="1">IF($B$432&gt;=1,$Q$432,IF($B$434&gt;=1,$Q$434,IF($B$436&gt;=1,$Q$436,$Q$423)))</f>
        <v>2014 Q3</v>
      </c>
      <c r="R438" t="str">
        <f ca="1">IF($B$432&gt;=1,$R$432,IF($B$434&gt;=1,$R$434,IF($B$436&gt;=1,$R$436,$R$423)))</f>
        <v>2014 Q2</v>
      </c>
      <c r="S438" t="str">
        <f ca="1">IF($B$432&gt;=1,$S$432,IF($B$434&gt;=1,$S$434,IF($B$436&gt;=1,$S$436,$S$423)))</f>
        <v>2014 Q1</v>
      </c>
      <c r="T438" t="str">
        <f ca="1">IF($B$432&gt;=1,$T$432,IF($B$434&gt;=1,$T$434,IF($B$436&gt;=1,$T$436,$T$423)))</f>
        <v>2013 Q4</v>
      </c>
      <c r="U438" t="str">
        <f ca="1">IF($B$432&gt;=1,$U$432,IF($B$434&gt;=1,$U$434,IF($B$436&gt;=1,$U$436,$U$423)))</f>
        <v>2013 Q3</v>
      </c>
      <c r="V438" t="str">
        <f ca="1">IF($B$432&gt;=1,$V$432,IF($B$434&gt;=1,$V$434,IF($B$436&gt;=1,$V$436,$V$423)))</f>
        <v>2013 Q2</v>
      </c>
      <c r="W438" t="str">
        <f ca="1">IF($B$432&gt;=1,$W$432,IF($B$434&gt;=1,$W$434,IF($B$436&gt;=1,$W$436,$W$423)))</f>
        <v>2013 Q1</v>
      </c>
      <c r="X438" t="str">
        <f ca="1">IF($B$432&gt;=1,$X$432,IF($B$434&gt;=1,$X$434,IF($B$436&gt;=1,$X$436,$X$423)))</f>
        <v>2012 Q4</v>
      </c>
      <c r="Y438" t="str">
        <f ca="1">IF($B$432&gt;=1,$Y$432,IF($B$434&gt;=1,$Y$434,IF($B$436&gt;=1,$Y$436,$Y$423)))</f>
        <v>2012 Q3</v>
      </c>
      <c r="Z438" t="str">
        <f ca="1">IF($B$432&gt;=1,$Z$432,IF($B$434&gt;=1,$Z$434,IF($B$436&gt;=1,$Z$436,$Z$423)))</f>
        <v>2012 Q2</v>
      </c>
      <c r="AA438" t="str">
        <f ca="1">IF($B$432&gt;=1,$AA$432,IF($B$434&gt;=1,$AA$434,IF($B$436&gt;=1,$AA$436,$AA$423)))</f>
        <v>2012 Q1</v>
      </c>
      <c r="AB438" t="str">
        <f ca="1">IF($B$432&gt;=1,$AB$432,IF($B$434&gt;=1,$AB$434,IF($B$436&gt;=1,$AB$436,$AB$423)))</f>
        <v>2011 Q4</v>
      </c>
      <c r="AC438" t="str">
        <f ca="1">IF($B$432&gt;=1,$AC$432,IF($B$434&gt;=1,$AC$434,IF($B$436&gt;=1,$AC$436,$AC$423)))</f>
        <v>2011 Q3</v>
      </c>
      <c r="AD438" t="str">
        <f ca="1">IF($B$432&gt;=1,$AD$432,IF($B$434&gt;=1,$AD$434,IF($B$436&gt;=1,$AD$436,$AD$423)))</f>
        <v>2011 Q2</v>
      </c>
      <c r="AE438" t="str">
        <f ca="1">IF($B$432&gt;=1,$AE$432,IF($B$434&gt;=1,$AE$434,IF($B$436&gt;=1,$AE$436,$AE$423)))</f>
        <v>2011 Q1</v>
      </c>
      <c r="AF438" t="str">
        <f ca="1">IF($B$432&gt;=1,$AF$432,IF($B$434&gt;=1,$AF$434,IF($B$436&gt;=1,$AF$436,$AF$423)))</f>
        <v>2010 Q4</v>
      </c>
      <c r="AG438" t="str">
        <f ca="1">IF($B$432&gt;=1,$AG$432,IF($B$434&gt;=1,$AG$434,IF($B$436&gt;=1,$AG$436,$AG$423)))</f>
        <v>2010 Q3</v>
      </c>
      <c r="AH438" t="str">
        <f ca="1">IF($B$432&gt;=1,$AH$432,IF($B$434&gt;=1,$AH$434,IF($B$436&gt;=1,$AH$436,$AH$423)))</f>
        <v>2010 Q2</v>
      </c>
      <c r="AI438" t="str">
        <f ca="1">IF($B$432&gt;=1,$AI$432,IF($B$434&gt;=1,$AI$434,IF($B$436&gt;=1,$AI$436,$AI$423)))</f>
        <v>2010 Q1</v>
      </c>
      <c r="AJ438" t="str">
        <f ca="1">IF($B$432&gt;=1,$AJ$432,IF($B$434&gt;=1,$AJ$434,IF($B$436&gt;=1,$AJ$436,$AJ$423)))</f>
        <v>2009 Q4</v>
      </c>
      <c r="AK438" t="str">
        <f ca="1">IF($B$432&gt;=1,$AK$432,IF($B$434&gt;=1,$AK$434,IF($B$436&gt;=1,$AK$436,$AK$423)))</f>
        <v>2009 Q3</v>
      </c>
      <c r="AL438" t="str">
        <f ca="1">IF($B$432&gt;=1,$AL$432,IF($B$434&gt;=1,$AL$434,IF($B$436&gt;=1,$AL$436,$AL$423)))</f>
        <v>2009 Q2</v>
      </c>
      <c r="AM438" t="str">
        <f ca="1">IF($B$432&gt;=1,$AM$432,IF($B$434&gt;=1,$AM$434,IF($B$436&gt;=1,$AM$436,$AM$423)))</f>
        <v>2009 Q1</v>
      </c>
      <c r="AN438" t="str">
        <f ca="1">IF($B$432&gt;=1,$AN$432,IF($B$434&gt;=1,$AN$434,IF($B$436&gt;=1,$AN$436,$AN$423)))</f>
        <v>2008 Q4</v>
      </c>
      <c r="AO438" t="str">
        <f ca="1">IF($B$432&gt;=1,$AO$432,IF($B$434&gt;=1,$AO$434,IF($B$436&gt;=1,$AO$436,$AO$423)))</f>
        <v>2008 Q3</v>
      </c>
      <c r="AP438" t="str">
        <f ca="1">IF($B$432&gt;=1,$AP$432,IF($B$434&gt;=1,$AP$434,IF($B$436&gt;=1,$AP$436,$AP$423)))</f>
        <v>2008 Q2</v>
      </c>
      <c r="AQ438" t="str">
        <f ca="1">IF($B$432&gt;=1,$AQ$432,IF($B$434&gt;=1,$AQ$434,IF($B$436&gt;=1,$AQ$436,$AQ$423)))</f>
        <v>2008 Q1</v>
      </c>
      <c r="AR438" t="str">
        <f ca="1">IF($B$432&gt;=1,$AR$432,IF($B$434&gt;=1,$AR$434,IF($B$436&gt;=1,$AR$436,$AR$423)))</f>
        <v>2007 Q4</v>
      </c>
      <c r="AS438" t="str">
        <f ca="1">IF($B$432&gt;=1,$AS$432,IF($B$434&gt;=1,$AS$434,IF($B$436&gt;=1,$AS$436,$AS$423)))</f>
        <v>2007 Q3</v>
      </c>
      <c r="AT438" t="str">
        <f ca="1">IF($B$432&gt;=1,$AT$432,IF($B$434&gt;=1,$AT$434,IF($B$436&gt;=1,$AT$436,$AT$423)))</f>
        <v>2007 Q2</v>
      </c>
      <c r="AU438" t="str">
        <f ca="1">IF($B$432&gt;=1,$AU$432,IF($B$434&gt;=1,$AU$434,IF($B$436&gt;=1,$AU$436,$AU$423)))</f>
        <v>2007 Q1</v>
      </c>
      <c r="AV438" t="str">
        <f ca="1">IF($B$432&gt;=1,$AV$432,IF($B$434&gt;=1,$AV$434,IF($B$436&gt;=1,$AV$436,$AV$423)))</f>
        <v>2006 Q4</v>
      </c>
      <c r="AW438" t="str">
        <f ca="1">IF($B$432&gt;=1,$AW$432,IF($B$434&gt;=1,$AW$434,IF($B$436&gt;=1,$AW$436,$AW$423)))</f>
        <v>2006 Q3</v>
      </c>
      <c r="AX438" t="str">
        <f ca="1">IF($B$432&gt;=1,$AX$432,IF($B$434&gt;=1,$AX$434,IF($B$436&gt;=1,$AX$436,$AX$423)))</f>
        <v>2006 Q2</v>
      </c>
      <c r="AY438" t="str">
        <f ca="1">IF($B$432&gt;=1,$AY$432,IF($B$434&gt;=1,$AY$434,IF($B$436&gt;=1,$AY$436,$AY$423)))</f>
        <v>2006 Q1</v>
      </c>
      <c r="AZ438" t="str">
        <f ca="1">IF($B$432&gt;=1,$AZ$432,IF($B$434&gt;=1,$AZ$434,IF($B$436&gt;=1,$AZ$436,$AZ$423)))</f>
        <v>2005 Q4</v>
      </c>
      <c r="BA438" t="str">
        <f ca="1">IF($B$432&gt;=1,$BA$432,IF($B$434&gt;=1,$BA$434,IF($B$436&gt;=1,$BA$436,$BA$423)))</f>
        <v>2005 Q3</v>
      </c>
      <c r="BB438" t="str">
        <f ca="1">IF($B$432&gt;=1,$BB$432,IF($B$434&gt;=1,$BB$434,IF($B$436&gt;=1,$BB$436,$BB$423)))</f>
        <v>2005 Q2</v>
      </c>
      <c r="BC438" t="str">
        <f ca="1">IF($B$432&gt;=1,$BC$432,IF($B$434&gt;=1,$BC$434,IF($B$436&gt;=1,$BC$436,$BC$423)))</f>
        <v>2005 Q1</v>
      </c>
      <c r="BD438" t="str">
        <f ca="1">IF($B$432&gt;=1,$BD$432,IF($B$434&gt;=1,$BD$434,IF($B$436&gt;=1,$BD$436,$BD$423)))</f>
        <v>2004 Q4</v>
      </c>
      <c r="BE438" t="str">
        <f ca="1">IF($B$432&gt;=1,$BE$432,IF($B$434&gt;=1,$BE$434,IF($B$436&gt;=1,$BE$436,$BE$423)))</f>
        <v>2004 Q3</v>
      </c>
      <c r="BF438" t="str">
        <f ca="1">IF($B$432&gt;=1,$BF$432,IF($B$434&gt;=1,$BF$434,IF($B$436&gt;=1,$BF$436,$BF$423)))</f>
        <v>2004 Q2</v>
      </c>
      <c r="BG438" t="str">
        <f ca="1">IF($B$432&gt;=1,$BG$432,IF($B$434&gt;=1,$BG$434,IF($B$436&gt;=1,$BG$436,$BG$423)))</f>
        <v>2004 Q1</v>
      </c>
      <c r="BH438" t="str">
        <f ca="1">IF($B$432&gt;=1,$BH$432,IF($B$434&gt;=1,$BH$434,IF($B$436&gt;=1,$BH$436,$BH$423)))</f>
        <v>2003 Q4</v>
      </c>
      <c r="BI438" t="str">
        <f ca="1">IF($B$432&gt;=1,$BI$432,IF($B$434&gt;=1,$BI$434,IF($B$436&gt;=1,$BI$436,$BI$423)))</f>
        <v>2003 Q3</v>
      </c>
      <c r="BJ438" t="str">
        <f ca="1">IF($B$432&gt;=1,$BJ$432,IF($B$434&gt;=1,$BJ$434,IF($B$436&gt;=1,$BJ$436,$BJ$423)))</f>
        <v>2003 Q2</v>
      </c>
      <c r="BN438" t="str">
        <f>""</f>
        <v/>
      </c>
      <c r="BO438" t="str">
        <f>""</f>
        <v/>
      </c>
      <c r="BP438" t="str">
        <f>""</f>
        <v/>
      </c>
      <c r="BQ438" t="str">
        <f>""</f>
        <v/>
      </c>
      <c r="BR438" t="str">
        <f>""</f>
        <v/>
      </c>
      <c r="BS438" t="str">
        <f>""</f>
        <v/>
      </c>
      <c r="BT438" t="str">
        <f>""</f>
        <v/>
      </c>
      <c r="BU438" t="str">
        <f>""</f>
        <v/>
      </c>
      <c r="BV438" t="str">
        <f>""</f>
        <v/>
      </c>
      <c r="BW438" t="str">
        <f>""</f>
        <v/>
      </c>
      <c r="BX438" t="str">
        <f>""</f>
        <v/>
      </c>
      <c r="BY438" t="str">
        <f>""</f>
        <v/>
      </c>
      <c r="BZ438" t="str">
        <f>""</f>
        <v/>
      </c>
      <c r="CA438" t="str">
        <f>""</f>
        <v/>
      </c>
      <c r="CB438" t="str">
        <f>""</f>
        <v/>
      </c>
      <c r="CC438" t="str">
        <f>""</f>
        <v/>
      </c>
      <c r="CD438" t="str">
        <f>""</f>
        <v/>
      </c>
      <c r="CE438" t="str">
        <f>""</f>
        <v/>
      </c>
      <c r="CF438" t="str">
        <f>""</f>
        <v/>
      </c>
      <c r="CG438" t="str">
        <f>""</f>
        <v/>
      </c>
      <c r="CH438" t="str">
        <f>""</f>
        <v/>
      </c>
      <c r="CI438" t="str">
        <f>""</f>
        <v/>
      </c>
      <c r="CJ438" t="str">
        <f>""</f>
        <v/>
      </c>
      <c r="CK438" t="str">
        <f>""</f>
        <v/>
      </c>
      <c r="CL438" t="str">
        <f>""</f>
        <v/>
      </c>
      <c r="CM438" t="str">
        <f>""</f>
        <v/>
      </c>
      <c r="CN438" t="str">
        <f>""</f>
        <v/>
      </c>
      <c r="CO438" t="str">
        <f>""</f>
        <v/>
      </c>
      <c r="CP438" t="str">
        <f>""</f>
        <v/>
      </c>
      <c r="CQ438" t="str">
        <f>""</f>
        <v/>
      </c>
      <c r="CR438" t="str">
        <f>""</f>
        <v/>
      </c>
      <c r="CS438" t="str">
        <f>""</f>
        <v/>
      </c>
      <c r="CT438" t="str">
        <f>""</f>
        <v/>
      </c>
      <c r="CU438" t="str">
        <f>""</f>
        <v/>
      </c>
      <c r="CV438" t="str">
        <f>""</f>
        <v/>
      </c>
      <c r="CW438" t="str">
        <f>""</f>
        <v/>
      </c>
      <c r="CX438" t="str">
        <f>""</f>
        <v/>
      </c>
      <c r="CY438" t="str">
        <f>""</f>
        <v/>
      </c>
      <c r="CZ438" t="str">
        <f>""</f>
        <v/>
      </c>
      <c r="DA438" t="str">
        <f>""</f>
        <v/>
      </c>
      <c r="DB438" t="str">
        <f>""</f>
        <v/>
      </c>
      <c r="DC438" t="str">
        <f>""</f>
        <v/>
      </c>
      <c r="DD438" t="str">
        <f>""</f>
        <v/>
      </c>
      <c r="DE438" t="str">
        <f>""</f>
        <v/>
      </c>
      <c r="DF438" t="str">
        <f>""</f>
        <v/>
      </c>
      <c r="DG438" t="str">
        <f>""</f>
        <v/>
      </c>
      <c r="DH438" t="str">
        <f>""</f>
        <v/>
      </c>
      <c r="DI438" t="str">
        <f>""</f>
        <v/>
      </c>
      <c r="DJ438" t="str">
        <f>""</f>
        <v/>
      </c>
      <c r="DK438" t="str">
        <f>""</f>
        <v/>
      </c>
      <c r="DL438" t="str">
        <f>""</f>
        <v/>
      </c>
      <c r="DM438" t="str">
        <f>""</f>
        <v/>
      </c>
      <c r="DN438" t="str">
        <f>""</f>
        <v/>
      </c>
      <c r="DO438" t="str">
        <f>""</f>
        <v/>
      </c>
      <c r="DP438" t="str">
        <f>""</f>
        <v/>
      </c>
      <c r="DQ438" t="str">
        <f>""</f>
        <v/>
      </c>
      <c r="DR438" t="str">
        <f>""</f>
        <v/>
      </c>
      <c r="DS438" t="str">
        <f>""</f>
        <v/>
      </c>
      <c r="DT438" t="str">
        <f>""</f>
        <v/>
      </c>
      <c r="DU438" t="str">
        <f>""</f>
        <v/>
      </c>
    </row>
    <row r="439" spans="1:125">
      <c r="A439" t="str">
        <f>"BDH dynamic title"</f>
        <v>BDH dynamic title</v>
      </c>
      <c r="B439">
        <f ca="1">$B$438</f>
        <v>2</v>
      </c>
      <c r="C439" t="str">
        <f ca="1">IF(LEN($C$438)&lt;&gt;8,$C$438,RIGHT($C$438,4)&amp;" "&amp;MID($C$438,3,1)&amp;LEFT($C$438,1))</f>
        <v>2018 Q1</v>
      </c>
      <c r="D439" t="str">
        <f ca="1">IF(LEN($D$438)&lt;&gt;8,$D$438,RIGHT($D$438,4)&amp;" "&amp;MID($D$438,3,1)&amp;LEFT($D$438,1))</f>
        <v>2017 Q4</v>
      </c>
      <c r="E439" t="str">
        <f ca="1">IF(LEN($E$438)&lt;&gt;8,$E$438,RIGHT($E$438,4)&amp;" "&amp;MID($E$438,3,1)&amp;LEFT($E$438,1))</f>
        <v>2017 Q3</v>
      </c>
      <c r="F439" t="str">
        <f ca="1">IF(LEN($F$438)&lt;&gt;8,$F$438,RIGHT($F$438,4)&amp;" "&amp;MID($F$438,3,1)&amp;LEFT($F$438,1))</f>
        <v>2017 Q2</v>
      </c>
      <c r="G439" t="str">
        <f ca="1">IF(LEN($G$438)&lt;&gt;8,$G$438,RIGHT($G$438,4)&amp;" "&amp;MID($G$438,3,1)&amp;LEFT($G$438,1))</f>
        <v>2017 Q1</v>
      </c>
      <c r="H439" t="str">
        <f ca="1">IF(LEN($H$438)&lt;&gt;8,$H$438,RIGHT($H$438,4)&amp;" "&amp;MID($H$438,3,1)&amp;LEFT($H$438,1))</f>
        <v>2016 Q4</v>
      </c>
      <c r="I439" t="str">
        <f ca="1">IF(LEN($I$438)&lt;&gt;8,$I$438,RIGHT($I$438,4)&amp;" "&amp;MID($I$438,3,1)&amp;LEFT($I$438,1))</f>
        <v>2016 Q3</v>
      </c>
      <c r="J439" t="str">
        <f ca="1">IF(LEN($J$438)&lt;&gt;8,$J$438,RIGHT($J$438,4)&amp;" "&amp;MID($J$438,3,1)&amp;LEFT($J$438,1))</f>
        <v>2016 Q2</v>
      </c>
      <c r="K439" t="str">
        <f ca="1">IF(LEN($K$438)&lt;&gt;8,$K$438,RIGHT($K$438,4)&amp;" "&amp;MID($K$438,3,1)&amp;LEFT($K$438,1))</f>
        <v>2016 Q1</v>
      </c>
      <c r="L439" t="str">
        <f ca="1">IF(LEN($L$438)&lt;&gt;8,$L$438,RIGHT($L$438,4)&amp;" "&amp;MID($L$438,3,1)&amp;LEFT($L$438,1))</f>
        <v>2015 Q4</v>
      </c>
      <c r="M439" t="str">
        <f ca="1">IF(LEN($M$438)&lt;&gt;8,$M$438,RIGHT($M$438,4)&amp;" "&amp;MID($M$438,3,1)&amp;LEFT($M$438,1))</f>
        <v>2015 Q3</v>
      </c>
      <c r="N439" t="str">
        <f ca="1">IF(LEN($N$438)&lt;&gt;8,$N$438,RIGHT($N$438,4)&amp;" "&amp;MID($N$438,3,1)&amp;LEFT($N$438,1))</f>
        <v>2015 Q2</v>
      </c>
      <c r="O439" t="str">
        <f ca="1">IF(LEN($O$438)&lt;&gt;8,$O$438,RIGHT($O$438,4)&amp;" "&amp;MID($O$438,3,1)&amp;LEFT($O$438,1))</f>
        <v>2015 Q1</v>
      </c>
      <c r="P439" t="str">
        <f ca="1">IF(LEN($P$438)&lt;&gt;8,$P$438,RIGHT($P$438,4)&amp;" "&amp;MID($P$438,3,1)&amp;LEFT($P$438,1))</f>
        <v>2014 Q4</v>
      </c>
      <c r="Q439" t="str">
        <f ca="1">IF(LEN($Q$438)&lt;&gt;8,$Q$438,RIGHT($Q$438,4)&amp;" "&amp;MID($Q$438,3,1)&amp;LEFT($Q$438,1))</f>
        <v>2014 Q3</v>
      </c>
      <c r="R439" t="str">
        <f ca="1">IF(LEN($R$438)&lt;&gt;8,$R$438,RIGHT($R$438,4)&amp;" "&amp;MID($R$438,3,1)&amp;LEFT($R$438,1))</f>
        <v>2014 Q2</v>
      </c>
      <c r="S439" t="str">
        <f ca="1">IF(LEN($S$438)&lt;&gt;8,$S$438,RIGHT($S$438,4)&amp;" "&amp;MID($S$438,3,1)&amp;LEFT($S$438,1))</f>
        <v>2014 Q1</v>
      </c>
      <c r="T439" t="str">
        <f ca="1">IF(LEN($T$438)&lt;&gt;8,$T$438,RIGHT($T$438,4)&amp;" "&amp;MID($T$438,3,1)&amp;LEFT($T$438,1))</f>
        <v>2013 Q4</v>
      </c>
      <c r="U439" t="str">
        <f ca="1">IF(LEN($U$438)&lt;&gt;8,$U$438,RIGHT($U$438,4)&amp;" "&amp;MID($U$438,3,1)&amp;LEFT($U$438,1))</f>
        <v>2013 Q3</v>
      </c>
      <c r="V439" t="str">
        <f ca="1">IF(LEN($V$438)&lt;&gt;8,$V$438,RIGHT($V$438,4)&amp;" "&amp;MID($V$438,3,1)&amp;LEFT($V$438,1))</f>
        <v>2013 Q2</v>
      </c>
      <c r="W439" t="str">
        <f ca="1">IF(LEN($W$438)&lt;&gt;8,$W$438,RIGHT($W$438,4)&amp;" "&amp;MID($W$438,3,1)&amp;LEFT($W$438,1))</f>
        <v>2013 Q1</v>
      </c>
      <c r="X439" t="str">
        <f ca="1">IF(LEN($X$438)&lt;&gt;8,$X$438,RIGHT($X$438,4)&amp;" "&amp;MID($X$438,3,1)&amp;LEFT($X$438,1))</f>
        <v>2012 Q4</v>
      </c>
      <c r="Y439" t="str">
        <f ca="1">IF(LEN($Y$438)&lt;&gt;8,$Y$438,RIGHT($Y$438,4)&amp;" "&amp;MID($Y$438,3,1)&amp;LEFT($Y$438,1))</f>
        <v>2012 Q3</v>
      </c>
      <c r="Z439" t="str">
        <f ca="1">IF(LEN($Z$438)&lt;&gt;8,$Z$438,RIGHT($Z$438,4)&amp;" "&amp;MID($Z$438,3,1)&amp;LEFT($Z$438,1))</f>
        <v>2012 Q2</v>
      </c>
      <c r="AA439" t="str">
        <f ca="1">IF(LEN($AA$438)&lt;&gt;8,$AA$438,RIGHT($AA$438,4)&amp;" "&amp;MID($AA$438,3,1)&amp;LEFT($AA$438,1))</f>
        <v>2012 Q1</v>
      </c>
      <c r="AB439" t="str">
        <f ca="1">IF(LEN($AB$438)&lt;&gt;8,$AB$438,RIGHT($AB$438,4)&amp;" "&amp;MID($AB$438,3,1)&amp;LEFT($AB$438,1))</f>
        <v>2011 Q4</v>
      </c>
      <c r="AC439" t="str">
        <f ca="1">IF(LEN($AC$438)&lt;&gt;8,$AC$438,RIGHT($AC$438,4)&amp;" "&amp;MID($AC$438,3,1)&amp;LEFT($AC$438,1))</f>
        <v>2011 Q3</v>
      </c>
      <c r="AD439" t="str">
        <f ca="1">IF(LEN($AD$438)&lt;&gt;8,$AD$438,RIGHT($AD$438,4)&amp;" "&amp;MID($AD$438,3,1)&amp;LEFT($AD$438,1))</f>
        <v>2011 Q2</v>
      </c>
      <c r="AE439" t="str">
        <f ca="1">IF(LEN($AE$438)&lt;&gt;8,$AE$438,RIGHT($AE$438,4)&amp;" "&amp;MID($AE$438,3,1)&amp;LEFT($AE$438,1))</f>
        <v>2011 Q1</v>
      </c>
      <c r="AF439" t="str">
        <f ca="1">IF(LEN($AF$438)&lt;&gt;8,$AF$438,RIGHT($AF$438,4)&amp;" "&amp;MID($AF$438,3,1)&amp;LEFT($AF$438,1))</f>
        <v>2010 Q4</v>
      </c>
      <c r="AG439" t="str">
        <f ca="1">IF(LEN($AG$438)&lt;&gt;8,$AG$438,RIGHT($AG$438,4)&amp;" "&amp;MID($AG$438,3,1)&amp;LEFT($AG$438,1))</f>
        <v>2010 Q3</v>
      </c>
      <c r="AH439" t="str">
        <f ca="1">IF(LEN($AH$438)&lt;&gt;8,$AH$438,RIGHT($AH$438,4)&amp;" "&amp;MID($AH$438,3,1)&amp;LEFT($AH$438,1))</f>
        <v>2010 Q2</v>
      </c>
      <c r="AI439" t="str">
        <f ca="1">IF(LEN($AI$438)&lt;&gt;8,$AI$438,RIGHT($AI$438,4)&amp;" "&amp;MID($AI$438,3,1)&amp;LEFT($AI$438,1))</f>
        <v>2010 Q1</v>
      </c>
      <c r="AJ439" t="str">
        <f ca="1">IF(LEN($AJ$438)&lt;&gt;8,$AJ$438,RIGHT($AJ$438,4)&amp;" "&amp;MID($AJ$438,3,1)&amp;LEFT($AJ$438,1))</f>
        <v>2009 Q4</v>
      </c>
      <c r="AK439" t="str">
        <f ca="1">IF(LEN($AK$438)&lt;&gt;8,$AK$438,RIGHT($AK$438,4)&amp;" "&amp;MID($AK$438,3,1)&amp;LEFT($AK$438,1))</f>
        <v>2009 Q3</v>
      </c>
      <c r="AL439" t="str">
        <f ca="1">IF(LEN($AL$438)&lt;&gt;8,$AL$438,RIGHT($AL$438,4)&amp;" "&amp;MID($AL$438,3,1)&amp;LEFT($AL$438,1))</f>
        <v>2009 Q2</v>
      </c>
      <c r="AM439" t="str">
        <f ca="1">IF(LEN($AM$438)&lt;&gt;8,$AM$438,RIGHT($AM$438,4)&amp;" "&amp;MID($AM$438,3,1)&amp;LEFT($AM$438,1))</f>
        <v>2009 Q1</v>
      </c>
      <c r="AN439" t="str">
        <f ca="1">IF(LEN($AN$438)&lt;&gt;8,$AN$438,RIGHT($AN$438,4)&amp;" "&amp;MID($AN$438,3,1)&amp;LEFT($AN$438,1))</f>
        <v>2008 Q4</v>
      </c>
      <c r="AO439" t="str">
        <f ca="1">IF(LEN($AO$438)&lt;&gt;8,$AO$438,RIGHT($AO$438,4)&amp;" "&amp;MID($AO$438,3,1)&amp;LEFT($AO$438,1))</f>
        <v>2008 Q3</v>
      </c>
      <c r="AP439" t="str">
        <f ca="1">IF(LEN($AP$438)&lt;&gt;8,$AP$438,RIGHT($AP$438,4)&amp;" "&amp;MID($AP$438,3,1)&amp;LEFT($AP$438,1))</f>
        <v>2008 Q2</v>
      </c>
      <c r="AQ439" t="str">
        <f ca="1">IF(LEN($AQ$438)&lt;&gt;8,$AQ$438,RIGHT($AQ$438,4)&amp;" "&amp;MID($AQ$438,3,1)&amp;LEFT($AQ$438,1))</f>
        <v>2008 Q1</v>
      </c>
      <c r="AR439" t="str">
        <f ca="1">IF(LEN($AR$438)&lt;&gt;8,$AR$438,RIGHT($AR$438,4)&amp;" "&amp;MID($AR$438,3,1)&amp;LEFT($AR$438,1))</f>
        <v>2007 Q4</v>
      </c>
      <c r="AS439" t="str">
        <f ca="1">IF(LEN($AS$438)&lt;&gt;8,$AS$438,RIGHT($AS$438,4)&amp;" "&amp;MID($AS$438,3,1)&amp;LEFT($AS$438,1))</f>
        <v>2007 Q3</v>
      </c>
      <c r="AT439" t="str">
        <f ca="1">IF(LEN($AT$438)&lt;&gt;8,$AT$438,RIGHT($AT$438,4)&amp;" "&amp;MID($AT$438,3,1)&amp;LEFT($AT$438,1))</f>
        <v>2007 Q2</v>
      </c>
      <c r="AU439" t="str">
        <f ca="1">IF(LEN($AU$438)&lt;&gt;8,$AU$438,RIGHT($AU$438,4)&amp;" "&amp;MID($AU$438,3,1)&amp;LEFT($AU$438,1))</f>
        <v>2007 Q1</v>
      </c>
      <c r="AV439" t="str">
        <f ca="1">IF(LEN($AV$438)&lt;&gt;8,$AV$438,RIGHT($AV$438,4)&amp;" "&amp;MID($AV$438,3,1)&amp;LEFT($AV$438,1))</f>
        <v>2006 Q4</v>
      </c>
      <c r="AW439" t="str">
        <f ca="1">IF(LEN($AW$438)&lt;&gt;8,$AW$438,RIGHT($AW$438,4)&amp;" "&amp;MID($AW$438,3,1)&amp;LEFT($AW$438,1))</f>
        <v>2006 Q3</v>
      </c>
      <c r="AX439" t="str">
        <f ca="1">IF(LEN($AX$438)&lt;&gt;8,$AX$438,RIGHT($AX$438,4)&amp;" "&amp;MID($AX$438,3,1)&amp;LEFT($AX$438,1))</f>
        <v>2006 Q2</v>
      </c>
      <c r="AY439" t="str">
        <f ca="1">IF(LEN($AY$438)&lt;&gt;8,$AY$438,RIGHT($AY$438,4)&amp;" "&amp;MID($AY$438,3,1)&amp;LEFT($AY$438,1))</f>
        <v>2006 Q1</v>
      </c>
      <c r="AZ439" t="str">
        <f ca="1">IF(LEN($AZ$438)&lt;&gt;8,$AZ$438,RIGHT($AZ$438,4)&amp;" "&amp;MID($AZ$438,3,1)&amp;LEFT($AZ$438,1))</f>
        <v>2005 Q4</v>
      </c>
      <c r="BA439" t="str">
        <f ca="1">IF(LEN($BA$438)&lt;&gt;8,$BA$438,RIGHT($BA$438,4)&amp;" "&amp;MID($BA$438,3,1)&amp;LEFT($BA$438,1))</f>
        <v>2005 Q3</v>
      </c>
      <c r="BB439" t="str">
        <f ca="1">IF(LEN($BB$438)&lt;&gt;8,$BB$438,RIGHT($BB$438,4)&amp;" "&amp;MID($BB$438,3,1)&amp;LEFT($BB$438,1))</f>
        <v>2005 Q2</v>
      </c>
      <c r="BC439" t="str">
        <f ca="1">IF(LEN($BC$438)&lt;&gt;8,$BC$438,RIGHT($BC$438,4)&amp;" "&amp;MID($BC$438,3,1)&amp;LEFT($BC$438,1))</f>
        <v>2005 Q1</v>
      </c>
      <c r="BD439" t="str">
        <f ca="1">IF(LEN($BD$438)&lt;&gt;8,$BD$438,RIGHT($BD$438,4)&amp;" "&amp;MID($BD$438,3,1)&amp;LEFT($BD$438,1))</f>
        <v>2004 Q4</v>
      </c>
      <c r="BE439" t="str">
        <f ca="1">IF(LEN($BE$438)&lt;&gt;8,$BE$438,RIGHT($BE$438,4)&amp;" "&amp;MID($BE$438,3,1)&amp;LEFT($BE$438,1))</f>
        <v>2004 Q3</v>
      </c>
      <c r="BF439" t="str">
        <f ca="1">IF(LEN($BF$438)&lt;&gt;8,$BF$438,RIGHT($BF$438,4)&amp;" "&amp;MID($BF$438,3,1)&amp;LEFT($BF$438,1))</f>
        <v>2004 Q2</v>
      </c>
      <c r="BG439" t="str">
        <f ca="1">IF(LEN($BG$438)&lt;&gt;8,$BG$438,RIGHT($BG$438,4)&amp;" "&amp;MID($BG$438,3,1)&amp;LEFT($BG$438,1))</f>
        <v>2004 Q1</v>
      </c>
      <c r="BH439" t="str">
        <f ca="1">IF(LEN($BH$438)&lt;&gt;8,$BH$438,RIGHT($BH$438,4)&amp;" "&amp;MID($BH$438,3,1)&amp;LEFT($BH$438,1))</f>
        <v>2003 Q4</v>
      </c>
      <c r="BI439" t="str">
        <f ca="1">IF(LEN($BI$438)&lt;&gt;8,$BI$438,RIGHT($BI$438,4)&amp;" "&amp;MID($BI$438,3,1)&amp;LEFT($BI$438,1))</f>
        <v>2003 Q3</v>
      </c>
      <c r="BJ439" t="str">
        <f ca="1">IF(LEN($BJ$438)&lt;&gt;8,$BJ$438,RIGHT($BJ$438,4)&amp;" "&amp;MID($BJ$438,3,1)&amp;LEFT($BJ$438,1))</f>
        <v>2003 Q2</v>
      </c>
      <c r="BN439" t="str">
        <f>""</f>
        <v/>
      </c>
      <c r="BO439" t="str">
        <f>""</f>
        <v/>
      </c>
      <c r="BP439" t="str">
        <f>""</f>
        <v/>
      </c>
      <c r="BQ439" t="str">
        <f>""</f>
        <v/>
      </c>
      <c r="BR439" t="str">
        <f>""</f>
        <v/>
      </c>
      <c r="BS439" t="str">
        <f>""</f>
        <v/>
      </c>
      <c r="BT439" t="str">
        <f>""</f>
        <v/>
      </c>
      <c r="BU439" t="str">
        <f>""</f>
        <v/>
      </c>
      <c r="BV439" t="str">
        <f>""</f>
        <v/>
      </c>
      <c r="BW439" t="str">
        <f>""</f>
        <v/>
      </c>
      <c r="BX439" t="str">
        <f>""</f>
        <v/>
      </c>
      <c r="BY439" t="str">
        <f>""</f>
        <v/>
      </c>
      <c r="BZ439" t="str">
        <f>""</f>
        <v/>
      </c>
      <c r="CA439" t="str">
        <f>""</f>
        <v/>
      </c>
      <c r="CB439" t="str">
        <f>""</f>
        <v/>
      </c>
      <c r="CC439" t="str">
        <f>""</f>
        <v/>
      </c>
      <c r="CD439" t="str">
        <f>""</f>
        <v/>
      </c>
      <c r="CE439" t="str">
        <f>""</f>
        <v/>
      </c>
      <c r="CF439" t="str">
        <f>""</f>
        <v/>
      </c>
      <c r="CG439" t="str">
        <f>""</f>
        <v/>
      </c>
      <c r="CH439" t="str">
        <f>""</f>
        <v/>
      </c>
      <c r="CI439" t="str">
        <f>""</f>
        <v/>
      </c>
      <c r="CJ439" t="str">
        <f>""</f>
        <v/>
      </c>
      <c r="CK439" t="str">
        <f>""</f>
        <v/>
      </c>
      <c r="CL439" t="str">
        <f>""</f>
        <v/>
      </c>
      <c r="CM439" t="str">
        <f>""</f>
        <v/>
      </c>
      <c r="CN439" t="str">
        <f>""</f>
        <v/>
      </c>
      <c r="CO439" t="str">
        <f>""</f>
        <v/>
      </c>
      <c r="CP439" t="str">
        <f>""</f>
        <v/>
      </c>
      <c r="CQ439" t="str">
        <f>""</f>
        <v/>
      </c>
      <c r="CR439" t="str">
        <f>""</f>
        <v/>
      </c>
      <c r="CS439" t="str">
        <f>""</f>
        <v/>
      </c>
      <c r="CT439" t="str">
        <f>""</f>
        <v/>
      </c>
      <c r="CU439" t="str">
        <f>""</f>
        <v/>
      </c>
      <c r="CV439" t="str">
        <f>""</f>
        <v/>
      </c>
      <c r="CW439" t="str">
        <f>""</f>
        <v/>
      </c>
      <c r="CX439" t="str">
        <f>""</f>
        <v/>
      </c>
      <c r="CY439" t="str">
        <f>""</f>
        <v/>
      </c>
      <c r="CZ439" t="str">
        <f>""</f>
        <v/>
      </c>
      <c r="DA439" t="str">
        <f>""</f>
        <v/>
      </c>
      <c r="DB439" t="str">
        <f>""</f>
        <v/>
      </c>
      <c r="DC439" t="str">
        <f>""</f>
        <v/>
      </c>
      <c r="DD439" t="str">
        <f>""</f>
        <v/>
      </c>
      <c r="DE439" t="str">
        <f>""</f>
        <v/>
      </c>
      <c r="DF439" t="str">
        <f>""</f>
        <v/>
      </c>
      <c r="DG439" t="str">
        <f>""</f>
        <v/>
      </c>
      <c r="DH439" t="str">
        <f>""</f>
        <v/>
      </c>
      <c r="DI439" t="str">
        <f>""</f>
        <v/>
      </c>
      <c r="DJ439" t="str">
        <f>""</f>
        <v/>
      </c>
      <c r="DK439" t="str">
        <f>""</f>
        <v/>
      </c>
      <c r="DL439" t="str">
        <f>""</f>
        <v/>
      </c>
      <c r="DM439" t="str">
        <f>""</f>
        <v/>
      </c>
      <c r="DN439" t="str">
        <f>""</f>
        <v/>
      </c>
      <c r="DO439" t="str">
        <f>""</f>
        <v/>
      </c>
      <c r="DP439" t="str">
        <f>""</f>
        <v/>
      </c>
      <c r="DQ439" t="str">
        <f>""</f>
        <v/>
      </c>
      <c r="DR439" t="str">
        <f>""</f>
        <v/>
      </c>
      <c r="DS439" t="str">
        <f>""</f>
        <v/>
      </c>
      <c r="DT439" t="str">
        <f>""</f>
        <v/>
      </c>
      <c r="DU439" t="str">
        <f>""</f>
        <v/>
      </c>
    </row>
    <row r="440" spans="1:125">
      <c r="A440" t="str">
        <f>"No error found"</f>
        <v>No error found</v>
      </c>
      <c r="B440" t="str">
        <f>""</f>
        <v/>
      </c>
      <c r="C440" t="str">
        <f>""</f>
        <v/>
      </c>
      <c r="D440" t="str">
        <f>""</f>
        <v/>
      </c>
      <c r="E440" t="str">
        <f>""</f>
        <v/>
      </c>
      <c r="BN440" t="str">
        <f>""</f>
        <v/>
      </c>
      <c r="BO440" t="str">
        <f>""</f>
        <v/>
      </c>
      <c r="BP440" t="str">
        <f>""</f>
        <v/>
      </c>
      <c r="BQ440" t="str">
        <f>""</f>
        <v/>
      </c>
      <c r="BR440" t="str">
        <f>""</f>
        <v/>
      </c>
      <c r="BS440" t="str">
        <f>""</f>
        <v/>
      </c>
      <c r="BT440" t="str">
        <f>""</f>
        <v/>
      </c>
      <c r="BU440" t="str">
        <f>""</f>
        <v/>
      </c>
      <c r="BV440" t="str">
        <f>""</f>
        <v/>
      </c>
      <c r="BW440" t="str">
        <f>""</f>
        <v/>
      </c>
      <c r="BX440" t="str">
        <f>""</f>
        <v/>
      </c>
      <c r="BY440" t="str">
        <f>""</f>
        <v/>
      </c>
      <c r="BZ440" t="str">
        <f>""</f>
        <v/>
      </c>
      <c r="CA440" t="str">
        <f>""</f>
        <v/>
      </c>
      <c r="CB440" t="str">
        <f>""</f>
        <v/>
      </c>
      <c r="CC440" t="str">
        <f>""</f>
        <v/>
      </c>
      <c r="CD440" t="str">
        <f>""</f>
        <v/>
      </c>
      <c r="CE440" t="str">
        <f>""</f>
        <v/>
      </c>
      <c r="CF440" t="str">
        <f>""</f>
        <v/>
      </c>
      <c r="CG440" t="str">
        <f>""</f>
        <v/>
      </c>
      <c r="CH440" t="str">
        <f>""</f>
        <v/>
      </c>
      <c r="CI440" t="str">
        <f>""</f>
        <v/>
      </c>
      <c r="CJ440" t="str">
        <f>""</f>
        <v/>
      </c>
      <c r="CK440" t="str">
        <f>""</f>
        <v/>
      </c>
      <c r="CL440" t="str">
        <f>""</f>
        <v/>
      </c>
      <c r="CM440" t="str">
        <f>""</f>
        <v/>
      </c>
      <c r="CN440" t="str">
        <f>""</f>
        <v/>
      </c>
      <c r="CO440" t="str">
        <f>""</f>
        <v/>
      </c>
      <c r="CP440" t="str">
        <f>""</f>
        <v/>
      </c>
      <c r="CQ440" t="str">
        <f>""</f>
        <v/>
      </c>
      <c r="CR440" t="str">
        <f>""</f>
        <v/>
      </c>
      <c r="CS440" t="str">
        <f>""</f>
        <v/>
      </c>
      <c r="CT440" t="str">
        <f>""</f>
        <v/>
      </c>
      <c r="CU440" t="str">
        <f>""</f>
        <v/>
      </c>
      <c r="CV440" t="str">
        <f>""</f>
        <v/>
      </c>
      <c r="CW440" t="str">
        <f>""</f>
        <v/>
      </c>
      <c r="CX440" t="str">
        <f>""</f>
        <v/>
      </c>
      <c r="CY440" t="str">
        <f>""</f>
        <v/>
      </c>
      <c r="CZ440" t="str">
        <f>""</f>
        <v/>
      </c>
      <c r="DA440" t="str">
        <f>""</f>
        <v/>
      </c>
      <c r="DB440" t="str">
        <f>""</f>
        <v/>
      </c>
      <c r="DC440" t="str">
        <f>""</f>
        <v/>
      </c>
      <c r="DD440" t="str">
        <f>""</f>
        <v/>
      </c>
      <c r="DE440" t="str">
        <f>""</f>
        <v/>
      </c>
      <c r="DF440" t="str">
        <f>""</f>
        <v/>
      </c>
      <c r="DG440" t="str">
        <f>""</f>
        <v/>
      </c>
      <c r="DH440" t="str">
        <f>""</f>
        <v/>
      </c>
      <c r="DI440" t="str">
        <f>""</f>
        <v/>
      </c>
      <c r="DJ440" t="str">
        <f>""</f>
        <v/>
      </c>
      <c r="DK440" t="str">
        <f>""</f>
        <v/>
      </c>
      <c r="DL440" t="str">
        <f>""</f>
        <v/>
      </c>
      <c r="DM440" t="str">
        <f>""</f>
        <v/>
      </c>
      <c r="DN440" t="str">
        <f>""</f>
        <v/>
      </c>
      <c r="DO440" t="str">
        <f>""</f>
        <v/>
      </c>
      <c r="DP440" t="str">
        <f>""</f>
        <v/>
      </c>
      <c r="DQ440" t="str">
        <f>""</f>
        <v/>
      </c>
      <c r="DR440" t="str">
        <f>""</f>
        <v/>
      </c>
      <c r="DS440" t="str">
        <f>""</f>
        <v/>
      </c>
      <c r="DT440" t="str">
        <f>""</f>
        <v/>
      </c>
      <c r="DU440" t="str">
        <f>""</f>
        <v/>
      </c>
    </row>
  </sheetData>
  <phoneticPr fontId="1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35"/>
  <sheetViews>
    <sheetView workbookViewId="0"/>
  </sheetViews>
  <sheetFormatPr defaultRowHeight="13.5"/>
  <cols>
    <col min="1" max="1" width="9.125" bestFit="1" customWidth="1"/>
  </cols>
  <sheetData>
    <row r="1" spans="1:1" ht="15">
      <c r="A1" s="1"/>
    </row>
    <row r="2" spans="1:1">
      <c r="A2" t="s">
        <v>0</v>
      </c>
    </row>
    <row r="3" spans="1:1">
      <c r="A3" t="s">
        <v>1</v>
      </c>
    </row>
    <row r="5" spans="1:1">
      <c r="A5" t="s">
        <v>2</v>
      </c>
    </row>
    <row r="6" spans="1:1">
      <c r="A6" t="s">
        <v>3</v>
      </c>
    </row>
    <row r="7" spans="1:1">
      <c r="A7" t="s">
        <v>4</v>
      </c>
    </row>
    <row r="8" spans="1:1">
      <c r="A8" t="s">
        <v>5</v>
      </c>
    </row>
    <row r="9" spans="1:1">
      <c r="A9" t="s">
        <v>6</v>
      </c>
    </row>
    <row r="11" spans="1:1">
      <c r="A11" t="s">
        <v>7</v>
      </c>
    </row>
    <row r="12" spans="1:1">
      <c r="A12" t="s">
        <v>8</v>
      </c>
    </row>
    <row r="13" spans="1:1">
      <c r="A13" t="s">
        <v>9</v>
      </c>
    </row>
    <row r="14" spans="1:1">
      <c r="A14" t="s">
        <v>10</v>
      </c>
    </row>
    <row r="15" spans="1:1">
      <c r="A15" t="s">
        <v>11</v>
      </c>
    </row>
    <row r="16" spans="1:1">
      <c r="A16" t="s">
        <v>12</v>
      </c>
    </row>
    <row r="17" spans="1:1">
      <c r="A17" t="s">
        <v>13</v>
      </c>
    </row>
    <row r="18" spans="1:1">
      <c r="A18" t="s">
        <v>14</v>
      </c>
    </row>
    <row r="19" spans="1:1">
      <c r="A19" t="s">
        <v>15</v>
      </c>
    </row>
    <row r="21" spans="1:1">
      <c r="A21" t="s">
        <v>16</v>
      </c>
    </row>
    <row r="22" spans="1:1">
      <c r="A22" t="s">
        <v>17</v>
      </c>
    </row>
    <row r="23" spans="1:1">
      <c r="A23" t="s">
        <v>18</v>
      </c>
    </row>
    <row r="24" spans="1:1">
      <c r="A24" t="s">
        <v>19</v>
      </c>
    </row>
    <row r="25" spans="1:1">
      <c r="A25" t="s">
        <v>20</v>
      </c>
    </row>
    <row r="26" spans="1:1">
      <c r="A26" t="s">
        <v>21</v>
      </c>
    </row>
    <row r="27" spans="1:1">
      <c r="A27" t="s">
        <v>22</v>
      </c>
    </row>
    <row r="28" spans="1:1">
      <c r="A28" t="s">
        <v>23</v>
      </c>
    </row>
    <row r="29" spans="1:1">
      <c r="A29" t="s">
        <v>24</v>
      </c>
    </row>
    <row r="30" spans="1:1">
      <c r="A30" t="s">
        <v>25</v>
      </c>
    </row>
    <row r="31" spans="1:1">
      <c r="A31" t="s">
        <v>26</v>
      </c>
    </row>
    <row r="32" spans="1:1">
      <c r="A32" t="s">
        <v>27</v>
      </c>
    </row>
    <row r="33" spans="1:1">
      <c r="A33" t="s">
        <v>28</v>
      </c>
    </row>
    <row r="34" spans="1:1">
      <c r="A34" t="s">
        <v>29</v>
      </c>
    </row>
    <row r="35" spans="1:1">
      <c r="A35" t="s">
        <v>30</v>
      </c>
    </row>
  </sheetData>
  <phoneticPr fontId="19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BIData</vt:lpstr>
      <vt:lpstr>ReferenceData</vt:lpstr>
      <vt:lpstr>帮助-参考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lenovo</cp:lastModifiedBy>
  <dcterms:created xsi:type="dcterms:W3CDTF">2013-04-03T15:49:21Z</dcterms:created>
  <dcterms:modified xsi:type="dcterms:W3CDTF">2018-03-14T03:04:27Z</dcterms:modified>
</cp:coreProperties>
</file>