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Maîtrise\14 - Article de recherche\Online repository documents\"/>
    </mc:Choice>
  </mc:AlternateContent>
  <xr:revisionPtr revIDLastSave="0" documentId="13_ncr:1_{F6B6E7F4-23DA-4643-8EC5-548D8E2CB083}" xr6:coauthVersionLast="45" xr6:coauthVersionMax="45" xr10:uidLastSave="{00000000-0000-0000-0000-000000000000}"/>
  <bookViews>
    <workbookView xWindow="19080" yWindow="-120" windowWidth="20730" windowHeight="11760" xr2:uid="{0B12375D-7CA6-4D8D-8ED3-347096936228}"/>
  </bookViews>
  <sheets>
    <sheet name="Inventaires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189" i="4" l="1"/>
  <c r="V209" i="4"/>
  <c r="V259" i="4"/>
  <c r="V197" i="4"/>
  <c r="V191" i="4"/>
  <c r="V256" i="4" l="1"/>
  <c r="V248" i="4"/>
  <c r="V249" i="4" s="1"/>
  <c r="V243" i="4"/>
  <c r="V242" i="4"/>
  <c r="V241" i="4"/>
  <c r="V240" i="4"/>
  <c r="V229" i="4"/>
  <c r="V224" i="4"/>
  <c r="V223" i="4"/>
  <c r="V222" i="4"/>
  <c r="V221" i="4"/>
  <c r="V218" i="4"/>
  <c r="V210" i="4"/>
  <c r="V214" i="4" s="1"/>
  <c r="V217" i="4" s="1"/>
  <c r="V208" i="4"/>
  <c r="V206" i="4"/>
  <c r="V205" i="4"/>
  <c r="V204" i="4"/>
  <c r="V203" i="4"/>
  <c r="V202" i="4"/>
  <c r="V200" i="4"/>
  <c r="V196" i="4"/>
  <c r="V195" i="4"/>
  <c r="V193" i="4"/>
  <c r="V188" i="4"/>
  <c r="V186" i="4"/>
  <c r="V184" i="4"/>
  <c r="V182" i="4"/>
  <c r="V225" i="4" l="1"/>
  <c r="V228" i="4"/>
  <c r="V233" i="4"/>
  <c r="V236" i="4" s="1"/>
  <c r="V230" i="4"/>
  <c r="V244" i="4"/>
  <c r="V247" i="4"/>
  <c r="V232" i="4"/>
  <c r="V231" i="4"/>
  <c r="V227" i="4"/>
  <c r="V212" i="4"/>
  <c r="V213" i="4"/>
  <c r="V250" i="4"/>
  <c r="V246" i="4"/>
  <c r="V251" i="4"/>
  <c r="V211" i="4"/>
  <c r="V216" i="4"/>
  <c r="V215" i="4"/>
  <c r="V252" i="4"/>
  <c r="V255" i="4" s="1"/>
  <c r="V234" i="4" l="1"/>
  <c r="V235" i="4"/>
  <c r="V253" i="4"/>
  <c r="V254" i="4"/>
  <c r="H165" i="4" l="1"/>
  <c r="H45" i="4"/>
  <c r="H107" i="4"/>
  <c r="H16" i="4" l="1"/>
  <c r="V103" i="4" l="1"/>
  <c r="V91" i="4"/>
  <c r="V79" i="4"/>
  <c r="V78" i="4"/>
  <c r="V172" i="4"/>
  <c r="V165" i="4"/>
  <c r="V163" i="4"/>
  <c r="V161" i="4"/>
  <c r="V158" i="4"/>
  <c r="V157" i="4"/>
  <c r="V156" i="4"/>
  <c r="V155" i="4"/>
  <c r="V153" i="4"/>
  <c r="V151" i="4"/>
  <c r="V149" i="4"/>
  <c r="V146" i="4"/>
  <c r="V145" i="4"/>
  <c r="V144" i="4"/>
  <c r="V143" i="4"/>
  <c r="V141" i="4"/>
  <c r="V139" i="4"/>
  <c r="V137" i="4"/>
  <c r="V136" i="4"/>
  <c r="V133" i="4"/>
  <c r="V132" i="4"/>
  <c r="V130" i="4"/>
  <c r="V128" i="4"/>
  <c r="V126" i="4"/>
  <c r="V114" i="4"/>
  <c r="V107" i="4"/>
  <c r="V105" i="4"/>
  <c r="V100" i="4"/>
  <c r="V99" i="4"/>
  <c r="V98" i="4"/>
  <c r="V97" i="4"/>
  <c r="V95" i="4"/>
  <c r="V93" i="4"/>
  <c r="V88" i="4"/>
  <c r="V87" i="4"/>
  <c r="V86" i="4"/>
  <c r="V85" i="4"/>
  <c r="V83" i="4"/>
  <c r="V81" i="4"/>
  <c r="V75" i="4"/>
  <c r="V74" i="4"/>
  <c r="V72" i="4"/>
  <c r="V70" i="4"/>
  <c r="V68" i="4"/>
  <c r="V56" i="4" l="1"/>
  <c r="V50" i="4"/>
  <c r="V48" i="4"/>
  <c r="V43" i="4"/>
  <c r="V42" i="4"/>
  <c r="V41" i="4"/>
  <c r="V39" i="4"/>
  <c r="V40" i="4"/>
  <c r="V37" i="4"/>
  <c r="V32" i="4"/>
  <c r="V31" i="4"/>
  <c r="V30" i="4"/>
  <c r="V29" i="4"/>
  <c r="V28" i="4"/>
  <c r="V26" i="4"/>
  <c r="V20" i="4"/>
  <c r="V19" i="4"/>
  <c r="V17" i="4"/>
  <c r="V16" i="4"/>
  <c r="V14" i="4"/>
  <c r="V55" i="4"/>
  <c r="V45" i="4"/>
  <c r="V46" i="4" s="1"/>
  <c r="V34" i="4" l="1"/>
  <c r="V35" i="4" s="1"/>
  <c r="V22" i="4"/>
  <c r="V23" i="4" s="1"/>
  <c r="V24" i="4" l="1"/>
  <c r="H163" i="4" l="1"/>
  <c r="H162" i="4"/>
  <c r="H160" i="4"/>
  <c r="H158" i="4"/>
  <c r="H156" i="4"/>
  <c r="H153" i="4"/>
  <c r="H152" i="4"/>
  <c r="H150" i="4"/>
  <c r="H148" i="4"/>
  <c r="H146" i="4"/>
  <c r="H143" i="4"/>
  <c r="H142" i="4"/>
  <c r="H140" i="4"/>
  <c r="H138" i="4"/>
  <c r="H136" i="4"/>
  <c r="H133" i="4"/>
  <c r="H132" i="4"/>
  <c r="H130" i="4"/>
  <c r="H128" i="4"/>
  <c r="H126" i="4"/>
  <c r="H105" i="4"/>
  <c r="H104" i="4"/>
  <c r="H102" i="4"/>
  <c r="H100" i="4"/>
  <c r="H98" i="4"/>
  <c r="H95" i="4"/>
  <c r="H94" i="4"/>
  <c r="H92" i="4"/>
  <c r="H90" i="4"/>
  <c r="H88" i="4"/>
  <c r="H85" i="4"/>
  <c r="H84" i="4"/>
  <c r="H82" i="4"/>
  <c r="H80" i="4"/>
  <c r="H78" i="4"/>
  <c r="H75" i="4"/>
  <c r="H74" i="4"/>
  <c r="H72" i="4"/>
  <c r="H70" i="4"/>
  <c r="H68" i="4"/>
  <c r="H44" i="4"/>
  <c r="H43" i="4"/>
  <c r="H41" i="4"/>
  <c r="H40" i="4"/>
  <c r="H38" i="4"/>
  <c r="H36" i="4"/>
  <c r="H35" i="4"/>
  <c r="H33" i="4"/>
  <c r="H32" i="4"/>
  <c r="H30" i="4"/>
  <c r="H28" i="4"/>
  <c r="H27" i="4"/>
  <c r="H25" i="4"/>
  <c r="H24" i="4"/>
  <c r="H22" i="4"/>
  <c r="H14" i="4"/>
  <c r="H20" i="4"/>
  <c r="H19" i="4"/>
  <c r="H17" i="4"/>
  <c r="X3" i="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V76" authorId="0" shapeId="0" xr:uid="{145E0E84-D950-427A-97A5-9F1AD0CAE0BD}">
      <text>
        <r>
          <rPr>
            <b/>
            <sz val="9"/>
            <color indexed="81"/>
            <rFont val="Tahoma"/>
            <family val="2"/>
          </rPr>
          <t>Arbitrary value : 
Exchange value determined by the inputs in the python script.</t>
        </r>
      </text>
    </comment>
    <comment ref="X134" authorId="0" shapeId="0" xr:uid="{8DE233F1-3EEB-4127-A098-B3463D4C4BBF}">
      <text>
        <r>
          <rPr>
            <b/>
            <sz val="9"/>
            <color indexed="81"/>
            <rFont val="Tahoma"/>
            <family val="2"/>
          </rPr>
          <t xml:space="preserve">CR/CRRE = 2.7747 </t>
        </r>
      </text>
    </comment>
    <comment ref="X147" authorId="0" shapeId="0" xr:uid="{9DEE9CF3-16A2-44EF-849E-14E8940CC333}">
      <text>
        <r>
          <rPr>
            <b/>
            <sz val="9"/>
            <color indexed="81"/>
            <rFont val="Tahoma"/>
            <family val="2"/>
          </rPr>
          <t>CR/CRRE = 1.5190</t>
        </r>
      </text>
    </comment>
    <comment ref="X159" authorId="0" shapeId="0" xr:uid="{C2A469BA-1852-4CB8-A2E2-72CFA58A2C6C}">
      <text>
        <r>
          <rPr>
            <b/>
            <sz val="9"/>
            <color indexed="81"/>
            <rFont val="Tahoma"/>
            <family val="2"/>
          </rPr>
          <t>CR/CRRE = 1.0065</t>
        </r>
      </text>
    </comment>
    <comment ref="X171" authorId="0" shapeId="0" xr:uid="{06BB493B-7B88-4340-A887-FDD5492CFC91}">
      <text>
        <r>
          <rPr>
            <b/>
            <sz val="9"/>
            <color indexed="81"/>
            <rFont val="Tahoma"/>
            <family val="2"/>
          </rPr>
          <t>CR/CRRE = 0.0012</t>
        </r>
      </text>
    </comment>
    <comment ref="X200" authorId="0" shapeId="0" xr:uid="{D4737812-D59A-48C8-B234-478632E7FDB7}">
      <text>
        <r>
          <rPr>
            <b/>
            <sz val="9"/>
            <color indexed="81"/>
            <rFont val="Tahoma"/>
            <family val="2"/>
          </rPr>
          <t>Le procédé est modélisé dans la base de données commme intrant à la production de glulam. Il n'est donc pas reproduit dans l'inventaire de Brightway2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X210" authorId="0" shapeId="0" xr:uid="{17A23709-D879-4B1C-BDB3-4134DEA20B9A}">
      <text>
        <r>
          <rPr>
            <b/>
            <sz val="9"/>
            <color indexed="81"/>
            <rFont val="Tahoma"/>
            <family val="2"/>
          </rPr>
          <t>Procédé ecoinvent utilise 1.23 m^3 de bois pour générer 1.0 m^3 de glulam.</t>
        </r>
      </text>
    </comment>
    <comment ref="X220" authorId="0" shapeId="0" xr:uid="{0B9671AD-6959-40B5-87C7-694932E141ED}">
      <text>
        <r>
          <rPr>
            <b/>
            <sz val="9"/>
            <color indexed="81"/>
            <rFont val="Tahoma"/>
            <family val="2"/>
          </rPr>
          <t>Si aucun écorçage, peut-être diminuer la quantité de bois initial par mètre cube de panneau?</t>
        </r>
      </text>
    </comment>
  </commentList>
</comments>
</file>

<file path=xl/sharedStrings.xml><?xml version="1.0" encoding="utf-8"?>
<sst xmlns="http://schemas.openxmlformats.org/spreadsheetml/2006/main" count="2222" uniqueCount="146">
  <si>
    <t>Project name :</t>
  </si>
  <si>
    <t>Xavier Tanguay</t>
  </si>
  <si>
    <t>Production</t>
  </si>
  <si>
    <t>Localisation</t>
  </si>
  <si>
    <t>Source</t>
  </si>
  <si>
    <r>
      <t>E</t>
    </r>
    <r>
      <rPr>
        <vertAlign val="subscript"/>
        <sz val="11"/>
        <color theme="1"/>
        <rFont val="Calibri"/>
        <family val="2"/>
        <scheme val="minor"/>
      </rPr>
      <t>V1</t>
    </r>
  </si>
  <si>
    <t>cubic meter</t>
  </si>
  <si>
    <t>sawnwood, beam, softwood, dried (u=20%), planed</t>
  </si>
  <si>
    <t>CA-QC</t>
  </si>
  <si>
    <t>Werner et al 2007</t>
  </si>
  <si>
    <r>
      <t>A</t>
    </r>
    <r>
      <rPr>
        <vertAlign val="subscript"/>
        <sz val="11"/>
        <color theme="1"/>
        <rFont val="Calibri"/>
        <family val="2"/>
        <scheme val="minor"/>
      </rPr>
      <t>1</t>
    </r>
  </si>
  <si>
    <t>Transport</t>
  </si>
  <si>
    <t>t-km</t>
  </si>
  <si>
    <t>MJ</t>
  </si>
  <si>
    <t>diesel, burned in building machine</t>
  </si>
  <si>
    <t>kWh</t>
  </si>
  <si>
    <r>
      <t>D</t>
    </r>
    <r>
      <rPr>
        <vertAlign val="subscript"/>
        <sz val="11"/>
        <color theme="1"/>
        <rFont val="Calibri"/>
        <family val="2"/>
        <scheme val="minor"/>
      </rPr>
      <t>1</t>
    </r>
  </si>
  <si>
    <r>
      <t>E</t>
    </r>
    <r>
      <rPr>
        <vertAlign val="subscript"/>
        <sz val="11"/>
        <color theme="1"/>
        <rFont val="Calibri"/>
        <family val="2"/>
        <scheme val="minor"/>
      </rPr>
      <t>RRE1</t>
    </r>
  </si>
  <si>
    <r>
      <t>E</t>
    </r>
    <r>
      <rPr>
        <vertAlign val="subscript"/>
        <sz val="11"/>
        <color theme="1"/>
        <rFont val="Calibri"/>
        <family val="2"/>
        <scheme val="minor"/>
      </rPr>
      <t>d1</t>
    </r>
  </si>
  <si>
    <t>kg</t>
  </si>
  <si>
    <t>treatment of waste wood, untreated, sanitary landfill</t>
  </si>
  <si>
    <t>RoW</t>
  </si>
  <si>
    <r>
      <t>E</t>
    </r>
    <r>
      <rPr>
        <vertAlign val="subscript"/>
        <sz val="11"/>
        <color theme="1"/>
        <rFont val="Calibri"/>
        <family val="2"/>
        <scheme val="minor"/>
      </rPr>
      <t>V2</t>
    </r>
  </si>
  <si>
    <t>glued laminated timber production, for indoor use</t>
  </si>
  <si>
    <r>
      <t>E</t>
    </r>
    <r>
      <rPr>
        <vertAlign val="subscript"/>
        <sz val="11"/>
        <color rgb="FFFF0000"/>
        <rFont val="Calibri"/>
        <family val="2"/>
        <scheme val="minor"/>
      </rPr>
      <t>RRE1</t>
    </r>
  </si>
  <si>
    <r>
      <t>A</t>
    </r>
    <r>
      <rPr>
        <vertAlign val="subscript"/>
        <sz val="11"/>
        <color theme="1"/>
        <rFont val="Calibri"/>
        <family val="2"/>
        <scheme val="minor"/>
      </rPr>
      <t>2</t>
    </r>
  </si>
  <si>
    <r>
      <t>D</t>
    </r>
    <r>
      <rPr>
        <vertAlign val="subscript"/>
        <sz val="11"/>
        <color theme="1"/>
        <rFont val="Calibri"/>
        <family val="2"/>
        <scheme val="minor"/>
      </rPr>
      <t>2</t>
    </r>
  </si>
  <si>
    <r>
      <t>E</t>
    </r>
    <r>
      <rPr>
        <vertAlign val="subscript"/>
        <sz val="11"/>
        <color theme="1"/>
        <rFont val="Calibri"/>
        <family val="2"/>
        <scheme val="minor"/>
      </rPr>
      <t>RRE2</t>
    </r>
  </si>
  <si>
    <r>
      <t>E</t>
    </r>
    <r>
      <rPr>
        <vertAlign val="subscript"/>
        <sz val="11"/>
        <color theme="1"/>
        <rFont val="Calibri"/>
        <family val="2"/>
        <scheme val="minor"/>
      </rPr>
      <t>d2</t>
    </r>
  </si>
  <si>
    <r>
      <t>E</t>
    </r>
    <r>
      <rPr>
        <vertAlign val="subscript"/>
        <sz val="11"/>
        <color theme="1"/>
        <rFont val="Calibri"/>
        <family val="2"/>
        <scheme val="minor"/>
      </rPr>
      <t>V3</t>
    </r>
  </si>
  <si>
    <t>oriented strand board production</t>
  </si>
  <si>
    <t xml:space="preserve">Werner et al 2007 </t>
  </si>
  <si>
    <r>
      <t>A</t>
    </r>
    <r>
      <rPr>
        <vertAlign val="subscript"/>
        <sz val="11"/>
        <color theme="1"/>
        <rFont val="Calibri"/>
        <family val="2"/>
        <scheme val="minor"/>
      </rPr>
      <t>3</t>
    </r>
  </si>
  <si>
    <r>
      <t>D</t>
    </r>
    <r>
      <rPr>
        <vertAlign val="subscript"/>
        <sz val="11"/>
        <color theme="1"/>
        <rFont val="Calibri"/>
        <family val="2"/>
        <scheme val="minor"/>
      </rPr>
      <t>3</t>
    </r>
  </si>
  <si>
    <r>
      <t>E</t>
    </r>
    <r>
      <rPr>
        <vertAlign val="subscript"/>
        <sz val="11"/>
        <color theme="1"/>
        <rFont val="Calibri"/>
        <family val="2"/>
        <scheme val="minor"/>
      </rPr>
      <t>RRE3</t>
    </r>
  </si>
  <si>
    <r>
      <t>E</t>
    </r>
    <r>
      <rPr>
        <vertAlign val="subscript"/>
        <sz val="11"/>
        <color theme="1"/>
        <rFont val="Calibri"/>
        <family val="2"/>
        <scheme val="minor"/>
      </rPr>
      <t>d3</t>
    </r>
  </si>
  <si>
    <r>
      <t>E</t>
    </r>
    <r>
      <rPr>
        <vertAlign val="subscript"/>
        <sz val="11"/>
        <color theme="1"/>
        <rFont val="Calibri"/>
        <family val="2"/>
        <scheme val="minor"/>
      </rPr>
      <t>V4</t>
    </r>
  </si>
  <si>
    <t>particle board production, for indoor use</t>
  </si>
  <si>
    <r>
      <t>A</t>
    </r>
    <r>
      <rPr>
        <vertAlign val="subscript"/>
        <sz val="11"/>
        <color theme="1"/>
        <rFont val="Calibri"/>
        <family val="2"/>
        <scheme val="minor"/>
      </rPr>
      <t>4</t>
    </r>
  </si>
  <si>
    <r>
      <t>D</t>
    </r>
    <r>
      <rPr>
        <vertAlign val="subscript"/>
        <sz val="11"/>
        <color theme="1"/>
        <rFont val="Calibri"/>
        <family val="2"/>
        <scheme val="minor"/>
      </rPr>
      <t>4</t>
    </r>
  </si>
  <si>
    <r>
      <t>E</t>
    </r>
    <r>
      <rPr>
        <vertAlign val="subscript"/>
        <sz val="11"/>
        <color theme="1"/>
        <rFont val="Calibri"/>
        <family val="2"/>
        <scheme val="minor"/>
      </rPr>
      <t>RRE4</t>
    </r>
  </si>
  <si>
    <r>
      <t>E</t>
    </r>
    <r>
      <rPr>
        <vertAlign val="subscript"/>
        <sz val="11"/>
        <color theme="1"/>
        <rFont val="Calibri"/>
        <family val="2"/>
        <scheme val="minor"/>
      </rPr>
      <t>d4</t>
    </r>
  </si>
  <si>
    <r>
      <t>E</t>
    </r>
    <r>
      <rPr>
        <vertAlign val="subscript"/>
        <sz val="11"/>
        <color theme="1"/>
        <rFont val="Calibri"/>
        <family val="2"/>
        <scheme val="minor"/>
      </rPr>
      <t>V5</t>
    </r>
  </si>
  <si>
    <t>CHP</t>
  </si>
  <si>
    <t>heat and power co-generation, wood chips, 6667 kW, state-of-the-art 2014</t>
  </si>
  <si>
    <t>Werner 2007 - modified for CA-QC (regionalised dataset)</t>
  </si>
  <si>
    <t>Etot_1</t>
  </si>
  <si>
    <t>unité</t>
  </si>
  <si>
    <t>Etot_2</t>
  </si>
  <si>
    <t>Etot_3</t>
  </si>
  <si>
    <t>Etot_4</t>
  </si>
  <si>
    <t xml:space="preserve">Last accessed : </t>
  </si>
  <si>
    <t xml:space="preserve">Author : </t>
  </si>
  <si>
    <r>
      <t>E</t>
    </r>
    <r>
      <rPr>
        <vertAlign val="subscript"/>
        <sz val="11"/>
        <color rgb="FFFF0000"/>
        <rFont val="Calibri"/>
        <family val="2"/>
        <scheme val="minor"/>
      </rPr>
      <t>RC2</t>
    </r>
  </si>
  <si>
    <r>
      <t>E</t>
    </r>
    <r>
      <rPr>
        <vertAlign val="subscript"/>
        <sz val="11"/>
        <color rgb="FFFF0000"/>
        <rFont val="Calibri"/>
        <family val="2"/>
        <scheme val="minor"/>
      </rPr>
      <t>RC3</t>
    </r>
  </si>
  <si>
    <r>
      <t>E</t>
    </r>
    <r>
      <rPr>
        <vertAlign val="subscript"/>
        <sz val="11"/>
        <color rgb="FFFF0000"/>
        <rFont val="Calibri"/>
        <family val="2"/>
        <scheme val="minor"/>
      </rPr>
      <t>RC4</t>
    </r>
  </si>
  <si>
    <r>
      <t>E</t>
    </r>
    <r>
      <rPr>
        <vertAlign val="subscript"/>
        <sz val="11"/>
        <color theme="1"/>
        <rFont val="Calibri"/>
        <family val="2"/>
        <scheme val="minor"/>
      </rPr>
      <t>RC5</t>
    </r>
  </si>
  <si>
    <r>
      <t>E</t>
    </r>
    <r>
      <rPr>
        <vertAlign val="subscript"/>
        <sz val="11"/>
        <color rgb="FFFF0000"/>
        <rFont val="Calibri"/>
        <family val="2"/>
        <scheme val="minor"/>
      </rPr>
      <t>RC5</t>
    </r>
  </si>
  <si>
    <r>
      <t>E</t>
    </r>
    <r>
      <rPr>
        <vertAlign val="subscript"/>
        <sz val="11"/>
        <rFont val="Calibri"/>
        <family val="2"/>
        <scheme val="minor"/>
      </rPr>
      <t>RC5</t>
    </r>
  </si>
  <si>
    <r>
      <t>E</t>
    </r>
    <r>
      <rPr>
        <vertAlign val="subscript"/>
        <sz val="11"/>
        <color rgb="FFFF0000"/>
        <rFont val="Calibri"/>
        <family val="2"/>
        <scheme val="minor"/>
      </rPr>
      <t>RRE2</t>
    </r>
  </si>
  <si>
    <r>
      <t>E</t>
    </r>
    <r>
      <rPr>
        <vertAlign val="subscript"/>
        <sz val="11"/>
        <rFont val="Calibri"/>
        <family val="2"/>
        <scheme val="minor"/>
      </rPr>
      <t>RC2</t>
    </r>
  </si>
  <si>
    <r>
      <t>E</t>
    </r>
    <r>
      <rPr>
        <vertAlign val="subscript"/>
        <sz val="11"/>
        <rFont val="Calibri"/>
        <family val="2"/>
        <scheme val="minor"/>
      </rPr>
      <t>RC3</t>
    </r>
  </si>
  <si>
    <r>
      <t>E</t>
    </r>
    <r>
      <rPr>
        <vertAlign val="subscript"/>
        <sz val="11"/>
        <rFont val="Calibri"/>
        <family val="2"/>
        <scheme val="minor"/>
      </rPr>
      <t>RC4</t>
    </r>
  </si>
  <si>
    <r>
      <t>E</t>
    </r>
    <r>
      <rPr>
        <vertAlign val="subscript"/>
        <sz val="11"/>
        <color rgb="FFFF0000"/>
        <rFont val="Calibri"/>
        <family val="2"/>
        <scheme val="minor"/>
      </rPr>
      <t>RRE3</t>
    </r>
  </si>
  <si>
    <r>
      <t>E</t>
    </r>
    <r>
      <rPr>
        <vertAlign val="subscript"/>
        <sz val="11"/>
        <color rgb="FFFF0000"/>
        <rFont val="Calibri"/>
        <family val="2"/>
        <scheme val="minor"/>
      </rPr>
      <t>RRE4</t>
    </r>
  </si>
  <si>
    <t>GLO</t>
  </si>
  <si>
    <t>transport, freight, lorry 3.5-7.5 metric ton, EURO6</t>
  </si>
  <si>
    <t>Transport (Centre de tri)</t>
  </si>
  <si>
    <t>Sorting center</t>
  </si>
  <si>
    <t>Werner 2007</t>
  </si>
  <si>
    <r>
      <t>E</t>
    </r>
    <r>
      <rPr>
        <vertAlign val="subscript"/>
        <sz val="11"/>
        <color theme="5"/>
        <rFont val="Calibri"/>
        <family val="2"/>
        <scheme val="minor"/>
      </rPr>
      <t>v1</t>
    </r>
    <r>
      <rPr>
        <sz val="11"/>
        <color theme="5"/>
        <rFont val="Calibri"/>
        <family val="2"/>
        <scheme val="minor"/>
      </rPr>
      <t>,E</t>
    </r>
    <r>
      <rPr>
        <vertAlign val="subscript"/>
        <sz val="11"/>
        <color theme="5"/>
        <rFont val="Calibri"/>
        <family val="2"/>
        <scheme val="minor"/>
      </rPr>
      <t>d1</t>
    </r>
    <r>
      <rPr>
        <sz val="11"/>
        <color theme="5"/>
        <rFont val="Calibri"/>
        <family val="2"/>
        <scheme val="minor"/>
      </rPr>
      <t>,E</t>
    </r>
    <r>
      <rPr>
        <vertAlign val="subscript"/>
        <sz val="11"/>
        <color theme="5"/>
        <rFont val="Calibri"/>
        <family val="2"/>
        <scheme val="minor"/>
      </rPr>
      <t>RRE1</t>
    </r>
    <r>
      <rPr>
        <sz val="11"/>
        <color theme="5"/>
        <rFont val="Calibri"/>
        <family val="2"/>
        <scheme val="minor"/>
      </rPr>
      <t>,A</t>
    </r>
    <r>
      <rPr>
        <vertAlign val="subscript"/>
        <sz val="11"/>
        <color theme="5"/>
        <rFont val="Calibri"/>
        <family val="2"/>
        <scheme val="minor"/>
      </rPr>
      <t>1</t>
    </r>
    <r>
      <rPr>
        <sz val="11"/>
        <color theme="5"/>
        <rFont val="Calibri"/>
        <family val="2"/>
        <scheme val="minor"/>
      </rPr>
      <t>,D</t>
    </r>
    <r>
      <rPr>
        <vertAlign val="subscript"/>
        <sz val="11"/>
        <color theme="5"/>
        <rFont val="Calibri"/>
        <family val="2"/>
        <scheme val="minor"/>
      </rPr>
      <t>1</t>
    </r>
    <r>
      <rPr>
        <sz val="11"/>
        <color theme="5"/>
        <rFont val="Calibri"/>
        <family val="2"/>
        <scheme val="minor"/>
      </rPr>
      <t>,b</t>
    </r>
    <r>
      <rPr>
        <vertAlign val="subscript"/>
        <sz val="11"/>
        <color theme="5"/>
        <rFont val="Calibri"/>
        <family val="2"/>
        <scheme val="minor"/>
      </rPr>
      <t>1</t>
    </r>
  </si>
  <si>
    <r>
      <t>E</t>
    </r>
    <r>
      <rPr>
        <vertAlign val="subscript"/>
        <sz val="11"/>
        <color theme="5"/>
        <rFont val="Calibri"/>
        <family val="2"/>
        <scheme val="minor"/>
      </rPr>
      <t>v2</t>
    </r>
    <r>
      <rPr>
        <sz val="11"/>
        <color theme="5"/>
        <rFont val="Calibri"/>
        <family val="2"/>
        <scheme val="minor"/>
      </rPr>
      <t>,E</t>
    </r>
    <r>
      <rPr>
        <vertAlign val="subscript"/>
        <sz val="11"/>
        <color theme="5"/>
        <rFont val="Calibri"/>
        <family val="2"/>
        <scheme val="minor"/>
      </rPr>
      <t>d2</t>
    </r>
    <r>
      <rPr>
        <sz val="11"/>
        <color theme="5"/>
        <rFont val="Calibri"/>
        <family val="2"/>
        <scheme val="minor"/>
      </rPr>
      <t>,E</t>
    </r>
    <r>
      <rPr>
        <vertAlign val="subscript"/>
        <sz val="11"/>
        <color theme="5"/>
        <rFont val="Calibri"/>
        <family val="2"/>
        <scheme val="minor"/>
      </rPr>
      <t>RRE2</t>
    </r>
    <r>
      <rPr>
        <sz val="11"/>
        <color theme="5"/>
        <rFont val="Calibri"/>
        <family val="2"/>
        <scheme val="minor"/>
      </rPr>
      <t>,A</t>
    </r>
    <r>
      <rPr>
        <vertAlign val="subscript"/>
        <sz val="11"/>
        <color theme="5"/>
        <rFont val="Calibri"/>
        <family val="2"/>
        <scheme val="minor"/>
      </rPr>
      <t>2</t>
    </r>
    <r>
      <rPr>
        <sz val="11"/>
        <color theme="5"/>
        <rFont val="Calibri"/>
        <family val="2"/>
        <scheme val="minor"/>
      </rPr>
      <t>,D</t>
    </r>
    <r>
      <rPr>
        <vertAlign val="subscript"/>
        <sz val="11"/>
        <color theme="5"/>
        <rFont val="Calibri"/>
        <family val="2"/>
        <scheme val="minor"/>
      </rPr>
      <t>2</t>
    </r>
    <r>
      <rPr>
        <sz val="11"/>
        <color theme="5"/>
        <rFont val="Calibri"/>
        <family val="2"/>
        <scheme val="minor"/>
      </rPr>
      <t>, b</t>
    </r>
    <r>
      <rPr>
        <vertAlign val="subscript"/>
        <sz val="11"/>
        <color theme="5"/>
        <rFont val="Calibri"/>
        <family val="2"/>
        <scheme val="minor"/>
      </rPr>
      <t>2</t>
    </r>
  </si>
  <si>
    <r>
      <t>E</t>
    </r>
    <r>
      <rPr>
        <vertAlign val="subscript"/>
        <sz val="11"/>
        <color theme="5"/>
        <rFont val="Calibri"/>
        <family val="2"/>
        <scheme val="minor"/>
      </rPr>
      <t>v3</t>
    </r>
    <r>
      <rPr>
        <sz val="11"/>
        <color theme="5"/>
        <rFont val="Calibri"/>
        <family val="2"/>
        <scheme val="minor"/>
      </rPr>
      <t>,E</t>
    </r>
    <r>
      <rPr>
        <vertAlign val="subscript"/>
        <sz val="11"/>
        <color theme="5"/>
        <rFont val="Calibri"/>
        <family val="2"/>
        <scheme val="minor"/>
      </rPr>
      <t>d3</t>
    </r>
    <r>
      <rPr>
        <sz val="11"/>
        <color theme="5"/>
        <rFont val="Calibri"/>
        <family val="2"/>
        <scheme val="minor"/>
      </rPr>
      <t>,E</t>
    </r>
    <r>
      <rPr>
        <vertAlign val="subscript"/>
        <sz val="11"/>
        <color theme="5"/>
        <rFont val="Calibri"/>
        <family val="2"/>
        <scheme val="minor"/>
      </rPr>
      <t>RRE3</t>
    </r>
    <r>
      <rPr>
        <sz val="11"/>
        <color theme="5"/>
        <rFont val="Calibri"/>
        <family val="2"/>
        <scheme val="minor"/>
      </rPr>
      <t>,A</t>
    </r>
    <r>
      <rPr>
        <vertAlign val="subscript"/>
        <sz val="11"/>
        <color theme="5"/>
        <rFont val="Calibri"/>
        <family val="2"/>
        <scheme val="minor"/>
      </rPr>
      <t>3</t>
    </r>
    <r>
      <rPr>
        <sz val="11"/>
        <color theme="5"/>
        <rFont val="Calibri"/>
        <family val="2"/>
        <scheme val="minor"/>
      </rPr>
      <t>,D</t>
    </r>
    <r>
      <rPr>
        <vertAlign val="subscript"/>
        <sz val="11"/>
        <color theme="5"/>
        <rFont val="Calibri"/>
        <family val="2"/>
        <scheme val="minor"/>
      </rPr>
      <t>3</t>
    </r>
    <r>
      <rPr>
        <sz val="11"/>
        <color theme="5"/>
        <rFont val="Calibri"/>
        <family val="2"/>
        <scheme val="minor"/>
      </rPr>
      <t>, b</t>
    </r>
    <r>
      <rPr>
        <vertAlign val="subscript"/>
        <sz val="11"/>
        <color theme="5"/>
        <rFont val="Calibri"/>
        <family val="2"/>
        <scheme val="minor"/>
      </rPr>
      <t>3</t>
    </r>
  </si>
  <si>
    <r>
      <t>E</t>
    </r>
    <r>
      <rPr>
        <vertAlign val="subscript"/>
        <sz val="11"/>
        <color theme="5"/>
        <rFont val="Calibri"/>
        <family val="2"/>
        <scheme val="minor"/>
      </rPr>
      <t>v4</t>
    </r>
    <r>
      <rPr>
        <sz val="11"/>
        <color theme="5"/>
        <rFont val="Calibri"/>
        <family val="2"/>
        <scheme val="minor"/>
      </rPr>
      <t>,E</t>
    </r>
    <r>
      <rPr>
        <vertAlign val="subscript"/>
        <sz val="11"/>
        <color theme="5"/>
        <rFont val="Calibri"/>
        <family val="2"/>
        <scheme val="minor"/>
      </rPr>
      <t>d4</t>
    </r>
    <r>
      <rPr>
        <sz val="11"/>
        <color theme="5"/>
        <rFont val="Calibri"/>
        <family val="2"/>
        <scheme val="minor"/>
      </rPr>
      <t>,E</t>
    </r>
    <r>
      <rPr>
        <vertAlign val="subscript"/>
        <sz val="11"/>
        <color theme="5"/>
        <rFont val="Calibri"/>
        <family val="2"/>
        <scheme val="minor"/>
      </rPr>
      <t>RRE4</t>
    </r>
    <r>
      <rPr>
        <sz val="11"/>
        <color theme="5"/>
        <rFont val="Calibri"/>
        <family val="2"/>
        <scheme val="minor"/>
      </rPr>
      <t>,A</t>
    </r>
    <r>
      <rPr>
        <vertAlign val="subscript"/>
        <sz val="11"/>
        <color theme="5"/>
        <rFont val="Calibri"/>
        <family val="2"/>
        <scheme val="minor"/>
      </rPr>
      <t>3</t>
    </r>
    <r>
      <rPr>
        <sz val="11"/>
        <color theme="5"/>
        <rFont val="Calibri"/>
        <family val="2"/>
        <scheme val="minor"/>
      </rPr>
      <t>,D</t>
    </r>
    <r>
      <rPr>
        <vertAlign val="subscript"/>
        <sz val="11"/>
        <color theme="5"/>
        <rFont val="Calibri"/>
        <family val="2"/>
        <scheme val="minor"/>
      </rPr>
      <t>3</t>
    </r>
    <r>
      <rPr>
        <sz val="11"/>
        <color theme="5"/>
        <rFont val="Calibri"/>
        <family val="2"/>
        <scheme val="minor"/>
      </rPr>
      <t>, b</t>
    </r>
    <r>
      <rPr>
        <vertAlign val="subscript"/>
        <sz val="11"/>
        <color theme="5"/>
        <rFont val="Calibri"/>
        <family val="2"/>
        <scheme val="minor"/>
      </rPr>
      <t>4</t>
    </r>
  </si>
  <si>
    <t>recycled glued laminated timber production, for indoor use</t>
  </si>
  <si>
    <t>recycled oriented strand board production</t>
  </si>
  <si>
    <t>recycling process of planing, board, softwood, u=20%</t>
  </si>
  <si>
    <t>recycled particle board production</t>
  </si>
  <si>
    <t>Werner et al 2007/Proxy</t>
  </si>
  <si>
    <t>Système CHP</t>
  </si>
  <si>
    <r>
      <t>E</t>
    </r>
    <r>
      <rPr>
        <vertAlign val="subscript"/>
        <sz val="11"/>
        <color theme="1"/>
        <rFont val="Calibri"/>
        <family val="2"/>
        <scheme val="minor"/>
      </rPr>
      <t>cascade_1</t>
    </r>
  </si>
  <si>
    <r>
      <t>E</t>
    </r>
    <r>
      <rPr>
        <vertAlign val="subscript"/>
        <sz val="11"/>
        <color theme="1"/>
        <rFont val="Calibri"/>
        <family val="2"/>
        <scheme val="minor"/>
      </rPr>
      <t>sub_1</t>
    </r>
  </si>
  <si>
    <r>
      <t>E</t>
    </r>
    <r>
      <rPr>
        <vertAlign val="subscript"/>
        <sz val="11"/>
        <color theme="1"/>
        <rFont val="Calibri"/>
        <family val="2"/>
        <scheme val="minor"/>
      </rPr>
      <t>alt_1</t>
    </r>
  </si>
  <si>
    <r>
      <t>E</t>
    </r>
    <r>
      <rPr>
        <vertAlign val="subscript"/>
        <sz val="11"/>
        <color theme="1"/>
        <rFont val="Calibri"/>
        <family val="2"/>
        <scheme val="minor"/>
      </rPr>
      <t>cascade_2</t>
    </r>
  </si>
  <si>
    <r>
      <t>E</t>
    </r>
    <r>
      <rPr>
        <vertAlign val="subscript"/>
        <sz val="11"/>
        <color theme="1"/>
        <rFont val="Calibri"/>
        <family val="2"/>
        <scheme val="minor"/>
      </rPr>
      <t>sub_2</t>
    </r>
  </si>
  <si>
    <r>
      <t>E</t>
    </r>
    <r>
      <rPr>
        <vertAlign val="subscript"/>
        <sz val="11"/>
        <color theme="1"/>
        <rFont val="Calibri"/>
        <family val="2"/>
        <scheme val="minor"/>
      </rPr>
      <t>alt_2</t>
    </r>
  </si>
  <si>
    <r>
      <t>E</t>
    </r>
    <r>
      <rPr>
        <vertAlign val="subscript"/>
        <sz val="11"/>
        <color theme="1"/>
        <rFont val="Calibri"/>
        <family val="2"/>
        <scheme val="minor"/>
      </rPr>
      <t>cascade_3</t>
    </r>
  </si>
  <si>
    <r>
      <t>E</t>
    </r>
    <r>
      <rPr>
        <vertAlign val="subscript"/>
        <sz val="11"/>
        <color theme="1"/>
        <rFont val="Calibri"/>
        <family val="2"/>
        <scheme val="minor"/>
      </rPr>
      <t>sub_3</t>
    </r>
  </si>
  <si>
    <r>
      <t>E</t>
    </r>
    <r>
      <rPr>
        <vertAlign val="subscript"/>
        <sz val="11"/>
        <color theme="1"/>
        <rFont val="Calibri"/>
        <family val="2"/>
        <scheme val="minor"/>
      </rPr>
      <t>sub_4</t>
    </r>
  </si>
  <si>
    <r>
      <t>E</t>
    </r>
    <r>
      <rPr>
        <vertAlign val="subscript"/>
        <sz val="11"/>
        <color theme="1"/>
        <rFont val="Calibri"/>
        <family val="2"/>
        <scheme val="minor"/>
      </rPr>
      <t>alt_3</t>
    </r>
  </si>
  <si>
    <r>
      <t>E</t>
    </r>
    <r>
      <rPr>
        <vertAlign val="subscript"/>
        <sz val="11"/>
        <color theme="1"/>
        <rFont val="Calibri"/>
        <family val="2"/>
        <scheme val="minor"/>
      </rPr>
      <t>alt_4</t>
    </r>
  </si>
  <si>
    <r>
      <t>E</t>
    </r>
    <r>
      <rPr>
        <vertAlign val="subscript"/>
        <sz val="11"/>
        <color theme="1"/>
        <rFont val="Calibri"/>
        <family val="2"/>
        <scheme val="minor"/>
      </rPr>
      <t>cascade_4</t>
    </r>
  </si>
  <si>
    <r>
      <t>E</t>
    </r>
    <r>
      <rPr>
        <vertAlign val="subscript"/>
        <sz val="11"/>
        <color theme="1"/>
        <rFont val="Calibri"/>
        <family val="2"/>
        <scheme val="minor"/>
      </rPr>
      <t>cascade_5</t>
    </r>
  </si>
  <si>
    <r>
      <t>E</t>
    </r>
    <r>
      <rPr>
        <vertAlign val="subscript"/>
        <sz val="11"/>
        <color theme="1"/>
        <rFont val="Calibri"/>
        <family val="2"/>
        <scheme val="minor"/>
      </rPr>
      <t>sub_5</t>
    </r>
  </si>
  <si>
    <t>Système CHP (in-house)</t>
  </si>
  <si>
    <t>electricity production, wind, 1-3MW turbine, onshore</t>
  </si>
  <si>
    <t>Cascade recycling of timber</t>
  </si>
  <si>
    <t>ecoinvent 3.5 - cut-off database</t>
  </si>
  <si>
    <t>Virgin materials - Cut-off approach - PVCOBCO</t>
  </si>
  <si>
    <t>Product</t>
  </si>
  <si>
    <t>Life cycle number</t>
  </si>
  <si>
    <t>Category</t>
  </si>
  <si>
    <t>Life cycle stage</t>
  </si>
  <si>
    <t>Product's name</t>
  </si>
  <si>
    <t>Quantity</t>
  </si>
  <si>
    <t>Unit</t>
  </si>
  <si>
    <t>Dataset name</t>
  </si>
  <si>
    <t>Softwood lumber</t>
  </si>
  <si>
    <t>Glued-laminated timber</t>
  </si>
  <si>
    <t>Oriented Strand Board (OSB)</t>
  </si>
  <si>
    <t>Particle board</t>
  </si>
  <si>
    <t>Energy valorization</t>
  </si>
  <si>
    <t>End of life</t>
  </si>
  <si>
    <t>Adapted proxy</t>
  </si>
  <si>
    <t>Softwood lumber production</t>
  </si>
  <si>
    <t>Deconstruction/Demolition</t>
  </si>
  <si>
    <t>Transport (to sorting center)</t>
  </si>
  <si>
    <t>Rejected fraction after sorting</t>
  </si>
  <si>
    <t>Transport (to landfill)</t>
  </si>
  <si>
    <t>Landfilling</t>
  </si>
  <si>
    <t>Glued-laminated timber production</t>
  </si>
  <si>
    <t xml:space="preserve">Oriented strand board </t>
  </si>
  <si>
    <t>Cascade system- Cut-off approach - FPICOBCO</t>
  </si>
  <si>
    <t>Oriented strand board</t>
  </si>
  <si>
    <t>Transport (landfill)</t>
  </si>
  <si>
    <t>Sorting (waste softwood lumber)</t>
  </si>
  <si>
    <t>Transport (residues to production facility)</t>
  </si>
  <si>
    <t>Reprocessing of residues</t>
  </si>
  <si>
    <t>Recycled glued-laminated timber production</t>
  </si>
  <si>
    <t>Oriented strand board production</t>
  </si>
  <si>
    <t>Sorting (waste glued-laminated timber)</t>
  </si>
  <si>
    <t>Recycled oriented strand board production</t>
  </si>
  <si>
    <t>Particle board production</t>
  </si>
  <si>
    <t>Sorting (waste oriented strand board)</t>
  </si>
  <si>
    <t>Recycled particle board production</t>
  </si>
  <si>
    <t>Sorting (waste particle board)</t>
  </si>
  <si>
    <t>Virgin materials - Open-loop approach (Schrijvers 2016) - PVOLSBCO</t>
  </si>
  <si>
    <t>Previous life cycle</t>
  </si>
  <si>
    <t>Cascade system - Open-loop approach (Schrijvers 2016)  - FPIOLSBCO</t>
  </si>
  <si>
    <t>Virgin materials  - Proposed approach - PVOLPBCO</t>
  </si>
  <si>
    <t>Cascade system -  Proposed approach - FPIOLPBCO</t>
  </si>
  <si>
    <t>ecoinvent 3.5 consequential database</t>
  </si>
  <si>
    <t>Cascade system - Consequential modelling - FPICQBCQ</t>
  </si>
  <si>
    <t xml:space="preserve"> CHP (in-house)</t>
  </si>
  <si>
    <t>Electricity - wind turbine</t>
  </si>
  <si>
    <t>CHP (in-house)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</si>
</sst>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"/>
    <numFmt numFmtId="166" formatCode="0.000"/>
  </numFmts>
  <fonts count="1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vertAlign val="subscript"/>
      <sz val="11"/>
      <color rgb="FFFF0000"/>
      <name val="Calibri"/>
      <family val="2"/>
      <scheme val="minor"/>
    </font>
    <font>
      <b/>
      <sz val="9"/>
      <color indexed="81"/>
      <name val="Tahoma"/>
      <family val="2"/>
    </font>
    <font>
      <sz val="11"/>
      <name val="Calibri"/>
      <family val="2"/>
      <scheme val="minor"/>
    </font>
    <font>
      <vertAlign val="subscript"/>
      <sz val="11"/>
      <name val="Calibri"/>
      <family val="2"/>
      <scheme val="minor"/>
    </font>
    <font>
      <sz val="11"/>
      <color theme="5"/>
      <name val="Calibri"/>
      <family val="2"/>
      <scheme val="minor"/>
    </font>
    <font>
      <vertAlign val="subscript"/>
      <sz val="11"/>
      <color theme="5"/>
      <name val="Calibri"/>
      <family val="2"/>
      <scheme val="minor"/>
    </font>
    <font>
      <sz val="9"/>
      <color indexed="81"/>
      <name val="Tahoma"/>
      <family val="2"/>
    </font>
    <font>
      <sz val="11"/>
      <color theme="8" tint="-0.249977111117893"/>
      <name val="Calibri"/>
      <family val="2"/>
      <scheme val="minor"/>
    </font>
    <font>
      <sz val="11"/>
      <color theme="4"/>
      <name val="Calibri"/>
      <family val="2"/>
      <scheme val="minor"/>
    </font>
    <font>
      <sz val="8"/>
      <name val="Calibri"/>
      <family val="2"/>
      <scheme val="minor"/>
    </font>
    <font>
      <sz val="11"/>
      <color theme="9" tint="0.3999755851924192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ashDotDot">
        <color indexed="64"/>
      </bottom>
      <diagonal/>
    </border>
    <border>
      <left/>
      <right/>
      <top/>
      <bottom style="dashDot">
        <color indexed="64"/>
      </bottom>
      <diagonal/>
    </border>
    <border>
      <left/>
      <right/>
      <top style="dashDotDot">
        <color indexed="64"/>
      </top>
      <bottom/>
      <diagonal/>
    </border>
    <border>
      <left/>
      <right/>
      <top style="dashDot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140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2" borderId="0" xfId="0" applyFill="1" applyBorder="1"/>
    <xf numFmtId="0" fontId="0" fillId="2" borderId="3" xfId="0" applyFill="1" applyBorder="1"/>
    <xf numFmtId="0" fontId="0" fillId="2" borderId="0" xfId="0" applyFill="1" applyBorder="1" applyAlignment="1">
      <alignment vertical="center"/>
    </xf>
    <xf numFmtId="0" fontId="0" fillId="2" borderId="5" xfId="0" applyFill="1" applyBorder="1"/>
    <xf numFmtId="0" fontId="0" fillId="2" borderId="6" xfId="0" applyFill="1" applyBorder="1"/>
    <xf numFmtId="0" fontId="0" fillId="2" borderId="1" xfId="0" applyFill="1" applyBorder="1" applyAlignment="1">
      <alignment vertical="center"/>
    </xf>
    <xf numFmtId="0" fontId="0" fillId="2" borderId="0" xfId="0" applyFill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2" borderId="0" xfId="0" applyFont="1" applyFill="1"/>
    <xf numFmtId="0" fontId="0" fillId="2" borderId="0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vertical="center" wrapText="1"/>
    </xf>
    <xf numFmtId="0" fontId="0" fillId="2" borderId="0" xfId="0" applyFill="1" applyBorder="1" applyAlignment="1">
      <alignment horizontal="left"/>
    </xf>
    <xf numFmtId="0" fontId="0" fillId="2" borderId="0" xfId="0" applyFill="1" applyAlignment="1">
      <alignment horizontal="left"/>
    </xf>
    <xf numFmtId="0" fontId="0" fillId="2" borderId="0" xfId="0" applyFill="1" applyAlignment="1">
      <alignment vertical="center" wrapText="1"/>
    </xf>
    <xf numFmtId="0" fontId="0" fillId="2" borderId="10" xfId="0" applyFill="1" applyBorder="1" applyAlignment="1">
      <alignment horizontal="center"/>
    </xf>
    <xf numFmtId="0" fontId="0" fillId="2" borderId="10" xfId="0" applyFill="1" applyBorder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left"/>
    </xf>
    <xf numFmtId="0" fontId="0" fillId="2" borderId="0" xfId="0" applyFont="1" applyFill="1" applyAlignment="1">
      <alignment horizontal="center"/>
    </xf>
    <xf numFmtId="0" fontId="1" fillId="2" borderId="0" xfId="0" applyFont="1" applyFill="1" applyAlignment="1"/>
    <xf numFmtId="0" fontId="0" fillId="2" borderId="0" xfId="0" applyFill="1" applyBorder="1" applyAlignment="1">
      <alignment horizontal="center" vertical="center" textRotation="90" wrapText="1"/>
    </xf>
    <xf numFmtId="0" fontId="0" fillId="2" borderId="0" xfId="0" applyFill="1" applyBorder="1" applyAlignment="1">
      <alignment horizontal="center" vertical="center"/>
    </xf>
    <xf numFmtId="0" fontId="0" fillId="2" borderId="0" xfId="0" applyFill="1" applyBorder="1" applyAlignment="1">
      <alignment horizontal="left" vertical="center"/>
    </xf>
    <xf numFmtId="0" fontId="0" fillId="2" borderId="1" xfId="0" applyFill="1" applyBorder="1" applyAlignment="1">
      <alignment horizontal="center" vertical="center" textRotation="90" wrapText="1"/>
    </xf>
    <xf numFmtId="0" fontId="1" fillId="2" borderId="0" xfId="0" applyFont="1" applyFill="1" applyBorder="1"/>
    <xf numFmtId="0" fontId="0" fillId="2" borderId="0" xfId="0" applyFill="1" applyBorder="1" applyAlignment="1">
      <alignment vertical="center" textRotation="90"/>
    </xf>
    <xf numFmtId="0" fontId="0" fillId="2" borderId="0" xfId="0" applyFill="1" applyBorder="1" applyAlignment="1">
      <alignment vertical="center" textRotation="90" wrapText="1"/>
    </xf>
    <xf numFmtId="0" fontId="0" fillId="2" borderId="13" xfId="0" applyFill="1" applyBorder="1"/>
    <xf numFmtId="0" fontId="1" fillId="2" borderId="3" xfId="0" applyFont="1" applyFill="1" applyBorder="1"/>
    <xf numFmtId="0" fontId="0" fillId="2" borderId="14" xfId="0" applyFill="1" applyBorder="1"/>
    <xf numFmtId="0" fontId="0" fillId="2" borderId="15" xfId="0" applyFill="1" applyBorder="1"/>
    <xf numFmtId="0" fontId="1" fillId="2" borderId="1" xfId="0" applyFont="1" applyFill="1" applyBorder="1"/>
    <xf numFmtId="0" fontId="2" fillId="2" borderId="0" xfId="0" applyFont="1" applyFill="1" applyBorder="1"/>
    <xf numFmtId="0" fontId="2" fillId="2" borderId="0" xfId="0" applyFont="1" applyFill="1" applyBorder="1" applyAlignment="1">
      <alignment horizontal="right"/>
    </xf>
    <xf numFmtId="0" fontId="2" fillId="2" borderId="5" xfId="0" applyFont="1" applyFill="1" applyBorder="1"/>
    <xf numFmtId="0" fontId="0" fillId="2" borderId="10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4" xfId="0" applyFill="1" applyBorder="1"/>
    <xf numFmtId="14" fontId="0" fillId="2" borderId="3" xfId="0" applyNumberFormat="1" applyFill="1" applyBorder="1" applyAlignment="1">
      <alignment horizontal="left"/>
    </xf>
    <xf numFmtId="14" fontId="2" fillId="2" borderId="0" xfId="0" applyNumberFormat="1" applyFont="1" applyFill="1" applyBorder="1" applyAlignment="1">
      <alignment horizontal="left"/>
    </xf>
    <xf numFmtId="0" fontId="0" fillId="2" borderId="0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6" fillId="2" borderId="0" xfId="0" applyFont="1" applyFill="1" applyAlignment="1">
      <alignment horizontal="center"/>
    </xf>
    <xf numFmtId="0" fontId="6" fillId="2" borderId="0" xfId="0" applyFont="1" applyFill="1" applyAlignment="1">
      <alignment horizontal="left"/>
    </xf>
    <xf numFmtId="0" fontId="0" fillId="2" borderId="0" xfId="0" applyFill="1" applyBorder="1" applyAlignment="1">
      <alignment horizontal="center" vertical="center"/>
    </xf>
    <xf numFmtId="0" fontId="0" fillId="2" borderId="0" xfId="0" applyFill="1" applyBorder="1" applyAlignment="1"/>
    <xf numFmtId="0" fontId="0" fillId="2" borderId="0" xfId="0" applyFill="1" applyBorder="1" applyAlignment="1">
      <alignment vertical="center" wrapText="1"/>
    </xf>
    <xf numFmtId="0" fontId="1" fillId="2" borderId="0" xfId="0" applyFont="1" applyFill="1" applyBorder="1" applyAlignment="1"/>
    <xf numFmtId="0" fontId="1" fillId="2" borderId="0" xfId="0" applyFont="1" applyFill="1" applyAlignment="1">
      <alignment vertical="center" textRotation="90"/>
    </xf>
    <xf numFmtId="0" fontId="0" fillId="2" borderId="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 textRotation="90" wrapText="1"/>
    </xf>
    <xf numFmtId="0" fontId="0" fillId="2" borderId="0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0" xfId="0" applyFill="1" applyBorder="1" applyAlignment="1">
      <alignment horizontal="center" vertical="center" textRotation="90" wrapText="1"/>
    </xf>
    <xf numFmtId="0" fontId="0" fillId="2" borderId="0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0" xfId="0" applyFill="1" applyAlignment="1">
      <alignment horizontal="center" vertical="center" wrapText="1"/>
    </xf>
    <xf numFmtId="0" fontId="8" fillId="2" borderId="0" xfId="0" applyFont="1" applyFill="1" applyBorder="1" applyAlignment="1">
      <alignment horizontal="center"/>
    </xf>
    <xf numFmtId="0" fontId="8" fillId="2" borderId="0" xfId="0" applyFont="1" applyFill="1" applyBorder="1"/>
    <xf numFmtId="0" fontId="6" fillId="2" borderId="1" xfId="0" applyFont="1" applyFill="1" applyBorder="1"/>
    <xf numFmtId="0" fontId="6" fillId="2" borderId="1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left" vertical="center"/>
    </xf>
    <xf numFmtId="0" fontId="0" fillId="2" borderId="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 textRotation="90" wrapText="1"/>
    </xf>
    <xf numFmtId="0" fontId="0" fillId="2" borderId="0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2" fontId="6" fillId="2" borderId="0" xfId="0" applyNumberFormat="1" applyFont="1" applyFill="1" applyAlignment="1">
      <alignment horizontal="center"/>
    </xf>
    <xf numFmtId="2" fontId="11" fillId="2" borderId="0" xfId="0" applyNumberFormat="1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2" fillId="2" borderId="1" xfId="0" applyFont="1" applyFill="1" applyBorder="1" applyAlignment="1">
      <alignment horizontal="center"/>
    </xf>
    <xf numFmtId="0" fontId="12" fillId="2" borderId="0" xfId="0" applyFont="1" applyFill="1" applyAlignment="1">
      <alignment horizontal="center"/>
    </xf>
    <xf numFmtId="164" fontId="0" fillId="2" borderId="0" xfId="0" applyNumberFormat="1" applyFill="1" applyAlignment="1">
      <alignment horizontal="center"/>
    </xf>
    <xf numFmtId="2" fontId="0" fillId="2" borderId="0" xfId="0" applyNumberFormat="1" applyFill="1" applyAlignment="1">
      <alignment horizontal="center"/>
    </xf>
    <xf numFmtId="165" fontId="0" fillId="2" borderId="0" xfId="0" applyNumberFormat="1" applyFill="1" applyAlignment="1">
      <alignment horizontal="center"/>
    </xf>
    <xf numFmtId="0" fontId="0" fillId="2" borderId="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165" fontId="11" fillId="2" borderId="0" xfId="0" applyNumberFormat="1" applyFont="1" applyFill="1" applyAlignment="1">
      <alignment horizontal="center"/>
    </xf>
    <xf numFmtId="166" fontId="0" fillId="2" borderId="0" xfId="0" applyNumberFormat="1" applyFill="1" applyAlignment="1">
      <alignment horizontal="center"/>
    </xf>
    <xf numFmtId="2" fontId="0" fillId="2" borderId="0" xfId="0" applyNumberFormat="1" applyFill="1" applyBorder="1" applyAlignment="1">
      <alignment horizontal="center"/>
    </xf>
    <xf numFmtId="166" fontId="0" fillId="2" borderId="0" xfId="0" applyNumberFormat="1" applyFill="1" applyBorder="1" applyAlignment="1">
      <alignment horizontal="center"/>
    </xf>
    <xf numFmtId="0" fontId="0" fillId="2" borderId="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1" fillId="2" borderId="10" xfId="0" applyFont="1" applyFill="1" applyBorder="1"/>
    <xf numFmtId="0" fontId="1" fillId="2" borderId="10" xfId="0" applyFont="1" applyFill="1" applyBorder="1" applyAlignment="1">
      <alignment horizontal="center"/>
    </xf>
    <xf numFmtId="0" fontId="14" fillId="2" borderId="0" xfId="0" applyFont="1" applyFill="1" applyBorder="1" applyAlignment="1">
      <alignment horizontal="center"/>
    </xf>
    <xf numFmtId="0" fontId="14" fillId="2" borderId="0" xfId="0" applyFont="1" applyFill="1" applyAlignment="1">
      <alignment horizontal="center"/>
    </xf>
    <xf numFmtId="0" fontId="14" fillId="2" borderId="0" xfId="0" applyFont="1" applyFill="1" applyBorder="1"/>
    <xf numFmtId="0" fontId="14" fillId="2" borderId="0" xfId="0" applyFont="1" applyFill="1"/>
    <xf numFmtId="0" fontId="0" fillId="2" borderId="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0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 textRotation="90"/>
    </xf>
    <xf numFmtId="0" fontId="0" fillId="2" borderId="0" xfId="0" applyFill="1" applyBorder="1" applyAlignment="1">
      <alignment horizontal="center" vertical="center" textRotation="90"/>
    </xf>
    <xf numFmtId="0" fontId="0" fillId="2" borderId="9" xfId="0" applyFill="1" applyBorder="1" applyAlignment="1">
      <alignment horizontal="center" vertical="center" textRotation="90"/>
    </xf>
    <xf numFmtId="0" fontId="0" fillId="2" borderId="11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 textRotation="90"/>
    </xf>
    <xf numFmtId="0" fontId="0" fillId="2" borderId="1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 textRotation="90" wrapText="1"/>
    </xf>
    <xf numFmtId="0" fontId="0" fillId="2" borderId="0" xfId="0" applyFill="1" applyBorder="1" applyAlignment="1">
      <alignment horizontal="center" vertical="center" textRotation="90" wrapText="1"/>
    </xf>
    <xf numFmtId="0" fontId="0" fillId="2" borderId="1" xfId="0" applyFill="1" applyBorder="1" applyAlignment="1">
      <alignment horizontal="center" vertical="center" textRotation="90" wrapText="1"/>
    </xf>
    <xf numFmtId="0" fontId="0" fillId="2" borderId="10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 textRotation="90"/>
    </xf>
    <xf numFmtId="0" fontId="0" fillId="2" borderId="12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 textRotation="90"/>
    </xf>
    <xf numFmtId="0" fontId="2" fillId="2" borderId="0" xfId="0" applyFont="1" applyFill="1" applyBorder="1" applyAlignment="1">
      <alignment horizontal="right"/>
    </xf>
    <xf numFmtId="0" fontId="0" fillId="2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center"/>
    </xf>
    <xf numFmtId="0" fontId="0" fillId="4" borderId="2" xfId="0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2" borderId="2" xfId="0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70595-8B95-4F68-BB96-3E0D082A8A5C}">
  <sheetPr>
    <pageSetUpPr fitToPage="1"/>
  </sheetPr>
  <dimension ref="A1:BN368"/>
  <sheetViews>
    <sheetView tabSelected="1" topLeftCell="P239" zoomScale="90" zoomScaleNormal="90" workbookViewId="0">
      <selection activeCell="U261" sqref="U261"/>
    </sheetView>
  </sheetViews>
  <sheetFormatPr defaultRowHeight="15" x14ac:dyDescent="0.25"/>
  <cols>
    <col min="1" max="1" width="9.140625" style="1"/>
    <col min="2" max="2" width="13.5703125" style="13" customWidth="1"/>
    <col min="3" max="3" width="8.140625" style="1" customWidth="1"/>
    <col min="4" max="4" width="12" style="1" customWidth="1"/>
    <col min="5" max="5" width="13" style="1" customWidth="1"/>
    <col min="6" max="6" width="12.85546875" style="1" customWidth="1"/>
    <col min="7" max="7" width="40.140625" style="1" bestFit="1" customWidth="1"/>
    <col min="8" max="8" width="11.140625" style="1" customWidth="1"/>
    <col min="9" max="9" width="12.42578125" style="1" customWidth="1"/>
    <col min="10" max="10" width="59.5703125" style="1" customWidth="1"/>
    <col min="11" max="11" width="16.28515625" style="1" customWidth="1"/>
    <col min="12" max="13" width="9.140625" style="1"/>
    <col min="14" max="15" width="9.140625" style="13"/>
    <col min="16" max="16" width="20.5703125" style="1" customWidth="1"/>
    <col min="17" max="17" width="11.28515625" style="1" customWidth="1"/>
    <col min="18" max="18" width="11.42578125" style="1" customWidth="1"/>
    <col min="19" max="19" width="10.85546875" style="1" customWidth="1"/>
    <col min="20" max="20" width="15.140625" style="1" customWidth="1"/>
    <col min="21" max="21" width="44.7109375" style="1" bestFit="1" customWidth="1"/>
    <col min="22" max="22" width="9.85546875" style="1" customWidth="1"/>
    <col min="23" max="23" width="12.85546875" style="1" customWidth="1"/>
    <col min="24" max="24" width="68.5703125" style="1" customWidth="1"/>
    <col min="25" max="25" width="13.5703125" style="1" customWidth="1"/>
    <col min="26" max="26" width="9.140625" style="1"/>
    <col min="27" max="27" width="15.28515625" style="1" customWidth="1"/>
    <col min="28" max="28" width="11" style="1" bestFit="1" customWidth="1"/>
    <col min="29" max="29" width="11.28515625" style="1" bestFit="1" customWidth="1"/>
    <col min="30" max="30" width="12.7109375" style="1" bestFit="1" customWidth="1"/>
    <col min="31" max="31" width="20.7109375" style="1" customWidth="1"/>
    <col min="32" max="32" width="13.140625" style="1" customWidth="1"/>
    <col min="33" max="33" width="3.28515625" style="1" customWidth="1"/>
    <col min="34" max="34" width="18.42578125" style="1" hidden="1" customWidth="1"/>
    <col min="35" max="35" width="16.42578125" style="1" customWidth="1"/>
    <col min="36" max="36" width="9.140625" style="1"/>
    <col min="37" max="37" width="10.85546875" style="1" customWidth="1"/>
    <col min="38" max="66" width="9.140625" style="1"/>
    <col min="76" max="76" width="10.85546875" bestFit="1" customWidth="1"/>
  </cols>
  <sheetData>
    <row r="1" spans="2:57" ht="15.75" thickBot="1" x14ac:dyDescent="0.3">
      <c r="U1" s="2"/>
      <c r="V1" s="2"/>
      <c r="W1" s="2"/>
    </row>
    <row r="2" spans="2:57" x14ac:dyDescent="0.25">
      <c r="C2" s="34"/>
      <c r="D2" s="4"/>
      <c r="E2" s="4"/>
      <c r="F2" s="4"/>
      <c r="G2" s="4"/>
      <c r="H2" s="4"/>
      <c r="I2" s="4"/>
      <c r="J2" s="4"/>
      <c r="K2" s="4"/>
      <c r="L2" s="4"/>
      <c r="M2" s="4"/>
      <c r="N2" s="35"/>
      <c r="O2" s="35"/>
      <c r="P2" s="4"/>
      <c r="Q2" s="4"/>
      <c r="R2" s="4"/>
      <c r="S2" s="4"/>
      <c r="T2" s="4"/>
      <c r="U2" s="3"/>
      <c r="W2" s="3"/>
      <c r="X2" s="45"/>
      <c r="Y2" s="4"/>
      <c r="Z2" s="4"/>
      <c r="AA2" s="44"/>
    </row>
    <row r="3" spans="2:57" x14ac:dyDescent="0.25">
      <c r="C3" s="36"/>
      <c r="D3" s="127" t="s">
        <v>0</v>
      </c>
      <c r="E3" s="127"/>
      <c r="F3" s="39" t="s">
        <v>96</v>
      </c>
      <c r="G3" s="3"/>
      <c r="H3" s="3"/>
      <c r="I3" s="3"/>
      <c r="J3" s="3"/>
      <c r="K3" s="3"/>
      <c r="L3" s="3"/>
      <c r="M3" s="3"/>
      <c r="N3" s="31"/>
      <c r="O3" s="31"/>
      <c r="P3" s="3"/>
      <c r="Q3" s="3"/>
      <c r="R3" s="3"/>
      <c r="S3" s="3"/>
      <c r="T3" s="3"/>
      <c r="U3" s="3"/>
      <c r="V3" s="127" t="s">
        <v>51</v>
      </c>
      <c r="W3" s="127"/>
      <c r="X3" s="46">
        <f ca="1">TODAY()</f>
        <v>44138</v>
      </c>
      <c r="Y3" s="3"/>
      <c r="Z3" s="3"/>
      <c r="AA3" s="6"/>
    </row>
    <row r="4" spans="2:57" x14ac:dyDescent="0.25">
      <c r="C4" s="36"/>
      <c r="D4" s="3"/>
      <c r="E4" s="40" t="s">
        <v>52</v>
      </c>
      <c r="F4" s="41" t="s">
        <v>1</v>
      </c>
      <c r="H4" s="3"/>
      <c r="I4" s="3"/>
      <c r="J4" s="3"/>
      <c r="K4" s="3"/>
      <c r="L4" s="3"/>
      <c r="M4" s="3"/>
      <c r="N4" s="31"/>
      <c r="O4" s="31"/>
      <c r="P4" s="3"/>
      <c r="Q4" s="3"/>
      <c r="R4" s="3"/>
      <c r="S4" s="3"/>
      <c r="T4" s="3"/>
      <c r="U4" s="3"/>
      <c r="X4" s="3"/>
      <c r="Y4" s="3"/>
      <c r="Z4" s="3"/>
      <c r="AA4" s="6"/>
    </row>
    <row r="5" spans="2:57" ht="15.75" thickBot="1" x14ac:dyDescent="0.3">
      <c r="C5" s="37"/>
      <c r="D5" s="2"/>
      <c r="E5" s="2"/>
      <c r="F5" s="2"/>
      <c r="G5" s="2"/>
      <c r="H5" s="2"/>
      <c r="I5" s="2"/>
      <c r="J5" s="2"/>
      <c r="K5" s="2"/>
      <c r="L5" s="2"/>
      <c r="M5" s="2"/>
      <c r="N5" s="38"/>
      <c r="O5" s="38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7"/>
    </row>
    <row r="6" spans="2:57" s="1" customFormat="1" ht="15.75" thickBot="1" x14ac:dyDescent="0.3">
      <c r="B6" s="13"/>
      <c r="N6" s="13"/>
      <c r="O6" s="13"/>
    </row>
    <row r="7" spans="2:57" s="1" customFormat="1" ht="15.75" thickBot="1" x14ac:dyDescent="0.3">
      <c r="B7" s="13"/>
      <c r="C7" s="131" t="s">
        <v>97</v>
      </c>
      <c r="D7" s="132"/>
      <c r="E7" s="132"/>
      <c r="F7" s="132"/>
      <c r="G7" s="132"/>
      <c r="H7" s="132"/>
      <c r="I7" s="132"/>
      <c r="J7" s="132"/>
      <c r="K7" s="132"/>
      <c r="L7" s="132"/>
      <c r="M7" s="132"/>
      <c r="N7" s="132"/>
      <c r="O7" s="132"/>
      <c r="P7" s="132"/>
      <c r="Q7" s="132"/>
      <c r="R7" s="132"/>
      <c r="S7" s="132"/>
      <c r="T7" s="132"/>
      <c r="U7" s="132"/>
      <c r="V7" s="132"/>
      <c r="W7" s="132"/>
      <c r="X7" s="132"/>
      <c r="Y7" s="132"/>
      <c r="Z7" s="132"/>
      <c r="AA7" s="133"/>
    </row>
    <row r="8" spans="2:57" s="1" customFormat="1" ht="15.75" thickBot="1" x14ac:dyDescent="0.3">
      <c r="B8" s="13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13"/>
      <c r="O8" s="13"/>
    </row>
    <row r="9" spans="2:57" s="1" customFormat="1" ht="15.75" customHeight="1" thickBot="1" x14ac:dyDescent="0.3">
      <c r="B9" s="13"/>
      <c r="C9" s="135" t="s">
        <v>98</v>
      </c>
      <c r="D9" s="135"/>
      <c r="E9" s="135"/>
      <c r="F9" s="135"/>
      <c r="G9" s="135"/>
      <c r="H9" s="135"/>
      <c r="I9" s="135"/>
      <c r="J9" s="135"/>
      <c r="K9" s="135"/>
      <c r="L9" s="135"/>
      <c r="M9" s="135"/>
      <c r="N9" s="13"/>
      <c r="O9" s="13"/>
      <c r="Q9" s="130" t="s">
        <v>122</v>
      </c>
      <c r="R9" s="130"/>
      <c r="S9" s="130"/>
      <c r="T9" s="130"/>
      <c r="U9" s="130"/>
      <c r="V9" s="130"/>
      <c r="W9" s="130"/>
      <c r="X9" s="130"/>
      <c r="Y9" s="130"/>
      <c r="Z9" s="130"/>
      <c r="AA9" s="130"/>
    </row>
    <row r="10" spans="2:57" s="1" customFormat="1" ht="18" customHeight="1" x14ac:dyDescent="0.25">
      <c r="B10" s="13"/>
      <c r="N10" s="13"/>
      <c r="O10" s="13"/>
      <c r="P10" s="3"/>
      <c r="Q10" s="14"/>
      <c r="R10" s="14"/>
      <c r="S10" s="14"/>
      <c r="T10" s="14"/>
      <c r="U10" s="14"/>
      <c r="V10" s="14"/>
      <c r="W10" s="14"/>
      <c r="X10" s="14"/>
    </row>
    <row r="11" spans="2:57" s="1" customFormat="1" ht="15.75" thickBot="1" x14ac:dyDescent="0.3">
      <c r="B11" s="13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13"/>
      <c r="O11" s="13"/>
      <c r="P11" s="3"/>
      <c r="Q11" s="15"/>
      <c r="R11" s="15"/>
      <c r="S11" s="15"/>
      <c r="T11" s="15"/>
      <c r="U11" s="15"/>
      <c r="V11" s="15"/>
      <c r="W11" s="15"/>
      <c r="X11" s="15"/>
      <c r="Y11" s="2"/>
    </row>
    <row r="12" spans="2:57" s="1" customFormat="1" ht="30.75" thickBot="1" x14ac:dyDescent="0.3">
      <c r="B12" s="13"/>
      <c r="C12" s="16" t="s">
        <v>99</v>
      </c>
      <c r="D12" s="15" t="s">
        <v>100</v>
      </c>
      <c r="E12" s="8" t="s">
        <v>101</v>
      </c>
      <c r="F12" s="15" t="s">
        <v>102</v>
      </c>
      <c r="G12" s="15" t="s">
        <v>103</v>
      </c>
      <c r="H12" s="15" t="s">
        <v>104</v>
      </c>
      <c r="I12" s="15" t="s">
        <v>105</v>
      </c>
      <c r="J12" s="15" t="s">
        <v>106</v>
      </c>
      <c r="K12" s="17" t="s">
        <v>3</v>
      </c>
      <c r="L12" s="128" t="s">
        <v>4</v>
      </c>
      <c r="M12" s="128"/>
      <c r="N12" s="13"/>
      <c r="O12" s="13"/>
      <c r="P12" s="3"/>
      <c r="Q12" s="107" t="s">
        <v>99</v>
      </c>
      <c r="R12" s="110" t="s">
        <v>100</v>
      </c>
      <c r="S12" s="8" t="s">
        <v>101</v>
      </c>
      <c r="T12" s="110" t="s">
        <v>102</v>
      </c>
      <c r="U12" s="110" t="s">
        <v>103</v>
      </c>
      <c r="V12" s="110" t="s">
        <v>104</v>
      </c>
      <c r="W12" s="110" t="s">
        <v>105</v>
      </c>
      <c r="X12" s="110" t="s">
        <v>106</v>
      </c>
      <c r="Y12" s="17" t="s">
        <v>3</v>
      </c>
      <c r="Z12" s="128" t="s">
        <v>4</v>
      </c>
      <c r="AA12" s="128"/>
      <c r="AB12" s="13"/>
    </row>
    <row r="13" spans="2:57" s="1" customFormat="1" ht="18" customHeight="1" x14ac:dyDescent="0.35">
      <c r="B13" s="55"/>
      <c r="C13" s="114" t="s">
        <v>107</v>
      </c>
      <c r="D13" s="111">
        <v>1</v>
      </c>
      <c r="E13" s="9" t="s">
        <v>5</v>
      </c>
      <c r="F13" s="9" t="s">
        <v>2</v>
      </c>
      <c r="G13" s="9" t="s">
        <v>114</v>
      </c>
      <c r="H13" s="9">
        <v>1</v>
      </c>
      <c r="I13" s="9" t="s">
        <v>6</v>
      </c>
      <c r="J13" s="18" t="s">
        <v>7</v>
      </c>
      <c r="K13" s="9" t="s">
        <v>8</v>
      </c>
      <c r="L13" s="19" t="s">
        <v>9</v>
      </c>
      <c r="N13" s="13"/>
      <c r="O13" s="13"/>
      <c r="Q13" s="114" t="s">
        <v>107</v>
      </c>
      <c r="R13" s="111">
        <v>1</v>
      </c>
      <c r="S13" s="9" t="s">
        <v>5</v>
      </c>
      <c r="T13" s="9" t="s">
        <v>2</v>
      </c>
      <c r="U13" s="9" t="s">
        <v>114</v>
      </c>
      <c r="V13" s="9">
        <v>1</v>
      </c>
      <c r="W13" s="9" t="s">
        <v>6</v>
      </c>
      <c r="X13" s="18" t="s">
        <v>7</v>
      </c>
      <c r="Y13" s="64" t="s">
        <v>8</v>
      </c>
      <c r="Z13" s="19" t="s">
        <v>69</v>
      </c>
      <c r="AB13" s="13"/>
      <c r="AO13" s="20"/>
      <c r="AZ13" s="20"/>
      <c r="BA13" s="20"/>
      <c r="BB13" s="20"/>
      <c r="BC13" s="20"/>
      <c r="BD13" s="20"/>
      <c r="BE13" s="20"/>
    </row>
    <row r="14" spans="2:57" s="1" customFormat="1" ht="18" x14ac:dyDescent="0.35">
      <c r="B14" s="55"/>
      <c r="C14" s="115"/>
      <c r="D14" s="112"/>
      <c r="E14" s="9" t="s">
        <v>10</v>
      </c>
      <c r="F14" s="9" t="s">
        <v>2</v>
      </c>
      <c r="G14" s="9" t="s">
        <v>11</v>
      </c>
      <c r="H14" s="9">
        <f>500/1000*64</f>
        <v>32</v>
      </c>
      <c r="I14" s="9" t="s">
        <v>12</v>
      </c>
      <c r="J14" s="19" t="s">
        <v>66</v>
      </c>
      <c r="K14" s="9" t="s">
        <v>21</v>
      </c>
      <c r="N14" s="13"/>
      <c r="O14" s="13"/>
      <c r="P14" s="3"/>
      <c r="Q14" s="115"/>
      <c r="R14" s="112"/>
      <c r="S14" s="9" t="s">
        <v>10</v>
      </c>
      <c r="T14" s="9" t="s">
        <v>2</v>
      </c>
      <c r="U14" s="9" t="s">
        <v>11</v>
      </c>
      <c r="V14" s="9">
        <f>500/1000*64</f>
        <v>32</v>
      </c>
      <c r="W14" s="9" t="s">
        <v>12</v>
      </c>
      <c r="X14" s="19" t="s">
        <v>66</v>
      </c>
      <c r="Y14" s="9" t="s">
        <v>21</v>
      </c>
      <c r="AB14" s="13"/>
      <c r="AD14" s="3"/>
    </row>
    <row r="15" spans="2:57" s="1" customFormat="1" ht="18" x14ac:dyDescent="0.35">
      <c r="B15" s="55"/>
      <c r="C15" s="115"/>
      <c r="D15" s="112"/>
      <c r="E15" s="9" t="s">
        <v>16</v>
      </c>
      <c r="F15" s="9" t="s">
        <v>112</v>
      </c>
      <c r="G15" s="9" t="s">
        <v>115</v>
      </c>
      <c r="H15" s="9">
        <v>17.95</v>
      </c>
      <c r="I15" s="9" t="s">
        <v>13</v>
      </c>
      <c r="J15" s="19" t="s">
        <v>14</v>
      </c>
      <c r="K15" s="9" t="s">
        <v>65</v>
      </c>
      <c r="N15" s="13"/>
      <c r="O15" s="13"/>
      <c r="Q15" s="115"/>
      <c r="R15" s="112"/>
      <c r="S15" s="9" t="s">
        <v>16</v>
      </c>
      <c r="T15" s="9" t="s">
        <v>112</v>
      </c>
      <c r="U15" s="9" t="s">
        <v>115</v>
      </c>
      <c r="V15" s="9">
        <v>17.95</v>
      </c>
      <c r="W15" s="9" t="s">
        <v>13</v>
      </c>
      <c r="X15" s="19" t="s">
        <v>14</v>
      </c>
      <c r="Y15" s="9" t="s">
        <v>65</v>
      </c>
      <c r="AB15" s="13"/>
      <c r="AD15" s="137"/>
      <c r="AE15" s="138"/>
      <c r="AF15" s="138"/>
      <c r="AG15" s="138"/>
      <c r="AH15" s="138"/>
      <c r="AI15" s="138"/>
    </row>
    <row r="16" spans="2:57" s="1" customFormat="1" ht="18" x14ac:dyDescent="0.35">
      <c r="B16" s="55"/>
      <c r="C16" s="115"/>
      <c r="D16" s="112"/>
      <c r="E16" s="9" t="s">
        <v>17</v>
      </c>
      <c r="F16" s="9" t="s">
        <v>112</v>
      </c>
      <c r="G16" s="9" t="s">
        <v>116</v>
      </c>
      <c r="H16" s="9">
        <f>500/1000*0.53*50</f>
        <v>13.25</v>
      </c>
      <c r="I16" s="9" t="s">
        <v>12</v>
      </c>
      <c r="J16" s="19" t="s">
        <v>66</v>
      </c>
      <c r="K16" s="9" t="s">
        <v>21</v>
      </c>
      <c r="N16" s="13"/>
      <c r="O16" s="13"/>
      <c r="Q16" s="115"/>
      <c r="R16" s="112"/>
      <c r="S16" s="9" t="s">
        <v>17</v>
      </c>
      <c r="T16" s="9" t="s">
        <v>112</v>
      </c>
      <c r="U16" s="9" t="s">
        <v>116</v>
      </c>
      <c r="V16" s="9">
        <f>500/1000*0.53*50</f>
        <v>13.25</v>
      </c>
      <c r="W16" s="9" t="s">
        <v>12</v>
      </c>
      <c r="X16" s="19" t="s">
        <v>66</v>
      </c>
      <c r="Y16" s="9" t="s">
        <v>21</v>
      </c>
      <c r="AB16" s="13"/>
      <c r="AD16" s="112"/>
      <c r="AE16" s="134"/>
      <c r="AF16" s="134"/>
      <c r="AG16" s="134"/>
      <c r="AH16" s="134"/>
      <c r="AI16" s="134"/>
    </row>
    <row r="17" spans="2:58" s="1" customFormat="1" ht="18" x14ac:dyDescent="0.35">
      <c r="B17" s="55"/>
      <c r="C17" s="115"/>
      <c r="D17" s="112"/>
      <c r="E17" s="9" t="s">
        <v>18</v>
      </c>
      <c r="F17" s="9" t="s">
        <v>112</v>
      </c>
      <c r="G17" s="9" t="s">
        <v>116</v>
      </c>
      <c r="H17" s="9">
        <f>500/1000*0.47*50</f>
        <v>11.75</v>
      </c>
      <c r="I17" s="9" t="s">
        <v>12</v>
      </c>
      <c r="J17" s="19" t="s">
        <v>66</v>
      </c>
      <c r="K17" s="9" t="s">
        <v>21</v>
      </c>
      <c r="N17" s="13"/>
      <c r="O17" s="13"/>
      <c r="Q17" s="115"/>
      <c r="R17" s="112"/>
      <c r="S17" s="9" t="s">
        <v>18</v>
      </c>
      <c r="T17" s="9" t="s">
        <v>112</v>
      </c>
      <c r="U17" s="9" t="s">
        <v>116</v>
      </c>
      <c r="V17" s="9">
        <f>500/1000*0.47*50</f>
        <v>11.75</v>
      </c>
      <c r="W17" s="9" t="s">
        <v>12</v>
      </c>
      <c r="X17" s="19" t="s">
        <v>66</v>
      </c>
      <c r="Y17" s="9" t="s">
        <v>21</v>
      </c>
      <c r="AB17" s="13"/>
      <c r="AD17" s="112"/>
      <c r="AE17" s="134"/>
      <c r="AF17" s="134"/>
      <c r="AG17" s="134"/>
      <c r="AH17" s="134"/>
      <c r="AI17" s="134"/>
    </row>
    <row r="18" spans="2:58" s="1" customFormat="1" ht="18" x14ac:dyDescent="0.35">
      <c r="B18" s="55"/>
      <c r="C18" s="115"/>
      <c r="D18" s="112"/>
      <c r="E18" s="9" t="s">
        <v>18</v>
      </c>
      <c r="F18" s="9" t="s">
        <v>112</v>
      </c>
      <c r="G18" s="9" t="s">
        <v>117</v>
      </c>
      <c r="H18" s="9">
        <v>0.47</v>
      </c>
      <c r="I18" s="9" t="s">
        <v>6</v>
      </c>
      <c r="J18" s="19" t="s">
        <v>68</v>
      </c>
      <c r="K18" s="9" t="s">
        <v>8</v>
      </c>
      <c r="L18" s="1" t="s">
        <v>113</v>
      </c>
      <c r="N18" s="13"/>
      <c r="O18" s="13"/>
      <c r="Q18" s="115"/>
      <c r="R18" s="112"/>
      <c r="S18" s="9" t="s">
        <v>18</v>
      </c>
      <c r="T18" s="9" t="s">
        <v>112</v>
      </c>
      <c r="U18" s="9" t="s">
        <v>117</v>
      </c>
      <c r="V18" s="9">
        <v>0.47</v>
      </c>
      <c r="W18" s="9" t="s">
        <v>6</v>
      </c>
      <c r="X18" s="19" t="s">
        <v>68</v>
      </c>
      <c r="Y18" s="9" t="s">
        <v>8</v>
      </c>
      <c r="Z18" s="1" t="s">
        <v>113</v>
      </c>
      <c r="AB18" s="13"/>
      <c r="AD18" s="112"/>
      <c r="AE18" s="134"/>
      <c r="AF18" s="134"/>
      <c r="AG18" s="134"/>
      <c r="AH18" s="134"/>
      <c r="AI18" s="134"/>
    </row>
    <row r="19" spans="2:58" s="1" customFormat="1" ht="18" customHeight="1" x14ac:dyDescent="0.35">
      <c r="B19" s="55"/>
      <c r="C19" s="115"/>
      <c r="D19" s="112"/>
      <c r="E19" s="9" t="s">
        <v>18</v>
      </c>
      <c r="F19" s="9" t="s">
        <v>112</v>
      </c>
      <c r="G19" s="9" t="s">
        <v>118</v>
      </c>
      <c r="H19" s="9">
        <f>500/1000*0.47*32</f>
        <v>7.52</v>
      </c>
      <c r="I19" s="9" t="s">
        <v>12</v>
      </c>
      <c r="J19" s="19" t="s">
        <v>66</v>
      </c>
      <c r="K19" s="9" t="s">
        <v>21</v>
      </c>
      <c r="N19" s="13"/>
      <c r="O19" s="13"/>
      <c r="Q19" s="115"/>
      <c r="R19" s="112"/>
      <c r="S19" s="9" t="s">
        <v>18</v>
      </c>
      <c r="T19" s="9" t="s">
        <v>112</v>
      </c>
      <c r="U19" s="9" t="s">
        <v>124</v>
      </c>
      <c r="V19" s="9">
        <f>500/1000*0.47*32</f>
        <v>7.52</v>
      </c>
      <c r="W19" s="9" t="s">
        <v>12</v>
      </c>
      <c r="X19" s="19" t="s">
        <v>66</v>
      </c>
      <c r="Y19" s="9" t="s">
        <v>21</v>
      </c>
      <c r="AB19" s="13"/>
      <c r="AD19" s="112"/>
      <c r="AE19" s="134"/>
      <c r="AF19" s="134"/>
      <c r="AG19" s="134"/>
      <c r="AH19" s="134"/>
      <c r="AI19" s="134"/>
    </row>
    <row r="20" spans="2:58" s="1" customFormat="1" ht="18" customHeight="1" x14ac:dyDescent="0.35">
      <c r="B20" s="55"/>
      <c r="C20" s="116"/>
      <c r="D20" s="113"/>
      <c r="E20" s="21" t="s">
        <v>18</v>
      </c>
      <c r="F20" s="109" t="s">
        <v>112</v>
      </c>
      <c r="G20" s="21" t="s">
        <v>119</v>
      </c>
      <c r="H20" s="21">
        <f>500*0.47</f>
        <v>235</v>
      </c>
      <c r="I20" s="21" t="s">
        <v>19</v>
      </c>
      <c r="J20" s="22" t="s">
        <v>20</v>
      </c>
      <c r="K20" s="21" t="s">
        <v>21</v>
      </c>
      <c r="L20" s="22"/>
      <c r="M20" s="22"/>
      <c r="N20" s="13"/>
      <c r="O20" s="13"/>
      <c r="Q20" s="124"/>
      <c r="R20" s="123"/>
      <c r="S20" s="48" t="s">
        <v>18</v>
      </c>
      <c r="T20" s="48" t="s">
        <v>112</v>
      </c>
      <c r="U20" s="48" t="s">
        <v>119</v>
      </c>
      <c r="V20" s="48">
        <f>500*0.47</f>
        <v>235</v>
      </c>
      <c r="W20" s="48" t="s">
        <v>19</v>
      </c>
      <c r="X20" s="22" t="s">
        <v>20</v>
      </c>
      <c r="Y20" s="60" t="s">
        <v>21</v>
      </c>
      <c r="Z20" s="22"/>
      <c r="AA20" s="22"/>
      <c r="AB20" s="13"/>
      <c r="AD20" s="112"/>
      <c r="AE20" s="134"/>
      <c r="AF20" s="134"/>
      <c r="AG20" s="134"/>
      <c r="AH20" s="134"/>
      <c r="AI20" s="134"/>
    </row>
    <row r="21" spans="2:58" s="1" customFormat="1" ht="18.75" customHeight="1" x14ac:dyDescent="0.35">
      <c r="B21" s="55"/>
      <c r="C21" s="118" t="s">
        <v>108</v>
      </c>
      <c r="D21" s="117">
        <v>2</v>
      </c>
      <c r="E21" s="9" t="s">
        <v>22</v>
      </c>
      <c r="F21" s="9" t="s">
        <v>2</v>
      </c>
      <c r="G21" s="9" t="s">
        <v>120</v>
      </c>
      <c r="H21" s="9">
        <v>1</v>
      </c>
      <c r="I21" s="1" t="s">
        <v>6</v>
      </c>
      <c r="J21" s="1" t="s">
        <v>23</v>
      </c>
      <c r="K21" s="9" t="s">
        <v>8</v>
      </c>
      <c r="L21" s="1" t="s">
        <v>9</v>
      </c>
      <c r="N21" s="13"/>
      <c r="O21" s="13"/>
      <c r="Q21" s="126" t="s">
        <v>108</v>
      </c>
      <c r="R21" s="125">
        <v>2</v>
      </c>
      <c r="S21" s="9" t="s">
        <v>22</v>
      </c>
      <c r="T21" s="9" t="s">
        <v>2</v>
      </c>
      <c r="U21" s="9" t="s">
        <v>120</v>
      </c>
      <c r="V21" s="9">
        <v>0</v>
      </c>
      <c r="W21" s="1" t="s">
        <v>6</v>
      </c>
      <c r="X21" s="1" t="s">
        <v>23</v>
      </c>
      <c r="Y21" s="9" t="s">
        <v>8</v>
      </c>
      <c r="Z21" s="19" t="s">
        <v>69</v>
      </c>
      <c r="AA21" s="3"/>
      <c r="AB21" s="13"/>
      <c r="AD21" s="112"/>
      <c r="AE21" s="134"/>
      <c r="AF21" s="134"/>
      <c r="AG21" s="134"/>
      <c r="AH21" s="134"/>
      <c r="AI21" s="134"/>
    </row>
    <row r="22" spans="2:58" s="1" customFormat="1" ht="18" customHeight="1" x14ac:dyDescent="0.35">
      <c r="B22" s="55"/>
      <c r="C22" s="115"/>
      <c r="D22" s="112"/>
      <c r="E22" s="9" t="s">
        <v>25</v>
      </c>
      <c r="F22" s="9" t="s">
        <v>2</v>
      </c>
      <c r="G22" s="9" t="s">
        <v>11</v>
      </c>
      <c r="H22" s="9">
        <f>500/1000*698</f>
        <v>349</v>
      </c>
      <c r="I22" s="9" t="s">
        <v>12</v>
      </c>
      <c r="J22" s="19" t="s">
        <v>66</v>
      </c>
      <c r="K22" s="9" t="s">
        <v>21</v>
      </c>
      <c r="N22" s="13"/>
      <c r="O22" s="13"/>
      <c r="Q22" s="115"/>
      <c r="R22" s="112"/>
      <c r="S22" s="49" t="s">
        <v>60</v>
      </c>
      <c r="T22" s="49" t="s">
        <v>2</v>
      </c>
      <c r="U22" s="49" t="s">
        <v>125</v>
      </c>
      <c r="V22" s="79">
        <f>1/0.68</f>
        <v>1.4705882352941175</v>
      </c>
      <c r="W22" s="49" t="s">
        <v>6</v>
      </c>
      <c r="X22" s="50" t="s">
        <v>68</v>
      </c>
      <c r="Y22" s="49" t="s">
        <v>8</v>
      </c>
      <c r="Z22" s="1" t="s">
        <v>113</v>
      </c>
      <c r="AA22" s="3"/>
      <c r="AB22" s="31"/>
      <c r="AC22" s="3"/>
      <c r="AD22" s="3"/>
      <c r="AE22" s="3"/>
      <c r="AF22" s="3"/>
    </row>
    <row r="23" spans="2:58" s="1" customFormat="1" ht="18" x14ac:dyDescent="0.35">
      <c r="B23" s="55"/>
      <c r="C23" s="115"/>
      <c r="D23" s="112"/>
      <c r="E23" s="9" t="s">
        <v>26</v>
      </c>
      <c r="F23" s="9" t="s">
        <v>112</v>
      </c>
      <c r="G23" s="9" t="s">
        <v>115</v>
      </c>
      <c r="H23" s="9">
        <v>17.95</v>
      </c>
      <c r="I23" s="9" t="s">
        <v>13</v>
      </c>
      <c r="J23" s="19" t="s">
        <v>14</v>
      </c>
      <c r="K23" s="9" t="s">
        <v>65</v>
      </c>
      <c r="N23" s="13"/>
      <c r="O23" s="13"/>
      <c r="Q23" s="115"/>
      <c r="R23" s="112"/>
      <c r="S23" s="49" t="s">
        <v>60</v>
      </c>
      <c r="T23" s="9" t="s">
        <v>2</v>
      </c>
      <c r="U23" s="9" t="s">
        <v>126</v>
      </c>
      <c r="V23" s="84">
        <f>V22*500/1000*695</f>
        <v>511.02941176470586</v>
      </c>
      <c r="W23" s="9" t="s">
        <v>12</v>
      </c>
      <c r="X23" s="19" t="s">
        <v>66</v>
      </c>
      <c r="Y23" s="9" t="s">
        <v>21</v>
      </c>
      <c r="Z23" s="13"/>
      <c r="AA23" s="3"/>
      <c r="AB23" s="31"/>
      <c r="AC23" s="3"/>
      <c r="AD23" s="3"/>
      <c r="AE23" s="3"/>
      <c r="AF23" s="3"/>
      <c r="AG23" s="3"/>
      <c r="BF23" s="13"/>
    </row>
    <row r="24" spans="2:58" s="1" customFormat="1" ht="18" x14ac:dyDescent="0.35">
      <c r="B24" s="13"/>
      <c r="C24" s="115"/>
      <c r="D24" s="112"/>
      <c r="E24" s="9" t="s">
        <v>27</v>
      </c>
      <c r="F24" s="9" t="s">
        <v>112</v>
      </c>
      <c r="G24" s="9" t="s">
        <v>116</v>
      </c>
      <c r="H24" s="9">
        <f>500/1000*0.53*50</f>
        <v>13.25</v>
      </c>
      <c r="I24" s="9" t="s">
        <v>12</v>
      </c>
      <c r="J24" s="19" t="s">
        <v>66</v>
      </c>
      <c r="K24" s="9" t="s">
        <v>21</v>
      </c>
      <c r="N24" s="13"/>
      <c r="O24" s="13"/>
      <c r="Q24" s="115"/>
      <c r="R24" s="112"/>
      <c r="S24" s="23" t="s">
        <v>53</v>
      </c>
      <c r="T24" s="23" t="s">
        <v>2</v>
      </c>
      <c r="U24" s="23" t="s">
        <v>127</v>
      </c>
      <c r="V24" s="79">
        <f>V22/1.07</f>
        <v>1.3743815283122593</v>
      </c>
      <c r="W24" s="23" t="s">
        <v>6</v>
      </c>
      <c r="X24" s="13" t="s">
        <v>76</v>
      </c>
      <c r="Y24" s="9" t="s">
        <v>8</v>
      </c>
      <c r="Z24" s="1" t="s">
        <v>113</v>
      </c>
      <c r="AA24" s="3"/>
      <c r="AB24" s="13"/>
    </row>
    <row r="25" spans="2:58" s="1" customFormat="1" ht="18" x14ac:dyDescent="0.35">
      <c r="B25" s="13"/>
      <c r="C25" s="115"/>
      <c r="D25" s="112"/>
      <c r="E25" s="9" t="s">
        <v>28</v>
      </c>
      <c r="F25" s="9" t="s">
        <v>112</v>
      </c>
      <c r="G25" s="9" t="s">
        <v>116</v>
      </c>
      <c r="H25" s="9">
        <f>500/1000*0.47*50</f>
        <v>11.75</v>
      </c>
      <c r="I25" s="9" t="s">
        <v>12</v>
      </c>
      <c r="J25" s="19" t="s">
        <v>66</v>
      </c>
      <c r="K25" s="9" t="s">
        <v>21</v>
      </c>
      <c r="N25" s="13"/>
      <c r="O25" s="13"/>
      <c r="Q25" s="115"/>
      <c r="R25" s="112"/>
      <c r="S25" s="23" t="s">
        <v>53</v>
      </c>
      <c r="T25" s="23" t="s">
        <v>2</v>
      </c>
      <c r="U25" s="23" t="s">
        <v>128</v>
      </c>
      <c r="V25" s="80">
        <v>1</v>
      </c>
      <c r="W25" s="23" t="s">
        <v>6</v>
      </c>
      <c r="X25" s="13" t="s">
        <v>74</v>
      </c>
      <c r="Y25" s="9" t="s">
        <v>8</v>
      </c>
      <c r="Z25" s="1" t="s">
        <v>113</v>
      </c>
      <c r="AA25" s="3"/>
      <c r="AB25" s="13"/>
    </row>
    <row r="26" spans="2:58" s="1" customFormat="1" ht="18" x14ac:dyDescent="0.35">
      <c r="B26" s="13"/>
      <c r="C26" s="115"/>
      <c r="D26" s="112"/>
      <c r="E26" s="9" t="s">
        <v>28</v>
      </c>
      <c r="F26" s="9" t="s">
        <v>112</v>
      </c>
      <c r="G26" s="9" t="s">
        <v>117</v>
      </c>
      <c r="H26" s="9">
        <v>0.47</v>
      </c>
      <c r="I26" s="9" t="s">
        <v>6</v>
      </c>
      <c r="J26" s="19" t="s">
        <v>68</v>
      </c>
      <c r="K26" s="9" t="s">
        <v>8</v>
      </c>
      <c r="L26" s="1" t="s">
        <v>113</v>
      </c>
      <c r="N26" s="13"/>
      <c r="O26" s="13"/>
      <c r="Q26" s="115"/>
      <c r="R26" s="112"/>
      <c r="S26" s="9" t="s">
        <v>25</v>
      </c>
      <c r="T26" s="9" t="s">
        <v>2</v>
      </c>
      <c r="U26" s="9" t="s">
        <v>11</v>
      </c>
      <c r="V26" s="9">
        <f>500/1000*698</f>
        <v>349</v>
      </c>
      <c r="W26" s="9" t="s">
        <v>12</v>
      </c>
      <c r="X26" s="19" t="s">
        <v>66</v>
      </c>
      <c r="Y26" s="9" t="s">
        <v>21</v>
      </c>
      <c r="AB26" s="13"/>
      <c r="BF26" s="13"/>
    </row>
    <row r="27" spans="2:58" s="1" customFormat="1" ht="18" x14ac:dyDescent="0.35">
      <c r="B27" s="13"/>
      <c r="C27" s="115"/>
      <c r="D27" s="112"/>
      <c r="E27" s="9" t="s">
        <v>28</v>
      </c>
      <c r="F27" s="9" t="s">
        <v>112</v>
      </c>
      <c r="G27" s="9" t="s">
        <v>118</v>
      </c>
      <c r="H27" s="9">
        <f>500/1000*0.47*32</f>
        <v>7.52</v>
      </c>
      <c r="I27" s="9" t="s">
        <v>12</v>
      </c>
      <c r="J27" s="19" t="s">
        <v>66</v>
      </c>
      <c r="K27" s="9" t="s">
        <v>21</v>
      </c>
      <c r="N27" s="13"/>
      <c r="O27" s="13"/>
      <c r="Q27" s="115"/>
      <c r="R27" s="112"/>
      <c r="S27" s="9" t="s">
        <v>26</v>
      </c>
      <c r="T27" s="9" t="s">
        <v>112</v>
      </c>
      <c r="U27" s="9" t="s">
        <v>115</v>
      </c>
      <c r="V27" s="9">
        <v>127</v>
      </c>
      <c r="W27" s="9" t="s">
        <v>13</v>
      </c>
      <c r="X27" s="19" t="s">
        <v>14</v>
      </c>
      <c r="Y27" s="9" t="s">
        <v>65</v>
      </c>
      <c r="AB27" s="13"/>
    </row>
    <row r="28" spans="2:58" s="1" customFormat="1" ht="18" customHeight="1" x14ac:dyDescent="0.35">
      <c r="B28" s="13"/>
      <c r="C28" s="116"/>
      <c r="D28" s="113"/>
      <c r="E28" s="21" t="s">
        <v>28</v>
      </c>
      <c r="F28" s="109" t="s">
        <v>112</v>
      </c>
      <c r="G28" s="109" t="s">
        <v>119</v>
      </c>
      <c r="H28" s="21">
        <f>500*0.47</f>
        <v>235</v>
      </c>
      <c r="I28" s="21" t="s">
        <v>19</v>
      </c>
      <c r="J28" s="22" t="s">
        <v>20</v>
      </c>
      <c r="K28" s="21" t="s">
        <v>21</v>
      </c>
      <c r="L28" s="22"/>
      <c r="M28" s="22"/>
      <c r="N28" s="13"/>
      <c r="O28" s="13"/>
      <c r="Q28" s="115"/>
      <c r="R28" s="112"/>
      <c r="S28" s="9" t="s">
        <v>27</v>
      </c>
      <c r="T28" s="9" t="s">
        <v>112</v>
      </c>
      <c r="U28" s="9" t="s">
        <v>116</v>
      </c>
      <c r="V28" s="9">
        <f>500/1000*0.9*50</f>
        <v>22.5</v>
      </c>
      <c r="W28" s="9" t="s">
        <v>12</v>
      </c>
      <c r="X28" s="19" t="s">
        <v>66</v>
      </c>
      <c r="Y28" s="9" t="s">
        <v>21</v>
      </c>
      <c r="AB28" s="13"/>
    </row>
    <row r="29" spans="2:58" s="1" customFormat="1" ht="18" customHeight="1" x14ac:dyDescent="0.35">
      <c r="B29" s="13"/>
      <c r="C29" s="118" t="s">
        <v>109</v>
      </c>
      <c r="D29" s="117">
        <v>3</v>
      </c>
      <c r="E29" s="9" t="s">
        <v>29</v>
      </c>
      <c r="F29" s="9" t="s">
        <v>2</v>
      </c>
      <c r="G29" s="9" t="s">
        <v>121</v>
      </c>
      <c r="H29" s="9">
        <v>1</v>
      </c>
      <c r="I29" s="1" t="s">
        <v>6</v>
      </c>
      <c r="J29" s="1" t="s">
        <v>30</v>
      </c>
      <c r="K29" s="9" t="s">
        <v>8</v>
      </c>
      <c r="L29" s="1" t="s">
        <v>31</v>
      </c>
      <c r="N29" s="13"/>
      <c r="O29" s="13"/>
      <c r="Q29" s="115"/>
      <c r="R29" s="112"/>
      <c r="S29" s="58" t="s">
        <v>28</v>
      </c>
      <c r="T29" s="9" t="s">
        <v>112</v>
      </c>
      <c r="U29" s="9" t="s">
        <v>116</v>
      </c>
      <c r="V29" s="9">
        <f>500/1000*0.1*50</f>
        <v>2.5</v>
      </c>
      <c r="W29" s="9" t="s">
        <v>12</v>
      </c>
      <c r="X29" s="19" t="s">
        <v>66</v>
      </c>
      <c r="Y29" s="9" t="s">
        <v>21</v>
      </c>
      <c r="AB29" s="13"/>
    </row>
    <row r="30" spans="2:58" s="1" customFormat="1" ht="18" x14ac:dyDescent="0.35">
      <c r="B30" s="13"/>
      <c r="C30" s="115"/>
      <c r="D30" s="112"/>
      <c r="E30" s="9" t="s">
        <v>32</v>
      </c>
      <c r="F30" s="9" t="s">
        <v>2</v>
      </c>
      <c r="G30" s="9" t="s">
        <v>11</v>
      </c>
      <c r="H30" s="9">
        <f>700/1000*35</f>
        <v>24.5</v>
      </c>
      <c r="I30" s="9" t="s">
        <v>12</v>
      </c>
      <c r="J30" s="19" t="s">
        <v>66</v>
      </c>
      <c r="K30" s="9" t="s">
        <v>21</v>
      </c>
      <c r="N30" s="13"/>
      <c r="O30" s="13"/>
      <c r="Q30" s="115"/>
      <c r="R30" s="112"/>
      <c r="S30" s="58" t="s">
        <v>28</v>
      </c>
      <c r="T30" s="9" t="s">
        <v>112</v>
      </c>
      <c r="U30" s="9" t="s">
        <v>117</v>
      </c>
      <c r="V30" s="9">
        <f>0.1</f>
        <v>0.1</v>
      </c>
      <c r="W30" s="9" t="s">
        <v>6</v>
      </c>
      <c r="X30" s="19" t="s">
        <v>68</v>
      </c>
      <c r="Y30" s="9" t="s">
        <v>8</v>
      </c>
      <c r="Z30" s="1" t="s">
        <v>113</v>
      </c>
      <c r="AB30" s="13"/>
    </row>
    <row r="31" spans="2:58" s="1" customFormat="1" ht="18" customHeight="1" x14ac:dyDescent="0.35">
      <c r="B31" s="13"/>
      <c r="C31" s="115"/>
      <c r="D31" s="112"/>
      <c r="E31" s="9" t="s">
        <v>33</v>
      </c>
      <c r="F31" s="9" t="s">
        <v>112</v>
      </c>
      <c r="G31" s="9" t="s">
        <v>115</v>
      </c>
      <c r="H31" s="9">
        <v>25.13</v>
      </c>
      <c r="I31" s="9" t="s">
        <v>13</v>
      </c>
      <c r="J31" s="19" t="s">
        <v>14</v>
      </c>
      <c r="K31" s="9" t="s">
        <v>65</v>
      </c>
      <c r="N31" s="13"/>
      <c r="O31" s="13"/>
      <c r="Q31" s="115"/>
      <c r="R31" s="112"/>
      <c r="S31" s="58" t="s">
        <v>28</v>
      </c>
      <c r="T31" s="9" t="s">
        <v>112</v>
      </c>
      <c r="U31" s="9" t="s">
        <v>124</v>
      </c>
      <c r="V31" s="9">
        <f>500/1000*0.1*32</f>
        <v>1.6</v>
      </c>
      <c r="W31" s="9" t="s">
        <v>12</v>
      </c>
      <c r="X31" s="19" t="s">
        <v>66</v>
      </c>
      <c r="Y31" s="9" t="s">
        <v>21</v>
      </c>
      <c r="AB31" s="13"/>
    </row>
    <row r="32" spans="2:58" s="1" customFormat="1" ht="18" x14ac:dyDescent="0.35">
      <c r="B32" s="13"/>
      <c r="C32" s="115"/>
      <c r="D32" s="112"/>
      <c r="E32" s="9" t="s">
        <v>34</v>
      </c>
      <c r="F32" s="9" t="s">
        <v>112</v>
      </c>
      <c r="G32" s="9" t="s">
        <v>116</v>
      </c>
      <c r="H32" s="9">
        <f>700/1000*0.53*50</f>
        <v>18.55</v>
      </c>
      <c r="I32" s="9" t="s">
        <v>12</v>
      </c>
      <c r="J32" s="19" t="s">
        <v>66</v>
      </c>
      <c r="K32" s="9" t="s">
        <v>21</v>
      </c>
      <c r="N32" s="13"/>
      <c r="O32" s="13"/>
      <c r="Q32" s="116"/>
      <c r="R32" s="113"/>
      <c r="S32" s="21" t="s">
        <v>28</v>
      </c>
      <c r="T32" s="21" t="s">
        <v>112</v>
      </c>
      <c r="U32" s="109" t="s">
        <v>119</v>
      </c>
      <c r="V32" s="21">
        <f>0.1*500</f>
        <v>50</v>
      </c>
      <c r="W32" s="21" t="s">
        <v>19</v>
      </c>
      <c r="X32" s="22" t="s">
        <v>20</v>
      </c>
      <c r="Y32" s="60" t="s">
        <v>21</v>
      </c>
      <c r="Z32" s="22"/>
      <c r="AA32" s="22"/>
      <c r="AB32" s="13"/>
    </row>
    <row r="33" spans="2:58" s="1" customFormat="1" ht="18" customHeight="1" x14ac:dyDescent="0.35">
      <c r="B33" s="13"/>
      <c r="C33" s="115"/>
      <c r="D33" s="112"/>
      <c r="E33" s="9" t="s">
        <v>35</v>
      </c>
      <c r="F33" s="9" t="s">
        <v>112</v>
      </c>
      <c r="G33" s="9" t="s">
        <v>116</v>
      </c>
      <c r="H33" s="9">
        <f>700/1000*0.47*50</f>
        <v>16.45</v>
      </c>
      <c r="I33" s="9" t="s">
        <v>12</v>
      </c>
      <c r="J33" s="19" t="s">
        <v>66</v>
      </c>
      <c r="K33" s="9" t="s">
        <v>21</v>
      </c>
      <c r="N33" s="13"/>
      <c r="O33" s="13"/>
      <c r="Q33" s="118" t="s">
        <v>123</v>
      </c>
      <c r="R33" s="117">
        <v>3</v>
      </c>
      <c r="S33" s="9" t="s">
        <v>29</v>
      </c>
      <c r="T33" s="9" t="s">
        <v>2</v>
      </c>
      <c r="U33" s="9" t="s">
        <v>129</v>
      </c>
      <c r="V33" s="9">
        <v>0</v>
      </c>
      <c r="W33" s="1" t="s">
        <v>6</v>
      </c>
      <c r="X33" s="1" t="s">
        <v>30</v>
      </c>
      <c r="Y33" s="9" t="s">
        <v>8</v>
      </c>
      <c r="Z33" s="1" t="s">
        <v>69</v>
      </c>
      <c r="AB33" s="13"/>
    </row>
    <row r="34" spans="2:58" s="1" customFormat="1" ht="18" x14ac:dyDescent="0.35">
      <c r="B34" s="13"/>
      <c r="C34" s="115"/>
      <c r="D34" s="112"/>
      <c r="E34" s="9" t="s">
        <v>35</v>
      </c>
      <c r="F34" s="9" t="s">
        <v>112</v>
      </c>
      <c r="G34" s="9" t="s">
        <v>117</v>
      </c>
      <c r="H34" s="9">
        <v>0.47</v>
      </c>
      <c r="I34" s="9" t="s">
        <v>6</v>
      </c>
      <c r="J34" s="19" t="s">
        <v>68</v>
      </c>
      <c r="K34" s="9" t="s">
        <v>8</v>
      </c>
      <c r="L34" s="1" t="s">
        <v>113</v>
      </c>
      <c r="N34" s="13"/>
      <c r="O34" s="13"/>
      <c r="Q34" s="115"/>
      <c r="R34" s="112"/>
      <c r="S34" s="49" t="s">
        <v>61</v>
      </c>
      <c r="T34" s="49" t="s">
        <v>2</v>
      </c>
      <c r="U34" s="49" t="s">
        <v>130</v>
      </c>
      <c r="V34" s="79">
        <f>1/0.7*0.957</f>
        <v>1.3671428571428572</v>
      </c>
      <c r="W34" s="49" t="s">
        <v>6</v>
      </c>
      <c r="X34" s="50" t="s">
        <v>68</v>
      </c>
      <c r="Y34" s="49" t="s">
        <v>8</v>
      </c>
      <c r="Z34" s="1" t="s">
        <v>113</v>
      </c>
      <c r="AB34" s="13"/>
    </row>
    <row r="35" spans="2:58" s="1" customFormat="1" ht="18" customHeight="1" x14ac:dyDescent="0.35">
      <c r="B35" s="13"/>
      <c r="C35" s="115"/>
      <c r="D35" s="112"/>
      <c r="E35" s="9" t="s">
        <v>35</v>
      </c>
      <c r="F35" s="9" t="s">
        <v>112</v>
      </c>
      <c r="G35" s="9" t="s">
        <v>118</v>
      </c>
      <c r="H35" s="9">
        <f>700/1000*0.47*32</f>
        <v>10.527999999999999</v>
      </c>
      <c r="I35" s="9" t="s">
        <v>12</v>
      </c>
      <c r="J35" s="19" t="s">
        <v>66</v>
      </c>
      <c r="K35" s="9" t="s">
        <v>21</v>
      </c>
      <c r="N35" s="13"/>
      <c r="O35" s="13"/>
      <c r="Q35" s="115"/>
      <c r="R35" s="112"/>
      <c r="S35" s="49" t="s">
        <v>61</v>
      </c>
      <c r="T35" s="9" t="s">
        <v>2</v>
      </c>
      <c r="U35" s="9" t="s">
        <v>126</v>
      </c>
      <c r="V35" s="83">
        <f>500/1000*V34*15.1</f>
        <v>10.321928571428572</v>
      </c>
      <c r="W35" s="9" t="s">
        <v>12</v>
      </c>
      <c r="X35" s="19" t="s">
        <v>66</v>
      </c>
      <c r="Y35" s="9" t="s">
        <v>21</v>
      </c>
      <c r="AB35" s="13"/>
    </row>
    <row r="36" spans="2:58" s="1" customFormat="1" ht="18" x14ac:dyDescent="0.35">
      <c r="B36" s="13"/>
      <c r="C36" s="116"/>
      <c r="D36" s="113"/>
      <c r="E36" s="21" t="s">
        <v>35</v>
      </c>
      <c r="F36" s="109" t="s">
        <v>112</v>
      </c>
      <c r="G36" s="109" t="s">
        <v>119</v>
      </c>
      <c r="H36" s="21">
        <f>700*0.47</f>
        <v>329</v>
      </c>
      <c r="I36" s="21" t="s">
        <v>19</v>
      </c>
      <c r="J36" s="22" t="s">
        <v>20</v>
      </c>
      <c r="K36" s="21" t="s">
        <v>21</v>
      </c>
      <c r="L36" s="22"/>
      <c r="M36" s="22"/>
      <c r="N36" s="13"/>
      <c r="O36" s="13"/>
      <c r="Q36" s="115"/>
      <c r="R36" s="112"/>
      <c r="S36" s="23" t="s">
        <v>54</v>
      </c>
      <c r="T36" s="23" t="s">
        <v>2</v>
      </c>
      <c r="U36" s="23" t="s">
        <v>131</v>
      </c>
      <c r="V36" s="80">
        <v>1</v>
      </c>
      <c r="W36" s="23" t="s">
        <v>6</v>
      </c>
      <c r="X36" s="24" t="s">
        <v>75</v>
      </c>
      <c r="Y36" s="9" t="s">
        <v>8</v>
      </c>
      <c r="Z36" s="1" t="s">
        <v>113</v>
      </c>
      <c r="AB36" s="13"/>
    </row>
    <row r="37" spans="2:58" s="1" customFormat="1" ht="18" customHeight="1" x14ac:dyDescent="0.35">
      <c r="B37" s="13"/>
      <c r="C37" s="118" t="s">
        <v>110</v>
      </c>
      <c r="D37" s="117">
        <v>4</v>
      </c>
      <c r="E37" s="9" t="s">
        <v>36</v>
      </c>
      <c r="F37" s="9" t="s">
        <v>2</v>
      </c>
      <c r="G37" s="9" t="s">
        <v>110</v>
      </c>
      <c r="H37" s="9">
        <v>1</v>
      </c>
      <c r="I37" s="1" t="s">
        <v>6</v>
      </c>
      <c r="J37" s="1" t="s">
        <v>37</v>
      </c>
      <c r="K37" s="9" t="s">
        <v>8</v>
      </c>
      <c r="L37" s="1" t="s">
        <v>113</v>
      </c>
      <c r="N37" s="13"/>
      <c r="O37" s="13"/>
      <c r="Q37" s="115"/>
      <c r="R37" s="112"/>
      <c r="S37" s="25" t="s">
        <v>32</v>
      </c>
      <c r="T37" s="9" t="s">
        <v>2</v>
      </c>
      <c r="U37" s="9" t="s">
        <v>11</v>
      </c>
      <c r="V37" s="9">
        <f>700/1000*35</f>
        <v>24.5</v>
      </c>
      <c r="W37" s="9" t="s">
        <v>12</v>
      </c>
      <c r="X37" s="19" t="s">
        <v>66</v>
      </c>
      <c r="Y37" s="9" t="s">
        <v>21</v>
      </c>
      <c r="AB37" s="13"/>
    </row>
    <row r="38" spans="2:58" s="1" customFormat="1" ht="18" customHeight="1" x14ac:dyDescent="0.35">
      <c r="B38" s="13"/>
      <c r="C38" s="115"/>
      <c r="D38" s="112"/>
      <c r="E38" s="9" t="s">
        <v>38</v>
      </c>
      <c r="F38" s="9" t="s">
        <v>2</v>
      </c>
      <c r="G38" s="9" t="s">
        <v>11</v>
      </c>
      <c r="H38" s="9">
        <f>700/1000*30</f>
        <v>21</v>
      </c>
      <c r="I38" s="9" t="s">
        <v>12</v>
      </c>
      <c r="J38" s="19" t="s">
        <v>66</v>
      </c>
      <c r="K38" s="9" t="s">
        <v>21</v>
      </c>
      <c r="N38" s="13"/>
      <c r="O38" s="13"/>
      <c r="Q38" s="115"/>
      <c r="R38" s="112"/>
      <c r="S38" s="9" t="s">
        <v>33</v>
      </c>
      <c r="T38" s="9" t="s">
        <v>112</v>
      </c>
      <c r="U38" s="9" t="s">
        <v>115</v>
      </c>
      <c r="V38" s="9">
        <v>179</v>
      </c>
      <c r="W38" s="9" t="s">
        <v>13</v>
      </c>
      <c r="X38" s="19" t="s">
        <v>14</v>
      </c>
      <c r="Y38" s="9" t="s">
        <v>65</v>
      </c>
      <c r="AB38" s="13"/>
    </row>
    <row r="39" spans="2:58" s="1" customFormat="1" ht="18" x14ac:dyDescent="0.35">
      <c r="B39" s="13"/>
      <c r="C39" s="115"/>
      <c r="D39" s="112"/>
      <c r="E39" s="9" t="s">
        <v>39</v>
      </c>
      <c r="F39" s="9" t="s">
        <v>112</v>
      </c>
      <c r="G39" s="9" t="s">
        <v>115</v>
      </c>
      <c r="H39" s="9">
        <v>25.13</v>
      </c>
      <c r="I39" s="9" t="s">
        <v>13</v>
      </c>
      <c r="J39" s="19" t="s">
        <v>14</v>
      </c>
      <c r="K39" s="9" t="s">
        <v>65</v>
      </c>
      <c r="N39" s="13"/>
      <c r="O39" s="13"/>
      <c r="Q39" s="115"/>
      <c r="R39" s="112"/>
      <c r="S39" s="9" t="s">
        <v>34</v>
      </c>
      <c r="T39" s="9" t="s">
        <v>112</v>
      </c>
      <c r="U39" s="9" t="s">
        <v>116</v>
      </c>
      <c r="V39" s="9">
        <f>700/1000*0.9*50</f>
        <v>31.5</v>
      </c>
      <c r="W39" s="9" t="s">
        <v>12</v>
      </c>
      <c r="X39" s="19" t="s">
        <v>66</v>
      </c>
      <c r="Y39" s="9" t="s">
        <v>21</v>
      </c>
      <c r="AB39" s="13"/>
    </row>
    <row r="40" spans="2:58" s="1" customFormat="1" ht="18" customHeight="1" x14ac:dyDescent="0.35">
      <c r="B40" s="13"/>
      <c r="C40" s="115"/>
      <c r="D40" s="112"/>
      <c r="E40" s="9" t="s">
        <v>40</v>
      </c>
      <c r="F40" s="9" t="s">
        <v>112</v>
      </c>
      <c r="G40" s="9" t="s">
        <v>116</v>
      </c>
      <c r="H40" s="9">
        <f>700/1000*0.53*50</f>
        <v>18.55</v>
      </c>
      <c r="I40" s="9" t="s">
        <v>12</v>
      </c>
      <c r="J40" s="19" t="s">
        <v>66</v>
      </c>
      <c r="K40" s="9" t="s">
        <v>21</v>
      </c>
      <c r="N40" s="13"/>
      <c r="O40" s="13"/>
      <c r="Q40" s="115"/>
      <c r="R40" s="112"/>
      <c r="S40" s="9" t="s">
        <v>35</v>
      </c>
      <c r="T40" s="9" t="s">
        <v>112</v>
      </c>
      <c r="U40" s="9" t="s">
        <v>116</v>
      </c>
      <c r="V40" s="9">
        <f>700/1000*0.1*50</f>
        <v>3.4999999999999996</v>
      </c>
      <c r="W40" s="9" t="s">
        <v>12</v>
      </c>
      <c r="X40" s="19" t="s">
        <v>66</v>
      </c>
      <c r="Y40" s="9" t="s">
        <v>21</v>
      </c>
      <c r="AB40" s="13"/>
    </row>
    <row r="41" spans="2:58" s="1" customFormat="1" ht="18" x14ac:dyDescent="0.35">
      <c r="B41" s="13"/>
      <c r="C41" s="115"/>
      <c r="D41" s="112"/>
      <c r="E41" s="9" t="s">
        <v>41</v>
      </c>
      <c r="F41" s="9" t="s">
        <v>112</v>
      </c>
      <c r="G41" s="9" t="s">
        <v>116</v>
      </c>
      <c r="H41" s="9">
        <f>700/1000*0.47*50</f>
        <v>16.45</v>
      </c>
      <c r="I41" s="9" t="s">
        <v>12</v>
      </c>
      <c r="J41" s="19" t="s">
        <v>66</v>
      </c>
      <c r="K41" s="9" t="s">
        <v>21</v>
      </c>
      <c r="N41" s="26"/>
      <c r="O41" s="13"/>
      <c r="Q41" s="115"/>
      <c r="R41" s="112"/>
      <c r="S41" s="9" t="s">
        <v>35</v>
      </c>
      <c r="T41" s="9" t="s">
        <v>112</v>
      </c>
      <c r="U41" s="9" t="s">
        <v>117</v>
      </c>
      <c r="V41" s="9">
        <f>0.1</f>
        <v>0.1</v>
      </c>
      <c r="W41" s="9" t="s">
        <v>6</v>
      </c>
      <c r="X41" s="19" t="s">
        <v>68</v>
      </c>
      <c r="Y41" s="9" t="s">
        <v>8</v>
      </c>
      <c r="Z41" s="1" t="s">
        <v>113</v>
      </c>
      <c r="AB41" s="13"/>
      <c r="BF41" s="13"/>
    </row>
    <row r="42" spans="2:58" s="1" customFormat="1" ht="18" x14ac:dyDescent="0.35">
      <c r="B42" s="13"/>
      <c r="C42" s="115"/>
      <c r="D42" s="112"/>
      <c r="E42" s="9" t="s">
        <v>41</v>
      </c>
      <c r="F42" s="9" t="s">
        <v>112</v>
      </c>
      <c r="G42" s="9" t="s">
        <v>117</v>
      </c>
      <c r="H42" s="9">
        <v>0.47</v>
      </c>
      <c r="I42" s="9" t="s">
        <v>6</v>
      </c>
      <c r="J42" s="19" t="s">
        <v>68</v>
      </c>
      <c r="K42" s="9" t="s">
        <v>8</v>
      </c>
      <c r="L42" s="1" t="s">
        <v>113</v>
      </c>
      <c r="N42" s="26"/>
      <c r="O42" s="13"/>
      <c r="Q42" s="115"/>
      <c r="R42" s="112"/>
      <c r="S42" s="9" t="s">
        <v>35</v>
      </c>
      <c r="T42" s="9" t="s">
        <v>112</v>
      </c>
      <c r="U42" s="9" t="s">
        <v>124</v>
      </c>
      <c r="V42" s="9">
        <f>700/1000*0.1*32</f>
        <v>2.2399999999999998</v>
      </c>
      <c r="W42" s="9" t="s">
        <v>12</v>
      </c>
      <c r="X42" s="19" t="s">
        <v>66</v>
      </c>
      <c r="Y42" s="9" t="s">
        <v>21</v>
      </c>
      <c r="AB42" s="13"/>
    </row>
    <row r="43" spans="2:58" s="1" customFormat="1" ht="18" x14ac:dyDescent="0.35">
      <c r="B43" s="13"/>
      <c r="C43" s="115"/>
      <c r="D43" s="112"/>
      <c r="E43" s="9" t="s">
        <v>41</v>
      </c>
      <c r="F43" s="9" t="s">
        <v>112</v>
      </c>
      <c r="G43" s="9" t="s">
        <v>118</v>
      </c>
      <c r="H43" s="9">
        <f>700/1000*0.47*32</f>
        <v>10.527999999999999</v>
      </c>
      <c r="I43" s="9" t="s">
        <v>12</v>
      </c>
      <c r="J43" s="19" t="s">
        <v>66</v>
      </c>
      <c r="K43" s="9" t="s">
        <v>21</v>
      </c>
      <c r="N43" s="13"/>
      <c r="O43" s="26"/>
      <c r="Q43" s="116"/>
      <c r="R43" s="113"/>
      <c r="S43" s="21" t="s">
        <v>35</v>
      </c>
      <c r="T43" s="21" t="s">
        <v>112</v>
      </c>
      <c r="U43" s="109" t="s">
        <v>119</v>
      </c>
      <c r="V43" s="21">
        <f>700*0.1</f>
        <v>70</v>
      </c>
      <c r="W43" s="21" t="s">
        <v>19</v>
      </c>
      <c r="X43" s="22" t="s">
        <v>20</v>
      </c>
      <c r="Y43" s="60" t="s">
        <v>21</v>
      </c>
      <c r="Z43" s="22"/>
      <c r="AA43" s="22"/>
      <c r="AB43" s="13"/>
    </row>
    <row r="44" spans="2:58" s="1" customFormat="1" ht="18" customHeight="1" x14ac:dyDescent="0.35">
      <c r="B44" s="13"/>
      <c r="C44" s="116"/>
      <c r="D44" s="113"/>
      <c r="E44" s="21" t="s">
        <v>41</v>
      </c>
      <c r="F44" s="109" t="s">
        <v>112</v>
      </c>
      <c r="G44" s="109" t="s">
        <v>119</v>
      </c>
      <c r="H44" s="21">
        <f>700*0.47</f>
        <v>329</v>
      </c>
      <c r="I44" s="21" t="s">
        <v>19</v>
      </c>
      <c r="J44" s="22" t="s">
        <v>20</v>
      </c>
      <c r="K44" s="21" t="s">
        <v>21</v>
      </c>
      <c r="L44" s="22"/>
      <c r="M44" s="22"/>
      <c r="N44" s="13"/>
      <c r="O44" s="26"/>
      <c r="Q44" s="118" t="s">
        <v>110</v>
      </c>
      <c r="R44" s="117">
        <v>4</v>
      </c>
      <c r="S44" s="9" t="s">
        <v>36</v>
      </c>
      <c r="T44" s="9" t="s">
        <v>2</v>
      </c>
      <c r="U44" s="9" t="s">
        <v>132</v>
      </c>
      <c r="V44" s="9">
        <v>0</v>
      </c>
      <c r="W44" s="1" t="s">
        <v>6</v>
      </c>
      <c r="X44" s="1" t="s">
        <v>37</v>
      </c>
      <c r="Y44" s="9" t="s">
        <v>8</v>
      </c>
      <c r="Z44" s="1" t="s">
        <v>113</v>
      </c>
      <c r="AB44" s="13"/>
    </row>
    <row r="45" spans="2:58" s="1" customFormat="1" ht="18" x14ac:dyDescent="0.35">
      <c r="B45" s="13"/>
      <c r="C45" s="120" t="s">
        <v>111</v>
      </c>
      <c r="D45" s="117">
        <v>5</v>
      </c>
      <c r="E45" s="9" t="s">
        <v>42</v>
      </c>
      <c r="F45" s="9" t="s">
        <v>2</v>
      </c>
      <c r="G45" s="9" t="s">
        <v>11</v>
      </c>
      <c r="H45" s="85">
        <f>0.8414/1000*140</f>
        <v>0.11779600000000001</v>
      </c>
      <c r="I45" s="9" t="s">
        <v>12</v>
      </c>
      <c r="J45" s="19" t="s">
        <v>66</v>
      </c>
      <c r="K45" s="9" t="s">
        <v>21</v>
      </c>
      <c r="N45" s="13"/>
      <c r="O45" s="26"/>
      <c r="Q45" s="115"/>
      <c r="R45" s="112"/>
      <c r="S45" s="49" t="s">
        <v>62</v>
      </c>
      <c r="T45" s="49" t="s">
        <v>2</v>
      </c>
      <c r="U45" s="49" t="s">
        <v>133</v>
      </c>
      <c r="V45" s="79">
        <f>558/700*1/0.88</f>
        <v>0.9058441558441559</v>
      </c>
      <c r="W45" s="49" t="s">
        <v>6</v>
      </c>
      <c r="X45" s="50" t="s">
        <v>68</v>
      </c>
      <c r="Y45" s="49" t="s">
        <v>8</v>
      </c>
      <c r="Z45" s="1" t="s">
        <v>113</v>
      </c>
      <c r="AB45" s="13"/>
    </row>
    <row r="46" spans="2:58" s="1" customFormat="1" ht="18" customHeight="1" thickBot="1" x14ac:dyDescent="0.4">
      <c r="B46" s="13"/>
      <c r="C46" s="122"/>
      <c r="D46" s="119"/>
      <c r="E46" s="12" t="s">
        <v>42</v>
      </c>
      <c r="F46" s="12" t="s">
        <v>2</v>
      </c>
      <c r="G46" s="12" t="s">
        <v>43</v>
      </c>
      <c r="H46" s="72">
        <v>1</v>
      </c>
      <c r="I46" s="12" t="s">
        <v>15</v>
      </c>
      <c r="J46" s="2" t="s">
        <v>44</v>
      </c>
      <c r="K46" s="12" t="s">
        <v>8</v>
      </c>
      <c r="L46" s="2" t="s">
        <v>9</v>
      </c>
      <c r="M46" s="2"/>
      <c r="N46" s="13"/>
      <c r="O46" s="26"/>
      <c r="Q46" s="115"/>
      <c r="R46" s="112"/>
      <c r="S46" s="49" t="s">
        <v>62</v>
      </c>
      <c r="T46" s="9" t="s">
        <v>2</v>
      </c>
      <c r="U46" s="9" t="s">
        <v>126</v>
      </c>
      <c r="V46" s="83">
        <f>V45*700/1000*278</f>
        <v>176.27727272727273</v>
      </c>
      <c r="W46" s="9" t="s">
        <v>12</v>
      </c>
      <c r="X46" s="19" t="s">
        <v>66</v>
      </c>
      <c r="Y46" s="9" t="s">
        <v>21</v>
      </c>
      <c r="AB46" s="13"/>
    </row>
    <row r="47" spans="2:58" s="1" customFormat="1" ht="18" customHeight="1" x14ac:dyDescent="0.35">
      <c r="B47" s="13"/>
      <c r="C47" s="27"/>
      <c r="D47" s="28"/>
      <c r="E47" s="11"/>
      <c r="F47" s="11"/>
      <c r="G47" s="3"/>
      <c r="H47" s="3"/>
      <c r="I47" s="11"/>
      <c r="J47" s="3"/>
      <c r="N47" s="13"/>
      <c r="O47" s="26"/>
      <c r="Q47" s="115"/>
      <c r="R47" s="112"/>
      <c r="S47" s="23" t="s">
        <v>55</v>
      </c>
      <c r="T47" s="23" t="s">
        <v>2</v>
      </c>
      <c r="U47" s="23" t="s">
        <v>134</v>
      </c>
      <c r="V47" s="80">
        <v>1</v>
      </c>
      <c r="W47" s="23" t="s">
        <v>6</v>
      </c>
      <c r="X47" s="24" t="s">
        <v>77</v>
      </c>
      <c r="Y47" s="9" t="s">
        <v>8</v>
      </c>
      <c r="Z47" s="1" t="s">
        <v>113</v>
      </c>
      <c r="AB47" s="13"/>
    </row>
    <row r="48" spans="2:58" s="1" customFormat="1" ht="18" customHeight="1" x14ac:dyDescent="0.35">
      <c r="B48" s="13"/>
      <c r="C48" s="27"/>
      <c r="D48" s="28"/>
      <c r="E48" s="11"/>
      <c r="F48" s="11"/>
      <c r="G48" s="3"/>
      <c r="H48" s="3"/>
      <c r="I48" s="11"/>
      <c r="J48" s="3"/>
      <c r="N48" s="13"/>
      <c r="O48" s="26"/>
      <c r="Q48" s="115"/>
      <c r="R48" s="112"/>
      <c r="S48" s="25" t="s">
        <v>38</v>
      </c>
      <c r="T48" s="9" t="s">
        <v>2</v>
      </c>
      <c r="U48" s="9" t="s">
        <v>11</v>
      </c>
      <c r="V48" s="9">
        <f>1*700/1000*248</f>
        <v>173.6</v>
      </c>
      <c r="W48" s="9" t="s">
        <v>12</v>
      </c>
      <c r="X48" s="19" t="s">
        <v>66</v>
      </c>
      <c r="Y48" s="9" t="s">
        <v>21</v>
      </c>
      <c r="AB48" s="13"/>
    </row>
    <row r="49" spans="2:28" s="1" customFormat="1" ht="15" customHeight="1" x14ac:dyDescent="0.35">
      <c r="B49" s="13"/>
      <c r="C49" s="29" t="s">
        <v>45</v>
      </c>
      <c r="D49" s="28"/>
      <c r="E49" s="11"/>
      <c r="F49" s="11"/>
      <c r="G49" s="3"/>
      <c r="H49" s="3"/>
      <c r="I49" s="11"/>
      <c r="J49" s="3"/>
      <c r="N49" s="13"/>
      <c r="O49" s="26"/>
      <c r="Q49" s="115"/>
      <c r="R49" s="112"/>
      <c r="S49" s="9" t="s">
        <v>39</v>
      </c>
      <c r="T49" s="9" t="s">
        <v>112</v>
      </c>
      <c r="U49" s="9" t="s">
        <v>115</v>
      </c>
      <c r="V49" s="9">
        <v>179</v>
      </c>
      <c r="W49" s="9" t="s">
        <v>13</v>
      </c>
      <c r="X49" s="19" t="s">
        <v>14</v>
      </c>
      <c r="Y49" s="9" t="s">
        <v>65</v>
      </c>
      <c r="AB49" s="13"/>
    </row>
    <row r="50" spans="2:28" s="1" customFormat="1" ht="18" x14ac:dyDescent="0.35">
      <c r="B50" s="13"/>
      <c r="C50" s="27"/>
      <c r="D50" s="28"/>
      <c r="E50" s="11"/>
      <c r="F50" s="11"/>
      <c r="G50" s="3"/>
      <c r="H50" s="3"/>
      <c r="J50" s="3"/>
      <c r="N50" s="13"/>
      <c r="O50" s="26"/>
      <c r="Q50" s="115"/>
      <c r="R50" s="112"/>
      <c r="S50" s="9" t="s">
        <v>40</v>
      </c>
      <c r="T50" s="9" t="s">
        <v>112</v>
      </c>
      <c r="U50" s="9" t="s">
        <v>116</v>
      </c>
      <c r="V50" s="9">
        <f>700/1000*1*50</f>
        <v>35</v>
      </c>
      <c r="W50" s="9" t="s">
        <v>12</v>
      </c>
      <c r="X50" s="19" t="s">
        <v>66</v>
      </c>
      <c r="Y50" s="9" t="s">
        <v>21</v>
      </c>
      <c r="AB50" s="13"/>
    </row>
    <row r="51" spans="2:28" s="1" customFormat="1" ht="18" x14ac:dyDescent="0.35">
      <c r="B51" s="13"/>
      <c r="C51" s="69"/>
      <c r="D51" s="70"/>
      <c r="E51" s="71"/>
      <c r="F51" s="71"/>
      <c r="G51" s="3"/>
      <c r="H51" s="3"/>
      <c r="I51" s="11"/>
      <c r="J51" s="3"/>
      <c r="N51" s="13"/>
      <c r="O51" s="26"/>
      <c r="Q51" s="115"/>
      <c r="R51" s="112"/>
      <c r="S51" s="9" t="s">
        <v>41</v>
      </c>
      <c r="T51" s="9" t="s">
        <v>112</v>
      </c>
      <c r="U51" s="9" t="s">
        <v>116</v>
      </c>
      <c r="V51" s="9">
        <v>0</v>
      </c>
      <c r="W51" s="9" t="s">
        <v>12</v>
      </c>
      <c r="X51" s="19" t="s">
        <v>66</v>
      </c>
      <c r="Y51" s="9" t="s">
        <v>21</v>
      </c>
      <c r="AB51" s="13"/>
    </row>
    <row r="52" spans="2:28" s="1" customFormat="1" ht="18" x14ac:dyDescent="0.35">
      <c r="B52" s="13"/>
      <c r="C52" s="61"/>
      <c r="D52" s="69"/>
      <c r="E52" s="62"/>
      <c r="F52" s="62"/>
      <c r="G52" s="3"/>
      <c r="H52" s="3"/>
      <c r="I52" s="11"/>
      <c r="J52" s="3"/>
      <c r="N52" s="13"/>
      <c r="O52" s="26"/>
      <c r="Q52" s="115"/>
      <c r="R52" s="112"/>
      <c r="S52" s="9" t="s">
        <v>41</v>
      </c>
      <c r="T52" s="9" t="s">
        <v>112</v>
      </c>
      <c r="U52" s="9" t="s">
        <v>117</v>
      </c>
      <c r="V52" s="9">
        <v>0</v>
      </c>
      <c r="W52" s="9" t="s">
        <v>6</v>
      </c>
      <c r="X52" s="19" t="s">
        <v>68</v>
      </c>
      <c r="Y52" s="9" t="s">
        <v>8</v>
      </c>
      <c r="Z52" s="1" t="s">
        <v>113</v>
      </c>
      <c r="AB52" s="13"/>
    </row>
    <row r="53" spans="2:28" s="1" customFormat="1" ht="18" x14ac:dyDescent="0.35">
      <c r="B53" s="13"/>
      <c r="C53" s="73"/>
      <c r="D53" s="73"/>
      <c r="E53" s="75"/>
      <c r="F53" s="75"/>
      <c r="G53" s="3"/>
      <c r="H53" s="3"/>
      <c r="I53" s="47"/>
      <c r="J53" s="3"/>
      <c r="N53" s="13"/>
      <c r="O53" s="26"/>
      <c r="Q53" s="115"/>
      <c r="R53" s="112"/>
      <c r="S53" s="9" t="s">
        <v>41</v>
      </c>
      <c r="T53" s="9" t="s">
        <v>112</v>
      </c>
      <c r="U53" s="9" t="s">
        <v>124</v>
      </c>
      <c r="V53" s="9">
        <v>0</v>
      </c>
      <c r="W53" s="9" t="s">
        <v>12</v>
      </c>
      <c r="X53" s="19" t="s">
        <v>66</v>
      </c>
      <c r="Y53" s="9" t="s">
        <v>21</v>
      </c>
      <c r="AB53" s="13"/>
    </row>
    <row r="54" spans="2:28" s="1" customFormat="1" ht="18" x14ac:dyDescent="0.35">
      <c r="B54" s="13"/>
      <c r="C54" s="74"/>
      <c r="D54" s="29"/>
      <c r="E54" s="75"/>
      <c r="F54" s="75"/>
      <c r="G54" s="3"/>
      <c r="H54" s="3"/>
      <c r="I54" s="11"/>
      <c r="J54" s="3"/>
      <c r="N54" s="13"/>
      <c r="O54" s="26"/>
      <c r="Q54" s="116"/>
      <c r="R54" s="113"/>
      <c r="S54" s="21" t="s">
        <v>41</v>
      </c>
      <c r="T54" s="21" t="s">
        <v>112</v>
      </c>
      <c r="U54" s="109" t="s">
        <v>119</v>
      </c>
      <c r="V54" s="21">
        <v>0</v>
      </c>
      <c r="W54" s="21" t="s">
        <v>19</v>
      </c>
      <c r="X54" s="22" t="s">
        <v>20</v>
      </c>
      <c r="Y54" s="60" t="s">
        <v>21</v>
      </c>
      <c r="Z54" s="22"/>
      <c r="AA54" s="22"/>
      <c r="AB54" s="13"/>
    </row>
    <row r="55" spans="2:28" s="1" customFormat="1" ht="18" customHeight="1" x14ac:dyDescent="0.35">
      <c r="B55" s="13"/>
      <c r="C55" s="74"/>
      <c r="D55" s="29"/>
      <c r="E55" s="75"/>
      <c r="F55" s="75"/>
      <c r="G55" s="3"/>
      <c r="H55" s="3"/>
      <c r="I55" s="58"/>
      <c r="J55" s="3"/>
      <c r="N55" s="13"/>
      <c r="O55" s="13"/>
      <c r="Q55" s="120" t="s">
        <v>111</v>
      </c>
      <c r="R55" s="117">
        <v>5</v>
      </c>
      <c r="S55" s="23" t="s">
        <v>57</v>
      </c>
      <c r="T55" s="23" t="s">
        <v>2</v>
      </c>
      <c r="U55" s="23" t="s">
        <v>135</v>
      </c>
      <c r="V55" s="82">
        <f>0.8414/700</f>
        <v>1.2020000000000002E-3</v>
      </c>
      <c r="W55" s="23" t="s">
        <v>6</v>
      </c>
      <c r="X55" s="24" t="s">
        <v>68</v>
      </c>
      <c r="Y55" s="23" t="s">
        <v>8</v>
      </c>
      <c r="Z55" s="1" t="s">
        <v>113</v>
      </c>
      <c r="AB55" s="13"/>
    </row>
    <row r="56" spans="2:28" s="1" customFormat="1" ht="18" x14ac:dyDescent="0.35">
      <c r="B56" s="13"/>
      <c r="C56" s="74"/>
      <c r="D56" s="29"/>
      <c r="E56" s="75"/>
      <c r="F56" s="75"/>
      <c r="G56" s="3"/>
      <c r="H56" s="3"/>
      <c r="I56" s="58"/>
      <c r="J56" s="3"/>
      <c r="N56" s="13"/>
      <c r="O56" s="13"/>
      <c r="Q56" s="121"/>
      <c r="R56" s="112"/>
      <c r="S56" s="49" t="s">
        <v>58</v>
      </c>
      <c r="T56" s="49" t="s">
        <v>2</v>
      </c>
      <c r="U56" s="49" t="s">
        <v>11</v>
      </c>
      <c r="V56" s="78">
        <f>0.84/1000*172</f>
        <v>0.14448</v>
      </c>
      <c r="W56" s="49" t="s">
        <v>12</v>
      </c>
      <c r="X56" s="19" t="s">
        <v>66</v>
      </c>
      <c r="Y56" s="9" t="s">
        <v>21</v>
      </c>
      <c r="AB56" s="13"/>
    </row>
    <row r="57" spans="2:28" s="1" customFormat="1" ht="18.75" thickBot="1" x14ac:dyDescent="0.4">
      <c r="B57" s="13"/>
      <c r="C57" s="74"/>
      <c r="D57" s="29"/>
      <c r="E57" s="75"/>
      <c r="F57" s="75"/>
      <c r="G57" s="3"/>
      <c r="H57" s="3"/>
      <c r="I57" s="58"/>
      <c r="J57" s="3"/>
      <c r="N57" s="13"/>
      <c r="O57" s="13"/>
      <c r="Q57" s="122"/>
      <c r="R57" s="119"/>
      <c r="S57" s="68" t="s">
        <v>58</v>
      </c>
      <c r="T57" s="59" t="s">
        <v>2</v>
      </c>
      <c r="U57" s="12" t="s">
        <v>43</v>
      </c>
      <c r="V57" s="81">
        <v>1</v>
      </c>
      <c r="W57" s="76" t="s">
        <v>15</v>
      </c>
      <c r="X57" s="67" t="s">
        <v>44</v>
      </c>
      <c r="Y57" s="76" t="s">
        <v>8</v>
      </c>
      <c r="Z57" s="2" t="s">
        <v>78</v>
      </c>
      <c r="AA57" s="2"/>
      <c r="AB57" s="13"/>
    </row>
    <row r="58" spans="2:28" s="1" customFormat="1" x14ac:dyDescent="0.25">
      <c r="B58" s="13"/>
      <c r="C58" s="57"/>
      <c r="D58" s="56"/>
      <c r="E58" s="58"/>
      <c r="F58" s="58"/>
      <c r="G58" s="3"/>
      <c r="H58" s="3"/>
      <c r="I58" s="58"/>
      <c r="J58" s="3"/>
      <c r="N58" s="13"/>
      <c r="O58" s="13"/>
      <c r="AB58" s="13"/>
    </row>
    <row r="59" spans="2:28" s="1" customFormat="1" x14ac:dyDescent="0.25">
      <c r="B59" s="13"/>
      <c r="C59" s="57"/>
      <c r="D59" s="56"/>
      <c r="E59" s="58"/>
      <c r="F59" s="58"/>
      <c r="G59" s="3"/>
      <c r="H59" s="3"/>
      <c r="I59" s="58"/>
      <c r="J59" s="3"/>
      <c r="N59" s="13"/>
      <c r="O59" s="13"/>
      <c r="AB59" s="13"/>
    </row>
    <row r="60" spans="2:28" s="1" customFormat="1" x14ac:dyDescent="0.25">
      <c r="B60" s="13"/>
      <c r="C60" s="57"/>
      <c r="D60" s="56"/>
      <c r="E60" s="58"/>
      <c r="F60" s="58"/>
      <c r="G60" s="3"/>
      <c r="H60" s="3"/>
      <c r="I60" s="58"/>
      <c r="J60" s="3"/>
      <c r="N60" s="13"/>
      <c r="O60" s="13"/>
      <c r="AB60" s="13"/>
    </row>
    <row r="61" spans="2:28" s="1" customFormat="1" ht="18.75" customHeight="1" x14ac:dyDescent="0.25">
      <c r="B61" s="13"/>
      <c r="C61" s="27"/>
      <c r="D61" s="28"/>
      <c r="E61" s="11"/>
      <c r="F61" s="11"/>
      <c r="G61" s="3"/>
      <c r="H61" s="3"/>
      <c r="I61" s="11"/>
      <c r="J61" s="3"/>
      <c r="N61" s="13"/>
      <c r="O61" s="13"/>
      <c r="AB61" s="13"/>
    </row>
    <row r="62" spans="2:28" s="1" customFormat="1" ht="15.75" thickBot="1" x14ac:dyDescent="0.3">
      <c r="B62" s="13"/>
      <c r="C62" s="30"/>
      <c r="D62" s="16"/>
      <c r="E62" s="10"/>
      <c r="F62" s="10"/>
      <c r="G62" s="2"/>
      <c r="H62" s="2"/>
      <c r="I62" s="10"/>
      <c r="J62" s="2"/>
      <c r="K62" s="2"/>
      <c r="L62" s="2"/>
      <c r="M62" s="2"/>
      <c r="N62" s="13"/>
      <c r="O62" s="13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13"/>
    </row>
    <row r="63" spans="2:28" s="1" customFormat="1" ht="15.75" thickBot="1" x14ac:dyDescent="0.3">
      <c r="B63" s="13"/>
      <c r="C63" s="129" t="s">
        <v>136</v>
      </c>
      <c r="D63" s="129"/>
      <c r="E63" s="129"/>
      <c r="F63" s="129"/>
      <c r="G63" s="129"/>
      <c r="H63" s="129"/>
      <c r="I63" s="129"/>
      <c r="J63" s="129"/>
      <c r="K63" s="129"/>
      <c r="L63" s="129"/>
      <c r="M63" s="129"/>
      <c r="N63" s="13"/>
      <c r="O63" s="13"/>
      <c r="Q63" s="129" t="s">
        <v>138</v>
      </c>
      <c r="R63" s="129"/>
      <c r="S63" s="129"/>
      <c r="T63" s="129"/>
      <c r="U63" s="129"/>
      <c r="V63" s="129"/>
      <c r="W63" s="129"/>
      <c r="X63" s="129"/>
      <c r="Y63" s="129"/>
      <c r="Z63" s="129"/>
      <c r="AA63" s="129"/>
      <c r="AB63" s="13"/>
    </row>
    <row r="64" spans="2:28" s="1" customFormat="1" x14ac:dyDescent="0.25">
      <c r="B64" s="13"/>
      <c r="C64" s="11"/>
      <c r="D64" s="11"/>
      <c r="E64" s="11"/>
      <c r="F64" s="11"/>
      <c r="G64" s="11"/>
      <c r="H64" s="11"/>
      <c r="I64" s="11"/>
      <c r="J64" s="11"/>
      <c r="N64" s="13"/>
      <c r="O64" s="13"/>
      <c r="Q64" s="11"/>
      <c r="R64" s="11"/>
      <c r="S64" s="11"/>
      <c r="T64" s="11"/>
      <c r="U64" s="11"/>
      <c r="V64" s="11"/>
      <c r="W64" s="11"/>
      <c r="X64" s="11"/>
      <c r="AB64" s="13"/>
    </row>
    <row r="65" spans="2:28" s="1" customFormat="1" ht="15.75" thickBot="1" x14ac:dyDescent="0.3">
      <c r="B65" s="13"/>
      <c r="C65" s="30"/>
      <c r="D65" s="16"/>
      <c r="E65" s="10"/>
      <c r="F65" s="10"/>
      <c r="G65" s="2"/>
      <c r="H65" s="2"/>
      <c r="I65" s="10"/>
      <c r="J65" s="2"/>
      <c r="K65" s="2"/>
      <c r="L65" s="2"/>
      <c r="N65" s="13"/>
      <c r="O65" s="13"/>
      <c r="Q65" s="2"/>
      <c r="R65" s="2"/>
      <c r="S65" s="2"/>
      <c r="T65" s="2"/>
      <c r="U65" s="2"/>
      <c r="V65" s="2"/>
      <c r="W65" s="2"/>
      <c r="X65" s="2"/>
      <c r="Y65" s="2"/>
      <c r="AB65" s="13"/>
    </row>
    <row r="66" spans="2:28" s="1" customFormat="1" ht="30.75" thickBot="1" x14ac:dyDescent="0.3">
      <c r="B66" s="13"/>
      <c r="C66" s="107" t="s">
        <v>99</v>
      </c>
      <c r="D66" s="110" t="s">
        <v>100</v>
      </c>
      <c r="E66" s="8" t="s">
        <v>101</v>
      </c>
      <c r="F66" s="110" t="s">
        <v>102</v>
      </c>
      <c r="G66" s="110" t="s">
        <v>103</v>
      </c>
      <c r="H66" s="110" t="s">
        <v>104</v>
      </c>
      <c r="I66" s="110" t="s">
        <v>105</v>
      </c>
      <c r="J66" s="110" t="s">
        <v>106</v>
      </c>
      <c r="K66" s="17" t="s">
        <v>3</v>
      </c>
      <c r="L66" s="128" t="s">
        <v>4</v>
      </c>
      <c r="M66" s="128"/>
      <c r="N66" s="13"/>
      <c r="O66" s="13"/>
      <c r="Q66" s="107" t="s">
        <v>99</v>
      </c>
      <c r="R66" s="110" t="s">
        <v>100</v>
      </c>
      <c r="S66" s="8" t="s">
        <v>101</v>
      </c>
      <c r="T66" s="110" t="s">
        <v>102</v>
      </c>
      <c r="U66" s="110" t="s">
        <v>103</v>
      </c>
      <c r="V66" s="110" t="s">
        <v>104</v>
      </c>
      <c r="W66" s="110" t="s">
        <v>105</v>
      </c>
      <c r="X66" s="110" t="s">
        <v>106</v>
      </c>
      <c r="Y66" s="17" t="s">
        <v>3</v>
      </c>
      <c r="Z66" s="128" t="s">
        <v>4</v>
      </c>
      <c r="AA66" s="128"/>
      <c r="AB66" s="13"/>
    </row>
    <row r="67" spans="2:28" s="1" customFormat="1" ht="18" customHeight="1" x14ac:dyDescent="0.35">
      <c r="B67" s="13"/>
      <c r="C67" s="114" t="s">
        <v>107</v>
      </c>
      <c r="D67" s="111">
        <v>1</v>
      </c>
      <c r="E67" s="9" t="s">
        <v>5</v>
      </c>
      <c r="F67" s="9" t="s">
        <v>2</v>
      </c>
      <c r="G67" s="9" t="s">
        <v>114</v>
      </c>
      <c r="H67" s="9">
        <v>1</v>
      </c>
      <c r="I67" s="9" t="s">
        <v>6</v>
      </c>
      <c r="J67" s="18" t="s">
        <v>7</v>
      </c>
      <c r="K67" s="9" t="s">
        <v>8</v>
      </c>
      <c r="L67" s="19" t="s">
        <v>9</v>
      </c>
      <c r="N67" s="13"/>
      <c r="O67" s="13"/>
      <c r="Q67" s="114" t="s">
        <v>107</v>
      </c>
      <c r="R67" s="111">
        <v>1</v>
      </c>
      <c r="S67" s="9" t="s">
        <v>5</v>
      </c>
      <c r="T67" s="9" t="s">
        <v>2</v>
      </c>
      <c r="U67" s="9" t="s">
        <v>114</v>
      </c>
      <c r="V67" s="9">
        <v>1</v>
      </c>
      <c r="W67" s="9" t="s">
        <v>6</v>
      </c>
      <c r="X67" s="18" t="s">
        <v>7</v>
      </c>
      <c r="Y67" s="9" t="s">
        <v>8</v>
      </c>
      <c r="Z67" s="1" t="s">
        <v>69</v>
      </c>
      <c r="AB67" s="13"/>
    </row>
    <row r="68" spans="2:28" s="1" customFormat="1" ht="15" customHeight="1" x14ac:dyDescent="0.35">
      <c r="B68" s="13"/>
      <c r="C68" s="115"/>
      <c r="D68" s="112"/>
      <c r="E68" s="9" t="s">
        <v>10</v>
      </c>
      <c r="F68" s="9" t="s">
        <v>2</v>
      </c>
      <c r="G68" s="9" t="s">
        <v>11</v>
      </c>
      <c r="H68" s="9">
        <f>500/1000*64</f>
        <v>32</v>
      </c>
      <c r="I68" s="9" t="s">
        <v>12</v>
      </c>
      <c r="J68" s="19" t="s">
        <v>66</v>
      </c>
      <c r="K68" s="9" t="s">
        <v>21</v>
      </c>
      <c r="N68" s="13"/>
      <c r="O68" s="13"/>
      <c r="Q68" s="115"/>
      <c r="R68" s="112"/>
      <c r="S68" s="9" t="s">
        <v>10</v>
      </c>
      <c r="T68" s="9" t="s">
        <v>2</v>
      </c>
      <c r="U68" s="9" t="s">
        <v>11</v>
      </c>
      <c r="V68" s="9">
        <f>500/1000*64</f>
        <v>32</v>
      </c>
      <c r="W68" s="9" t="s">
        <v>12</v>
      </c>
      <c r="X68" s="19" t="s">
        <v>66</v>
      </c>
      <c r="Y68" s="9" t="s">
        <v>21</v>
      </c>
      <c r="AB68" s="13"/>
    </row>
    <row r="69" spans="2:28" s="1" customFormat="1" ht="18" x14ac:dyDescent="0.35">
      <c r="B69" s="31"/>
      <c r="C69" s="115"/>
      <c r="D69" s="112"/>
      <c r="E69" s="9" t="s">
        <v>16</v>
      </c>
      <c r="F69" s="9" t="s">
        <v>112</v>
      </c>
      <c r="G69" s="9" t="s">
        <v>115</v>
      </c>
      <c r="H69" s="9">
        <v>17.95</v>
      </c>
      <c r="I69" s="9" t="s">
        <v>13</v>
      </c>
      <c r="J69" s="19" t="s">
        <v>14</v>
      </c>
      <c r="K69" s="9" t="s">
        <v>65</v>
      </c>
      <c r="N69" s="13"/>
      <c r="O69" s="13"/>
      <c r="Q69" s="115"/>
      <c r="R69" s="112"/>
      <c r="S69" s="9" t="s">
        <v>16</v>
      </c>
      <c r="T69" s="9" t="s">
        <v>112</v>
      </c>
      <c r="U69" s="9" t="s">
        <v>115</v>
      </c>
      <c r="V69" s="9">
        <v>17.95</v>
      </c>
      <c r="W69" s="9" t="s">
        <v>13</v>
      </c>
      <c r="X69" s="19" t="s">
        <v>14</v>
      </c>
      <c r="Y69" s="9" t="s">
        <v>65</v>
      </c>
      <c r="AB69" s="13"/>
    </row>
    <row r="70" spans="2:28" s="1" customFormat="1" ht="18" x14ac:dyDescent="0.35">
      <c r="B70" s="13"/>
      <c r="C70" s="115"/>
      <c r="D70" s="112"/>
      <c r="E70" s="9" t="s">
        <v>17</v>
      </c>
      <c r="F70" s="9" t="s">
        <v>112</v>
      </c>
      <c r="G70" s="9" t="s">
        <v>116</v>
      </c>
      <c r="H70" s="9">
        <f>500/1000*0.53*50</f>
        <v>13.25</v>
      </c>
      <c r="I70" s="9" t="s">
        <v>12</v>
      </c>
      <c r="J70" s="19" t="s">
        <v>66</v>
      </c>
      <c r="K70" s="9" t="s">
        <v>21</v>
      </c>
      <c r="N70" s="13"/>
      <c r="O70" s="13"/>
      <c r="Q70" s="115"/>
      <c r="R70" s="112"/>
      <c r="S70" s="9" t="s">
        <v>17</v>
      </c>
      <c r="T70" s="9" t="s">
        <v>112</v>
      </c>
      <c r="U70" s="9" t="s">
        <v>116</v>
      </c>
      <c r="V70" s="9">
        <f>500/1000*0.53*50</f>
        <v>13.25</v>
      </c>
      <c r="W70" s="9" t="s">
        <v>12</v>
      </c>
      <c r="X70" s="19" t="s">
        <v>66</v>
      </c>
      <c r="Y70" s="9" t="s">
        <v>21</v>
      </c>
      <c r="AB70" s="13"/>
    </row>
    <row r="71" spans="2:28" s="1" customFormat="1" ht="15" customHeight="1" x14ac:dyDescent="0.35">
      <c r="B71" s="13"/>
      <c r="C71" s="115"/>
      <c r="D71" s="112"/>
      <c r="E71" s="23" t="s">
        <v>24</v>
      </c>
      <c r="F71" s="23" t="s">
        <v>112</v>
      </c>
      <c r="G71" s="49" t="s">
        <v>125</v>
      </c>
      <c r="H71" s="23">
        <v>0.53</v>
      </c>
      <c r="I71" s="23" t="s">
        <v>6</v>
      </c>
      <c r="J71" s="24" t="s">
        <v>68</v>
      </c>
      <c r="K71" s="23" t="s">
        <v>8</v>
      </c>
      <c r="L71" s="1" t="s">
        <v>113</v>
      </c>
      <c r="M71" s="13"/>
      <c r="N71" s="13"/>
      <c r="O71" s="13"/>
      <c r="Q71" s="115"/>
      <c r="R71" s="112"/>
      <c r="S71" s="23" t="s">
        <v>24</v>
      </c>
      <c r="T71" s="23" t="s">
        <v>112</v>
      </c>
      <c r="U71" s="49" t="s">
        <v>125</v>
      </c>
      <c r="V71" s="23">
        <v>0.53</v>
      </c>
      <c r="W71" s="23" t="s">
        <v>6</v>
      </c>
      <c r="X71" s="24" t="s">
        <v>68</v>
      </c>
      <c r="Y71" s="23" t="s">
        <v>8</v>
      </c>
      <c r="Z71" s="1" t="s">
        <v>113</v>
      </c>
      <c r="AA71" s="13"/>
      <c r="AB71" s="13"/>
    </row>
    <row r="72" spans="2:28" s="1" customFormat="1" ht="18" x14ac:dyDescent="0.35">
      <c r="B72" s="13"/>
      <c r="C72" s="115"/>
      <c r="D72" s="112"/>
      <c r="E72" s="9" t="s">
        <v>18</v>
      </c>
      <c r="F72" s="9" t="s">
        <v>112</v>
      </c>
      <c r="G72" s="9" t="s">
        <v>116</v>
      </c>
      <c r="H72" s="9">
        <f>500/1000*0.47*50</f>
        <v>11.75</v>
      </c>
      <c r="I72" s="9" t="s">
        <v>12</v>
      </c>
      <c r="J72" s="19" t="s">
        <v>66</v>
      </c>
      <c r="K72" s="9" t="s">
        <v>21</v>
      </c>
      <c r="N72" s="13"/>
      <c r="O72" s="13"/>
      <c r="Q72" s="115"/>
      <c r="R72" s="112"/>
      <c r="S72" s="9" t="s">
        <v>18</v>
      </c>
      <c r="T72" s="9" t="s">
        <v>112</v>
      </c>
      <c r="U72" s="9" t="s">
        <v>116</v>
      </c>
      <c r="V72" s="9">
        <f>500/1000*0.47*50</f>
        <v>11.75</v>
      </c>
      <c r="W72" s="9" t="s">
        <v>12</v>
      </c>
      <c r="X72" s="19" t="s">
        <v>66</v>
      </c>
      <c r="Y72" s="9" t="s">
        <v>21</v>
      </c>
      <c r="AB72" s="13"/>
    </row>
    <row r="73" spans="2:28" s="1" customFormat="1" ht="18" x14ac:dyDescent="0.35">
      <c r="B73" s="13"/>
      <c r="C73" s="115"/>
      <c r="D73" s="112"/>
      <c r="E73" s="9" t="s">
        <v>18</v>
      </c>
      <c r="F73" s="9" t="s">
        <v>112</v>
      </c>
      <c r="G73" s="9" t="s">
        <v>117</v>
      </c>
      <c r="H73" s="9">
        <v>0.47</v>
      </c>
      <c r="I73" s="9" t="s">
        <v>6</v>
      </c>
      <c r="J73" s="19" t="s">
        <v>68</v>
      </c>
      <c r="K73" s="9" t="s">
        <v>8</v>
      </c>
      <c r="L73" s="1" t="s">
        <v>113</v>
      </c>
      <c r="N73" s="13"/>
      <c r="O73" s="13"/>
      <c r="Q73" s="115"/>
      <c r="R73" s="112"/>
      <c r="S73" s="9" t="s">
        <v>18</v>
      </c>
      <c r="T73" s="9" t="s">
        <v>112</v>
      </c>
      <c r="U73" s="9" t="s">
        <v>117</v>
      </c>
      <c r="V73" s="9">
        <v>0.47</v>
      </c>
      <c r="W73" s="9" t="s">
        <v>6</v>
      </c>
      <c r="X73" s="19" t="s">
        <v>68</v>
      </c>
      <c r="Y73" s="9" t="s">
        <v>8</v>
      </c>
      <c r="Z73" s="1" t="s">
        <v>113</v>
      </c>
      <c r="AB73" s="13"/>
    </row>
    <row r="74" spans="2:28" s="1" customFormat="1" ht="18" x14ac:dyDescent="0.35">
      <c r="B74" s="13"/>
      <c r="C74" s="115"/>
      <c r="D74" s="112"/>
      <c r="E74" s="9" t="s">
        <v>18</v>
      </c>
      <c r="F74" s="9" t="s">
        <v>112</v>
      </c>
      <c r="G74" s="9" t="s">
        <v>118</v>
      </c>
      <c r="H74" s="9">
        <f>500/1000*0.47*32</f>
        <v>7.52</v>
      </c>
      <c r="I74" s="9" t="s">
        <v>12</v>
      </c>
      <c r="J74" s="19" t="s">
        <v>66</v>
      </c>
      <c r="K74" s="9" t="s">
        <v>21</v>
      </c>
      <c r="N74" s="13"/>
      <c r="O74" s="13"/>
      <c r="Q74" s="115"/>
      <c r="R74" s="112"/>
      <c r="S74" s="9" t="s">
        <v>18</v>
      </c>
      <c r="T74" s="9" t="s">
        <v>112</v>
      </c>
      <c r="U74" s="9" t="s">
        <v>118</v>
      </c>
      <c r="V74" s="9">
        <f>500/1000*0.47*32</f>
        <v>7.52</v>
      </c>
      <c r="W74" s="9" t="s">
        <v>12</v>
      </c>
      <c r="X74" s="19" t="s">
        <v>66</v>
      </c>
      <c r="Y74" s="9" t="s">
        <v>21</v>
      </c>
      <c r="AB74" s="13"/>
    </row>
    <row r="75" spans="2:28" s="1" customFormat="1" ht="18" x14ac:dyDescent="0.35">
      <c r="B75" s="13"/>
      <c r="C75" s="116"/>
      <c r="D75" s="113"/>
      <c r="E75" s="21" t="s">
        <v>18</v>
      </c>
      <c r="F75" s="21" t="s">
        <v>112</v>
      </c>
      <c r="G75" s="109" t="s">
        <v>119</v>
      </c>
      <c r="H75" s="21">
        <f>500*0.47</f>
        <v>235</v>
      </c>
      <c r="I75" s="21" t="s">
        <v>19</v>
      </c>
      <c r="J75" s="22" t="s">
        <v>20</v>
      </c>
      <c r="K75" s="42" t="s">
        <v>21</v>
      </c>
      <c r="L75" s="22"/>
      <c r="M75" s="22"/>
      <c r="N75" s="13"/>
      <c r="O75" s="13"/>
      <c r="Q75" s="116"/>
      <c r="R75" s="113"/>
      <c r="S75" s="21" t="s">
        <v>18</v>
      </c>
      <c r="T75" s="21" t="s">
        <v>112</v>
      </c>
      <c r="U75" s="109" t="s">
        <v>119</v>
      </c>
      <c r="V75" s="21">
        <f>500*0.47</f>
        <v>235</v>
      </c>
      <c r="W75" s="21" t="s">
        <v>19</v>
      </c>
      <c r="X75" s="22" t="s">
        <v>20</v>
      </c>
      <c r="Y75" s="60" t="s">
        <v>21</v>
      </c>
      <c r="Z75" s="22"/>
      <c r="AA75" s="22"/>
      <c r="AB75" s="13"/>
    </row>
    <row r="76" spans="2:28" s="1" customFormat="1" ht="18" customHeight="1" x14ac:dyDescent="0.35">
      <c r="B76" s="13"/>
      <c r="C76" s="118" t="s">
        <v>108</v>
      </c>
      <c r="D76" s="117">
        <v>2</v>
      </c>
      <c r="E76" s="65" t="s">
        <v>46</v>
      </c>
      <c r="F76" s="65" t="s">
        <v>2</v>
      </c>
      <c r="G76" s="65" t="s">
        <v>137</v>
      </c>
      <c r="H76" s="65">
        <v>0</v>
      </c>
      <c r="I76" s="65" t="s">
        <v>47</v>
      </c>
      <c r="J76" s="66" t="s">
        <v>70</v>
      </c>
      <c r="N76" s="13"/>
      <c r="O76" s="13"/>
      <c r="Q76" s="118" t="s">
        <v>108</v>
      </c>
      <c r="R76" s="117">
        <v>2</v>
      </c>
      <c r="S76" s="65" t="s">
        <v>46</v>
      </c>
      <c r="T76" s="65" t="s">
        <v>2</v>
      </c>
      <c r="U76" s="65" t="s">
        <v>137</v>
      </c>
      <c r="V76" s="65">
        <v>1</v>
      </c>
      <c r="W76" s="65" t="s">
        <v>47</v>
      </c>
      <c r="X76" s="66" t="s">
        <v>70</v>
      </c>
      <c r="AB76" s="13"/>
    </row>
    <row r="77" spans="2:28" s="1" customFormat="1" ht="18" x14ac:dyDescent="0.35">
      <c r="B77" s="13"/>
      <c r="C77" s="115"/>
      <c r="D77" s="112"/>
      <c r="E77" s="9" t="s">
        <v>22</v>
      </c>
      <c r="F77" s="9" t="s">
        <v>2</v>
      </c>
      <c r="G77" s="9" t="s">
        <v>120</v>
      </c>
      <c r="H77" s="9">
        <v>1</v>
      </c>
      <c r="I77" s="1" t="s">
        <v>6</v>
      </c>
      <c r="J77" s="1" t="s">
        <v>23</v>
      </c>
      <c r="K77" s="9" t="s">
        <v>8</v>
      </c>
      <c r="L77" s="1" t="s">
        <v>9</v>
      </c>
      <c r="N77" s="13"/>
      <c r="O77" s="13"/>
      <c r="Q77" s="115"/>
      <c r="R77" s="112"/>
      <c r="S77" s="9" t="s">
        <v>22</v>
      </c>
      <c r="T77" s="9" t="s">
        <v>2</v>
      </c>
      <c r="U77" s="9" t="s">
        <v>120</v>
      </c>
      <c r="V77" s="9">
        <v>0</v>
      </c>
      <c r="W77" s="1" t="s">
        <v>6</v>
      </c>
      <c r="X77" s="1" t="s">
        <v>23</v>
      </c>
      <c r="Y77" s="9" t="s">
        <v>8</v>
      </c>
      <c r="Z77" s="1" t="s">
        <v>69</v>
      </c>
      <c r="AB77" s="13"/>
    </row>
    <row r="78" spans="2:28" s="1" customFormat="1" ht="18" x14ac:dyDescent="0.35">
      <c r="B78" s="13"/>
      <c r="C78" s="115"/>
      <c r="D78" s="112"/>
      <c r="E78" s="9" t="s">
        <v>25</v>
      </c>
      <c r="F78" s="9" t="s">
        <v>2</v>
      </c>
      <c r="G78" s="9" t="s">
        <v>11</v>
      </c>
      <c r="H78" s="9">
        <f>500/1000*698</f>
        <v>349</v>
      </c>
      <c r="I78" s="9" t="s">
        <v>12</v>
      </c>
      <c r="J78" s="19" t="s">
        <v>66</v>
      </c>
      <c r="K78" s="9" t="s">
        <v>21</v>
      </c>
      <c r="N78" s="13"/>
      <c r="O78" s="13"/>
      <c r="Q78" s="115"/>
      <c r="R78" s="112"/>
      <c r="S78" s="49" t="s">
        <v>60</v>
      </c>
      <c r="T78" s="9" t="s">
        <v>2</v>
      </c>
      <c r="U78" s="9" t="s">
        <v>126</v>
      </c>
      <c r="V78" s="84">
        <f>1/0.68*500/1000*695</f>
        <v>511.02941176470586</v>
      </c>
      <c r="W78" s="9" t="s">
        <v>12</v>
      </c>
      <c r="X78" s="19" t="s">
        <v>66</v>
      </c>
      <c r="Y78" s="9" t="s">
        <v>21</v>
      </c>
      <c r="Z78" s="13"/>
      <c r="AB78" s="13"/>
    </row>
    <row r="79" spans="2:28" s="1" customFormat="1" ht="18" customHeight="1" x14ac:dyDescent="0.35">
      <c r="B79" s="13"/>
      <c r="C79" s="115"/>
      <c r="D79" s="112"/>
      <c r="E79" s="9" t="s">
        <v>26</v>
      </c>
      <c r="F79" s="9" t="s">
        <v>112</v>
      </c>
      <c r="G79" s="9" t="s">
        <v>115</v>
      </c>
      <c r="H79" s="9">
        <v>17.95</v>
      </c>
      <c r="I79" s="9" t="s">
        <v>13</v>
      </c>
      <c r="J79" s="19" t="s">
        <v>14</v>
      </c>
      <c r="K79" s="9" t="s">
        <v>65</v>
      </c>
      <c r="N79" s="13"/>
      <c r="O79" s="13"/>
      <c r="Q79" s="115"/>
      <c r="R79" s="112"/>
      <c r="S79" s="23" t="s">
        <v>53</v>
      </c>
      <c r="T79" s="23" t="s">
        <v>2</v>
      </c>
      <c r="U79" s="23" t="s">
        <v>127</v>
      </c>
      <c r="V79" s="79">
        <f>1/0.68/1.07</f>
        <v>1.3743815283122593</v>
      </c>
      <c r="W79" s="49" t="s">
        <v>6</v>
      </c>
      <c r="X79" s="13" t="s">
        <v>76</v>
      </c>
      <c r="Y79" s="9" t="s">
        <v>8</v>
      </c>
      <c r="Z79" s="1" t="s">
        <v>113</v>
      </c>
      <c r="AA79" s="3"/>
      <c r="AB79" s="13"/>
    </row>
    <row r="80" spans="2:28" s="1" customFormat="1" ht="18" customHeight="1" x14ac:dyDescent="0.35">
      <c r="B80" s="13"/>
      <c r="C80" s="115"/>
      <c r="D80" s="112"/>
      <c r="E80" s="9" t="s">
        <v>27</v>
      </c>
      <c r="F80" s="9" t="s">
        <v>112</v>
      </c>
      <c r="G80" s="9" t="s">
        <v>116</v>
      </c>
      <c r="H80" s="9">
        <f>500/1000*0.53*50</f>
        <v>13.25</v>
      </c>
      <c r="I80" s="9" t="s">
        <v>12</v>
      </c>
      <c r="J80" s="19" t="s">
        <v>66</v>
      </c>
      <c r="K80" s="9" t="s">
        <v>21</v>
      </c>
      <c r="N80" s="13"/>
      <c r="O80" s="13"/>
      <c r="Q80" s="115"/>
      <c r="R80" s="112"/>
      <c r="S80" s="23" t="s">
        <v>53</v>
      </c>
      <c r="T80" s="23" t="s">
        <v>2</v>
      </c>
      <c r="U80" s="23" t="s">
        <v>128</v>
      </c>
      <c r="V80" s="80">
        <v>1</v>
      </c>
      <c r="W80" s="23" t="s">
        <v>6</v>
      </c>
      <c r="X80" s="13" t="s">
        <v>74</v>
      </c>
      <c r="Y80" s="9" t="s">
        <v>8</v>
      </c>
      <c r="Z80" s="1" t="s">
        <v>113</v>
      </c>
      <c r="AA80" s="3"/>
      <c r="AB80" s="13"/>
    </row>
    <row r="81" spans="2:28" s="1" customFormat="1" ht="18" customHeight="1" x14ac:dyDescent="0.35">
      <c r="B81" s="13"/>
      <c r="C81" s="115"/>
      <c r="D81" s="112"/>
      <c r="E81" s="23" t="s">
        <v>59</v>
      </c>
      <c r="F81" s="23" t="s">
        <v>112</v>
      </c>
      <c r="G81" s="49" t="s">
        <v>130</v>
      </c>
      <c r="H81" s="23">
        <v>0.53</v>
      </c>
      <c r="I81" s="23" t="s">
        <v>6</v>
      </c>
      <c r="J81" s="24" t="s">
        <v>68</v>
      </c>
      <c r="K81" s="23" t="s">
        <v>8</v>
      </c>
      <c r="L81" s="1" t="s">
        <v>113</v>
      </c>
      <c r="N81" s="13"/>
      <c r="O81" s="13"/>
      <c r="Q81" s="115"/>
      <c r="R81" s="112"/>
      <c r="S81" s="9" t="s">
        <v>25</v>
      </c>
      <c r="T81" s="9" t="s">
        <v>2</v>
      </c>
      <c r="U81" s="9" t="s">
        <v>11</v>
      </c>
      <c r="V81" s="9">
        <f>500/1000*698</f>
        <v>349</v>
      </c>
      <c r="W81" s="9" t="s">
        <v>12</v>
      </c>
      <c r="X81" s="19" t="s">
        <v>66</v>
      </c>
      <c r="Y81" s="9" t="s">
        <v>21</v>
      </c>
      <c r="AB81" s="13"/>
    </row>
    <row r="82" spans="2:28" s="1" customFormat="1" ht="18" customHeight="1" x14ac:dyDescent="0.35">
      <c r="B82" s="13"/>
      <c r="C82" s="115"/>
      <c r="D82" s="112"/>
      <c r="E82" s="9" t="s">
        <v>28</v>
      </c>
      <c r="F82" s="9" t="s">
        <v>112</v>
      </c>
      <c r="G82" s="9" t="s">
        <v>116</v>
      </c>
      <c r="H82" s="9">
        <f>500/1000*0.47*50</f>
        <v>11.75</v>
      </c>
      <c r="I82" s="9" t="s">
        <v>12</v>
      </c>
      <c r="J82" s="19" t="s">
        <v>66</v>
      </c>
      <c r="K82" s="9" t="s">
        <v>21</v>
      </c>
      <c r="N82" s="13"/>
      <c r="O82" s="13"/>
      <c r="Q82" s="115"/>
      <c r="R82" s="112"/>
      <c r="S82" s="9" t="s">
        <v>26</v>
      </c>
      <c r="T82" s="9" t="s">
        <v>112</v>
      </c>
      <c r="U82" s="9" t="s">
        <v>115</v>
      </c>
      <c r="V82" s="9">
        <v>127</v>
      </c>
      <c r="W82" s="9" t="s">
        <v>13</v>
      </c>
      <c r="X82" s="19" t="s">
        <v>14</v>
      </c>
      <c r="Y82" s="9" t="s">
        <v>65</v>
      </c>
      <c r="AB82" s="13"/>
    </row>
    <row r="83" spans="2:28" s="1" customFormat="1" ht="18" x14ac:dyDescent="0.35">
      <c r="B83" s="13"/>
      <c r="C83" s="115"/>
      <c r="D83" s="112"/>
      <c r="E83" s="9" t="s">
        <v>28</v>
      </c>
      <c r="F83" s="9" t="s">
        <v>112</v>
      </c>
      <c r="G83" s="9" t="s">
        <v>117</v>
      </c>
      <c r="H83" s="9">
        <v>0.47</v>
      </c>
      <c r="I83" s="9" t="s">
        <v>6</v>
      </c>
      <c r="J83" s="19" t="s">
        <v>68</v>
      </c>
      <c r="K83" s="9" t="s">
        <v>8</v>
      </c>
      <c r="L83" s="1" t="s">
        <v>113</v>
      </c>
      <c r="N83" s="13"/>
      <c r="O83" s="13"/>
      <c r="Q83" s="115"/>
      <c r="R83" s="112"/>
      <c r="S83" s="9" t="s">
        <v>27</v>
      </c>
      <c r="T83" s="9" t="s">
        <v>112</v>
      </c>
      <c r="U83" s="9" t="s">
        <v>116</v>
      </c>
      <c r="V83" s="9">
        <f>500/1000*0.9*50</f>
        <v>22.5</v>
      </c>
      <c r="W83" s="9" t="s">
        <v>12</v>
      </c>
      <c r="X83" s="19" t="s">
        <v>66</v>
      </c>
      <c r="Y83" s="9" t="s">
        <v>21</v>
      </c>
      <c r="AB83" s="13"/>
    </row>
    <row r="84" spans="2:28" s="1" customFormat="1" ht="18" x14ac:dyDescent="0.35">
      <c r="B84" s="13"/>
      <c r="C84" s="115"/>
      <c r="D84" s="112"/>
      <c r="E84" s="9" t="s">
        <v>28</v>
      </c>
      <c r="F84" s="9" t="s">
        <v>112</v>
      </c>
      <c r="G84" s="9" t="s">
        <v>118</v>
      </c>
      <c r="H84" s="9">
        <f>500/1000*0.47*32</f>
        <v>7.52</v>
      </c>
      <c r="I84" s="9" t="s">
        <v>12</v>
      </c>
      <c r="J84" s="19" t="s">
        <v>66</v>
      </c>
      <c r="K84" s="9" t="s">
        <v>21</v>
      </c>
      <c r="N84" s="13"/>
      <c r="O84" s="13"/>
      <c r="Q84" s="115"/>
      <c r="R84" s="112"/>
      <c r="S84" s="23" t="s">
        <v>59</v>
      </c>
      <c r="T84" s="23" t="s">
        <v>112</v>
      </c>
      <c r="U84" s="49" t="s">
        <v>130</v>
      </c>
      <c r="V84" s="23">
        <v>0.9</v>
      </c>
      <c r="W84" s="23" t="s">
        <v>6</v>
      </c>
      <c r="X84" s="24" t="s">
        <v>68</v>
      </c>
      <c r="Y84" s="23" t="s">
        <v>8</v>
      </c>
      <c r="Z84" s="1" t="s">
        <v>113</v>
      </c>
      <c r="AB84" s="13"/>
    </row>
    <row r="85" spans="2:28" s="1" customFormat="1" ht="18" x14ac:dyDescent="0.35">
      <c r="B85" s="13"/>
      <c r="C85" s="116"/>
      <c r="D85" s="113"/>
      <c r="E85" s="21" t="s">
        <v>28</v>
      </c>
      <c r="F85" s="21" t="s">
        <v>112</v>
      </c>
      <c r="G85" s="109" t="s">
        <v>119</v>
      </c>
      <c r="H85" s="63">
        <f>500*0.47</f>
        <v>235</v>
      </c>
      <c r="I85" s="21" t="s">
        <v>19</v>
      </c>
      <c r="J85" s="22" t="s">
        <v>20</v>
      </c>
      <c r="K85" s="42" t="s">
        <v>21</v>
      </c>
      <c r="L85" s="22"/>
      <c r="M85" s="22"/>
      <c r="N85" s="13"/>
      <c r="O85" s="13"/>
      <c r="Q85" s="115"/>
      <c r="R85" s="112"/>
      <c r="S85" s="9" t="s">
        <v>28</v>
      </c>
      <c r="T85" s="9" t="s">
        <v>112</v>
      </c>
      <c r="U85" s="9" t="s">
        <v>116</v>
      </c>
      <c r="V85" s="9">
        <f>500/1000*0.1*50</f>
        <v>2.5</v>
      </c>
      <c r="W85" s="9" t="s">
        <v>12</v>
      </c>
      <c r="X85" s="19" t="s">
        <v>66</v>
      </c>
      <c r="Y85" s="9" t="s">
        <v>21</v>
      </c>
      <c r="AB85" s="13"/>
    </row>
    <row r="86" spans="2:28" s="1" customFormat="1" ht="18" x14ac:dyDescent="0.35">
      <c r="B86" s="13"/>
      <c r="C86" s="118" t="s">
        <v>123</v>
      </c>
      <c r="D86" s="117">
        <v>3</v>
      </c>
      <c r="E86" s="65" t="s">
        <v>48</v>
      </c>
      <c r="F86" s="65" t="s">
        <v>2</v>
      </c>
      <c r="G86" s="65" t="s">
        <v>137</v>
      </c>
      <c r="H86" s="65">
        <v>0</v>
      </c>
      <c r="I86" s="65" t="s">
        <v>47</v>
      </c>
      <c r="J86" s="66" t="s">
        <v>71</v>
      </c>
      <c r="N86" s="13"/>
      <c r="O86" s="13"/>
      <c r="Q86" s="115"/>
      <c r="R86" s="112"/>
      <c r="S86" s="58" t="s">
        <v>28</v>
      </c>
      <c r="T86" s="9" t="s">
        <v>112</v>
      </c>
      <c r="U86" s="9" t="s">
        <v>117</v>
      </c>
      <c r="V86" s="9">
        <f>0.1</f>
        <v>0.1</v>
      </c>
      <c r="W86" s="9" t="s">
        <v>6</v>
      </c>
      <c r="X86" s="19" t="s">
        <v>68</v>
      </c>
      <c r="Y86" s="9" t="s">
        <v>8</v>
      </c>
      <c r="Z86" s="1" t="s">
        <v>113</v>
      </c>
      <c r="AB86" s="13"/>
    </row>
    <row r="87" spans="2:28" s="1" customFormat="1" ht="18" customHeight="1" x14ac:dyDescent="0.35">
      <c r="B87" s="13"/>
      <c r="C87" s="115"/>
      <c r="D87" s="112"/>
      <c r="E87" s="9" t="s">
        <v>29</v>
      </c>
      <c r="F87" s="9" t="s">
        <v>2</v>
      </c>
      <c r="G87" s="9" t="s">
        <v>129</v>
      </c>
      <c r="H87" s="9">
        <v>1</v>
      </c>
      <c r="I87" s="1" t="s">
        <v>6</v>
      </c>
      <c r="J87" s="1" t="s">
        <v>30</v>
      </c>
      <c r="K87" s="9" t="s">
        <v>8</v>
      </c>
      <c r="L87" s="1" t="s">
        <v>31</v>
      </c>
      <c r="N87" s="13"/>
      <c r="O87" s="13"/>
      <c r="Q87" s="115"/>
      <c r="R87" s="112"/>
      <c r="S87" s="58" t="s">
        <v>28</v>
      </c>
      <c r="T87" s="9" t="s">
        <v>112</v>
      </c>
      <c r="U87" s="9" t="s">
        <v>118</v>
      </c>
      <c r="V87" s="9">
        <f>500/1000*0.1*32</f>
        <v>1.6</v>
      </c>
      <c r="W87" s="9" t="s">
        <v>12</v>
      </c>
      <c r="X87" s="19" t="s">
        <v>66</v>
      </c>
      <c r="Y87" s="9" t="s">
        <v>21</v>
      </c>
      <c r="AB87" s="13"/>
    </row>
    <row r="88" spans="2:28" s="1" customFormat="1" ht="18" x14ac:dyDescent="0.35">
      <c r="B88" s="13"/>
      <c r="C88" s="115"/>
      <c r="D88" s="112"/>
      <c r="E88" s="9" t="s">
        <v>32</v>
      </c>
      <c r="F88" s="9" t="s">
        <v>2</v>
      </c>
      <c r="G88" s="9" t="s">
        <v>11</v>
      </c>
      <c r="H88" s="9">
        <f>700/1000*35</f>
        <v>24.5</v>
      </c>
      <c r="I88" s="9" t="s">
        <v>12</v>
      </c>
      <c r="J88" s="19" t="s">
        <v>66</v>
      </c>
      <c r="K88" s="9" t="s">
        <v>21</v>
      </c>
      <c r="N88" s="13"/>
      <c r="O88" s="13"/>
      <c r="Q88" s="116"/>
      <c r="R88" s="113"/>
      <c r="S88" s="21" t="s">
        <v>28</v>
      </c>
      <c r="T88" s="21" t="s">
        <v>112</v>
      </c>
      <c r="U88" s="109" t="s">
        <v>119</v>
      </c>
      <c r="V88" s="21">
        <f>0.1*500</f>
        <v>50</v>
      </c>
      <c r="W88" s="21" t="s">
        <v>19</v>
      </c>
      <c r="X88" s="22" t="s">
        <v>20</v>
      </c>
      <c r="Y88" s="60" t="s">
        <v>21</v>
      </c>
      <c r="Z88" s="22"/>
      <c r="AA88" s="22"/>
      <c r="AB88" s="13"/>
    </row>
    <row r="89" spans="2:28" s="1" customFormat="1" ht="18" customHeight="1" x14ac:dyDescent="0.35">
      <c r="B89" s="13"/>
      <c r="C89" s="115"/>
      <c r="D89" s="112"/>
      <c r="E89" s="9" t="s">
        <v>33</v>
      </c>
      <c r="F89" s="9" t="s">
        <v>112</v>
      </c>
      <c r="G89" s="9" t="s">
        <v>115</v>
      </c>
      <c r="H89" s="9">
        <v>25.13</v>
      </c>
      <c r="I89" s="9" t="s">
        <v>13</v>
      </c>
      <c r="J89" s="19" t="s">
        <v>14</v>
      </c>
      <c r="K89" s="9" t="s">
        <v>65</v>
      </c>
      <c r="N89" s="13"/>
      <c r="O89" s="13"/>
      <c r="Q89" s="118" t="s">
        <v>123</v>
      </c>
      <c r="R89" s="117">
        <v>3</v>
      </c>
      <c r="S89" s="65" t="s">
        <v>48</v>
      </c>
      <c r="T89" s="65" t="s">
        <v>2</v>
      </c>
      <c r="U89" s="65" t="s">
        <v>137</v>
      </c>
      <c r="V89" s="65">
        <v>1</v>
      </c>
      <c r="W89" s="65" t="s">
        <v>47</v>
      </c>
      <c r="X89" s="66" t="s">
        <v>71</v>
      </c>
      <c r="AB89" s="13"/>
    </row>
    <row r="90" spans="2:28" s="1" customFormat="1" ht="18" customHeight="1" x14ac:dyDescent="0.35">
      <c r="B90" s="13"/>
      <c r="C90" s="115"/>
      <c r="D90" s="112"/>
      <c r="E90" s="9" t="s">
        <v>34</v>
      </c>
      <c r="F90" s="9" t="s">
        <v>112</v>
      </c>
      <c r="G90" s="9" t="s">
        <v>116</v>
      </c>
      <c r="H90" s="9">
        <f>700/1000*0.53*50</f>
        <v>18.55</v>
      </c>
      <c r="I90" s="9" t="s">
        <v>12</v>
      </c>
      <c r="J90" s="19" t="s">
        <v>66</v>
      </c>
      <c r="K90" s="9" t="s">
        <v>21</v>
      </c>
      <c r="N90" s="13"/>
      <c r="O90" s="13"/>
      <c r="Q90" s="115"/>
      <c r="R90" s="112"/>
      <c r="S90" s="9" t="s">
        <v>29</v>
      </c>
      <c r="T90" s="9" t="s">
        <v>2</v>
      </c>
      <c r="U90" s="9" t="s">
        <v>129</v>
      </c>
      <c r="V90" s="9">
        <v>0</v>
      </c>
      <c r="W90" s="1" t="s">
        <v>6</v>
      </c>
      <c r="X90" s="1" t="s">
        <v>30</v>
      </c>
      <c r="Y90" s="9" t="s">
        <v>8</v>
      </c>
      <c r="Z90" s="1" t="s">
        <v>69</v>
      </c>
      <c r="AB90" s="13"/>
    </row>
    <row r="91" spans="2:28" s="1" customFormat="1" ht="18" x14ac:dyDescent="0.35">
      <c r="B91" s="13"/>
      <c r="C91" s="115"/>
      <c r="D91" s="112"/>
      <c r="E91" s="23" t="s">
        <v>63</v>
      </c>
      <c r="F91" s="23" t="s">
        <v>112</v>
      </c>
      <c r="G91" s="49" t="s">
        <v>133</v>
      </c>
      <c r="H91" s="23">
        <v>0.53</v>
      </c>
      <c r="I91" s="23" t="s">
        <v>6</v>
      </c>
      <c r="J91" s="24" t="s">
        <v>68</v>
      </c>
      <c r="K91" s="23" t="s">
        <v>8</v>
      </c>
      <c r="L91" s="1" t="s">
        <v>113</v>
      </c>
      <c r="N91" s="13"/>
      <c r="O91" s="13"/>
      <c r="Q91" s="115"/>
      <c r="R91" s="112"/>
      <c r="S91" s="49" t="s">
        <v>61</v>
      </c>
      <c r="T91" s="9" t="s">
        <v>2</v>
      </c>
      <c r="U91" s="9" t="s">
        <v>126</v>
      </c>
      <c r="V91" s="84">
        <f>500/1000*(1/0.7*0.957)*15.1</f>
        <v>10.321928571428572</v>
      </c>
      <c r="W91" s="9" t="s">
        <v>12</v>
      </c>
      <c r="X91" s="19" t="s">
        <v>66</v>
      </c>
      <c r="Y91" s="9" t="s">
        <v>21</v>
      </c>
      <c r="AB91" s="13"/>
    </row>
    <row r="92" spans="2:28" s="1" customFormat="1" ht="18" customHeight="1" x14ac:dyDescent="0.35">
      <c r="B92" s="13"/>
      <c r="C92" s="115"/>
      <c r="D92" s="112"/>
      <c r="E92" s="9" t="s">
        <v>35</v>
      </c>
      <c r="F92" s="9" t="s">
        <v>112</v>
      </c>
      <c r="G92" s="9" t="s">
        <v>116</v>
      </c>
      <c r="H92" s="9">
        <f>700/1000*0.47*50</f>
        <v>16.45</v>
      </c>
      <c r="I92" s="9" t="s">
        <v>12</v>
      </c>
      <c r="J92" s="19" t="s">
        <v>66</v>
      </c>
      <c r="K92" s="9" t="s">
        <v>21</v>
      </c>
      <c r="N92" s="13"/>
      <c r="O92" s="13"/>
      <c r="Q92" s="115"/>
      <c r="R92" s="112"/>
      <c r="S92" s="23" t="s">
        <v>54</v>
      </c>
      <c r="T92" s="23" t="s">
        <v>2</v>
      </c>
      <c r="U92" s="23" t="s">
        <v>131</v>
      </c>
      <c r="V92" s="80">
        <v>1</v>
      </c>
      <c r="W92" s="23" t="s">
        <v>6</v>
      </c>
      <c r="X92" s="24" t="s">
        <v>75</v>
      </c>
      <c r="Y92" s="9" t="s">
        <v>8</v>
      </c>
      <c r="Z92" s="1" t="s">
        <v>113</v>
      </c>
      <c r="AB92" s="13"/>
    </row>
    <row r="93" spans="2:28" s="1" customFormat="1" ht="18" x14ac:dyDescent="0.35">
      <c r="B93" s="13"/>
      <c r="C93" s="115"/>
      <c r="D93" s="112"/>
      <c r="E93" s="9" t="s">
        <v>35</v>
      </c>
      <c r="F93" s="9" t="s">
        <v>112</v>
      </c>
      <c r="G93" s="9" t="s">
        <v>117</v>
      </c>
      <c r="H93" s="9">
        <v>0.47</v>
      </c>
      <c r="I93" s="9" t="s">
        <v>6</v>
      </c>
      <c r="J93" s="19" t="s">
        <v>68</v>
      </c>
      <c r="K93" s="9" t="s">
        <v>8</v>
      </c>
      <c r="L93" s="1" t="s">
        <v>113</v>
      </c>
      <c r="N93" s="13"/>
      <c r="O93" s="13"/>
      <c r="Q93" s="115"/>
      <c r="R93" s="112"/>
      <c r="S93" s="25" t="s">
        <v>32</v>
      </c>
      <c r="T93" s="9" t="s">
        <v>2</v>
      </c>
      <c r="U93" s="9" t="s">
        <v>11</v>
      </c>
      <c r="V93" s="9">
        <f>700/1000*35</f>
        <v>24.5</v>
      </c>
      <c r="W93" s="9" t="s">
        <v>12</v>
      </c>
      <c r="X93" s="19" t="s">
        <v>66</v>
      </c>
      <c r="Y93" s="9" t="s">
        <v>21</v>
      </c>
      <c r="AB93" s="13"/>
    </row>
    <row r="94" spans="2:28" s="1" customFormat="1" ht="18" customHeight="1" x14ac:dyDescent="0.35">
      <c r="B94" s="13"/>
      <c r="C94" s="115"/>
      <c r="D94" s="112"/>
      <c r="E94" s="9" t="s">
        <v>35</v>
      </c>
      <c r="F94" s="9" t="s">
        <v>112</v>
      </c>
      <c r="G94" s="9" t="s">
        <v>118</v>
      </c>
      <c r="H94" s="84">
        <f>700/1000*0.47*32</f>
        <v>10.527999999999999</v>
      </c>
      <c r="I94" s="9" t="s">
        <v>12</v>
      </c>
      <c r="J94" s="19" t="s">
        <v>66</v>
      </c>
      <c r="K94" s="9" t="s">
        <v>21</v>
      </c>
      <c r="N94" s="13"/>
      <c r="O94" s="13"/>
      <c r="Q94" s="115"/>
      <c r="R94" s="112"/>
      <c r="S94" s="9" t="s">
        <v>33</v>
      </c>
      <c r="T94" s="9" t="s">
        <v>112</v>
      </c>
      <c r="U94" s="9" t="s">
        <v>115</v>
      </c>
      <c r="V94" s="9">
        <v>179</v>
      </c>
      <c r="W94" s="9" t="s">
        <v>13</v>
      </c>
      <c r="X94" s="19" t="s">
        <v>14</v>
      </c>
      <c r="Y94" s="9" t="s">
        <v>65</v>
      </c>
      <c r="AB94" s="13"/>
    </row>
    <row r="95" spans="2:28" s="1" customFormat="1" ht="18" customHeight="1" x14ac:dyDescent="0.35">
      <c r="B95" s="13"/>
      <c r="C95" s="116"/>
      <c r="D95" s="113"/>
      <c r="E95" s="21" t="s">
        <v>35</v>
      </c>
      <c r="F95" s="21" t="s">
        <v>112</v>
      </c>
      <c r="G95" s="109" t="s">
        <v>119</v>
      </c>
      <c r="H95" s="63">
        <f>700*0.47</f>
        <v>329</v>
      </c>
      <c r="I95" s="21" t="s">
        <v>19</v>
      </c>
      <c r="J95" s="22" t="s">
        <v>20</v>
      </c>
      <c r="K95" s="42" t="s">
        <v>21</v>
      </c>
      <c r="L95" s="22"/>
      <c r="M95" s="22"/>
      <c r="N95" s="13"/>
      <c r="O95" s="13"/>
      <c r="Q95" s="115"/>
      <c r="R95" s="112"/>
      <c r="S95" s="9" t="s">
        <v>34</v>
      </c>
      <c r="T95" s="9" t="s">
        <v>112</v>
      </c>
      <c r="U95" s="9" t="s">
        <v>116</v>
      </c>
      <c r="V95" s="9">
        <f>700/1000*0.9*50</f>
        <v>31.5</v>
      </c>
      <c r="W95" s="9" t="s">
        <v>12</v>
      </c>
      <c r="X95" s="19" t="s">
        <v>66</v>
      </c>
      <c r="Y95" s="9" t="s">
        <v>21</v>
      </c>
      <c r="AB95" s="13"/>
    </row>
    <row r="96" spans="2:28" s="1" customFormat="1" ht="18" x14ac:dyDescent="0.35">
      <c r="B96" s="13"/>
      <c r="C96" s="118" t="s">
        <v>110</v>
      </c>
      <c r="D96" s="117">
        <v>4</v>
      </c>
      <c r="E96" s="65" t="s">
        <v>49</v>
      </c>
      <c r="F96" s="65" t="s">
        <v>2</v>
      </c>
      <c r="G96" s="65" t="s">
        <v>137</v>
      </c>
      <c r="H96" s="65">
        <v>0</v>
      </c>
      <c r="I96" s="65" t="s">
        <v>47</v>
      </c>
      <c r="J96" s="66" t="s">
        <v>72</v>
      </c>
      <c r="K96" s="9"/>
      <c r="N96" s="13"/>
      <c r="O96" s="13"/>
      <c r="Q96" s="115"/>
      <c r="R96" s="112"/>
      <c r="S96" s="23" t="s">
        <v>63</v>
      </c>
      <c r="T96" s="23" t="s">
        <v>112</v>
      </c>
      <c r="U96" s="49" t="s">
        <v>133</v>
      </c>
      <c r="V96" s="23">
        <v>0.9</v>
      </c>
      <c r="W96" s="23" t="s">
        <v>6</v>
      </c>
      <c r="X96" s="24" t="s">
        <v>68</v>
      </c>
      <c r="Y96" s="23" t="s">
        <v>8</v>
      </c>
      <c r="Z96" s="1" t="s">
        <v>113</v>
      </c>
      <c r="AB96" s="13"/>
    </row>
    <row r="97" spans="2:28" s="1" customFormat="1" ht="18" x14ac:dyDescent="0.35">
      <c r="B97" s="13"/>
      <c r="C97" s="115"/>
      <c r="D97" s="112"/>
      <c r="E97" s="9" t="s">
        <v>36</v>
      </c>
      <c r="F97" s="9" t="s">
        <v>2</v>
      </c>
      <c r="G97" s="9" t="s">
        <v>132</v>
      </c>
      <c r="H97" s="9">
        <v>1</v>
      </c>
      <c r="I97" s="1" t="s">
        <v>6</v>
      </c>
      <c r="J97" s="1" t="s">
        <v>37</v>
      </c>
      <c r="K97" s="9" t="s">
        <v>8</v>
      </c>
      <c r="L97" s="1" t="s">
        <v>113</v>
      </c>
      <c r="N97" s="13"/>
      <c r="O97" s="13"/>
      <c r="Q97" s="115"/>
      <c r="R97" s="112"/>
      <c r="S97" s="9" t="s">
        <v>35</v>
      </c>
      <c r="T97" s="9" t="s">
        <v>112</v>
      </c>
      <c r="U97" s="9" t="s">
        <v>116</v>
      </c>
      <c r="V97" s="9">
        <f>700/1000*0.1*50</f>
        <v>3.4999999999999996</v>
      </c>
      <c r="W97" s="9" t="s">
        <v>12</v>
      </c>
      <c r="X97" s="19" t="s">
        <v>66</v>
      </c>
      <c r="Y97" s="9" t="s">
        <v>21</v>
      </c>
      <c r="AB97" s="13"/>
    </row>
    <row r="98" spans="2:28" s="1" customFormat="1" ht="18" x14ac:dyDescent="0.35">
      <c r="B98" s="13"/>
      <c r="C98" s="115"/>
      <c r="D98" s="112"/>
      <c r="E98" s="9" t="s">
        <v>38</v>
      </c>
      <c r="F98" s="9" t="s">
        <v>2</v>
      </c>
      <c r="G98" s="9" t="s">
        <v>11</v>
      </c>
      <c r="H98" s="9">
        <f>700/1000*30</f>
        <v>21</v>
      </c>
      <c r="I98" s="9" t="s">
        <v>12</v>
      </c>
      <c r="J98" s="19" t="s">
        <v>66</v>
      </c>
      <c r="K98" s="9" t="s">
        <v>21</v>
      </c>
      <c r="N98" s="13"/>
      <c r="O98" s="13"/>
      <c r="Q98" s="115"/>
      <c r="R98" s="112"/>
      <c r="S98" s="58" t="s">
        <v>35</v>
      </c>
      <c r="T98" s="9" t="s">
        <v>112</v>
      </c>
      <c r="U98" s="9" t="s">
        <v>117</v>
      </c>
      <c r="V98" s="9">
        <f>0.1</f>
        <v>0.1</v>
      </c>
      <c r="W98" s="9" t="s">
        <v>6</v>
      </c>
      <c r="X98" s="19" t="s">
        <v>68</v>
      </c>
      <c r="Y98" s="9" t="s">
        <v>8</v>
      </c>
      <c r="Z98" s="1" t="s">
        <v>113</v>
      </c>
      <c r="AB98" s="13"/>
    </row>
    <row r="99" spans="2:28" s="1" customFormat="1" ht="18" customHeight="1" x14ac:dyDescent="0.35">
      <c r="B99" s="13"/>
      <c r="C99" s="115"/>
      <c r="D99" s="112"/>
      <c r="E99" s="9" t="s">
        <v>39</v>
      </c>
      <c r="F99" s="9" t="s">
        <v>112</v>
      </c>
      <c r="G99" s="9" t="s">
        <v>115</v>
      </c>
      <c r="H99" s="9">
        <v>25.13</v>
      </c>
      <c r="I99" s="9" t="s">
        <v>13</v>
      </c>
      <c r="J99" s="19" t="s">
        <v>14</v>
      </c>
      <c r="K99" s="9" t="s">
        <v>65</v>
      </c>
      <c r="N99" s="13"/>
      <c r="O99" s="13"/>
      <c r="Q99" s="115"/>
      <c r="R99" s="112"/>
      <c r="S99" s="58" t="s">
        <v>35</v>
      </c>
      <c r="T99" s="9" t="s">
        <v>112</v>
      </c>
      <c r="U99" s="9" t="s">
        <v>118</v>
      </c>
      <c r="V99" s="9">
        <f>700/1000*0.1*32</f>
        <v>2.2399999999999998</v>
      </c>
      <c r="W99" s="9" t="s">
        <v>12</v>
      </c>
      <c r="X99" s="19" t="s">
        <v>66</v>
      </c>
      <c r="Y99" s="9" t="s">
        <v>21</v>
      </c>
      <c r="AB99" s="13"/>
    </row>
    <row r="100" spans="2:28" s="1" customFormat="1" ht="18" customHeight="1" x14ac:dyDescent="0.35">
      <c r="B100" s="13"/>
      <c r="C100" s="115"/>
      <c r="D100" s="112"/>
      <c r="E100" s="9" t="s">
        <v>40</v>
      </c>
      <c r="F100" s="9" t="s">
        <v>112</v>
      </c>
      <c r="G100" s="9" t="s">
        <v>116</v>
      </c>
      <c r="H100" s="9">
        <f>700/1000*0.53*50</f>
        <v>18.55</v>
      </c>
      <c r="I100" s="9" t="s">
        <v>12</v>
      </c>
      <c r="J100" s="19" t="s">
        <v>66</v>
      </c>
      <c r="K100" s="9" t="s">
        <v>21</v>
      </c>
      <c r="N100" s="13"/>
      <c r="O100" s="13"/>
      <c r="Q100" s="116"/>
      <c r="R100" s="113"/>
      <c r="S100" s="21" t="s">
        <v>35</v>
      </c>
      <c r="T100" s="21" t="s">
        <v>112</v>
      </c>
      <c r="U100" s="109" t="s">
        <v>119</v>
      </c>
      <c r="V100" s="21">
        <f>700*0.1</f>
        <v>70</v>
      </c>
      <c r="W100" s="21" t="s">
        <v>19</v>
      </c>
      <c r="X100" s="22" t="s">
        <v>20</v>
      </c>
      <c r="Y100" s="60" t="s">
        <v>21</v>
      </c>
      <c r="Z100" s="22"/>
      <c r="AA100" s="22"/>
      <c r="AB100" s="13"/>
    </row>
    <row r="101" spans="2:28" s="1" customFormat="1" ht="18" customHeight="1" x14ac:dyDescent="0.35">
      <c r="B101" s="13"/>
      <c r="C101" s="115"/>
      <c r="D101" s="112"/>
      <c r="E101" s="23" t="s">
        <v>64</v>
      </c>
      <c r="F101" s="23" t="s">
        <v>112</v>
      </c>
      <c r="G101" s="49" t="s">
        <v>135</v>
      </c>
      <c r="H101" s="23">
        <v>0.53</v>
      </c>
      <c r="I101" s="23" t="s">
        <v>6</v>
      </c>
      <c r="J101" s="24" t="s">
        <v>68</v>
      </c>
      <c r="K101" s="23" t="s">
        <v>8</v>
      </c>
      <c r="L101" s="1" t="s">
        <v>113</v>
      </c>
      <c r="N101" s="13"/>
      <c r="O101" s="13"/>
      <c r="Q101" s="118" t="s">
        <v>110</v>
      </c>
      <c r="R101" s="117">
        <v>4</v>
      </c>
      <c r="S101" s="65" t="s">
        <v>49</v>
      </c>
      <c r="T101" s="65" t="s">
        <v>2</v>
      </c>
      <c r="U101" s="65" t="s">
        <v>137</v>
      </c>
      <c r="V101" s="65">
        <v>1</v>
      </c>
      <c r="W101" s="65" t="s">
        <v>47</v>
      </c>
      <c r="X101" s="66" t="s">
        <v>72</v>
      </c>
      <c r="AB101" s="13"/>
    </row>
    <row r="102" spans="2:28" s="1" customFormat="1" ht="18" customHeight="1" x14ac:dyDescent="0.35">
      <c r="B102" s="13"/>
      <c r="C102" s="115"/>
      <c r="D102" s="112"/>
      <c r="E102" s="9" t="s">
        <v>41</v>
      </c>
      <c r="F102" s="9" t="s">
        <v>112</v>
      </c>
      <c r="G102" s="9" t="s">
        <v>116</v>
      </c>
      <c r="H102" s="9">
        <f>700/1000*0.47*50</f>
        <v>16.45</v>
      </c>
      <c r="I102" s="9" t="s">
        <v>12</v>
      </c>
      <c r="J102" s="19" t="s">
        <v>66</v>
      </c>
      <c r="K102" s="9" t="s">
        <v>21</v>
      </c>
      <c r="N102" s="13"/>
      <c r="O102" s="13"/>
      <c r="Q102" s="115"/>
      <c r="R102" s="112"/>
      <c r="S102" s="9" t="s">
        <v>36</v>
      </c>
      <c r="T102" s="9" t="s">
        <v>2</v>
      </c>
      <c r="U102" s="9" t="s">
        <v>132</v>
      </c>
      <c r="V102" s="9">
        <v>0</v>
      </c>
      <c r="W102" s="1" t="s">
        <v>6</v>
      </c>
      <c r="X102" s="1" t="s">
        <v>37</v>
      </c>
      <c r="Y102" s="9" t="s">
        <v>8</v>
      </c>
      <c r="Z102" s="1" t="s">
        <v>113</v>
      </c>
      <c r="AB102" s="13"/>
    </row>
    <row r="103" spans="2:28" s="1" customFormat="1" ht="18" customHeight="1" x14ac:dyDescent="0.35">
      <c r="B103" s="13"/>
      <c r="C103" s="115"/>
      <c r="D103" s="112"/>
      <c r="E103" s="58" t="s">
        <v>41</v>
      </c>
      <c r="F103" s="9" t="s">
        <v>112</v>
      </c>
      <c r="G103" s="9" t="s">
        <v>117</v>
      </c>
      <c r="H103" s="9">
        <v>0.47</v>
      </c>
      <c r="I103" s="9" t="s">
        <v>6</v>
      </c>
      <c r="J103" s="19" t="s">
        <v>68</v>
      </c>
      <c r="K103" s="9" t="s">
        <v>8</v>
      </c>
      <c r="L103" s="1" t="s">
        <v>113</v>
      </c>
      <c r="N103" s="13"/>
      <c r="O103" s="13"/>
      <c r="Q103" s="115"/>
      <c r="R103" s="112"/>
      <c r="S103" s="49" t="s">
        <v>62</v>
      </c>
      <c r="T103" s="9" t="s">
        <v>2</v>
      </c>
      <c r="U103" s="9" t="s">
        <v>126</v>
      </c>
      <c r="V103" s="84">
        <f>(1/0.88*558/700)*700/1000*278</f>
        <v>176.27727272727273</v>
      </c>
      <c r="W103" s="9" t="s">
        <v>12</v>
      </c>
      <c r="X103" s="19" t="s">
        <v>66</v>
      </c>
      <c r="Y103" s="9" t="s">
        <v>21</v>
      </c>
      <c r="AB103" s="13"/>
    </row>
    <row r="104" spans="2:28" s="1" customFormat="1" ht="18" x14ac:dyDescent="0.35">
      <c r="B104" s="13"/>
      <c r="C104" s="115"/>
      <c r="D104" s="112"/>
      <c r="E104" s="58" t="s">
        <v>41</v>
      </c>
      <c r="F104" s="9" t="s">
        <v>112</v>
      </c>
      <c r="G104" s="9" t="s">
        <v>118</v>
      </c>
      <c r="H104" s="9">
        <f>700/1000*0.47*32</f>
        <v>10.527999999999999</v>
      </c>
      <c r="I104" s="9" t="s">
        <v>12</v>
      </c>
      <c r="J104" s="19" t="s">
        <v>66</v>
      </c>
      <c r="K104" s="9" t="s">
        <v>21</v>
      </c>
      <c r="N104" s="13"/>
      <c r="O104" s="13"/>
      <c r="Q104" s="115"/>
      <c r="R104" s="112"/>
      <c r="S104" s="23" t="s">
        <v>55</v>
      </c>
      <c r="T104" s="23" t="s">
        <v>2</v>
      </c>
      <c r="U104" s="23" t="s">
        <v>134</v>
      </c>
      <c r="V104" s="80">
        <v>1</v>
      </c>
      <c r="W104" s="23" t="s">
        <v>6</v>
      </c>
      <c r="X104" s="24" t="s">
        <v>77</v>
      </c>
      <c r="Y104" s="9" t="s">
        <v>8</v>
      </c>
      <c r="Z104" s="1" t="s">
        <v>113</v>
      </c>
      <c r="AB104" s="13"/>
    </row>
    <row r="105" spans="2:28" s="1" customFormat="1" ht="15.75" customHeight="1" x14ac:dyDescent="0.35">
      <c r="B105" s="13"/>
      <c r="C105" s="116"/>
      <c r="D105" s="113"/>
      <c r="E105" s="21" t="s">
        <v>41</v>
      </c>
      <c r="F105" s="21" t="s">
        <v>112</v>
      </c>
      <c r="G105" s="109" t="s">
        <v>119</v>
      </c>
      <c r="H105" s="63">
        <f>700*0.47</f>
        <v>329</v>
      </c>
      <c r="I105" s="21" t="s">
        <v>19</v>
      </c>
      <c r="J105" s="22" t="s">
        <v>20</v>
      </c>
      <c r="K105" s="42" t="s">
        <v>21</v>
      </c>
      <c r="L105" s="22"/>
      <c r="M105" s="22"/>
      <c r="N105" s="13"/>
      <c r="O105" s="13"/>
      <c r="Q105" s="115"/>
      <c r="R105" s="112"/>
      <c r="S105" s="25" t="s">
        <v>38</v>
      </c>
      <c r="T105" s="9" t="s">
        <v>2</v>
      </c>
      <c r="U105" s="9" t="s">
        <v>11</v>
      </c>
      <c r="V105" s="9">
        <f>1*700/1000*248</f>
        <v>173.6</v>
      </c>
      <c r="W105" s="9" t="s">
        <v>12</v>
      </c>
      <c r="X105" s="19" t="s">
        <v>66</v>
      </c>
      <c r="Y105" s="9" t="s">
        <v>21</v>
      </c>
      <c r="AB105" s="13"/>
    </row>
    <row r="106" spans="2:28" s="1" customFormat="1" ht="18" x14ac:dyDescent="0.35">
      <c r="B106" s="13"/>
      <c r="C106" s="120" t="s">
        <v>111</v>
      </c>
      <c r="D106" s="117">
        <v>5</v>
      </c>
      <c r="E106" s="65" t="s">
        <v>50</v>
      </c>
      <c r="F106" s="65" t="s">
        <v>2</v>
      </c>
      <c r="G106" s="65" t="s">
        <v>137</v>
      </c>
      <c r="H106" s="65">
        <v>0</v>
      </c>
      <c r="I106" s="65" t="s">
        <v>47</v>
      </c>
      <c r="J106" s="66" t="s">
        <v>73</v>
      </c>
      <c r="N106" s="13"/>
      <c r="O106" s="13"/>
      <c r="Q106" s="115"/>
      <c r="R106" s="112"/>
      <c r="S106" s="9" t="s">
        <v>39</v>
      </c>
      <c r="T106" s="9" t="s">
        <v>112</v>
      </c>
      <c r="U106" s="9" t="s">
        <v>115</v>
      </c>
      <c r="V106" s="9">
        <v>179</v>
      </c>
      <c r="W106" s="9" t="s">
        <v>13</v>
      </c>
      <c r="X106" s="19" t="s">
        <v>14</v>
      </c>
      <c r="Y106" s="9" t="s">
        <v>65</v>
      </c>
      <c r="AB106" s="13"/>
    </row>
    <row r="107" spans="2:28" s="1" customFormat="1" ht="18" customHeight="1" x14ac:dyDescent="0.35">
      <c r="B107" s="13"/>
      <c r="C107" s="121"/>
      <c r="D107" s="112"/>
      <c r="E107" s="9" t="s">
        <v>42</v>
      </c>
      <c r="F107" s="9" t="s">
        <v>2</v>
      </c>
      <c r="G107" s="9" t="s">
        <v>11</v>
      </c>
      <c r="H107" s="85">
        <f>0.8414/1000*140</f>
        <v>0.11779600000000001</v>
      </c>
      <c r="I107" s="9" t="s">
        <v>12</v>
      </c>
      <c r="J107" s="19" t="s">
        <v>66</v>
      </c>
      <c r="K107" s="9" t="s">
        <v>21</v>
      </c>
      <c r="N107" s="13"/>
      <c r="O107" s="13"/>
      <c r="Q107" s="115"/>
      <c r="R107" s="112"/>
      <c r="S107" s="9" t="s">
        <v>40</v>
      </c>
      <c r="T107" s="9" t="s">
        <v>112</v>
      </c>
      <c r="U107" s="9" t="s">
        <v>116</v>
      </c>
      <c r="V107" s="9">
        <f>700/1000*1*50</f>
        <v>35</v>
      </c>
      <c r="W107" s="9" t="s">
        <v>12</v>
      </c>
      <c r="X107" s="19" t="s">
        <v>66</v>
      </c>
      <c r="Y107" s="9" t="s">
        <v>21</v>
      </c>
      <c r="AB107" s="13"/>
    </row>
    <row r="108" spans="2:28" s="1" customFormat="1" ht="18" customHeight="1" thickBot="1" x14ac:dyDescent="0.4">
      <c r="B108" s="13"/>
      <c r="C108" s="122"/>
      <c r="D108" s="119"/>
      <c r="E108" s="12" t="s">
        <v>42</v>
      </c>
      <c r="F108" s="12" t="s">
        <v>2</v>
      </c>
      <c r="G108" s="12" t="s">
        <v>43</v>
      </c>
      <c r="H108" s="72">
        <v>1</v>
      </c>
      <c r="I108" s="12" t="s">
        <v>13</v>
      </c>
      <c r="J108" s="2" t="s">
        <v>44</v>
      </c>
      <c r="K108" s="43" t="s">
        <v>8</v>
      </c>
      <c r="L108" s="2" t="s">
        <v>9</v>
      </c>
      <c r="M108" s="2"/>
      <c r="N108" s="13"/>
      <c r="O108" s="13"/>
      <c r="Q108" s="115"/>
      <c r="R108" s="112"/>
      <c r="S108" s="23" t="s">
        <v>64</v>
      </c>
      <c r="T108" s="23" t="s">
        <v>112</v>
      </c>
      <c r="U108" s="49" t="s">
        <v>135</v>
      </c>
      <c r="V108" s="23">
        <v>1</v>
      </c>
      <c r="W108" s="23" t="s">
        <v>6</v>
      </c>
      <c r="X108" s="24" t="s">
        <v>68</v>
      </c>
      <c r="Y108" s="23" t="s">
        <v>8</v>
      </c>
      <c r="Z108" s="1" t="s">
        <v>113</v>
      </c>
      <c r="AB108" s="13"/>
    </row>
    <row r="109" spans="2:28" s="1" customFormat="1" ht="18" customHeight="1" x14ac:dyDescent="0.35">
      <c r="B109" s="13"/>
      <c r="C109" s="4"/>
      <c r="D109" s="4"/>
      <c r="E109" s="4"/>
      <c r="N109" s="13"/>
      <c r="O109" s="13"/>
      <c r="Q109" s="115"/>
      <c r="R109" s="112"/>
      <c r="S109" s="9" t="s">
        <v>41</v>
      </c>
      <c r="T109" s="9" t="s">
        <v>112</v>
      </c>
      <c r="U109" s="9" t="s">
        <v>116</v>
      </c>
      <c r="V109" s="9">
        <v>0</v>
      </c>
      <c r="W109" s="9" t="s">
        <v>12</v>
      </c>
      <c r="X109" s="19" t="s">
        <v>66</v>
      </c>
      <c r="Y109" s="9" t="s">
        <v>21</v>
      </c>
      <c r="AB109" s="13"/>
    </row>
    <row r="110" spans="2:28" s="1" customFormat="1" ht="18" customHeight="1" x14ac:dyDescent="0.35">
      <c r="B110" s="31"/>
      <c r="C110" s="52"/>
      <c r="D110" s="52"/>
      <c r="E110" s="52"/>
      <c r="F110" s="3"/>
      <c r="G110" s="3"/>
      <c r="H110" s="3"/>
      <c r="I110" s="3"/>
      <c r="J110" s="3"/>
      <c r="K110" s="3"/>
      <c r="L110" s="3"/>
      <c r="M110" s="3"/>
      <c r="N110" s="13"/>
      <c r="O110" s="13"/>
      <c r="Q110" s="115"/>
      <c r="R110" s="112"/>
      <c r="S110" s="9" t="s">
        <v>41</v>
      </c>
      <c r="T110" s="9" t="s">
        <v>112</v>
      </c>
      <c r="U110" s="9" t="s">
        <v>117</v>
      </c>
      <c r="V110" s="9">
        <v>0</v>
      </c>
      <c r="W110" s="9" t="s">
        <v>6</v>
      </c>
      <c r="X110" s="19" t="s">
        <v>68</v>
      </c>
      <c r="Y110" s="9" t="s">
        <v>8</v>
      </c>
      <c r="Z110" s="1" t="s">
        <v>113</v>
      </c>
      <c r="AB110" s="13"/>
    </row>
    <row r="111" spans="2:28" s="1" customFormat="1" ht="18" customHeight="1" x14ac:dyDescent="0.35">
      <c r="B111" s="31"/>
      <c r="C111" s="121"/>
      <c r="D111" s="112"/>
      <c r="E111" s="3"/>
      <c r="F111" s="106"/>
      <c r="G111" s="108"/>
      <c r="H111" s="108"/>
      <c r="I111" s="108"/>
      <c r="J111" s="3"/>
      <c r="K111" s="3"/>
      <c r="L111" s="3"/>
      <c r="M111" s="3"/>
      <c r="N111" s="13"/>
      <c r="O111" s="13"/>
      <c r="Q111" s="115"/>
      <c r="R111" s="112"/>
      <c r="S111" s="9" t="s">
        <v>41</v>
      </c>
      <c r="T111" s="9" t="s">
        <v>112</v>
      </c>
      <c r="U111" s="9" t="s">
        <v>118</v>
      </c>
      <c r="V111" s="9">
        <v>0</v>
      </c>
      <c r="W111" s="9" t="s">
        <v>12</v>
      </c>
      <c r="X111" s="19" t="s">
        <v>66</v>
      </c>
      <c r="Y111" s="9" t="s">
        <v>21</v>
      </c>
      <c r="AB111" s="13"/>
    </row>
    <row r="112" spans="2:28" s="1" customFormat="1" ht="18" customHeight="1" x14ac:dyDescent="0.35">
      <c r="B112" s="31"/>
      <c r="C112" s="121"/>
      <c r="D112" s="112"/>
      <c r="E112" s="3"/>
      <c r="F112" s="106"/>
      <c r="G112" s="108"/>
      <c r="H112" s="139"/>
      <c r="I112" s="108"/>
      <c r="J112" s="18"/>
      <c r="K112" s="108"/>
      <c r="L112" s="3"/>
      <c r="M112" s="3"/>
      <c r="N112" s="13"/>
      <c r="O112" s="13"/>
      <c r="Q112" s="116"/>
      <c r="R112" s="113"/>
      <c r="S112" s="21" t="s">
        <v>41</v>
      </c>
      <c r="T112" s="21" t="s">
        <v>112</v>
      </c>
      <c r="U112" s="109" t="s">
        <v>119</v>
      </c>
      <c r="V112" s="21">
        <v>0</v>
      </c>
      <c r="W112" s="21" t="s">
        <v>19</v>
      </c>
      <c r="X112" s="22" t="s">
        <v>20</v>
      </c>
      <c r="Y112" s="60" t="s">
        <v>21</v>
      </c>
      <c r="Z112" s="22"/>
      <c r="AA112" s="22"/>
      <c r="AB112" s="13"/>
    </row>
    <row r="113" spans="2:30" s="1" customFormat="1" ht="18" customHeight="1" x14ac:dyDescent="0.35">
      <c r="B113" s="31"/>
      <c r="C113" s="121"/>
      <c r="D113" s="112"/>
      <c r="E113" s="3"/>
      <c r="F113" s="108"/>
      <c r="G113" s="108"/>
      <c r="H113" s="108"/>
      <c r="I113" s="108"/>
      <c r="J113" s="3"/>
      <c r="K113" s="108"/>
      <c r="L113" s="3"/>
      <c r="M113" s="3"/>
      <c r="N113" s="13"/>
      <c r="O113" s="13"/>
      <c r="Q113" s="120" t="s">
        <v>111</v>
      </c>
      <c r="R113" s="117">
        <v>5</v>
      </c>
      <c r="S113" s="65" t="s">
        <v>50</v>
      </c>
      <c r="T113" s="65" t="s">
        <v>2</v>
      </c>
      <c r="U113" s="65" t="s">
        <v>137</v>
      </c>
      <c r="V113" s="65">
        <v>1</v>
      </c>
      <c r="W113" s="65" t="s">
        <v>47</v>
      </c>
      <c r="X113" s="66" t="s">
        <v>73</v>
      </c>
      <c r="AB113" s="13"/>
    </row>
    <row r="114" spans="2:30" s="1" customFormat="1" ht="18" x14ac:dyDescent="0.35">
      <c r="B114" s="31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13"/>
      <c r="O114" s="13"/>
      <c r="Q114" s="121"/>
      <c r="R114" s="112"/>
      <c r="S114" s="9" t="s">
        <v>56</v>
      </c>
      <c r="T114" s="9" t="s">
        <v>2</v>
      </c>
      <c r="U114" s="9" t="s">
        <v>11</v>
      </c>
      <c r="V114" s="84">
        <f>0.8414/1000*172</f>
        <v>0.14472080000000001</v>
      </c>
      <c r="W114" s="9" t="s">
        <v>12</v>
      </c>
      <c r="X114" s="19" t="s">
        <v>66</v>
      </c>
      <c r="Y114" s="9" t="s">
        <v>21</v>
      </c>
      <c r="AB114" s="13"/>
    </row>
    <row r="115" spans="2:30" s="1" customFormat="1" ht="18.75" thickBot="1" x14ac:dyDescent="0.4">
      <c r="B115" s="13"/>
      <c r="L115" s="3"/>
      <c r="M115" s="3"/>
      <c r="N115" s="13"/>
      <c r="O115" s="13"/>
      <c r="Q115" s="122"/>
      <c r="R115" s="119"/>
      <c r="S115" s="12" t="s">
        <v>56</v>
      </c>
      <c r="T115" s="12" t="s">
        <v>2</v>
      </c>
      <c r="U115" s="12" t="s">
        <v>43</v>
      </c>
      <c r="V115" s="12">
        <v>1</v>
      </c>
      <c r="W115" s="76" t="s">
        <v>15</v>
      </c>
      <c r="X115" s="67" t="s">
        <v>44</v>
      </c>
      <c r="Y115" s="76" t="s">
        <v>8</v>
      </c>
      <c r="Z115" s="2" t="s">
        <v>78</v>
      </c>
      <c r="AA115" s="2"/>
      <c r="AB115" s="13"/>
    </row>
    <row r="116" spans="2:30" x14ac:dyDescent="0.25">
      <c r="L116" s="3"/>
      <c r="M116" s="3"/>
      <c r="AB116" s="13"/>
    </row>
    <row r="117" spans="2:30" s="1" customFormat="1" x14ac:dyDescent="0.25">
      <c r="B117" s="13"/>
      <c r="N117" s="13"/>
      <c r="O117" s="13"/>
      <c r="AB117" s="13"/>
    </row>
    <row r="118" spans="2:30" s="1" customFormat="1" x14ac:dyDescent="0.25">
      <c r="B118" s="13"/>
      <c r="N118" s="13"/>
      <c r="O118" s="13"/>
      <c r="Q118" s="52"/>
      <c r="R118" s="52"/>
      <c r="S118" s="52"/>
      <c r="T118" s="3"/>
      <c r="U118" s="3"/>
      <c r="V118" s="3"/>
      <c r="W118" s="3"/>
      <c r="X118" s="3"/>
      <c r="Y118" s="3"/>
      <c r="Z118" s="3"/>
      <c r="AA118" s="3"/>
      <c r="AB118" s="31"/>
      <c r="AC118" s="3"/>
      <c r="AD118" s="3"/>
    </row>
    <row r="119" spans="2:30" s="1" customFormat="1" ht="18" customHeight="1" x14ac:dyDescent="0.25">
      <c r="B119" s="13"/>
      <c r="N119" s="13"/>
      <c r="O119" s="13"/>
      <c r="AB119" s="13"/>
    </row>
    <row r="120" spans="2:30" s="1" customFormat="1" ht="15.75" thickBot="1" x14ac:dyDescent="0.3">
      <c r="B120" s="13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13"/>
      <c r="O120" s="13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13"/>
    </row>
    <row r="121" spans="2:30" s="1" customFormat="1" ht="15.75" thickBot="1" x14ac:dyDescent="0.3">
      <c r="B121" s="13"/>
      <c r="C121" s="129" t="s">
        <v>139</v>
      </c>
      <c r="D121" s="129"/>
      <c r="E121" s="129"/>
      <c r="F121" s="129"/>
      <c r="G121" s="129"/>
      <c r="H121" s="129"/>
      <c r="I121" s="129"/>
      <c r="J121" s="129"/>
      <c r="K121" s="129"/>
      <c r="L121" s="129"/>
      <c r="M121" s="129"/>
      <c r="N121" s="13"/>
      <c r="O121" s="13"/>
      <c r="Q121" s="129" t="s">
        <v>140</v>
      </c>
      <c r="R121" s="129"/>
      <c r="S121" s="129"/>
      <c r="T121" s="129"/>
      <c r="U121" s="129"/>
      <c r="V121" s="129"/>
      <c r="W121" s="129"/>
      <c r="X121" s="129"/>
      <c r="Y121" s="129"/>
      <c r="Z121" s="129"/>
      <c r="AA121" s="129"/>
      <c r="AB121" s="13"/>
    </row>
    <row r="122" spans="2:30" s="1" customFormat="1" x14ac:dyDescent="0.25">
      <c r="B122" s="13"/>
      <c r="N122" s="13"/>
      <c r="O122" s="13"/>
      <c r="AB122" s="13"/>
    </row>
    <row r="123" spans="2:30" s="1" customFormat="1" ht="15.75" thickBot="1" x14ac:dyDescent="0.3">
      <c r="B123" s="13"/>
      <c r="C123" s="2"/>
      <c r="D123" s="2"/>
      <c r="E123" s="2"/>
      <c r="F123" s="2"/>
      <c r="G123" s="2"/>
      <c r="H123" s="2"/>
      <c r="I123" s="2"/>
      <c r="J123" s="2"/>
      <c r="K123" s="2"/>
      <c r="L123" s="2"/>
      <c r="N123" s="13"/>
      <c r="O123" s="13"/>
      <c r="Q123" s="2"/>
      <c r="R123" s="2"/>
      <c r="S123" s="2"/>
      <c r="T123" s="2"/>
      <c r="U123" s="2"/>
      <c r="V123" s="2"/>
      <c r="W123" s="2"/>
      <c r="X123" s="2"/>
      <c r="Y123" s="2"/>
      <c r="AB123" s="13"/>
    </row>
    <row r="124" spans="2:30" s="1" customFormat="1" ht="30.75" thickBot="1" x14ac:dyDescent="0.3">
      <c r="B124" s="13"/>
      <c r="C124" s="107" t="s">
        <v>99</v>
      </c>
      <c r="D124" s="110" t="s">
        <v>100</v>
      </c>
      <c r="E124" s="8" t="s">
        <v>101</v>
      </c>
      <c r="F124" s="110" t="s">
        <v>102</v>
      </c>
      <c r="G124" s="110" t="s">
        <v>103</v>
      </c>
      <c r="H124" s="110" t="s">
        <v>104</v>
      </c>
      <c r="I124" s="110" t="s">
        <v>105</v>
      </c>
      <c r="J124" s="110" t="s">
        <v>106</v>
      </c>
      <c r="K124" s="17" t="s">
        <v>3</v>
      </c>
      <c r="L124" s="128" t="s">
        <v>4</v>
      </c>
      <c r="M124" s="128"/>
      <c r="N124" s="13"/>
      <c r="O124" s="13"/>
      <c r="Q124" s="107" t="s">
        <v>99</v>
      </c>
      <c r="R124" s="110" t="s">
        <v>100</v>
      </c>
      <c r="S124" s="8" t="s">
        <v>101</v>
      </c>
      <c r="T124" s="110" t="s">
        <v>102</v>
      </c>
      <c r="U124" s="110" t="s">
        <v>103</v>
      </c>
      <c r="V124" s="110" t="s">
        <v>104</v>
      </c>
      <c r="W124" s="110" t="s">
        <v>105</v>
      </c>
      <c r="X124" s="110" t="s">
        <v>106</v>
      </c>
      <c r="Y124" s="17" t="s">
        <v>3</v>
      </c>
      <c r="Z124" s="128" t="s">
        <v>4</v>
      </c>
      <c r="AA124" s="128"/>
      <c r="AB124" s="13"/>
    </row>
    <row r="125" spans="2:30" s="1" customFormat="1" ht="18" customHeight="1" x14ac:dyDescent="0.35">
      <c r="B125" s="13"/>
      <c r="C125" s="114" t="s">
        <v>107</v>
      </c>
      <c r="D125" s="111">
        <v>1</v>
      </c>
      <c r="E125" s="9" t="s">
        <v>5</v>
      </c>
      <c r="F125" s="9" t="s">
        <v>2</v>
      </c>
      <c r="G125" s="9" t="s">
        <v>114</v>
      </c>
      <c r="H125" s="9">
        <v>1</v>
      </c>
      <c r="I125" s="9" t="s">
        <v>6</v>
      </c>
      <c r="J125" s="18" t="s">
        <v>7</v>
      </c>
      <c r="K125" s="9" t="s">
        <v>8</v>
      </c>
      <c r="L125" s="19" t="s">
        <v>9</v>
      </c>
      <c r="N125" s="13"/>
      <c r="O125" s="13"/>
      <c r="Q125" s="114" t="s">
        <v>107</v>
      </c>
      <c r="R125" s="111">
        <v>1</v>
      </c>
      <c r="S125" s="9" t="s">
        <v>5</v>
      </c>
      <c r="T125" s="9" t="s">
        <v>2</v>
      </c>
      <c r="U125" s="9" t="s">
        <v>114</v>
      </c>
      <c r="V125" s="9">
        <v>1</v>
      </c>
      <c r="W125" s="9" t="s">
        <v>6</v>
      </c>
      <c r="X125" s="18" t="s">
        <v>7</v>
      </c>
      <c r="Y125" s="9" t="s">
        <v>8</v>
      </c>
      <c r="Z125" s="1" t="s">
        <v>69</v>
      </c>
      <c r="AB125" s="13"/>
    </row>
    <row r="126" spans="2:30" s="1" customFormat="1" ht="18" x14ac:dyDescent="0.35">
      <c r="B126" s="13"/>
      <c r="C126" s="115"/>
      <c r="D126" s="112"/>
      <c r="E126" s="9" t="s">
        <v>10</v>
      </c>
      <c r="F126" s="9" t="s">
        <v>2</v>
      </c>
      <c r="G126" s="9" t="s">
        <v>11</v>
      </c>
      <c r="H126" s="9">
        <f>500/1000*64</f>
        <v>32</v>
      </c>
      <c r="I126" s="9" t="s">
        <v>12</v>
      </c>
      <c r="J126" s="19" t="s">
        <v>66</v>
      </c>
      <c r="K126" s="9" t="s">
        <v>21</v>
      </c>
      <c r="N126" s="13"/>
      <c r="O126" s="13"/>
      <c r="Q126" s="115"/>
      <c r="R126" s="112"/>
      <c r="S126" s="9" t="s">
        <v>10</v>
      </c>
      <c r="T126" s="9" t="s">
        <v>2</v>
      </c>
      <c r="U126" s="9" t="s">
        <v>11</v>
      </c>
      <c r="V126" s="9">
        <f>500/1000*64</f>
        <v>32</v>
      </c>
      <c r="W126" s="9" t="s">
        <v>12</v>
      </c>
      <c r="X126" s="19" t="s">
        <v>66</v>
      </c>
      <c r="Y126" s="9" t="s">
        <v>21</v>
      </c>
      <c r="AB126" s="13"/>
    </row>
    <row r="127" spans="2:30" s="1" customFormat="1" ht="18" x14ac:dyDescent="0.35">
      <c r="B127" s="13"/>
      <c r="C127" s="115"/>
      <c r="D127" s="112"/>
      <c r="E127" s="9" t="s">
        <v>16</v>
      </c>
      <c r="F127" s="9" t="s">
        <v>112</v>
      </c>
      <c r="G127" s="9" t="s">
        <v>115</v>
      </c>
      <c r="H127" s="9">
        <v>17.95</v>
      </c>
      <c r="I127" s="9" t="s">
        <v>13</v>
      </c>
      <c r="J127" s="19" t="s">
        <v>14</v>
      </c>
      <c r="K127" s="9" t="s">
        <v>65</v>
      </c>
      <c r="N127" s="13"/>
      <c r="O127" s="13"/>
      <c r="Q127" s="115"/>
      <c r="R127" s="112"/>
      <c r="S127" s="9" t="s">
        <v>16</v>
      </c>
      <c r="T127" s="9" t="s">
        <v>112</v>
      </c>
      <c r="U127" s="9" t="s">
        <v>115</v>
      </c>
      <c r="V127" s="9">
        <v>17.95</v>
      </c>
      <c r="W127" s="9" t="s">
        <v>13</v>
      </c>
      <c r="X127" s="19" t="s">
        <v>14</v>
      </c>
      <c r="Y127" s="9" t="s">
        <v>65</v>
      </c>
      <c r="AB127" s="13"/>
    </row>
    <row r="128" spans="2:30" s="1" customFormat="1" ht="18" customHeight="1" x14ac:dyDescent="0.35">
      <c r="B128" s="13"/>
      <c r="C128" s="115"/>
      <c r="D128" s="112"/>
      <c r="E128" s="9" t="s">
        <v>17</v>
      </c>
      <c r="F128" s="9" t="s">
        <v>112</v>
      </c>
      <c r="G128" s="9" t="s">
        <v>116</v>
      </c>
      <c r="H128" s="9">
        <f>500/1000*0.53*50</f>
        <v>13.25</v>
      </c>
      <c r="I128" s="9" t="s">
        <v>12</v>
      </c>
      <c r="J128" s="19" t="s">
        <v>66</v>
      </c>
      <c r="K128" s="9" t="s">
        <v>21</v>
      </c>
      <c r="N128" s="13"/>
      <c r="O128" s="13"/>
      <c r="Q128" s="115"/>
      <c r="R128" s="112"/>
      <c r="S128" s="9" t="s">
        <v>17</v>
      </c>
      <c r="T128" s="9" t="s">
        <v>112</v>
      </c>
      <c r="U128" s="9" t="s">
        <v>116</v>
      </c>
      <c r="V128" s="9">
        <f>500/1000*0.53*50</f>
        <v>13.25</v>
      </c>
      <c r="W128" s="9" t="s">
        <v>12</v>
      </c>
      <c r="X128" s="19" t="s">
        <v>66</v>
      </c>
      <c r="Y128" s="9" t="s">
        <v>21</v>
      </c>
      <c r="AB128" s="13"/>
    </row>
    <row r="129" spans="2:28" s="1" customFormat="1" ht="18.75" customHeight="1" x14ac:dyDescent="0.35">
      <c r="B129" s="13"/>
      <c r="C129" s="115"/>
      <c r="D129" s="112"/>
      <c r="E129" s="23" t="s">
        <v>24</v>
      </c>
      <c r="F129" s="23" t="s">
        <v>112</v>
      </c>
      <c r="G129" s="49" t="s">
        <v>125</v>
      </c>
      <c r="H129" s="23">
        <v>0.53</v>
      </c>
      <c r="I129" s="23" t="s">
        <v>6</v>
      </c>
      <c r="J129" s="24" t="s">
        <v>68</v>
      </c>
      <c r="K129" s="23" t="s">
        <v>8</v>
      </c>
      <c r="L129" s="1" t="s">
        <v>113</v>
      </c>
      <c r="N129" s="13"/>
      <c r="O129" s="13"/>
      <c r="Q129" s="115"/>
      <c r="R129" s="112"/>
      <c r="S129" s="23" t="s">
        <v>24</v>
      </c>
      <c r="T129" s="23" t="s">
        <v>112</v>
      </c>
      <c r="U129" s="49" t="s">
        <v>125</v>
      </c>
      <c r="V129" s="23">
        <v>0.53</v>
      </c>
      <c r="W129" s="23" t="s">
        <v>6</v>
      </c>
      <c r="X129" s="24" t="s">
        <v>68</v>
      </c>
      <c r="Y129" s="23" t="s">
        <v>8</v>
      </c>
      <c r="Z129" s="13" t="s">
        <v>113</v>
      </c>
      <c r="AB129" s="13"/>
    </row>
    <row r="130" spans="2:28" s="1" customFormat="1" ht="18" customHeight="1" x14ac:dyDescent="0.35">
      <c r="B130" s="13"/>
      <c r="C130" s="115"/>
      <c r="D130" s="112"/>
      <c r="E130" s="9" t="s">
        <v>18</v>
      </c>
      <c r="F130" s="9" t="s">
        <v>112</v>
      </c>
      <c r="G130" s="9" t="s">
        <v>116</v>
      </c>
      <c r="H130" s="9">
        <f>500/1000*0.47*50</f>
        <v>11.75</v>
      </c>
      <c r="I130" s="9" t="s">
        <v>12</v>
      </c>
      <c r="J130" s="19" t="s">
        <v>66</v>
      </c>
      <c r="K130" s="9" t="s">
        <v>21</v>
      </c>
      <c r="N130" s="13"/>
      <c r="O130" s="13"/>
      <c r="Q130" s="115"/>
      <c r="R130" s="112"/>
      <c r="S130" s="9" t="s">
        <v>18</v>
      </c>
      <c r="T130" s="9" t="s">
        <v>112</v>
      </c>
      <c r="U130" s="9" t="s">
        <v>116</v>
      </c>
      <c r="V130" s="9">
        <f>500/1000*0.47*50</f>
        <v>11.75</v>
      </c>
      <c r="W130" s="9" t="s">
        <v>12</v>
      </c>
      <c r="X130" s="19" t="s">
        <v>66</v>
      </c>
      <c r="Y130" s="9" t="s">
        <v>21</v>
      </c>
      <c r="AB130" s="13"/>
    </row>
    <row r="131" spans="2:28" s="1" customFormat="1" ht="18" x14ac:dyDescent="0.35">
      <c r="B131" s="13"/>
      <c r="C131" s="115"/>
      <c r="D131" s="112"/>
      <c r="E131" s="9" t="s">
        <v>18</v>
      </c>
      <c r="F131" s="9" t="s">
        <v>112</v>
      </c>
      <c r="G131" s="9" t="s">
        <v>117</v>
      </c>
      <c r="H131" s="9">
        <v>0.47</v>
      </c>
      <c r="I131" s="9" t="s">
        <v>6</v>
      </c>
      <c r="J131" s="19" t="s">
        <v>68</v>
      </c>
      <c r="K131" s="9" t="s">
        <v>8</v>
      </c>
      <c r="L131" s="1" t="s">
        <v>113</v>
      </c>
      <c r="N131" s="13"/>
      <c r="O131" s="13"/>
      <c r="Q131" s="115"/>
      <c r="R131" s="112"/>
      <c r="S131" s="9" t="s">
        <v>18</v>
      </c>
      <c r="T131" s="9" t="s">
        <v>112</v>
      </c>
      <c r="U131" s="9" t="s">
        <v>117</v>
      </c>
      <c r="V131" s="9">
        <v>0.47</v>
      </c>
      <c r="W131" s="9" t="s">
        <v>6</v>
      </c>
      <c r="X131" s="19" t="s">
        <v>68</v>
      </c>
      <c r="Y131" s="9" t="s">
        <v>8</v>
      </c>
      <c r="Z131" s="1" t="s">
        <v>113</v>
      </c>
      <c r="AB131" s="13"/>
    </row>
    <row r="132" spans="2:28" s="1" customFormat="1" ht="18" x14ac:dyDescent="0.35">
      <c r="B132" s="13"/>
      <c r="C132" s="115"/>
      <c r="D132" s="112"/>
      <c r="E132" s="9" t="s">
        <v>18</v>
      </c>
      <c r="F132" s="9" t="s">
        <v>112</v>
      </c>
      <c r="G132" s="9" t="s">
        <v>118</v>
      </c>
      <c r="H132" s="9">
        <f>500/1000*0.47*32</f>
        <v>7.52</v>
      </c>
      <c r="I132" s="9" t="s">
        <v>12</v>
      </c>
      <c r="J132" s="19" t="s">
        <v>66</v>
      </c>
      <c r="K132" s="9" t="s">
        <v>21</v>
      </c>
      <c r="N132" s="13"/>
      <c r="O132" s="13"/>
      <c r="Q132" s="115"/>
      <c r="R132" s="112"/>
      <c r="S132" s="9" t="s">
        <v>18</v>
      </c>
      <c r="T132" s="9" t="s">
        <v>112</v>
      </c>
      <c r="U132" s="9" t="s">
        <v>118</v>
      </c>
      <c r="V132" s="9">
        <f>500/1000*0.47*32</f>
        <v>7.52</v>
      </c>
      <c r="W132" s="9" t="s">
        <v>12</v>
      </c>
      <c r="X132" s="19" t="s">
        <v>66</v>
      </c>
      <c r="Y132" s="9" t="s">
        <v>21</v>
      </c>
      <c r="AB132" s="13"/>
    </row>
    <row r="133" spans="2:28" s="1" customFormat="1" ht="18" x14ac:dyDescent="0.35">
      <c r="B133" s="13"/>
      <c r="C133" s="124"/>
      <c r="D133" s="123"/>
      <c r="E133" s="21" t="s">
        <v>18</v>
      </c>
      <c r="F133" s="21" t="s">
        <v>112</v>
      </c>
      <c r="G133" s="109" t="s">
        <v>119</v>
      </c>
      <c r="H133" s="63">
        <f>500*0.47</f>
        <v>235</v>
      </c>
      <c r="I133" s="21" t="s">
        <v>19</v>
      </c>
      <c r="J133" s="22" t="s">
        <v>20</v>
      </c>
      <c r="K133" s="42" t="s">
        <v>21</v>
      </c>
      <c r="L133" s="22"/>
      <c r="M133" s="22"/>
      <c r="N133" s="13"/>
      <c r="O133" s="13"/>
      <c r="Q133" s="116"/>
      <c r="R133" s="113"/>
      <c r="S133" s="21" t="s">
        <v>18</v>
      </c>
      <c r="T133" s="21" t="s">
        <v>112</v>
      </c>
      <c r="U133" s="109" t="s">
        <v>119</v>
      </c>
      <c r="V133" s="21">
        <f>500*0.47</f>
        <v>235</v>
      </c>
      <c r="W133" s="21" t="s">
        <v>19</v>
      </c>
      <c r="X133" s="22" t="s">
        <v>20</v>
      </c>
      <c r="Y133" s="60" t="s">
        <v>21</v>
      </c>
      <c r="Z133" s="22"/>
      <c r="AA133" s="22"/>
      <c r="AB133" s="13"/>
    </row>
    <row r="134" spans="2:28" s="1" customFormat="1" ht="18" customHeight="1" x14ac:dyDescent="0.35">
      <c r="B134" s="13"/>
      <c r="C134" s="126" t="s">
        <v>108</v>
      </c>
      <c r="D134" s="125">
        <v>2</v>
      </c>
      <c r="E134" s="65" t="s">
        <v>46</v>
      </c>
      <c r="F134" s="65" t="s">
        <v>2</v>
      </c>
      <c r="G134" s="65" t="s">
        <v>137</v>
      </c>
      <c r="H134" s="65">
        <v>0</v>
      </c>
      <c r="I134" s="65" t="s">
        <v>47</v>
      </c>
      <c r="J134" s="66" t="s">
        <v>70</v>
      </c>
      <c r="N134" s="13"/>
      <c r="O134" s="13"/>
      <c r="Q134" s="118" t="s">
        <v>108</v>
      </c>
      <c r="R134" s="117">
        <v>2</v>
      </c>
      <c r="S134" s="65" t="s">
        <v>46</v>
      </c>
      <c r="T134" s="65" t="s">
        <v>2</v>
      </c>
      <c r="U134" s="65" t="s">
        <v>137</v>
      </c>
      <c r="V134" s="65">
        <v>1</v>
      </c>
      <c r="W134" s="65" t="s">
        <v>47</v>
      </c>
      <c r="X134" s="66" t="s">
        <v>70</v>
      </c>
      <c r="AB134" s="13"/>
    </row>
    <row r="135" spans="2:28" s="1" customFormat="1" ht="18" x14ac:dyDescent="0.35">
      <c r="B135" s="13"/>
      <c r="C135" s="115"/>
      <c r="D135" s="112"/>
      <c r="E135" s="9" t="s">
        <v>22</v>
      </c>
      <c r="F135" s="9" t="s">
        <v>2</v>
      </c>
      <c r="G135" s="9" t="s">
        <v>120</v>
      </c>
      <c r="H135" s="9">
        <v>1</v>
      </c>
      <c r="I135" s="1" t="s">
        <v>6</v>
      </c>
      <c r="J135" s="1" t="s">
        <v>23</v>
      </c>
      <c r="K135" s="9" t="s">
        <v>8</v>
      </c>
      <c r="L135" s="1" t="s">
        <v>9</v>
      </c>
      <c r="N135" s="13"/>
      <c r="O135" s="13"/>
      <c r="Q135" s="115"/>
      <c r="R135" s="112"/>
      <c r="S135" s="9" t="s">
        <v>22</v>
      </c>
      <c r="T135" s="9" t="s">
        <v>2</v>
      </c>
      <c r="U135" s="9" t="s">
        <v>120</v>
      </c>
      <c r="V135" s="9">
        <v>0</v>
      </c>
      <c r="W135" s="1" t="s">
        <v>6</v>
      </c>
      <c r="X135" s="1" t="s">
        <v>23</v>
      </c>
      <c r="Y135" s="9" t="s">
        <v>8</v>
      </c>
      <c r="Z135" s="1" t="s">
        <v>69</v>
      </c>
      <c r="AB135" s="13"/>
    </row>
    <row r="136" spans="2:28" s="1" customFormat="1" ht="18" x14ac:dyDescent="0.35">
      <c r="B136" s="13"/>
      <c r="C136" s="115"/>
      <c r="D136" s="112"/>
      <c r="E136" s="9" t="s">
        <v>25</v>
      </c>
      <c r="F136" s="9" t="s">
        <v>2</v>
      </c>
      <c r="G136" s="9" t="s">
        <v>11</v>
      </c>
      <c r="H136" s="9">
        <f>500/1000*698</f>
        <v>349</v>
      </c>
      <c r="I136" s="9" t="s">
        <v>12</v>
      </c>
      <c r="J136" s="19" t="s">
        <v>66</v>
      </c>
      <c r="K136" s="9" t="s">
        <v>21</v>
      </c>
      <c r="N136" s="13"/>
      <c r="O136" s="13"/>
      <c r="Q136" s="115"/>
      <c r="R136" s="112"/>
      <c r="S136" s="49" t="s">
        <v>60</v>
      </c>
      <c r="T136" s="9" t="s">
        <v>2</v>
      </c>
      <c r="U136" s="9" t="s">
        <v>126</v>
      </c>
      <c r="V136" s="84">
        <f>1/0.68*500/1000*695</f>
        <v>511.02941176470586</v>
      </c>
      <c r="W136" s="9" t="s">
        <v>12</v>
      </c>
      <c r="X136" s="19" t="s">
        <v>66</v>
      </c>
      <c r="Y136" s="9" t="s">
        <v>21</v>
      </c>
      <c r="Z136" s="13"/>
      <c r="AB136" s="13"/>
    </row>
    <row r="137" spans="2:28" s="1" customFormat="1" ht="18" x14ac:dyDescent="0.35">
      <c r="B137" s="13"/>
      <c r="C137" s="115"/>
      <c r="D137" s="112"/>
      <c r="E137" s="9" t="s">
        <v>26</v>
      </c>
      <c r="F137" s="9" t="s">
        <v>112</v>
      </c>
      <c r="G137" s="9" t="s">
        <v>115</v>
      </c>
      <c r="H137" s="9">
        <v>17.95</v>
      </c>
      <c r="I137" s="9" t="s">
        <v>13</v>
      </c>
      <c r="J137" s="19" t="s">
        <v>14</v>
      </c>
      <c r="K137" s="9" t="s">
        <v>65</v>
      </c>
      <c r="N137" s="13"/>
      <c r="O137" s="13"/>
      <c r="Q137" s="115"/>
      <c r="R137" s="112"/>
      <c r="S137" s="23" t="s">
        <v>53</v>
      </c>
      <c r="T137" s="23" t="s">
        <v>2</v>
      </c>
      <c r="U137" s="23" t="s">
        <v>127</v>
      </c>
      <c r="V137" s="79">
        <f>1/0.68/1.07</f>
        <v>1.3743815283122593</v>
      </c>
      <c r="W137" s="49" t="s">
        <v>6</v>
      </c>
      <c r="X137" s="13" t="s">
        <v>76</v>
      </c>
      <c r="Y137" s="9" t="s">
        <v>8</v>
      </c>
      <c r="Z137" s="1" t="s">
        <v>113</v>
      </c>
      <c r="AA137" s="3"/>
      <c r="AB137" s="13"/>
    </row>
    <row r="138" spans="2:28" s="1" customFormat="1" ht="18" customHeight="1" x14ac:dyDescent="0.35">
      <c r="B138" s="13"/>
      <c r="C138" s="115"/>
      <c r="D138" s="112"/>
      <c r="E138" s="9" t="s">
        <v>27</v>
      </c>
      <c r="F138" s="9" t="s">
        <v>112</v>
      </c>
      <c r="G138" s="9" t="s">
        <v>116</v>
      </c>
      <c r="H138" s="9">
        <f>500/1000*0.53*50</f>
        <v>13.25</v>
      </c>
      <c r="I138" s="9" t="s">
        <v>12</v>
      </c>
      <c r="J138" s="19" t="s">
        <v>66</v>
      </c>
      <c r="K138" s="9" t="s">
        <v>21</v>
      </c>
      <c r="N138" s="13"/>
      <c r="O138" s="13"/>
      <c r="Q138" s="115"/>
      <c r="R138" s="112"/>
      <c r="S138" s="23" t="s">
        <v>53</v>
      </c>
      <c r="T138" s="23" t="s">
        <v>2</v>
      </c>
      <c r="U138" s="23" t="s">
        <v>128</v>
      </c>
      <c r="V138" s="80">
        <v>1</v>
      </c>
      <c r="W138" s="23" t="s">
        <v>6</v>
      </c>
      <c r="X138" s="13" t="s">
        <v>74</v>
      </c>
      <c r="Y138" s="9" t="s">
        <v>8</v>
      </c>
      <c r="Z138" s="1" t="s">
        <v>113</v>
      </c>
      <c r="AA138" s="3"/>
      <c r="AB138" s="13"/>
    </row>
    <row r="139" spans="2:28" s="1" customFormat="1" ht="18" customHeight="1" x14ac:dyDescent="0.35">
      <c r="B139" s="13"/>
      <c r="C139" s="115"/>
      <c r="D139" s="112"/>
      <c r="E139" s="23" t="s">
        <v>59</v>
      </c>
      <c r="F139" s="23" t="s">
        <v>112</v>
      </c>
      <c r="G139" s="49" t="s">
        <v>130</v>
      </c>
      <c r="H139" s="23">
        <v>0.53</v>
      </c>
      <c r="I139" s="23" t="s">
        <v>6</v>
      </c>
      <c r="J139" s="24" t="s">
        <v>68</v>
      </c>
      <c r="K139" s="23" t="s">
        <v>8</v>
      </c>
      <c r="L139" s="1" t="s">
        <v>113</v>
      </c>
      <c r="N139" s="13"/>
      <c r="O139" s="13"/>
      <c r="Q139" s="115"/>
      <c r="R139" s="112"/>
      <c r="S139" s="9" t="s">
        <v>25</v>
      </c>
      <c r="T139" s="9" t="s">
        <v>2</v>
      </c>
      <c r="U139" s="9" t="s">
        <v>11</v>
      </c>
      <c r="V139" s="9">
        <f>500/1000*698</f>
        <v>349</v>
      </c>
      <c r="W139" s="9" t="s">
        <v>12</v>
      </c>
      <c r="X139" s="19" t="s">
        <v>66</v>
      </c>
      <c r="Y139" s="9" t="s">
        <v>21</v>
      </c>
      <c r="AB139" s="13"/>
    </row>
    <row r="140" spans="2:28" s="1" customFormat="1" ht="18" customHeight="1" x14ac:dyDescent="0.35">
      <c r="B140" s="13"/>
      <c r="C140" s="115"/>
      <c r="D140" s="112"/>
      <c r="E140" s="9" t="s">
        <v>28</v>
      </c>
      <c r="F140" s="9" t="s">
        <v>112</v>
      </c>
      <c r="G140" s="9" t="s">
        <v>116</v>
      </c>
      <c r="H140" s="9">
        <f>500/1000*0.47*50</f>
        <v>11.75</v>
      </c>
      <c r="I140" s="9" t="s">
        <v>12</v>
      </c>
      <c r="J140" s="19" t="s">
        <v>66</v>
      </c>
      <c r="K140" s="9" t="s">
        <v>21</v>
      </c>
      <c r="N140" s="13"/>
      <c r="O140" s="13"/>
      <c r="Q140" s="115"/>
      <c r="R140" s="112"/>
      <c r="S140" s="9" t="s">
        <v>26</v>
      </c>
      <c r="T140" s="9" t="s">
        <v>112</v>
      </c>
      <c r="U140" s="9" t="s">
        <v>115</v>
      </c>
      <c r="V140" s="9">
        <v>127</v>
      </c>
      <c r="W140" s="9" t="s">
        <v>13</v>
      </c>
      <c r="X140" s="19" t="s">
        <v>14</v>
      </c>
      <c r="Y140" s="9" t="s">
        <v>65</v>
      </c>
      <c r="AB140" s="13"/>
    </row>
    <row r="141" spans="2:28" s="1" customFormat="1" ht="18" customHeight="1" x14ac:dyDescent="0.35">
      <c r="B141" s="13"/>
      <c r="C141" s="115"/>
      <c r="D141" s="112"/>
      <c r="E141" s="9" t="s">
        <v>28</v>
      </c>
      <c r="F141" s="9" t="s">
        <v>112</v>
      </c>
      <c r="G141" s="9" t="s">
        <v>117</v>
      </c>
      <c r="H141" s="9">
        <v>0.47</v>
      </c>
      <c r="I141" s="9" t="s">
        <v>6</v>
      </c>
      <c r="J141" s="19" t="s">
        <v>68</v>
      </c>
      <c r="K141" s="9" t="s">
        <v>8</v>
      </c>
      <c r="L141" s="1" t="s">
        <v>113</v>
      </c>
      <c r="N141" s="13"/>
      <c r="O141" s="13"/>
      <c r="Q141" s="115"/>
      <c r="R141" s="112"/>
      <c r="S141" s="9" t="s">
        <v>27</v>
      </c>
      <c r="T141" s="9" t="s">
        <v>112</v>
      </c>
      <c r="U141" s="9" t="s">
        <v>116</v>
      </c>
      <c r="V141" s="9">
        <f>500/1000*0.9*50</f>
        <v>22.5</v>
      </c>
      <c r="W141" s="9" t="s">
        <v>12</v>
      </c>
      <c r="X141" s="19" t="s">
        <v>66</v>
      </c>
      <c r="Y141" s="9" t="s">
        <v>21</v>
      </c>
      <c r="AB141" s="13"/>
    </row>
    <row r="142" spans="2:28" s="1" customFormat="1" ht="18" x14ac:dyDescent="0.35">
      <c r="B142" s="13"/>
      <c r="C142" s="115"/>
      <c r="D142" s="112"/>
      <c r="E142" s="9" t="s">
        <v>28</v>
      </c>
      <c r="F142" s="9" t="s">
        <v>112</v>
      </c>
      <c r="G142" s="9" t="s">
        <v>118</v>
      </c>
      <c r="H142" s="9">
        <f>500/1000*0.47*32</f>
        <v>7.52</v>
      </c>
      <c r="I142" s="9" t="s">
        <v>12</v>
      </c>
      <c r="J142" s="19" t="s">
        <v>66</v>
      </c>
      <c r="K142" s="9" t="s">
        <v>21</v>
      </c>
      <c r="N142" s="13"/>
      <c r="O142" s="13"/>
      <c r="Q142" s="115"/>
      <c r="R142" s="112"/>
      <c r="S142" s="23" t="s">
        <v>59</v>
      </c>
      <c r="T142" s="23" t="s">
        <v>112</v>
      </c>
      <c r="U142" s="49" t="s">
        <v>130</v>
      </c>
      <c r="V142" s="23">
        <v>0.9</v>
      </c>
      <c r="W142" s="23" t="s">
        <v>6</v>
      </c>
      <c r="X142" s="24" t="s">
        <v>68</v>
      </c>
      <c r="Y142" s="23" t="s">
        <v>8</v>
      </c>
      <c r="Z142" s="1" t="s">
        <v>113</v>
      </c>
      <c r="AB142" s="13"/>
    </row>
    <row r="143" spans="2:28" s="1" customFormat="1" ht="18" x14ac:dyDescent="0.35">
      <c r="B143" s="13"/>
      <c r="C143" s="124"/>
      <c r="D143" s="123"/>
      <c r="E143" s="21" t="s">
        <v>28</v>
      </c>
      <c r="F143" s="21" t="s">
        <v>112</v>
      </c>
      <c r="G143" s="109" t="s">
        <v>119</v>
      </c>
      <c r="H143" s="63">
        <f>500*0.47</f>
        <v>235</v>
      </c>
      <c r="I143" s="21" t="s">
        <v>19</v>
      </c>
      <c r="J143" s="22" t="s">
        <v>20</v>
      </c>
      <c r="K143" s="42" t="s">
        <v>21</v>
      </c>
      <c r="L143" s="22"/>
      <c r="M143" s="22"/>
      <c r="N143" s="13"/>
      <c r="O143" s="13"/>
      <c r="Q143" s="115"/>
      <c r="R143" s="112"/>
      <c r="S143" s="9" t="s">
        <v>28</v>
      </c>
      <c r="T143" s="9" t="s">
        <v>112</v>
      </c>
      <c r="U143" s="9" t="s">
        <v>116</v>
      </c>
      <c r="V143" s="9">
        <f>500/1000*0.1*50</f>
        <v>2.5</v>
      </c>
      <c r="W143" s="9" t="s">
        <v>12</v>
      </c>
      <c r="X143" s="19" t="s">
        <v>66</v>
      </c>
      <c r="Y143" s="9" t="s">
        <v>21</v>
      </c>
      <c r="AB143" s="13"/>
    </row>
    <row r="144" spans="2:28" s="1" customFormat="1" ht="18" x14ac:dyDescent="0.35">
      <c r="B144" s="13"/>
      <c r="C144" s="126" t="s">
        <v>123</v>
      </c>
      <c r="D144" s="125">
        <v>3</v>
      </c>
      <c r="E144" s="65" t="s">
        <v>48</v>
      </c>
      <c r="F144" s="65" t="s">
        <v>2</v>
      </c>
      <c r="G144" s="65" t="s">
        <v>137</v>
      </c>
      <c r="H144" s="65">
        <v>0</v>
      </c>
      <c r="I144" s="65" t="s">
        <v>47</v>
      </c>
      <c r="J144" s="66" t="s">
        <v>71</v>
      </c>
      <c r="N144" s="13"/>
      <c r="O144" s="13"/>
      <c r="Q144" s="115"/>
      <c r="R144" s="112"/>
      <c r="S144" s="9" t="s">
        <v>28</v>
      </c>
      <c r="T144" s="9" t="s">
        <v>112</v>
      </c>
      <c r="U144" s="9" t="s">
        <v>117</v>
      </c>
      <c r="V144" s="9">
        <f>0.1</f>
        <v>0.1</v>
      </c>
      <c r="W144" s="9" t="s">
        <v>6</v>
      </c>
      <c r="X144" s="19" t="s">
        <v>68</v>
      </c>
      <c r="Y144" s="9" t="s">
        <v>8</v>
      </c>
      <c r="AB144" s="13"/>
    </row>
    <row r="145" spans="2:28" s="1" customFormat="1" ht="18" x14ac:dyDescent="0.35">
      <c r="B145" s="31"/>
      <c r="C145" s="115"/>
      <c r="D145" s="112"/>
      <c r="E145" s="9" t="s">
        <v>29</v>
      </c>
      <c r="F145" s="9" t="s">
        <v>2</v>
      </c>
      <c r="G145" s="9" t="s">
        <v>129</v>
      </c>
      <c r="H145" s="9">
        <v>1</v>
      </c>
      <c r="I145" s="1" t="s">
        <v>6</v>
      </c>
      <c r="J145" s="1" t="s">
        <v>30</v>
      </c>
      <c r="K145" s="9" t="s">
        <v>8</v>
      </c>
      <c r="L145" s="1" t="s">
        <v>31</v>
      </c>
      <c r="N145" s="13"/>
      <c r="O145" s="13"/>
      <c r="Q145" s="115"/>
      <c r="R145" s="112"/>
      <c r="S145" s="9" t="s">
        <v>28</v>
      </c>
      <c r="T145" s="9" t="s">
        <v>112</v>
      </c>
      <c r="U145" s="9" t="s">
        <v>118</v>
      </c>
      <c r="V145" s="9">
        <f>500/1000*0.1*32</f>
        <v>1.6</v>
      </c>
      <c r="W145" s="9" t="s">
        <v>12</v>
      </c>
      <c r="X145" s="19" t="s">
        <v>66</v>
      </c>
      <c r="Y145" s="9" t="s">
        <v>21</v>
      </c>
      <c r="AB145" s="13"/>
    </row>
    <row r="146" spans="2:28" s="1" customFormat="1" ht="18" x14ac:dyDescent="0.35">
      <c r="B146" s="13"/>
      <c r="C146" s="115"/>
      <c r="D146" s="112"/>
      <c r="E146" s="9" t="s">
        <v>32</v>
      </c>
      <c r="F146" s="9" t="s">
        <v>2</v>
      </c>
      <c r="G146" s="9" t="s">
        <v>11</v>
      </c>
      <c r="H146" s="9">
        <f>700/1000*35</f>
        <v>24.5</v>
      </c>
      <c r="I146" s="9" t="s">
        <v>12</v>
      </c>
      <c r="J146" s="19" t="s">
        <v>66</v>
      </c>
      <c r="K146" s="9" t="s">
        <v>21</v>
      </c>
      <c r="N146" s="13"/>
      <c r="O146" s="13"/>
      <c r="Q146" s="116"/>
      <c r="R146" s="113"/>
      <c r="S146" s="21" t="s">
        <v>28</v>
      </c>
      <c r="T146" s="21" t="s">
        <v>112</v>
      </c>
      <c r="U146" s="109" t="s">
        <v>119</v>
      </c>
      <c r="V146" s="77">
        <f>0.1*500</f>
        <v>50</v>
      </c>
      <c r="W146" s="21" t="s">
        <v>19</v>
      </c>
      <c r="X146" s="22" t="s">
        <v>20</v>
      </c>
      <c r="Y146" s="60" t="s">
        <v>21</v>
      </c>
      <c r="Z146" s="22"/>
      <c r="AA146" s="22"/>
      <c r="AB146" s="13"/>
    </row>
    <row r="147" spans="2:28" s="1" customFormat="1" ht="18" customHeight="1" x14ac:dyDescent="0.35">
      <c r="B147" s="13"/>
      <c r="C147" s="115"/>
      <c r="D147" s="112"/>
      <c r="E147" s="9" t="s">
        <v>33</v>
      </c>
      <c r="F147" s="9" t="s">
        <v>112</v>
      </c>
      <c r="G147" s="9" t="s">
        <v>115</v>
      </c>
      <c r="H147" s="9">
        <v>25.13</v>
      </c>
      <c r="I147" s="9" t="s">
        <v>13</v>
      </c>
      <c r="J147" s="19" t="s">
        <v>14</v>
      </c>
      <c r="K147" s="9" t="s">
        <v>65</v>
      </c>
      <c r="N147" s="13"/>
      <c r="O147" s="13"/>
      <c r="Q147" s="118" t="s">
        <v>123</v>
      </c>
      <c r="R147" s="117">
        <v>3</v>
      </c>
      <c r="S147" s="65" t="s">
        <v>48</v>
      </c>
      <c r="T147" s="65" t="s">
        <v>2</v>
      </c>
      <c r="U147" s="65" t="s">
        <v>137</v>
      </c>
      <c r="V147" s="65">
        <v>1</v>
      </c>
      <c r="W147" s="65" t="s">
        <v>47</v>
      </c>
      <c r="X147" s="66" t="s">
        <v>71</v>
      </c>
      <c r="AB147" s="13"/>
    </row>
    <row r="148" spans="2:28" s="1" customFormat="1" ht="18" customHeight="1" x14ac:dyDescent="0.35">
      <c r="B148" s="13"/>
      <c r="C148" s="115"/>
      <c r="D148" s="112"/>
      <c r="E148" s="9" t="s">
        <v>34</v>
      </c>
      <c r="F148" s="9" t="s">
        <v>112</v>
      </c>
      <c r="G148" s="9" t="s">
        <v>116</v>
      </c>
      <c r="H148" s="9">
        <f>700/1000*0.53*50</f>
        <v>18.55</v>
      </c>
      <c r="I148" s="9" t="s">
        <v>12</v>
      </c>
      <c r="J148" s="19" t="s">
        <v>66</v>
      </c>
      <c r="K148" s="9" t="s">
        <v>21</v>
      </c>
      <c r="N148" s="13"/>
      <c r="O148" s="13"/>
      <c r="Q148" s="115"/>
      <c r="R148" s="112"/>
      <c r="S148" s="9" t="s">
        <v>29</v>
      </c>
      <c r="T148" s="9" t="s">
        <v>2</v>
      </c>
      <c r="U148" s="9" t="s">
        <v>129</v>
      </c>
      <c r="V148" s="9">
        <v>0</v>
      </c>
      <c r="W148" s="1" t="s">
        <v>6</v>
      </c>
      <c r="X148" s="1" t="s">
        <v>30</v>
      </c>
      <c r="Y148" s="9" t="s">
        <v>8</v>
      </c>
      <c r="Z148" s="1" t="s">
        <v>69</v>
      </c>
      <c r="AB148" s="13"/>
    </row>
    <row r="149" spans="2:28" s="1" customFormat="1" ht="18" customHeight="1" x14ac:dyDescent="0.35">
      <c r="B149" s="13"/>
      <c r="C149" s="115"/>
      <c r="D149" s="112"/>
      <c r="E149" s="23" t="s">
        <v>63</v>
      </c>
      <c r="F149" s="23" t="s">
        <v>112</v>
      </c>
      <c r="G149" s="49" t="s">
        <v>133</v>
      </c>
      <c r="H149" s="23">
        <v>0.53</v>
      </c>
      <c r="I149" s="23" t="s">
        <v>6</v>
      </c>
      <c r="J149" s="24" t="s">
        <v>68</v>
      </c>
      <c r="K149" s="23" t="s">
        <v>8</v>
      </c>
      <c r="L149" s="1" t="s">
        <v>113</v>
      </c>
      <c r="N149" s="31"/>
      <c r="O149" s="13"/>
      <c r="Q149" s="115"/>
      <c r="R149" s="112"/>
      <c r="S149" s="49" t="s">
        <v>61</v>
      </c>
      <c r="T149" s="9" t="s">
        <v>2</v>
      </c>
      <c r="U149" s="9" t="s">
        <v>126</v>
      </c>
      <c r="V149" s="84">
        <f>500/1000*(1/0.7*0.957)*15.1</f>
        <v>10.321928571428572</v>
      </c>
      <c r="W149" s="9" t="s">
        <v>12</v>
      </c>
      <c r="X149" s="19" t="s">
        <v>66</v>
      </c>
      <c r="Y149" s="9" t="s">
        <v>21</v>
      </c>
      <c r="AB149" s="13"/>
    </row>
    <row r="150" spans="2:28" s="1" customFormat="1" ht="18" customHeight="1" x14ac:dyDescent="0.35">
      <c r="B150" s="13"/>
      <c r="C150" s="115"/>
      <c r="D150" s="112"/>
      <c r="E150" s="9" t="s">
        <v>35</v>
      </c>
      <c r="F150" s="9" t="s">
        <v>112</v>
      </c>
      <c r="G150" s="9" t="s">
        <v>116</v>
      </c>
      <c r="H150" s="9">
        <f>700/1000*0.47*50</f>
        <v>16.45</v>
      </c>
      <c r="I150" s="9" t="s">
        <v>12</v>
      </c>
      <c r="J150" s="19" t="s">
        <v>66</v>
      </c>
      <c r="K150" s="9" t="s">
        <v>21</v>
      </c>
      <c r="N150" s="31"/>
      <c r="O150" s="13"/>
      <c r="Q150" s="115"/>
      <c r="R150" s="112"/>
      <c r="S150" s="23" t="s">
        <v>54</v>
      </c>
      <c r="T150" s="23" t="s">
        <v>2</v>
      </c>
      <c r="U150" s="23" t="s">
        <v>131</v>
      </c>
      <c r="V150" s="80">
        <v>1</v>
      </c>
      <c r="W150" s="23" t="s">
        <v>6</v>
      </c>
      <c r="X150" s="24" t="s">
        <v>75</v>
      </c>
      <c r="Y150" s="9" t="s">
        <v>8</v>
      </c>
      <c r="Z150" s="1" t="s">
        <v>113</v>
      </c>
      <c r="AB150" s="13"/>
    </row>
    <row r="151" spans="2:28" s="1" customFormat="1" ht="18" x14ac:dyDescent="0.35">
      <c r="B151" s="13"/>
      <c r="C151" s="115"/>
      <c r="D151" s="112"/>
      <c r="E151" s="9" t="s">
        <v>35</v>
      </c>
      <c r="F151" s="9" t="s">
        <v>112</v>
      </c>
      <c r="G151" s="9" t="s">
        <v>117</v>
      </c>
      <c r="H151" s="9">
        <v>0.47</v>
      </c>
      <c r="I151" s="9" t="s">
        <v>6</v>
      </c>
      <c r="J151" s="19" t="s">
        <v>68</v>
      </c>
      <c r="K151" s="9" t="s">
        <v>8</v>
      </c>
      <c r="L151" s="1" t="s">
        <v>113</v>
      </c>
      <c r="N151" s="31"/>
      <c r="O151" s="13"/>
      <c r="Q151" s="115"/>
      <c r="R151" s="112"/>
      <c r="S151" s="25" t="s">
        <v>32</v>
      </c>
      <c r="T151" s="9" t="s">
        <v>2</v>
      </c>
      <c r="U151" s="9" t="s">
        <v>11</v>
      </c>
      <c r="V151" s="9">
        <f>700/1000*35</f>
        <v>24.5</v>
      </c>
      <c r="W151" s="9" t="s">
        <v>12</v>
      </c>
      <c r="X151" s="19" t="s">
        <v>66</v>
      </c>
      <c r="Y151" s="9" t="s">
        <v>21</v>
      </c>
      <c r="AB151" s="13"/>
    </row>
    <row r="152" spans="2:28" s="1" customFormat="1" ht="18" x14ac:dyDescent="0.35">
      <c r="B152" s="13"/>
      <c r="C152" s="115"/>
      <c r="D152" s="112"/>
      <c r="E152" s="9" t="s">
        <v>35</v>
      </c>
      <c r="F152" s="9" t="s">
        <v>112</v>
      </c>
      <c r="G152" s="9" t="s">
        <v>118</v>
      </c>
      <c r="H152" s="9">
        <f>700/1000*0.47*32</f>
        <v>10.527999999999999</v>
      </c>
      <c r="I152" s="9" t="s">
        <v>12</v>
      </c>
      <c r="J152" s="19" t="s">
        <v>66</v>
      </c>
      <c r="K152" s="9" t="s">
        <v>21</v>
      </c>
      <c r="N152" s="13"/>
      <c r="O152" s="13"/>
      <c r="Q152" s="115"/>
      <c r="R152" s="112"/>
      <c r="S152" s="9" t="s">
        <v>33</v>
      </c>
      <c r="T152" s="9" t="s">
        <v>112</v>
      </c>
      <c r="U152" s="9" t="s">
        <v>115</v>
      </c>
      <c r="V152" s="9">
        <v>179</v>
      </c>
      <c r="W152" s="9" t="s">
        <v>13</v>
      </c>
      <c r="X152" s="19" t="s">
        <v>14</v>
      </c>
      <c r="Y152" s="9" t="s">
        <v>65</v>
      </c>
      <c r="AB152" s="13"/>
    </row>
    <row r="153" spans="2:28" s="1" customFormat="1" ht="18" x14ac:dyDescent="0.35">
      <c r="B153" s="13"/>
      <c r="C153" s="124"/>
      <c r="D153" s="123"/>
      <c r="E153" s="21" t="s">
        <v>35</v>
      </c>
      <c r="F153" s="21" t="s">
        <v>112</v>
      </c>
      <c r="G153" s="109" t="s">
        <v>119</v>
      </c>
      <c r="H153" s="63">
        <f>700*0.47</f>
        <v>329</v>
      </c>
      <c r="I153" s="21" t="s">
        <v>19</v>
      </c>
      <c r="J153" s="22" t="s">
        <v>20</v>
      </c>
      <c r="K153" s="42" t="s">
        <v>21</v>
      </c>
      <c r="L153" s="22"/>
      <c r="M153" s="22"/>
      <c r="N153" s="13"/>
      <c r="O153" s="13"/>
      <c r="Q153" s="115"/>
      <c r="R153" s="112"/>
      <c r="S153" s="9" t="s">
        <v>34</v>
      </c>
      <c r="T153" s="9" t="s">
        <v>112</v>
      </c>
      <c r="U153" s="9" t="s">
        <v>116</v>
      </c>
      <c r="V153" s="9">
        <f>700/1000*0.9*50</f>
        <v>31.5</v>
      </c>
      <c r="W153" s="9" t="s">
        <v>12</v>
      </c>
      <c r="X153" s="19" t="s">
        <v>66</v>
      </c>
      <c r="Y153" s="9" t="s">
        <v>21</v>
      </c>
      <c r="AB153" s="13"/>
    </row>
    <row r="154" spans="2:28" s="1" customFormat="1" ht="18" customHeight="1" x14ac:dyDescent="0.35">
      <c r="B154" s="13"/>
      <c r="C154" s="126" t="s">
        <v>110</v>
      </c>
      <c r="D154" s="125">
        <v>4</v>
      </c>
      <c r="E154" s="65" t="s">
        <v>49</v>
      </c>
      <c r="F154" s="65" t="s">
        <v>2</v>
      </c>
      <c r="G154" s="65" t="s">
        <v>137</v>
      </c>
      <c r="H154" s="65">
        <v>0</v>
      </c>
      <c r="I154" s="65" t="s">
        <v>47</v>
      </c>
      <c r="J154" s="66" t="s">
        <v>72</v>
      </c>
      <c r="K154" s="9"/>
      <c r="N154" s="13"/>
      <c r="O154" s="13"/>
      <c r="Q154" s="115"/>
      <c r="R154" s="112"/>
      <c r="S154" s="23" t="s">
        <v>63</v>
      </c>
      <c r="T154" s="23" t="s">
        <v>112</v>
      </c>
      <c r="U154" s="49" t="s">
        <v>133</v>
      </c>
      <c r="V154" s="23">
        <v>0.9</v>
      </c>
      <c r="W154" s="23" t="s">
        <v>6</v>
      </c>
      <c r="X154" s="24" t="s">
        <v>68</v>
      </c>
      <c r="Y154" s="23" t="s">
        <v>8</v>
      </c>
      <c r="Z154" s="1" t="s">
        <v>113</v>
      </c>
      <c r="AB154" s="13"/>
    </row>
    <row r="155" spans="2:28" s="1" customFormat="1" ht="18" customHeight="1" x14ac:dyDescent="0.35">
      <c r="B155" s="13"/>
      <c r="C155" s="115"/>
      <c r="D155" s="112"/>
      <c r="E155" s="9" t="s">
        <v>36</v>
      </c>
      <c r="F155" s="9" t="s">
        <v>2</v>
      </c>
      <c r="G155" s="9" t="s">
        <v>132</v>
      </c>
      <c r="H155" s="9">
        <v>1</v>
      </c>
      <c r="I155" s="1" t="s">
        <v>6</v>
      </c>
      <c r="J155" s="1" t="s">
        <v>37</v>
      </c>
      <c r="K155" s="9" t="s">
        <v>8</v>
      </c>
      <c r="L155" s="1" t="s">
        <v>113</v>
      </c>
      <c r="N155" s="13"/>
      <c r="O155" s="13"/>
      <c r="Q155" s="115"/>
      <c r="R155" s="112"/>
      <c r="S155" s="9" t="s">
        <v>35</v>
      </c>
      <c r="T155" s="9" t="s">
        <v>112</v>
      </c>
      <c r="U155" s="9" t="s">
        <v>116</v>
      </c>
      <c r="V155" s="9">
        <f>700/1000*0.1*50</f>
        <v>3.4999999999999996</v>
      </c>
      <c r="W155" s="9" t="s">
        <v>12</v>
      </c>
      <c r="X155" s="19" t="s">
        <v>66</v>
      </c>
      <c r="Y155" s="9" t="s">
        <v>21</v>
      </c>
      <c r="AB155" s="13"/>
    </row>
    <row r="156" spans="2:28" s="1" customFormat="1" ht="18" x14ac:dyDescent="0.35">
      <c r="B156" s="13"/>
      <c r="C156" s="115"/>
      <c r="D156" s="112"/>
      <c r="E156" s="9" t="s">
        <v>38</v>
      </c>
      <c r="F156" s="9" t="s">
        <v>2</v>
      </c>
      <c r="G156" s="9" t="s">
        <v>11</v>
      </c>
      <c r="H156" s="9">
        <f>700/1000*30</f>
        <v>21</v>
      </c>
      <c r="I156" s="9" t="s">
        <v>12</v>
      </c>
      <c r="J156" s="19" t="s">
        <v>66</v>
      </c>
      <c r="K156" s="9" t="s">
        <v>21</v>
      </c>
      <c r="N156" s="13"/>
      <c r="O156" s="13"/>
      <c r="Q156" s="115"/>
      <c r="R156" s="112"/>
      <c r="S156" s="9" t="s">
        <v>35</v>
      </c>
      <c r="T156" s="9" t="s">
        <v>112</v>
      </c>
      <c r="U156" s="9" t="s">
        <v>117</v>
      </c>
      <c r="V156" s="9">
        <f>0.1</f>
        <v>0.1</v>
      </c>
      <c r="W156" s="9" t="s">
        <v>6</v>
      </c>
      <c r="X156" s="19" t="s">
        <v>68</v>
      </c>
      <c r="Y156" s="9" t="s">
        <v>8</v>
      </c>
      <c r="AB156" s="13"/>
    </row>
    <row r="157" spans="2:28" s="1" customFormat="1" ht="18" x14ac:dyDescent="0.35">
      <c r="B157" s="13"/>
      <c r="C157" s="115"/>
      <c r="D157" s="112"/>
      <c r="E157" s="9" t="s">
        <v>39</v>
      </c>
      <c r="F157" s="9" t="s">
        <v>112</v>
      </c>
      <c r="G157" s="9" t="s">
        <v>115</v>
      </c>
      <c r="H157" s="9">
        <v>25.13</v>
      </c>
      <c r="I157" s="9" t="s">
        <v>13</v>
      </c>
      <c r="J157" s="19" t="s">
        <v>14</v>
      </c>
      <c r="K157" s="9" t="s">
        <v>65</v>
      </c>
      <c r="N157" s="13"/>
      <c r="O157" s="13"/>
      <c r="Q157" s="115"/>
      <c r="R157" s="112"/>
      <c r="S157" s="9" t="s">
        <v>35</v>
      </c>
      <c r="T157" s="9" t="s">
        <v>112</v>
      </c>
      <c r="U157" s="9" t="s">
        <v>118</v>
      </c>
      <c r="V157" s="9">
        <f>700/1000*0.1*32</f>
        <v>2.2399999999999998</v>
      </c>
      <c r="W157" s="9" t="s">
        <v>12</v>
      </c>
      <c r="X157" s="19" t="s">
        <v>66</v>
      </c>
      <c r="Y157" s="9" t="s">
        <v>21</v>
      </c>
      <c r="AB157" s="13"/>
    </row>
    <row r="158" spans="2:28" s="1" customFormat="1" ht="15.75" customHeight="1" x14ac:dyDescent="0.35">
      <c r="B158" s="13"/>
      <c r="C158" s="115"/>
      <c r="D158" s="112"/>
      <c r="E158" s="9" t="s">
        <v>40</v>
      </c>
      <c r="F158" s="9" t="s">
        <v>112</v>
      </c>
      <c r="G158" s="9" t="s">
        <v>67</v>
      </c>
      <c r="H158" s="9">
        <f>700/1000*0.53*50</f>
        <v>18.55</v>
      </c>
      <c r="I158" s="9" t="s">
        <v>12</v>
      </c>
      <c r="J158" s="19" t="s">
        <v>66</v>
      </c>
      <c r="K158" s="9" t="s">
        <v>21</v>
      </c>
      <c r="N158" s="13"/>
      <c r="O158" s="13"/>
      <c r="Q158" s="116"/>
      <c r="R158" s="113"/>
      <c r="S158" s="21" t="s">
        <v>35</v>
      </c>
      <c r="T158" s="21" t="s">
        <v>112</v>
      </c>
      <c r="U158" s="109" t="s">
        <v>119</v>
      </c>
      <c r="V158" s="21">
        <f>700*0.1</f>
        <v>70</v>
      </c>
      <c r="W158" s="21" t="s">
        <v>19</v>
      </c>
      <c r="X158" s="22" t="s">
        <v>20</v>
      </c>
      <c r="Y158" s="60" t="s">
        <v>21</v>
      </c>
      <c r="Z158" s="22"/>
      <c r="AA158" s="22"/>
      <c r="AB158" s="13"/>
    </row>
    <row r="159" spans="2:28" s="1" customFormat="1" ht="18" customHeight="1" x14ac:dyDescent="0.35">
      <c r="B159" s="13"/>
      <c r="C159" s="115"/>
      <c r="D159" s="112"/>
      <c r="E159" s="23" t="s">
        <v>64</v>
      </c>
      <c r="F159" s="23" t="s">
        <v>112</v>
      </c>
      <c r="G159" s="49" t="s">
        <v>135</v>
      </c>
      <c r="H159" s="23">
        <v>0.53</v>
      </c>
      <c r="I159" s="23" t="s">
        <v>6</v>
      </c>
      <c r="J159" s="24" t="s">
        <v>68</v>
      </c>
      <c r="K159" s="23" t="s">
        <v>8</v>
      </c>
      <c r="L159" s="1" t="s">
        <v>113</v>
      </c>
      <c r="N159" s="13"/>
      <c r="O159" s="13"/>
      <c r="Q159" s="118" t="s">
        <v>110</v>
      </c>
      <c r="R159" s="117">
        <v>4</v>
      </c>
      <c r="S159" s="65" t="s">
        <v>49</v>
      </c>
      <c r="T159" s="65" t="s">
        <v>2</v>
      </c>
      <c r="U159" s="65" t="s">
        <v>137</v>
      </c>
      <c r="V159" s="65">
        <v>1</v>
      </c>
      <c r="W159" s="65" t="s">
        <v>47</v>
      </c>
      <c r="X159" s="66" t="s">
        <v>72</v>
      </c>
      <c r="AB159" s="13"/>
    </row>
    <row r="160" spans="2:28" s="1" customFormat="1" ht="18" x14ac:dyDescent="0.35">
      <c r="B160" s="13"/>
      <c r="C160" s="115"/>
      <c r="D160" s="112"/>
      <c r="E160" s="9" t="s">
        <v>41</v>
      </c>
      <c r="F160" s="9" t="s">
        <v>112</v>
      </c>
      <c r="G160" s="9" t="s">
        <v>67</v>
      </c>
      <c r="H160" s="9">
        <f>700/1000*0.47*50</f>
        <v>16.45</v>
      </c>
      <c r="I160" s="9" t="s">
        <v>12</v>
      </c>
      <c r="J160" s="19" t="s">
        <v>66</v>
      </c>
      <c r="K160" s="9" t="s">
        <v>21</v>
      </c>
      <c r="N160" s="13"/>
      <c r="O160" s="13"/>
      <c r="Q160" s="115"/>
      <c r="R160" s="112"/>
      <c r="S160" s="9" t="s">
        <v>36</v>
      </c>
      <c r="T160" s="9" t="s">
        <v>2</v>
      </c>
      <c r="U160" s="9" t="s">
        <v>132</v>
      </c>
      <c r="V160" s="9">
        <v>0</v>
      </c>
      <c r="W160" s="1" t="s">
        <v>6</v>
      </c>
      <c r="X160" s="1" t="s">
        <v>37</v>
      </c>
      <c r="Y160" s="9" t="s">
        <v>8</v>
      </c>
      <c r="Z160" s="1" t="s">
        <v>113</v>
      </c>
      <c r="AB160" s="13"/>
    </row>
    <row r="161" spans="2:66" s="1" customFormat="1" ht="18" x14ac:dyDescent="0.35">
      <c r="B161" s="13"/>
      <c r="C161" s="115"/>
      <c r="D161" s="112"/>
      <c r="E161" s="9" t="s">
        <v>41</v>
      </c>
      <c r="F161" s="9" t="s">
        <v>112</v>
      </c>
      <c r="G161" s="9" t="s">
        <v>117</v>
      </c>
      <c r="H161" s="9">
        <v>0.47</v>
      </c>
      <c r="I161" s="9" t="s">
        <v>6</v>
      </c>
      <c r="J161" s="19" t="s">
        <v>68</v>
      </c>
      <c r="K161" s="9" t="s">
        <v>8</v>
      </c>
      <c r="L161" s="1" t="s">
        <v>113</v>
      </c>
      <c r="N161" s="13"/>
      <c r="O161" s="13"/>
      <c r="Q161" s="115"/>
      <c r="R161" s="112"/>
      <c r="S161" s="49" t="s">
        <v>62</v>
      </c>
      <c r="T161" s="9" t="s">
        <v>2</v>
      </c>
      <c r="U161" s="9" t="s">
        <v>126</v>
      </c>
      <c r="V161" s="84">
        <f>558/700*1/0.88*700/1000*278</f>
        <v>176.27727272727273</v>
      </c>
      <c r="W161" s="9" t="s">
        <v>12</v>
      </c>
      <c r="X161" s="19" t="s">
        <v>66</v>
      </c>
      <c r="Y161" s="9" t="s">
        <v>21</v>
      </c>
      <c r="AB161" s="13"/>
    </row>
    <row r="162" spans="2:66" s="1" customFormat="1" ht="18" x14ac:dyDescent="0.35">
      <c r="B162" s="13"/>
      <c r="C162" s="115"/>
      <c r="D162" s="112"/>
      <c r="E162" s="9" t="s">
        <v>41</v>
      </c>
      <c r="F162" s="9" t="s">
        <v>112</v>
      </c>
      <c r="G162" s="9" t="s">
        <v>118</v>
      </c>
      <c r="H162" s="9">
        <f>700/1000*0.47*32</f>
        <v>10.527999999999999</v>
      </c>
      <c r="I162" s="9" t="s">
        <v>12</v>
      </c>
      <c r="J162" s="19" t="s">
        <v>66</v>
      </c>
      <c r="K162" s="9" t="s">
        <v>21</v>
      </c>
      <c r="N162" s="13"/>
      <c r="O162" s="13"/>
      <c r="Q162" s="115"/>
      <c r="R162" s="112"/>
      <c r="S162" s="23" t="s">
        <v>55</v>
      </c>
      <c r="T162" s="23" t="s">
        <v>2</v>
      </c>
      <c r="U162" s="23" t="s">
        <v>134</v>
      </c>
      <c r="V162" s="80">
        <v>1</v>
      </c>
      <c r="W162" s="23" t="s">
        <v>6</v>
      </c>
      <c r="X162" s="24" t="s">
        <v>77</v>
      </c>
      <c r="Y162" s="9" t="s">
        <v>8</v>
      </c>
      <c r="Z162" s="1" t="s">
        <v>113</v>
      </c>
      <c r="AB162" s="13"/>
    </row>
    <row r="163" spans="2:66" s="1" customFormat="1" ht="18" x14ac:dyDescent="0.35">
      <c r="B163" s="13"/>
      <c r="C163" s="124"/>
      <c r="D163" s="123"/>
      <c r="E163" s="21" t="s">
        <v>41</v>
      </c>
      <c r="F163" s="21" t="s">
        <v>112</v>
      </c>
      <c r="G163" s="109" t="s">
        <v>119</v>
      </c>
      <c r="H163" s="63">
        <f>700*0.47</f>
        <v>329</v>
      </c>
      <c r="I163" s="21" t="s">
        <v>19</v>
      </c>
      <c r="J163" s="22" t="s">
        <v>20</v>
      </c>
      <c r="K163" s="42" t="s">
        <v>21</v>
      </c>
      <c r="L163" s="22"/>
      <c r="M163" s="22"/>
      <c r="N163" s="13"/>
      <c r="O163" s="13"/>
      <c r="Q163" s="115"/>
      <c r="R163" s="112"/>
      <c r="S163" s="25" t="s">
        <v>38</v>
      </c>
      <c r="T163" s="9" t="s">
        <v>2</v>
      </c>
      <c r="U163" s="9" t="s">
        <v>11</v>
      </c>
      <c r="V163" s="9">
        <f>1*700/1000*248</f>
        <v>173.6</v>
      </c>
      <c r="W163" s="9" t="s">
        <v>12</v>
      </c>
      <c r="X163" s="19" t="s">
        <v>66</v>
      </c>
      <c r="Y163" s="9" t="s">
        <v>21</v>
      </c>
      <c r="AB163" s="13"/>
    </row>
    <row r="164" spans="2:66" s="1" customFormat="1" ht="18" customHeight="1" x14ac:dyDescent="0.35">
      <c r="B164" s="13"/>
      <c r="C164" s="120" t="s">
        <v>111</v>
      </c>
      <c r="D164" s="125">
        <v>5</v>
      </c>
      <c r="E164" s="65" t="s">
        <v>50</v>
      </c>
      <c r="F164" s="65" t="s">
        <v>2</v>
      </c>
      <c r="G164" s="65" t="s">
        <v>137</v>
      </c>
      <c r="H164" s="65">
        <v>0</v>
      </c>
      <c r="I164" s="65" t="s">
        <v>47</v>
      </c>
      <c r="J164" s="66" t="s">
        <v>73</v>
      </c>
      <c r="N164" s="52"/>
      <c r="O164" s="52"/>
      <c r="P164" s="52"/>
      <c r="Q164" s="115"/>
      <c r="R164" s="112"/>
      <c r="S164" s="9" t="s">
        <v>39</v>
      </c>
      <c r="T164" s="9" t="s">
        <v>112</v>
      </c>
      <c r="U164" s="9" t="s">
        <v>115</v>
      </c>
      <c r="V164" s="9">
        <v>179</v>
      </c>
      <c r="W164" s="9" t="s">
        <v>13</v>
      </c>
      <c r="X164" s="19" t="s">
        <v>14</v>
      </c>
      <c r="Y164" s="9" t="s">
        <v>65</v>
      </c>
      <c r="AB164" s="13"/>
    </row>
    <row r="165" spans="2:66" s="1" customFormat="1" ht="18" x14ac:dyDescent="0.35">
      <c r="B165" s="13"/>
      <c r="C165" s="121"/>
      <c r="D165" s="112"/>
      <c r="E165" s="9" t="s">
        <v>42</v>
      </c>
      <c r="F165" s="9" t="s">
        <v>2</v>
      </c>
      <c r="G165" s="9" t="s">
        <v>11</v>
      </c>
      <c r="H165" s="85">
        <f>0.8414/1000*140</f>
        <v>0.11779600000000001</v>
      </c>
      <c r="I165" s="9" t="s">
        <v>12</v>
      </c>
      <c r="J165" s="19" t="s">
        <v>66</v>
      </c>
      <c r="K165" s="9" t="s">
        <v>21</v>
      </c>
      <c r="N165" s="3"/>
      <c r="O165" s="3"/>
      <c r="P165" s="3"/>
      <c r="Q165" s="115"/>
      <c r="R165" s="112"/>
      <c r="S165" s="9" t="s">
        <v>40</v>
      </c>
      <c r="T165" s="9" t="s">
        <v>112</v>
      </c>
      <c r="U165" s="9" t="s">
        <v>116</v>
      </c>
      <c r="V165" s="9">
        <f>700/1000*1*50</f>
        <v>35</v>
      </c>
      <c r="W165" s="9" t="s">
        <v>12</v>
      </c>
      <c r="X165" s="19" t="s">
        <v>66</v>
      </c>
      <c r="Y165" s="9" t="s">
        <v>21</v>
      </c>
      <c r="AB165" s="13"/>
    </row>
    <row r="166" spans="2:66" s="1" customFormat="1" ht="18.75" thickBot="1" x14ac:dyDescent="0.4">
      <c r="B166" s="13"/>
      <c r="C166" s="122"/>
      <c r="D166" s="119"/>
      <c r="E166" s="12" t="s">
        <v>42</v>
      </c>
      <c r="F166" s="12" t="s">
        <v>2</v>
      </c>
      <c r="G166" s="12" t="s">
        <v>43</v>
      </c>
      <c r="H166" s="72">
        <v>1</v>
      </c>
      <c r="I166" s="12" t="s">
        <v>13</v>
      </c>
      <c r="J166" s="2" t="s">
        <v>44</v>
      </c>
      <c r="K166" s="43" t="s">
        <v>8</v>
      </c>
      <c r="L166" s="2" t="s">
        <v>9</v>
      </c>
      <c r="M166" s="2"/>
      <c r="N166" s="3"/>
      <c r="O166" s="3"/>
      <c r="P166" s="3"/>
      <c r="Q166" s="115"/>
      <c r="R166" s="112"/>
      <c r="S166" s="23" t="s">
        <v>64</v>
      </c>
      <c r="T166" s="23" t="s">
        <v>112</v>
      </c>
      <c r="U166" s="49" t="s">
        <v>135</v>
      </c>
      <c r="V166" s="23">
        <v>1</v>
      </c>
      <c r="W166" s="23" t="s">
        <v>6</v>
      </c>
      <c r="X166" s="24" t="s">
        <v>68</v>
      </c>
      <c r="Y166" s="23" t="s">
        <v>8</v>
      </c>
      <c r="Z166" s="1" t="s">
        <v>113</v>
      </c>
      <c r="AB166" s="13"/>
    </row>
    <row r="167" spans="2:66" s="1" customFormat="1" ht="18" x14ac:dyDescent="0.35">
      <c r="B167" s="13"/>
      <c r="N167" s="3"/>
      <c r="O167" s="3"/>
      <c r="P167" s="3"/>
      <c r="Q167" s="115"/>
      <c r="R167" s="112"/>
      <c r="S167" s="9" t="s">
        <v>41</v>
      </c>
      <c r="T167" s="9" t="s">
        <v>112</v>
      </c>
      <c r="U167" s="9" t="s">
        <v>116</v>
      </c>
      <c r="V167" s="9">
        <v>0</v>
      </c>
      <c r="W167" s="9" t="s">
        <v>12</v>
      </c>
      <c r="X167" s="19" t="s">
        <v>66</v>
      </c>
      <c r="Y167" s="9" t="s">
        <v>21</v>
      </c>
      <c r="AB167" s="13"/>
    </row>
    <row r="168" spans="2:66" s="1" customFormat="1" ht="18" x14ac:dyDescent="0.35">
      <c r="B168" s="13"/>
      <c r="N168" s="3"/>
      <c r="O168" s="3"/>
      <c r="P168" s="3"/>
      <c r="Q168" s="115"/>
      <c r="R168" s="112"/>
      <c r="S168" s="9" t="s">
        <v>41</v>
      </c>
      <c r="T168" s="9" t="s">
        <v>112</v>
      </c>
      <c r="U168" s="9" t="s">
        <v>117</v>
      </c>
      <c r="V168" s="9">
        <v>0</v>
      </c>
      <c r="W168" s="9" t="s">
        <v>6</v>
      </c>
      <c r="X168" s="19" t="s">
        <v>68</v>
      </c>
      <c r="Y168" s="9" t="s">
        <v>8</v>
      </c>
      <c r="AB168" s="13"/>
    </row>
    <row r="169" spans="2:66" s="1" customFormat="1" ht="15.75" customHeight="1" x14ac:dyDescent="0.35">
      <c r="B169" s="13"/>
      <c r="N169" s="3"/>
      <c r="O169" s="3"/>
      <c r="P169" s="3"/>
      <c r="Q169" s="115"/>
      <c r="R169" s="112"/>
      <c r="S169" s="9" t="s">
        <v>41</v>
      </c>
      <c r="T169" s="9" t="s">
        <v>112</v>
      </c>
      <c r="U169" s="9" t="s">
        <v>118</v>
      </c>
      <c r="V169" s="9">
        <v>0</v>
      </c>
      <c r="W169" s="9" t="s">
        <v>12</v>
      </c>
      <c r="X169" s="19" t="s">
        <v>66</v>
      </c>
      <c r="Y169" s="9" t="s">
        <v>21</v>
      </c>
      <c r="AB169" s="13"/>
    </row>
    <row r="170" spans="2:66" ht="18" x14ac:dyDescent="0.35">
      <c r="N170" s="3"/>
      <c r="O170" s="3"/>
      <c r="P170" s="3"/>
      <c r="Q170" s="116"/>
      <c r="R170" s="113"/>
      <c r="S170" s="21" t="s">
        <v>41</v>
      </c>
      <c r="T170" s="21" t="s">
        <v>112</v>
      </c>
      <c r="U170" s="109" t="s">
        <v>119</v>
      </c>
      <c r="V170" s="21">
        <v>0</v>
      </c>
      <c r="W170" s="21" t="s">
        <v>19</v>
      </c>
      <c r="X170" s="22" t="s">
        <v>20</v>
      </c>
      <c r="Y170" s="60" t="s">
        <v>21</v>
      </c>
      <c r="Z170" s="22"/>
      <c r="AA170" s="22"/>
      <c r="AB170" s="13"/>
      <c r="BL170"/>
      <c r="BM170"/>
      <c r="BN170"/>
    </row>
    <row r="171" spans="2:66" s="1" customFormat="1" ht="18" customHeight="1" x14ac:dyDescent="0.35">
      <c r="B171" s="13"/>
      <c r="N171" s="3"/>
      <c r="O171" s="3"/>
      <c r="P171" s="3"/>
      <c r="Q171" s="120" t="s">
        <v>111</v>
      </c>
      <c r="R171" s="117">
        <v>5</v>
      </c>
      <c r="S171" s="65" t="s">
        <v>50</v>
      </c>
      <c r="T171" s="65" t="s">
        <v>2</v>
      </c>
      <c r="U171" s="65" t="s">
        <v>137</v>
      </c>
      <c r="V171" s="65">
        <v>1</v>
      </c>
      <c r="W171" s="65" t="s">
        <v>47</v>
      </c>
      <c r="X171" s="66" t="s">
        <v>73</v>
      </c>
      <c r="AB171" s="13"/>
    </row>
    <row r="172" spans="2:66" s="1" customFormat="1" ht="18" x14ac:dyDescent="0.35">
      <c r="B172" s="13"/>
      <c r="N172" s="3"/>
      <c r="O172" s="3"/>
      <c r="P172" s="3"/>
      <c r="Q172" s="121"/>
      <c r="R172" s="112"/>
      <c r="S172" s="9" t="s">
        <v>56</v>
      </c>
      <c r="T172" s="9" t="s">
        <v>2</v>
      </c>
      <c r="U172" s="9" t="s">
        <v>11</v>
      </c>
      <c r="V172" s="84">
        <f>0.8414/1000*172</f>
        <v>0.14472080000000001</v>
      </c>
      <c r="W172" s="9" t="s">
        <v>12</v>
      </c>
      <c r="X172" s="19" t="s">
        <v>66</v>
      </c>
      <c r="Y172" s="9" t="s">
        <v>21</v>
      </c>
      <c r="AB172" s="13"/>
    </row>
    <row r="173" spans="2:66" ht="18.75" thickBot="1" x14ac:dyDescent="0.4">
      <c r="N173" s="31"/>
      <c r="O173" s="31"/>
      <c r="P173" s="3"/>
      <c r="Q173" s="122"/>
      <c r="R173" s="119"/>
      <c r="S173" s="12" t="s">
        <v>56</v>
      </c>
      <c r="T173" s="12" t="s">
        <v>2</v>
      </c>
      <c r="U173" s="12" t="s">
        <v>43</v>
      </c>
      <c r="V173" s="12">
        <v>1</v>
      </c>
      <c r="W173" s="76" t="s">
        <v>15</v>
      </c>
      <c r="X173" s="67" t="s">
        <v>44</v>
      </c>
      <c r="Y173" s="76" t="s">
        <v>8</v>
      </c>
      <c r="Z173" s="2" t="s">
        <v>78</v>
      </c>
      <c r="AA173" s="2"/>
      <c r="AB173" s="13"/>
    </row>
    <row r="174" spans="2:66" s="1" customFormat="1" ht="15.75" thickBot="1" x14ac:dyDescent="0.3">
      <c r="B174" s="13"/>
      <c r="N174" s="31"/>
      <c r="O174" s="31"/>
      <c r="P174" s="3"/>
      <c r="AB174" s="13"/>
    </row>
    <row r="175" spans="2:66" s="1" customFormat="1" ht="15.75" thickBot="1" x14ac:dyDescent="0.3">
      <c r="B175" s="13"/>
      <c r="C175" s="131" t="s">
        <v>141</v>
      </c>
      <c r="D175" s="132"/>
      <c r="E175" s="132"/>
      <c r="F175" s="132"/>
      <c r="G175" s="132"/>
      <c r="H175" s="132"/>
      <c r="I175" s="132"/>
      <c r="J175" s="132"/>
      <c r="K175" s="132"/>
      <c r="L175" s="132"/>
      <c r="M175" s="132"/>
      <c r="N175" s="132"/>
      <c r="O175" s="132"/>
      <c r="P175" s="132"/>
      <c r="Q175" s="132"/>
      <c r="R175" s="132"/>
      <c r="S175" s="132"/>
      <c r="T175" s="132"/>
      <c r="U175" s="132"/>
      <c r="V175" s="132"/>
      <c r="W175" s="132"/>
      <c r="X175" s="132"/>
      <c r="Y175" s="132"/>
      <c r="Z175" s="132"/>
      <c r="AA175" s="133"/>
      <c r="AB175" s="13"/>
    </row>
    <row r="176" spans="2:66" ht="15.75" thickBot="1" x14ac:dyDescent="0.3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1"/>
      <c r="O176" s="31"/>
      <c r="P176" s="3"/>
      <c r="Q176" s="52"/>
      <c r="R176" s="52"/>
      <c r="S176" s="52"/>
      <c r="T176" s="52"/>
      <c r="U176" s="52"/>
      <c r="V176" s="52"/>
      <c r="W176" s="52"/>
      <c r="X176" s="52"/>
      <c r="Y176" s="52"/>
      <c r="Z176" s="52"/>
      <c r="AA176" s="52"/>
      <c r="AB176" s="13"/>
    </row>
    <row r="177" spans="2:28" s="1" customFormat="1" ht="15.75" thickBot="1" x14ac:dyDescent="0.3">
      <c r="B177" s="13"/>
      <c r="D177" s="13"/>
      <c r="F177" s="13"/>
      <c r="H177" s="13"/>
      <c r="J177" s="13"/>
      <c r="L177" s="13"/>
      <c r="N177" s="31"/>
      <c r="O177" s="31"/>
      <c r="P177" s="3"/>
      <c r="Q177" s="129" t="s">
        <v>142</v>
      </c>
      <c r="R177" s="129"/>
      <c r="S177" s="129"/>
      <c r="T177" s="129"/>
      <c r="U177" s="129"/>
      <c r="V177" s="129"/>
      <c r="W177" s="129"/>
      <c r="X177" s="129"/>
      <c r="Y177" s="129"/>
      <c r="Z177" s="129"/>
      <c r="AA177" s="129"/>
      <c r="AB177" s="13"/>
    </row>
    <row r="178" spans="2:28" s="1" customFormat="1" x14ac:dyDescent="0.25">
      <c r="B178" s="13"/>
      <c r="D178" s="13"/>
      <c r="F178" s="13"/>
      <c r="H178" s="13"/>
      <c r="J178" s="13"/>
      <c r="L178" s="13"/>
      <c r="N178" s="31"/>
      <c r="O178" s="31"/>
      <c r="P178" s="3"/>
      <c r="Q178" s="91"/>
      <c r="R178" s="91"/>
      <c r="S178" s="91"/>
      <c r="T178" s="91"/>
      <c r="U178" s="91"/>
      <c r="V178" s="91"/>
      <c r="W178" s="91"/>
      <c r="X178" s="91"/>
      <c r="Y178" s="91"/>
      <c r="Z178" s="91"/>
      <c r="AA178" s="91"/>
      <c r="AB178" s="13"/>
    </row>
    <row r="179" spans="2:28" s="1" customFormat="1" ht="15.75" thickBot="1" x14ac:dyDescent="0.3">
      <c r="B179" s="13"/>
      <c r="D179" s="13"/>
      <c r="F179" s="13"/>
      <c r="H179" s="13"/>
      <c r="J179" s="13"/>
      <c r="L179" s="13"/>
      <c r="N179" s="31"/>
      <c r="O179" s="31"/>
      <c r="P179" s="3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/>
      <c r="AB179" s="13"/>
    </row>
    <row r="180" spans="2:28" s="1" customFormat="1" ht="34.5" customHeight="1" thickBot="1" x14ac:dyDescent="0.3">
      <c r="B180" s="13"/>
      <c r="D180" s="13"/>
      <c r="F180" s="13"/>
      <c r="H180" s="13"/>
      <c r="J180" s="13"/>
      <c r="L180" s="13"/>
      <c r="N180" s="31"/>
      <c r="O180" s="31"/>
      <c r="P180" s="3"/>
      <c r="Q180" s="107" t="s">
        <v>99</v>
      </c>
      <c r="R180" s="136" t="s">
        <v>100</v>
      </c>
      <c r="S180" s="136"/>
      <c r="T180" s="110" t="s">
        <v>102</v>
      </c>
      <c r="U180" s="110" t="s">
        <v>103</v>
      </c>
      <c r="V180" s="110" t="s">
        <v>104</v>
      </c>
      <c r="W180" s="110" t="s">
        <v>105</v>
      </c>
      <c r="X180" s="110" t="s">
        <v>106</v>
      </c>
      <c r="Y180" s="17" t="s">
        <v>3</v>
      </c>
      <c r="Z180" s="128" t="s">
        <v>4</v>
      </c>
      <c r="AA180" s="128"/>
      <c r="AB180" s="13"/>
    </row>
    <row r="181" spans="2:28" s="1" customFormat="1" ht="15" customHeight="1" x14ac:dyDescent="0.25">
      <c r="B181" s="13"/>
      <c r="D181" s="13"/>
      <c r="F181" s="13"/>
      <c r="H181" s="13"/>
      <c r="J181" s="13"/>
      <c r="L181" s="13"/>
      <c r="N181" s="31"/>
      <c r="O181" s="31"/>
      <c r="P181" s="3"/>
      <c r="Q181" s="114" t="s">
        <v>107</v>
      </c>
      <c r="R181" s="111">
        <v>1</v>
      </c>
      <c r="S181" s="111"/>
      <c r="T181" s="86" t="s">
        <v>80</v>
      </c>
      <c r="U181" s="9" t="s">
        <v>114</v>
      </c>
      <c r="V181" s="9">
        <v>1</v>
      </c>
      <c r="W181" s="9" t="s">
        <v>6</v>
      </c>
      <c r="X181" s="18" t="s">
        <v>7</v>
      </c>
      <c r="Y181" s="9" t="s">
        <v>8</v>
      </c>
      <c r="Z181" s="1" t="s">
        <v>69</v>
      </c>
      <c r="AB181" s="13"/>
    </row>
    <row r="182" spans="2:28" s="1" customFormat="1" ht="18" customHeight="1" x14ac:dyDescent="0.25">
      <c r="B182" s="13"/>
      <c r="D182" s="13"/>
      <c r="F182" s="13"/>
      <c r="H182" s="13"/>
      <c r="J182" s="13"/>
      <c r="L182" s="13"/>
      <c r="N182" s="31"/>
      <c r="O182" s="31"/>
      <c r="P182" s="3"/>
      <c r="Q182" s="115"/>
      <c r="R182" s="112"/>
      <c r="S182" s="112"/>
      <c r="T182" s="86" t="s">
        <v>80</v>
      </c>
      <c r="U182" s="9" t="s">
        <v>11</v>
      </c>
      <c r="V182" s="9">
        <f>500/1000*64</f>
        <v>32</v>
      </c>
      <c r="W182" s="9" t="s">
        <v>12</v>
      </c>
      <c r="X182" s="19" t="s">
        <v>66</v>
      </c>
      <c r="Y182" s="9" t="s">
        <v>8</v>
      </c>
      <c r="Z182" s="1" t="s">
        <v>113</v>
      </c>
      <c r="AA182" s="5"/>
      <c r="AB182" s="13"/>
    </row>
    <row r="183" spans="2:28" s="1" customFormat="1" ht="18" x14ac:dyDescent="0.25">
      <c r="B183" s="13"/>
      <c r="D183" s="13"/>
      <c r="F183" s="13"/>
      <c r="H183" s="13"/>
      <c r="J183" s="13"/>
      <c r="L183" s="13"/>
      <c r="N183" s="31"/>
      <c r="O183" s="31"/>
      <c r="P183" s="3"/>
      <c r="Q183" s="115"/>
      <c r="R183" s="112"/>
      <c r="S183" s="112"/>
      <c r="T183" s="86" t="s">
        <v>80</v>
      </c>
      <c r="U183" s="9" t="s">
        <v>115</v>
      </c>
      <c r="V183" s="9">
        <v>17.95</v>
      </c>
      <c r="W183" s="9" t="s">
        <v>13</v>
      </c>
      <c r="X183" s="19" t="s">
        <v>14</v>
      </c>
      <c r="Y183" s="9" t="s">
        <v>8</v>
      </c>
      <c r="Z183" s="1" t="s">
        <v>113</v>
      </c>
      <c r="AA183" s="3"/>
      <c r="AB183" s="13"/>
    </row>
    <row r="184" spans="2:28" s="1" customFormat="1" ht="18" x14ac:dyDescent="0.25">
      <c r="B184" s="13"/>
      <c r="D184" s="13"/>
      <c r="F184" s="13"/>
      <c r="H184" s="13"/>
      <c r="J184" s="13"/>
      <c r="L184" s="13"/>
      <c r="N184" s="31"/>
      <c r="O184" s="31"/>
      <c r="P184" s="3"/>
      <c r="Q184" s="115"/>
      <c r="R184" s="112"/>
      <c r="S184" s="112"/>
      <c r="T184" s="86" t="s">
        <v>80</v>
      </c>
      <c r="U184" s="9" t="s">
        <v>116</v>
      </c>
      <c r="V184" s="9">
        <f>500/1000*50</f>
        <v>25</v>
      </c>
      <c r="W184" s="9" t="s">
        <v>12</v>
      </c>
      <c r="X184" s="19" t="s">
        <v>66</v>
      </c>
      <c r="Y184" s="9" t="s">
        <v>8</v>
      </c>
      <c r="Z184" s="1" t="s">
        <v>113</v>
      </c>
      <c r="AA184" s="3"/>
      <c r="AB184" s="13"/>
    </row>
    <row r="185" spans="2:28" s="1" customFormat="1" ht="18" x14ac:dyDescent="0.25">
      <c r="B185" s="13"/>
      <c r="D185" s="13"/>
      <c r="F185" s="13"/>
      <c r="H185" s="13"/>
      <c r="J185" s="13"/>
      <c r="L185" s="13"/>
      <c r="N185" s="31"/>
      <c r="O185" s="31"/>
      <c r="P185" s="3"/>
      <c r="Q185" s="115"/>
      <c r="R185" s="112"/>
      <c r="S185" s="112"/>
      <c r="T185" s="86" t="s">
        <v>80</v>
      </c>
      <c r="U185" s="49" t="s">
        <v>125</v>
      </c>
      <c r="V185" s="49">
        <v>1</v>
      </c>
      <c r="W185" s="49" t="s">
        <v>6</v>
      </c>
      <c r="X185" s="50" t="s">
        <v>68</v>
      </c>
      <c r="Y185" s="49" t="s">
        <v>8</v>
      </c>
      <c r="Z185" s="1" t="s">
        <v>113</v>
      </c>
      <c r="AA185" s="3"/>
      <c r="AB185" s="13"/>
    </row>
    <row r="186" spans="2:28" s="1" customFormat="1" ht="18" x14ac:dyDescent="0.25">
      <c r="B186" s="13"/>
      <c r="D186" s="13"/>
      <c r="F186" s="13"/>
      <c r="H186" s="13"/>
      <c r="J186" s="13"/>
      <c r="L186" s="13"/>
      <c r="N186" s="31"/>
      <c r="O186" s="31"/>
      <c r="P186" s="3"/>
      <c r="Q186" s="115"/>
      <c r="R186" s="112"/>
      <c r="S186" s="112"/>
      <c r="T186" s="86" t="s">
        <v>80</v>
      </c>
      <c r="U186" s="9" t="s">
        <v>126</v>
      </c>
      <c r="V186" s="9">
        <f>500/1000*0.53*695</f>
        <v>184.17500000000001</v>
      </c>
      <c r="W186" s="9" t="s">
        <v>12</v>
      </c>
      <c r="X186" s="19" t="s">
        <v>66</v>
      </c>
      <c r="Y186" s="9" t="s">
        <v>8</v>
      </c>
      <c r="Z186" s="1" t="s">
        <v>113</v>
      </c>
      <c r="AA186" s="3"/>
    </row>
    <row r="187" spans="2:28" s="1" customFormat="1" ht="18" x14ac:dyDescent="0.25">
      <c r="B187" s="13"/>
      <c r="D187" s="13"/>
      <c r="F187" s="13"/>
      <c r="H187" s="13"/>
      <c r="J187" s="13"/>
      <c r="L187" s="13"/>
      <c r="N187" s="31"/>
      <c r="O187" s="31"/>
      <c r="P187" s="3"/>
      <c r="Q187" s="115"/>
      <c r="R187" s="112"/>
      <c r="S187" s="112"/>
      <c r="T187" s="96" t="s">
        <v>80</v>
      </c>
      <c r="U187" s="102" t="s">
        <v>143</v>
      </c>
      <c r="V187" s="103">
        <v>100.78</v>
      </c>
      <c r="W187" s="102" t="s">
        <v>15</v>
      </c>
      <c r="X187" s="104" t="s">
        <v>44</v>
      </c>
      <c r="Y187" s="102" t="s">
        <v>8</v>
      </c>
      <c r="Z187" s="104" t="s">
        <v>78</v>
      </c>
    </row>
    <row r="188" spans="2:28" s="1" customFormat="1" ht="15" customHeight="1" x14ac:dyDescent="0.25">
      <c r="B188" s="13"/>
      <c r="D188" s="13"/>
      <c r="F188" s="13"/>
      <c r="H188" s="13"/>
      <c r="J188" s="13"/>
      <c r="L188" s="13"/>
      <c r="N188" s="31"/>
      <c r="O188" s="31"/>
      <c r="P188" s="3"/>
      <c r="Q188" s="115"/>
      <c r="R188" s="112"/>
      <c r="S188" s="112"/>
      <c r="T188" s="86" t="s">
        <v>80</v>
      </c>
      <c r="U188" s="9" t="s">
        <v>118</v>
      </c>
      <c r="V188" s="9">
        <f>500/1000*0.47*32</f>
        <v>7.52</v>
      </c>
      <c r="W188" s="9" t="s">
        <v>12</v>
      </c>
      <c r="X188" s="19" t="s">
        <v>66</v>
      </c>
      <c r="Y188" s="9" t="s">
        <v>8</v>
      </c>
      <c r="Z188" s="1" t="s">
        <v>113</v>
      </c>
      <c r="AA188" s="3"/>
    </row>
    <row r="189" spans="2:28" s="1" customFormat="1" ht="18" x14ac:dyDescent="0.25">
      <c r="B189" s="13"/>
      <c r="D189" s="13"/>
      <c r="F189" s="13"/>
      <c r="H189" s="13"/>
      <c r="J189" s="13"/>
      <c r="L189" s="13"/>
      <c r="N189" s="31"/>
      <c r="O189" s="31"/>
      <c r="P189" s="3"/>
      <c r="Q189" s="115"/>
      <c r="R189" s="112"/>
      <c r="S189" s="112"/>
      <c r="T189" s="86" t="s">
        <v>80</v>
      </c>
      <c r="U189" s="108" t="s">
        <v>119</v>
      </c>
      <c r="V189" s="97">
        <f>500*0.47</f>
        <v>235</v>
      </c>
      <c r="W189" s="97" t="s">
        <v>19</v>
      </c>
      <c r="X189" s="3" t="s">
        <v>20</v>
      </c>
      <c r="Y189" s="97" t="s">
        <v>21</v>
      </c>
      <c r="Z189" s="3"/>
      <c r="AA189" s="3"/>
    </row>
    <row r="190" spans="2:28" s="1" customFormat="1" ht="18" x14ac:dyDescent="0.25">
      <c r="B190" s="13"/>
      <c r="D190" s="13"/>
      <c r="F190" s="13"/>
      <c r="H190" s="13"/>
      <c r="J190" s="13"/>
      <c r="L190" s="13"/>
      <c r="N190" s="31"/>
      <c r="O190" s="31"/>
      <c r="P190" s="3"/>
      <c r="Q190" s="115"/>
      <c r="R190" s="112"/>
      <c r="S190" s="112"/>
      <c r="T190" s="86" t="s">
        <v>81</v>
      </c>
      <c r="U190" s="9" t="s">
        <v>114</v>
      </c>
      <c r="V190" s="9">
        <v>-1</v>
      </c>
      <c r="W190" s="9" t="s">
        <v>6</v>
      </c>
      <c r="X190" s="18" t="s">
        <v>7</v>
      </c>
      <c r="Y190" s="9" t="s">
        <v>8</v>
      </c>
      <c r="Z190" s="1" t="s">
        <v>69</v>
      </c>
      <c r="AA190" s="3"/>
    </row>
    <row r="191" spans="2:28" s="1" customFormat="1" ht="18" x14ac:dyDescent="0.25">
      <c r="B191" s="13"/>
      <c r="D191" s="13"/>
      <c r="F191" s="13"/>
      <c r="H191" s="13"/>
      <c r="J191" s="13"/>
      <c r="L191" s="13"/>
      <c r="N191" s="31"/>
      <c r="O191" s="31"/>
      <c r="P191" s="3"/>
      <c r="Q191" s="115"/>
      <c r="R191" s="112"/>
      <c r="S191" s="112"/>
      <c r="T191" s="86" t="s">
        <v>81</v>
      </c>
      <c r="U191" s="9" t="s">
        <v>11</v>
      </c>
      <c r="V191" s="9">
        <f>-500/1000*70</f>
        <v>-35</v>
      </c>
      <c r="W191" s="9" t="s">
        <v>12</v>
      </c>
      <c r="X191" s="19" t="s">
        <v>66</v>
      </c>
      <c r="Y191" s="9" t="s">
        <v>8</v>
      </c>
      <c r="Z191" s="1" t="s">
        <v>113</v>
      </c>
      <c r="AA191" s="3"/>
    </row>
    <row r="192" spans="2:28" s="1" customFormat="1" ht="18" customHeight="1" x14ac:dyDescent="0.25">
      <c r="B192" s="13"/>
      <c r="D192" s="13"/>
      <c r="F192" s="13"/>
      <c r="H192" s="13"/>
      <c r="J192" s="13"/>
      <c r="L192" s="13"/>
      <c r="N192" s="31"/>
      <c r="O192" s="3"/>
      <c r="P192" s="32"/>
      <c r="Q192" s="115"/>
      <c r="R192" s="112"/>
      <c r="S192" s="112"/>
      <c r="T192" s="86" t="s">
        <v>81</v>
      </c>
      <c r="U192" s="9" t="s">
        <v>115</v>
      </c>
      <c r="V192" s="9">
        <v>-17.95</v>
      </c>
      <c r="W192" s="9" t="s">
        <v>13</v>
      </c>
      <c r="X192" s="19" t="s">
        <v>14</v>
      </c>
      <c r="Y192" s="9" t="s">
        <v>8</v>
      </c>
      <c r="Z192" s="1" t="s">
        <v>113</v>
      </c>
      <c r="AA192" s="3"/>
    </row>
    <row r="193" spans="2:27" s="1" customFormat="1" ht="18" x14ac:dyDescent="0.25">
      <c r="B193" s="13"/>
      <c r="D193" s="13"/>
      <c r="F193" s="13"/>
      <c r="H193" s="13"/>
      <c r="J193" s="13"/>
      <c r="L193" s="13"/>
      <c r="N193" s="31"/>
      <c r="O193" s="3"/>
      <c r="P193" s="32"/>
      <c r="Q193" s="115"/>
      <c r="R193" s="112"/>
      <c r="S193" s="112"/>
      <c r="T193" s="86" t="s">
        <v>81</v>
      </c>
      <c r="U193" s="9" t="s">
        <v>116</v>
      </c>
      <c r="V193" s="9">
        <f>-500/1000*50</f>
        <v>-25</v>
      </c>
      <c r="W193" s="9" t="s">
        <v>12</v>
      </c>
      <c r="X193" s="19" t="s">
        <v>66</v>
      </c>
      <c r="Y193" s="9" t="s">
        <v>8</v>
      </c>
      <c r="Z193" s="1" t="s">
        <v>113</v>
      </c>
    </row>
    <row r="194" spans="2:27" s="1" customFormat="1" ht="18" x14ac:dyDescent="0.25">
      <c r="B194" s="13"/>
      <c r="D194" s="13"/>
      <c r="F194" s="13"/>
      <c r="H194" s="13"/>
      <c r="J194" s="13"/>
      <c r="L194" s="13"/>
      <c r="N194" s="31"/>
      <c r="O194" s="3"/>
      <c r="P194" s="32"/>
      <c r="Q194" s="115"/>
      <c r="R194" s="112"/>
      <c r="S194" s="112"/>
      <c r="T194" s="86" t="s">
        <v>81</v>
      </c>
      <c r="U194" s="49" t="s">
        <v>125</v>
      </c>
      <c r="V194" s="49">
        <v>-1</v>
      </c>
      <c r="W194" s="49" t="s">
        <v>6</v>
      </c>
      <c r="X194" s="50" t="s">
        <v>68</v>
      </c>
      <c r="Y194" s="49" t="s">
        <v>8</v>
      </c>
      <c r="Z194" s="1" t="s">
        <v>113</v>
      </c>
    </row>
    <row r="195" spans="2:27" s="1" customFormat="1" ht="18" x14ac:dyDescent="0.25">
      <c r="B195" s="13"/>
      <c r="D195" s="13"/>
      <c r="F195" s="13"/>
      <c r="H195" s="13"/>
      <c r="J195" s="13"/>
      <c r="L195" s="13"/>
      <c r="N195" s="31"/>
      <c r="O195" s="3"/>
      <c r="P195" s="32"/>
      <c r="Q195" s="115"/>
      <c r="R195" s="112"/>
      <c r="S195" s="112"/>
      <c r="T195" s="86" t="s">
        <v>81</v>
      </c>
      <c r="U195" s="9" t="s">
        <v>118</v>
      </c>
      <c r="V195" s="9">
        <f>-(500/1000)*0.47*32</f>
        <v>-7.52</v>
      </c>
      <c r="W195" s="9" t="s">
        <v>12</v>
      </c>
      <c r="X195" s="19" t="s">
        <v>66</v>
      </c>
      <c r="Y195" s="9" t="s">
        <v>8</v>
      </c>
      <c r="Z195" s="1" t="s">
        <v>113</v>
      </c>
    </row>
    <row r="196" spans="2:27" s="1" customFormat="1" ht="18" x14ac:dyDescent="0.25">
      <c r="B196" s="13"/>
      <c r="D196" s="13"/>
      <c r="F196" s="13"/>
      <c r="H196" s="13"/>
      <c r="J196" s="13"/>
      <c r="L196" s="13"/>
      <c r="N196" s="31"/>
      <c r="O196" s="3"/>
      <c r="P196" s="32"/>
      <c r="Q196" s="115"/>
      <c r="R196" s="112"/>
      <c r="S196" s="112"/>
      <c r="T196" s="86" t="s">
        <v>81</v>
      </c>
      <c r="U196" s="108" t="s">
        <v>119</v>
      </c>
      <c r="V196" s="97">
        <f>-500*0.47</f>
        <v>-235</v>
      </c>
      <c r="W196" s="97" t="s">
        <v>19</v>
      </c>
      <c r="X196" s="3" t="s">
        <v>20</v>
      </c>
      <c r="Y196" s="97" t="s">
        <v>21</v>
      </c>
      <c r="Z196" s="3"/>
    </row>
    <row r="197" spans="2:27" s="1" customFormat="1" ht="18" x14ac:dyDescent="0.25">
      <c r="B197" s="13"/>
      <c r="D197" s="13"/>
      <c r="F197" s="13"/>
      <c r="H197" s="13"/>
      <c r="J197" s="13"/>
      <c r="L197" s="13"/>
      <c r="N197" s="31"/>
      <c r="O197" s="3"/>
      <c r="P197" s="32"/>
      <c r="Q197" s="115"/>
      <c r="R197" s="112"/>
      <c r="S197" s="112"/>
      <c r="T197" s="86" t="s">
        <v>81</v>
      </c>
      <c r="U197" s="9" t="s">
        <v>126</v>
      </c>
      <c r="V197" s="97">
        <f>-500/1000*0.53*100</f>
        <v>-26.5</v>
      </c>
      <c r="W197" s="97" t="s">
        <v>12</v>
      </c>
      <c r="X197" s="19" t="s">
        <v>66</v>
      </c>
      <c r="Y197" s="9" t="s">
        <v>8</v>
      </c>
      <c r="Z197" s="1" t="s">
        <v>113</v>
      </c>
    </row>
    <row r="198" spans="2:27" s="1" customFormat="1" ht="18" x14ac:dyDescent="0.25">
      <c r="B198" s="13"/>
      <c r="D198" s="13"/>
      <c r="F198" s="13"/>
      <c r="H198" s="13"/>
      <c r="J198" s="13"/>
      <c r="L198" s="13"/>
      <c r="N198" s="31"/>
      <c r="O198" s="3"/>
      <c r="P198" s="32"/>
      <c r="Q198" s="115"/>
      <c r="R198" s="112"/>
      <c r="S198" s="112"/>
      <c r="T198" s="86" t="s">
        <v>81</v>
      </c>
      <c r="U198" s="102" t="s">
        <v>79</v>
      </c>
      <c r="V198" s="102">
        <v>-313.89999999999998</v>
      </c>
      <c r="W198" s="102" t="s">
        <v>15</v>
      </c>
      <c r="X198" s="104" t="s">
        <v>44</v>
      </c>
      <c r="Y198" s="103" t="s">
        <v>8</v>
      </c>
      <c r="Z198" s="1" t="s">
        <v>113</v>
      </c>
      <c r="AA198" s="105"/>
    </row>
    <row r="199" spans="2:27" s="1" customFormat="1" ht="18" x14ac:dyDescent="0.25">
      <c r="B199" s="13"/>
      <c r="D199" s="13"/>
      <c r="F199" s="13"/>
      <c r="H199" s="13"/>
      <c r="J199" s="13"/>
      <c r="L199" s="13"/>
      <c r="N199" s="31"/>
      <c r="O199" s="3"/>
      <c r="P199" s="32"/>
      <c r="Q199" s="124"/>
      <c r="R199" s="123"/>
      <c r="S199" s="123"/>
      <c r="T199" s="88" t="s">
        <v>82</v>
      </c>
      <c r="U199" s="90" t="s">
        <v>144</v>
      </c>
      <c r="V199" s="99">
        <v>213.1</v>
      </c>
      <c r="W199" s="99" t="s">
        <v>15</v>
      </c>
      <c r="X199" s="22" t="s">
        <v>95</v>
      </c>
      <c r="Y199" s="99" t="s">
        <v>8</v>
      </c>
      <c r="Z199" s="22"/>
      <c r="AA199" s="22"/>
    </row>
    <row r="200" spans="2:27" s="1" customFormat="1" ht="18" customHeight="1" x14ac:dyDescent="0.25">
      <c r="B200" s="13"/>
      <c r="D200" s="13"/>
      <c r="F200" s="13"/>
      <c r="H200" s="13"/>
      <c r="J200" s="13"/>
      <c r="L200" s="13"/>
      <c r="N200" s="31"/>
      <c r="O200" s="3"/>
      <c r="P200" s="32"/>
      <c r="Q200" s="126" t="s">
        <v>108</v>
      </c>
      <c r="R200" s="125">
        <v>2</v>
      </c>
      <c r="S200" s="125"/>
      <c r="T200" s="86" t="s">
        <v>83</v>
      </c>
      <c r="U200" s="23" t="s">
        <v>127</v>
      </c>
      <c r="V200" s="92">
        <f>V201*1.07</f>
        <v>0.38562800000000003</v>
      </c>
      <c r="W200" s="23" t="s">
        <v>6</v>
      </c>
      <c r="X200" s="13" t="s">
        <v>76</v>
      </c>
      <c r="Y200" s="9" t="s">
        <v>8</v>
      </c>
      <c r="Z200" s="1" t="s">
        <v>113</v>
      </c>
    </row>
    <row r="201" spans="2:27" s="1" customFormat="1" ht="18" x14ac:dyDescent="0.25">
      <c r="B201" s="13"/>
      <c r="D201" s="13"/>
      <c r="F201" s="13"/>
      <c r="H201" s="13"/>
      <c r="J201" s="13"/>
      <c r="L201" s="13"/>
      <c r="N201" s="31"/>
      <c r="O201" s="3"/>
      <c r="P201" s="32"/>
      <c r="Q201" s="115"/>
      <c r="R201" s="112"/>
      <c r="S201" s="112"/>
      <c r="T201" s="86" t="s">
        <v>83</v>
      </c>
      <c r="U201" s="23" t="s">
        <v>128</v>
      </c>
      <c r="V201" s="80">
        <v>0.3604</v>
      </c>
      <c r="W201" s="23" t="s">
        <v>6</v>
      </c>
      <c r="X201" s="13" t="s">
        <v>74</v>
      </c>
      <c r="Y201" s="9" t="s">
        <v>8</v>
      </c>
      <c r="Z201" s="1" t="s">
        <v>113</v>
      </c>
    </row>
    <row r="202" spans="2:27" s="1" customFormat="1" ht="18" x14ac:dyDescent="0.25">
      <c r="B202" s="13"/>
      <c r="D202" s="13"/>
      <c r="F202" s="13"/>
      <c r="H202" s="13"/>
      <c r="J202" s="13"/>
      <c r="L202" s="13"/>
      <c r="N202" s="31"/>
      <c r="O202" s="3"/>
      <c r="P202" s="32"/>
      <c r="Q202" s="115"/>
      <c r="R202" s="112"/>
      <c r="S202" s="112"/>
      <c r="T202" s="86" t="s">
        <v>83</v>
      </c>
      <c r="U202" s="9" t="s">
        <v>11</v>
      </c>
      <c r="V202" s="84">
        <f>500/1000*V201*698</f>
        <v>125.7796</v>
      </c>
      <c r="W202" s="9" t="s">
        <v>12</v>
      </c>
      <c r="X202" s="19" t="s">
        <v>66</v>
      </c>
      <c r="Y202" s="9" t="s">
        <v>8</v>
      </c>
      <c r="Z202" s="1" t="s">
        <v>113</v>
      </c>
    </row>
    <row r="203" spans="2:27" s="1" customFormat="1" ht="18" x14ac:dyDescent="0.25">
      <c r="B203" s="13"/>
      <c r="D203" s="13"/>
      <c r="F203" s="13"/>
      <c r="H203" s="13"/>
      <c r="J203" s="13"/>
      <c r="L203" s="13"/>
      <c r="N203" s="31"/>
      <c r="O203" s="31"/>
      <c r="P203" s="3"/>
      <c r="Q203" s="115"/>
      <c r="R203" s="112"/>
      <c r="S203" s="112"/>
      <c r="T203" s="86" t="s">
        <v>83</v>
      </c>
      <c r="U203" s="9" t="s">
        <v>115</v>
      </c>
      <c r="V203" s="84">
        <f>127*V201</f>
        <v>45.770800000000001</v>
      </c>
      <c r="W203" s="9" t="s">
        <v>13</v>
      </c>
      <c r="X203" s="19" t="s">
        <v>14</v>
      </c>
      <c r="Y203" s="9" t="s">
        <v>8</v>
      </c>
      <c r="Z203" s="1" t="s">
        <v>113</v>
      </c>
    </row>
    <row r="204" spans="2:27" s="1" customFormat="1" ht="18" x14ac:dyDescent="0.25">
      <c r="B204" s="13"/>
      <c r="D204" s="13"/>
      <c r="F204" s="13"/>
      <c r="H204" s="13"/>
      <c r="J204" s="13"/>
      <c r="L204" s="13"/>
      <c r="N204" s="31"/>
      <c r="O204" s="31"/>
      <c r="P204" s="3"/>
      <c r="Q204" s="115"/>
      <c r="R204" s="112"/>
      <c r="S204" s="112"/>
      <c r="T204" s="86" t="s">
        <v>83</v>
      </c>
      <c r="U204" s="9" t="s">
        <v>116</v>
      </c>
      <c r="V204" s="9">
        <f>500/1000*V201*50</f>
        <v>9.01</v>
      </c>
      <c r="W204" s="9" t="s">
        <v>12</v>
      </c>
      <c r="X204" s="19" t="s">
        <v>66</v>
      </c>
      <c r="Y204" s="9" t="s">
        <v>8</v>
      </c>
      <c r="Z204" s="1" t="s">
        <v>113</v>
      </c>
      <c r="AA204" s="3"/>
    </row>
    <row r="205" spans="2:27" s="1" customFormat="1" ht="18" x14ac:dyDescent="0.25">
      <c r="B205" s="13"/>
      <c r="D205" s="13"/>
      <c r="F205" s="13"/>
      <c r="H205" s="13"/>
      <c r="J205" s="13"/>
      <c r="L205" s="13"/>
      <c r="N205" s="31"/>
      <c r="O205" s="31"/>
      <c r="P205" s="3"/>
      <c r="Q205" s="115"/>
      <c r="R205" s="112"/>
      <c r="S205" s="112"/>
      <c r="T205" s="86" t="s">
        <v>83</v>
      </c>
      <c r="U205" s="49" t="s">
        <v>130</v>
      </c>
      <c r="V205" s="9">
        <f>V201</f>
        <v>0.3604</v>
      </c>
      <c r="W205" s="9" t="s">
        <v>6</v>
      </c>
      <c r="X205" s="50" t="s">
        <v>68</v>
      </c>
      <c r="Y205" s="49" t="s">
        <v>8</v>
      </c>
      <c r="Z205" s="1" t="s">
        <v>113</v>
      </c>
      <c r="AA205" s="3"/>
    </row>
    <row r="206" spans="2:27" s="1" customFormat="1" ht="18" x14ac:dyDescent="0.25">
      <c r="B206" s="13"/>
      <c r="D206" s="13"/>
      <c r="F206" s="13"/>
      <c r="H206" s="13"/>
      <c r="J206" s="13"/>
      <c r="L206" s="13"/>
      <c r="N206" s="31"/>
      <c r="O206" s="31"/>
      <c r="P206" s="3"/>
      <c r="Q206" s="115"/>
      <c r="R206" s="112"/>
      <c r="S206" s="112"/>
      <c r="T206" s="86" t="s">
        <v>83</v>
      </c>
      <c r="U206" s="9" t="s">
        <v>126</v>
      </c>
      <c r="V206" s="84">
        <f>500/1000*V201*0.9*15.1</f>
        <v>2.4489179999999999</v>
      </c>
      <c r="W206" s="9" t="s">
        <v>12</v>
      </c>
      <c r="X206" s="19" t="s">
        <v>66</v>
      </c>
      <c r="Y206" s="9" t="s">
        <v>8</v>
      </c>
      <c r="Z206" s="1" t="s">
        <v>113</v>
      </c>
      <c r="AA206" s="3"/>
    </row>
    <row r="207" spans="2:27" s="1" customFormat="1" ht="18" x14ac:dyDescent="0.25">
      <c r="B207" s="13"/>
      <c r="D207" s="13"/>
      <c r="F207" s="13"/>
      <c r="H207" s="13"/>
      <c r="J207" s="13"/>
      <c r="L207" s="13"/>
      <c r="N207" s="31"/>
      <c r="O207" s="31"/>
      <c r="P207" s="3"/>
      <c r="Q207" s="115"/>
      <c r="R207" s="112"/>
      <c r="S207" s="112"/>
      <c r="T207" s="96" t="s">
        <v>83</v>
      </c>
      <c r="U207" s="102" t="s">
        <v>145</v>
      </c>
      <c r="V207" s="103">
        <v>57.82</v>
      </c>
      <c r="W207" s="102" t="s">
        <v>15</v>
      </c>
      <c r="X207" s="104" t="s">
        <v>44</v>
      </c>
      <c r="Y207" s="102" t="s">
        <v>8</v>
      </c>
      <c r="Z207" s="104" t="s">
        <v>78</v>
      </c>
    </row>
    <row r="208" spans="2:27" s="1" customFormat="1" ht="18" x14ac:dyDescent="0.25">
      <c r="B208" s="13"/>
      <c r="D208" s="13"/>
      <c r="F208" s="13"/>
      <c r="H208" s="13"/>
      <c r="J208" s="13"/>
      <c r="L208" s="13"/>
      <c r="N208" s="31"/>
      <c r="O208" s="31"/>
      <c r="P208" s="3"/>
      <c r="Q208" s="115"/>
      <c r="R208" s="112"/>
      <c r="S208" s="112"/>
      <c r="T208" s="86" t="s">
        <v>83</v>
      </c>
      <c r="U208" s="9" t="s">
        <v>118</v>
      </c>
      <c r="V208" s="84">
        <f>500/1000*V201*0.1*32</f>
        <v>0.57664000000000004</v>
      </c>
      <c r="W208" s="9" t="s">
        <v>12</v>
      </c>
      <c r="X208" s="19" t="s">
        <v>66</v>
      </c>
      <c r="Y208" s="9" t="s">
        <v>8</v>
      </c>
      <c r="Z208" s="1" t="s">
        <v>113</v>
      </c>
      <c r="AA208" s="3"/>
    </row>
    <row r="209" spans="2:27" s="1" customFormat="1" ht="18" x14ac:dyDescent="0.25">
      <c r="B209" s="13"/>
      <c r="D209" s="13"/>
      <c r="F209" s="13"/>
      <c r="H209" s="13"/>
      <c r="J209" s="13"/>
      <c r="L209" s="13"/>
      <c r="N209" s="31"/>
      <c r="O209" s="31"/>
      <c r="P209" s="3"/>
      <c r="Q209" s="115"/>
      <c r="R209" s="112"/>
      <c r="S209" s="112"/>
      <c r="T209" s="86" t="s">
        <v>83</v>
      </c>
      <c r="U209" s="108" t="s">
        <v>119</v>
      </c>
      <c r="V209" s="94">
        <f>0.1*500*V201</f>
        <v>18.02</v>
      </c>
      <c r="W209" s="97" t="s">
        <v>19</v>
      </c>
      <c r="X209" s="3" t="s">
        <v>20</v>
      </c>
      <c r="Y209" s="97" t="s">
        <v>21</v>
      </c>
      <c r="Z209" s="3"/>
      <c r="AA209" s="3"/>
    </row>
    <row r="210" spans="2:27" s="1" customFormat="1" ht="18" customHeight="1" x14ac:dyDescent="0.25">
      <c r="B210" s="13"/>
      <c r="D210" s="13"/>
      <c r="F210" s="13"/>
      <c r="H210" s="13"/>
      <c r="J210" s="13"/>
      <c r="L210" s="13"/>
      <c r="N210" s="31"/>
      <c r="O210" s="31"/>
      <c r="P210" s="3"/>
      <c r="Q210" s="115"/>
      <c r="R210" s="112"/>
      <c r="S210" s="112"/>
      <c r="T210" s="86" t="s">
        <v>84</v>
      </c>
      <c r="U210" s="9" t="s">
        <v>120</v>
      </c>
      <c r="V210" s="97">
        <f>-V201</f>
        <v>-0.3604</v>
      </c>
      <c r="W210" s="3" t="s">
        <v>6</v>
      </c>
      <c r="X210" s="3" t="s">
        <v>23</v>
      </c>
      <c r="Y210" s="97" t="s">
        <v>8</v>
      </c>
      <c r="Z210" s="3" t="s">
        <v>9</v>
      </c>
      <c r="AA210" s="3"/>
    </row>
    <row r="211" spans="2:27" s="1" customFormat="1" ht="18" x14ac:dyDescent="0.25">
      <c r="B211" s="13"/>
      <c r="D211" s="13"/>
      <c r="F211" s="13"/>
      <c r="H211" s="13"/>
      <c r="J211" s="13"/>
      <c r="L211" s="13"/>
      <c r="N211" s="31"/>
      <c r="O211" s="31"/>
      <c r="P211" s="3"/>
      <c r="Q211" s="115"/>
      <c r="R211" s="112"/>
      <c r="S211" s="112"/>
      <c r="T211" s="86" t="s">
        <v>84</v>
      </c>
      <c r="U211" s="9" t="s">
        <v>11</v>
      </c>
      <c r="V211" s="84">
        <f>500/1000*V210*698</f>
        <v>-125.7796</v>
      </c>
      <c r="W211" s="9" t="s">
        <v>12</v>
      </c>
      <c r="X211" s="19" t="s">
        <v>66</v>
      </c>
      <c r="Y211" s="9" t="s">
        <v>8</v>
      </c>
      <c r="Z211" s="1" t="s">
        <v>113</v>
      </c>
      <c r="AA211" s="3"/>
    </row>
    <row r="212" spans="2:27" s="1" customFormat="1" ht="18" x14ac:dyDescent="0.25">
      <c r="B212" s="13"/>
      <c r="D212" s="13"/>
      <c r="F212" s="13"/>
      <c r="H212" s="13"/>
      <c r="J212" s="13"/>
      <c r="L212" s="13"/>
      <c r="N212" s="31"/>
      <c r="O212" s="31"/>
      <c r="P212" s="3"/>
      <c r="Q212" s="115"/>
      <c r="R212" s="112"/>
      <c r="S212" s="112"/>
      <c r="T212" s="86" t="s">
        <v>84</v>
      </c>
      <c r="U212" s="9" t="s">
        <v>115</v>
      </c>
      <c r="V212" s="84">
        <f>17.95*V210</f>
        <v>-6.4691799999999997</v>
      </c>
      <c r="W212" s="9" t="s">
        <v>13</v>
      </c>
      <c r="X212" s="19" t="s">
        <v>14</v>
      </c>
      <c r="Y212" s="9" t="s">
        <v>8</v>
      </c>
      <c r="Z212" s="1" t="s">
        <v>113</v>
      </c>
      <c r="AA212" s="3"/>
    </row>
    <row r="213" spans="2:27" s="1" customFormat="1" ht="15" customHeight="1" x14ac:dyDescent="0.25">
      <c r="B213" s="13"/>
      <c r="D213" s="13"/>
      <c r="F213" s="13"/>
      <c r="H213" s="13"/>
      <c r="J213" s="13"/>
      <c r="L213" s="13"/>
      <c r="N213" s="31"/>
      <c r="O213" s="31"/>
      <c r="P213" s="3"/>
      <c r="Q213" s="115"/>
      <c r="R213" s="112"/>
      <c r="S213" s="112"/>
      <c r="T213" s="86" t="s">
        <v>84</v>
      </c>
      <c r="U213" s="49" t="s">
        <v>130</v>
      </c>
      <c r="V213" s="9">
        <f>V210*500/1000*50</f>
        <v>-9.01</v>
      </c>
      <c r="W213" s="9" t="s">
        <v>12</v>
      </c>
      <c r="X213" s="19" t="s">
        <v>66</v>
      </c>
      <c r="Y213" s="9" t="s">
        <v>8</v>
      </c>
      <c r="Z213" s="1" t="s">
        <v>113</v>
      </c>
      <c r="AA213" s="3"/>
    </row>
    <row r="214" spans="2:27" s="1" customFormat="1" ht="18" x14ac:dyDescent="0.25">
      <c r="B214" s="13"/>
      <c r="D214" s="13"/>
      <c r="F214" s="13"/>
      <c r="H214" s="13"/>
      <c r="J214" s="13"/>
      <c r="L214" s="13"/>
      <c r="N214" s="31"/>
      <c r="O214" s="31"/>
      <c r="P214" s="3"/>
      <c r="Q214" s="115"/>
      <c r="R214" s="112"/>
      <c r="S214" s="112"/>
      <c r="T214" s="86" t="s">
        <v>84</v>
      </c>
      <c r="U214" s="9" t="s">
        <v>126</v>
      </c>
      <c r="V214" s="9">
        <f>V210</f>
        <v>-0.3604</v>
      </c>
      <c r="W214" s="9" t="s">
        <v>6</v>
      </c>
      <c r="X214" s="50" t="s">
        <v>68</v>
      </c>
      <c r="Y214" s="49" t="s">
        <v>8</v>
      </c>
      <c r="Z214" s="1" t="s">
        <v>113</v>
      </c>
      <c r="AA214" s="3"/>
    </row>
    <row r="215" spans="2:27" s="1" customFormat="1" ht="18" customHeight="1" x14ac:dyDescent="0.25">
      <c r="B215" s="13"/>
      <c r="D215" s="13"/>
      <c r="F215" s="13"/>
      <c r="H215" s="13"/>
      <c r="J215" s="13"/>
      <c r="L215" s="13"/>
      <c r="N215" s="31"/>
      <c r="O215" s="31"/>
      <c r="P215" s="3"/>
      <c r="Q215" s="115"/>
      <c r="R215" s="112"/>
      <c r="S215" s="112"/>
      <c r="T215" s="86" t="s">
        <v>84</v>
      </c>
      <c r="U215" s="9" t="s">
        <v>118</v>
      </c>
      <c r="V215" s="84">
        <f>V214*500/1000*0.47*32</f>
        <v>-2.7102079999999997</v>
      </c>
      <c r="W215" s="9" t="s">
        <v>12</v>
      </c>
      <c r="X215" s="19" t="s">
        <v>66</v>
      </c>
      <c r="Y215" s="9" t="s">
        <v>8</v>
      </c>
      <c r="Z215" s="1" t="s">
        <v>113</v>
      </c>
      <c r="AA215" s="3"/>
    </row>
    <row r="216" spans="2:27" s="1" customFormat="1" ht="18" x14ac:dyDescent="0.25">
      <c r="B216" s="13"/>
      <c r="D216" s="13"/>
      <c r="F216" s="13"/>
      <c r="H216" s="13"/>
      <c r="J216" s="13"/>
      <c r="L216" s="13"/>
      <c r="N216" s="31"/>
      <c r="O216" s="31"/>
      <c r="P216" s="3"/>
      <c r="Q216" s="115"/>
      <c r="R216" s="112"/>
      <c r="S216" s="112"/>
      <c r="T216" s="86" t="s">
        <v>84</v>
      </c>
      <c r="U216" s="108" t="s">
        <v>119</v>
      </c>
      <c r="V216" s="94">
        <f>V214*500*0.47</f>
        <v>-84.693999999999988</v>
      </c>
      <c r="W216" s="97" t="s">
        <v>19</v>
      </c>
      <c r="X216" s="3" t="s">
        <v>20</v>
      </c>
      <c r="Y216" s="9" t="s">
        <v>8</v>
      </c>
      <c r="Z216" s="1" t="s">
        <v>113</v>
      </c>
      <c r="AA216" s="3"/>
    </row>
    <row r="217" spans="2:27" s="1" customFormat="1" ht="18" x14ac:dyDescent="0.25">
      <c r="B217" s="13"/>
      <c r="D217" s="13"/>
      <c r="F217" s="13"/>
      <c r="H217" s="13"/>
      <c r="J217" s="13"/>
      <c r="L217" s="13"/>
      <c r="N217" s="31"/>
      <c r="O217" s="31"/>
      <c r="P217" s="3"/>
      <c r="Q217" s="115"/>
      <c r="R217" s="112"/>
      <c r="S217" s="112"/>
      <c r="T217" s="86" t="s">
        <v>84</v>
      </c>
      <c r="U217" s="9" t="s">
        <v>126</v>
      </c>
      <c r="V217" s="94">
        <f>V214*500/1000*100*0.53</f>
        <v>-9.5506000000000011</v>
      </c>
      <c r="W217" s="97" t="s">
        <v>12</v>
      </c>
      <c r="X217" s="19" t="s">
        <v>66</v>
      </c>
      <c r="Y217" s="9" t="s">
        <v>8</v>
      </c>
      <c r="Z217" s="1" t="s">
        <v>113</v>
      </c>
      <c r="AA217" s="3"/>
    </row>
    <row r="218" spans="2:27" s="1" customFormat="1" ht="18" x14ac:dyDescent="0.25">
      <c r="B218" s="13"/>
      <c r="D218" s="13"/>
      <c r="F218" s="13"/>
      <c r="H218" s="13"/>
      <c r="J218" s="13"/>
      <c r="L218" s="13"/>
      <c r="N218" s="31"/>
      <c r="O218" s="31"/>
      <c r="P218" s="3"/>
      <c r="Q218" s="115"/>
      <c r="R218" s="112"/>
      <c r="S218" s="112"/>
      <c r="T218" s="86" t="s">
        <v>84</v>
      </c>
      <c r="U218" s="102" t="s">
        <v>79</v>
      </c>
      <c r="V218" s="102">
        <f>-113.1</f>
        <v>-113.1</v>
      </c>
      <c r="W218" s="102" t="s">
        <v>15</v>
      </c>
      <c r="X218" s="104" t="s">
        <v>44</v>
      </c>
      <c r="Y218" s="103" t="s">
        <v>8</v>
      </c>
      <c r="Z218" s="1" t="s">
        <v>113</v>
      </c>
      <c r="AA218" s="104"/>
    </row>
    <row r="219" spans="2:27" s="1" customFormat="1" ht="18" x14ac:dyDescent="0.25">
      <c r="B219" s="13"/>
      <c r="D219" s="13"/>
      <c r="F219" s="13"/>
      <c r="H219" s="13"/>
      <c r="J219" s="13"/>
      <c r="L219" s="13"/>
      <c r="N219" s="31"/>
      <c r="O219" s="31"/>
      <c r="P219" s="3"/>
      <c r="Q219" s="124"/>
      <c r="R219" s="123"/>
      <c r="S219" s="123"/>
      <c r="T219" s="88" t="s">
        <v>85</v>
      </c>
      <c r="U219" s="109" t="s">
        <v>144</v>
      </c>
      <c r="V219" s="99">
        <v>55.3</v>
      </c>
      <c r="W219" s="99" t="s">
        <v>15</v>
      </c>
      <c r="X219" s="22" t="s">
        <v>95</v>
      </c>
      <c r="Y219" s="99" t="s">
        <v>8</v>
      </c>
      <c r="Z219" s="22"/>
      <c r="AA219" s="22"/>
    </row>
    <row r="220" spans="2:27" s="1" customFormat="1" ht="18" customHeight="1" x14ac:dyDescent="0.25">
      <c r="B220" s="13"/>
      <c r="D220" s="13"/>
      <c r="F220" s="13"/>
      <c r="H220" s="13"/>
      <c r="J220" s="13"/>
      <c r="L220" s="13"/>
      <c r="N220" s="31"/>
      <c r="O220" s="31"/>
      <c r="P220" s="3"/>
      <c r="Q220" s="126" t="s">
        <v>123</v>
      </c>
      <c r="R220" s="125">
        <v>3</v>
      </c>
      <c r="S220" s="125"/>
      <c r="T220" s="86" t="s">
        <v>86</v>
      </c>
      <c r="U220" s="23" t="s">
        <v>131</v>
      </c>
      <c r="V220" s="80">
        <v>0.23730000000000001</v>
      </c>
      <c r="W220" s="23" t="s">
        <v>6</v>
      </c>
      <c r="X220" s="24" t="s">
        <v>75</v>
      </c>
      <c r="Y220" s="9" t="s">
        <v>8</v>
      </c>
      <c r="Z220" s="1" t="s">
        <v>113</v>
      </c>
      <c r="AA220" s="3"/>
    </row>
    <row r="221" spans="2:27" s="1" customFormat="1" ht="18" x14ac:dyDescent="0.25">
      <c r="B221" s="13"/>
      <c r="D221" s="13"/>
      <c r="F221" s="13"/>
      <c r="H221" s="13"/>
      <c r="J221" s="13"/>
      <c r="L221" s="13"/>
      <c r="N221" s="31"/>
      <c r="O221" s="31"/>
      <c r="P221" s="3"/>
      <c r="Q221" s="115"/>
      <c r="R221" s="112"/>
      <c r="S221" s="112"/>
      <c r="T221" s="86" t="s">
        <v>86</v>
      </c>
      <c r="U221" s="9" t="s">
        <v>11</v>
      </c>
      <c r="V221" s="84">
        <f>700/1000*35*V220</f>
        <v>5.8138500000000004</v>
      </c>
      <c r="W221" s="9" t="s">
        <v>12</v>
      </c>
      <c r="X221" s="19" t="s">
        <v>66</v>
      </c>
      <c r="Y221" s="9" t="s">
        <v>8</v>
      </c>
      <c r="Z221" s="1" t="s">
        <v>113</v>
      </c>
      <c r="AA221" s="3"/>
    </row>
    <row r="222" spans="2:27" s="1" customFormat="1" ht="15.75" customHeight="1" x14ac:dyDescent="0.25">
      <c r="B222" s="13"/>
      <c r="D222" s="13"/>
      <c r="F222" s="13"/>
      <c r="H222" s="13"/>
      <c r="J222" s="13"/>
      <c r="L222" s="13"/>
      <c r="N222" s="31"/>
      <c r="O222" s="31"/>
      <c r="P222" s="3"/>
      <c r="Q222" s="115"/>
      <c r="R222" s="112"/>
      <c r="S222" s="112"/>
      <c r="T222" s="86" t="s">
        <v>86</v>
      </c>
      <c r="U222" s="9" t="s">
        <v>115</v>
      </c>
      <c r="V222" s="84">
        <f>179*V220</f>
        <v>42.476700000000001</v>
      </c>
      <c r="W222" s="9" t="s">
        <v>13</v>
      </c>
      <c r="X222" s="19" t="s">
        <v>14</v>
      </c>
      <c r="Y222" s="9" t="s">
        <v>8</v>
      </c>
      <c r="Z222" s="1" t="s">
        <v>113</v>
      </c>
      <c r="AA222" s="3"/>
    </row>
    <row r="223" spans="2:27" s="1" customFormat="1" ht="18" x14ac:dyDescent="0.25">
      <c r="B223" s="13"/>
      <c r="D223" s="13"/>
      <c r="F223" s="13"/>
      <c r="H223" s="13"/>
      <c r="J223" s="13"/>
      <c r="L223" s="13"/>
      <c r="N223" s="31"/>
      <c r="O223" s="31"/>
      <c r="P223" s="3"/>
      <c r="Q223" s="115"/>
      <c r="R223" s="112"/>
      <c r="S223" s="112"/>
      <c r="T223" s="86" t="s">
        <v>86</v>
      </c>
      <c r="U223" s="9" t="s">
        <v>116</v>
      </c>
      <c r="V223" s="84">
        <f>700/1000*V220*50</f>
        <v>8.3055000000000003</v>
      </c>
      <c r="W223" s="9" t="s">
        <v>12</v>
      </c>
      <c r="X223" s="19" t="s">
        <v>66</v>
      </c>
      <c r="Y223" s="9" t="s">
        <v>8</v>
      </c>
      <c r="Z223" s="1" t="s">
        <v>113</v>
      </c>
      <c r="AA223" s="3"/>
    </row>
    <row r="224" spans="2:27" s="1" customFormat="1" ht="18" x14ac:dyDescent="0.25">
      <c r="B224" s="13"/>
      <c r="D224" s="13"/>
      <c r="F224" s="13"/>
      <c r="H224" s="13"/>
      <c r="J224" s="13"/>
      <c r="L224" s="13"/>
      <c r="N224" s="31"/>
      <c r="O224" s="31"/>
      <c r="P224" s="3"/>
      <c r="Q224" s="115"/>
      <c r="R224" s="112"/>
      <c r="S224" s="112"/>
      <c r="T224" s="86" t="s">
        <v>86</v>
      </c>
      <c r="U224" s="49" t="s">
        <v>133</v>
      </c>
      <c r="V224" s="85">
        <f>V220</f>
        <v>0.23730000000000001</v>
      </c>
      <c r="W224" s="9" t="s">
        <v>6</v>
      </c>
      <c r="X224" s="50" t="s">
        <v>68</v>
      </c>
      <c r="Y224" s="49" t="s">
        <v>8</v>
      </c>
      <c r="Z224" s="1" t="s">
        <v>113</v>
      </c>
      <c r="AA224" s="3"/>
    </row>
    <row r="225" spans="2:27" s="1" customFormat="1" ht="18" customHeight="1" x14ac:dyDescent="0.25">
      <c r="B225" s="13"/>
      <c r="D225" s="13"/>
      <c r="F225" s="13"/>
      <c r="H225" s="13"/>
      <c r="J225" s="13"/>
      <c r="L225" s="13"/>
      <c r="N225" s="31"/>
      <c r="O225" s="31"/>
      <c r="P225" s="3"/>
      <c r="Q225" s="115"/>
      <c r="R225" s="112"/>
      <c r="S225" s="112"/>
      <c r="T225" s="86" t="s">
        <v>86</v>
      </c>
      <c r="U225" s="9" t="s">
        <v>126</v>
      </c>
      <c r="V225" s="84">
        <f>700/1000*0.9*278*V224</f>
        <v>41.560722000000005</v>
      </c>
      <c r="W225" s="9" t="s">
        <v>12</v>
      </c>
      <c r="X225" s="19" t="s">
        <v>66</v>
      </c>
      <c r="Y225" s="9" t="s">
        <v>8</v>
      </c>
      <c r="Z225" s="1" t="s">
        <v>113</v>
      </c>
      <c r="AA225" s="3"/>
    </row>
    <row r="226" spans="2:27" s="1" customFormat="1" ht="18" x14ac:dyDescent="0.25">
      <c r="B226" s="13"/>
      <c r="D226" s="13"/>
      <c r="F226" s="13"/>
      <c r="H226" s="13"/>
      <c r="J226" s="13"/>
      <c r="L226" s="13"/>
      <c r="N226" s="31"/>
      <c r="O226" s="31"/>
      <c r="P226" s="3"/>
      <c r="Q226" s="115"/>
      <c r="R226" s="112"/>
      <c r="S226" s="112"/>
      <c r="T226" s="96" t="s">
        <v>86</v>
      </c>
      <c r="U226" s="102" t="s">
        <v>94</v>
      </c>
      <c r="V226" s="103">
        <v>21.32</v>
      </c>
      <c r="W226" s="102" t="s">
        <v>15</v>
      </c>
      <c r="X226" s="104" t="s">
        <v>44</v>
      </c>
      <c r="Y226" s="102" t="s">
        <v>8</v>
      </c>
      <c r="Z226" s="104" t="s">
        <v>78</v>
      </c>
      <c r="AA226" s="3"/>
    </row>
    <row r="227" spans="2:27" s="1" customFormat="1" ht="18" x14ac:dyDescent="0.25">
      <c r="B227" s="13"/>
      <c r="D227" s="13"/>
      <c r="F227" s="13"/>
      <c r="H227" s="13"/>
      <c r="J227" s="13"/>
      <c r="L227" s="13"/>
      <c r="N227" s="31"/>
      <c r="O227" s="31"/>
      <c r="P227" s="3"/>
      <c r="Q227" s="115"/>
      <c r="R227" s="112"/>
      <c r="S227" s="112"/>
      <c r="T227" s="86" t="s">
        <v>86</v>
      </c>
      <c r="U227" s="9" t="s">
        <v>118</v>
      </c>
      <c r="V227" s="9">
        <f>700/1000*0.1*V224*32</f>
        <v>0.53155200000000002</v>
      </c>
      <c r="W227" s="9" t="s">
        <v>12</v>
      </c>
      <c r="X227" s="19" t="s">
        <v>66</v>
      </c>
      <c r="Y227" s="9" t="s">
        <v>8</v>
      </c>
      <c r="Z227" s="1" t="s">
        <v>113</v>
      </c>
      <c r="AA227" s="3"/>
    </row>
    <row r="228" spans="2:27" s="1" customFormat="1" ht="18" x14ac:dyDescent="0.25">
      <c r="B228" s="13"/>
      <c r="D228" s="13"/>
      <c r="F228" s="13"/>
      <c r="H228" s="13"/>
      <c r="J228" s="13"/>
      <c r="L228" s="13"/>
      <c r="N228" s="31"/>
      <c r="O228" s="31"/>
      <c r="P228" s="3"/>
      <c r="Q228" s="115"/>
      <c r="R228" s="112"/>
      <c r="S228" s="112"/>
      <c r="T228" s="86" t="s">
        <v>86</v>
      </c>
      <c r="U228" s="108" t="s">
        <v>119</v>
      </c>
      <c r="V228" s="94">
        <f>700*0.1*V224</f>
        <v>16.611000000000001</v>
      </c>
      <c r="W228" s="97" t="s">
        <v>19</v>
      </c>
      <c r="X228" s="3" t="s">
        <v>20</v>
      </c>
      <c r="Y228" s="97" t="s">
        <v>21</v>
      </c>
      <c r="Z228" s="3"/>
      <c r="AA228" s="3"/>
    </row>
    <row r="229" spans="2:27" s="1" customFormat="1" ht="18" x14ac:dyDescent="0.25">
      <c r="B229" s="13"/>
      <c r="D229" s="13"/>
      <c r="F229" s="13"/>
      <c r="H229" s="13"/>
      <c r="J229" s="13"/>
      <c r="L229" s="13"/>
      <c r="N229" s="31"/>
      <c r="O229" s="31"/>
      <c r="P229" s="3"/>
      <c r="Q229" s="115"/>
      <c r="R229" s="112"/>
      <c r="S229" s="112"/>
      <c r="T229" s="86" t="s">
        <v>87</v>
      </c>
      <c r="U229" s="9" t="s">
        <v>129</v>
      </c>
      <c r="V229" s="97">
        <f>-V220</f>
        <v>-0.23730000000000001</v>
      </c>
      <c r="W229" s="3" t="s">
        <v>6</v>
      </c>
      <c r="X229" s="3" t="s">
        <v>30</v>
      </c>
      <c r="Y229" s="97" t="s">
        <v>8</v>
      </c>
      <c r="Z229" s="3" t="s">
        <v>31</v>
      </c>
      <c r="AA229" s="3"/>
    </row>
    <row r="230" spans="2:27" s="1" customFormat="1" ht="18" x14ac:dyDescent="0.25">
      <c r="B230" s="13"/>
      <c r="D230" s="13"/>
      <c r="F230" s="13"/>
      <c r="H230" s="13"/>
      <c r="J230" s="13"/>
      <c r="L230" s="13"/>
      <c r="N230" s="31"/>
      <c r="O230" s="31"/>
      <c r="P230" s="3"/>
      <c r="Q230" s="115"/>
      <c r="R230" s="112"/>
      <c r="S230" s="112"/>
      <c r="T230" s="86" t="s">
        <v>87</v>
      </c>
      <c r="U230" s="9" t="s">
        <v>11</v>
      </c>
      <c r="V230" s="84">
        <f>V229*700/1000*160</f>
        <v>-26.5776</v>
      </c>
      <c r="W230" s="9" t="s">
        <v>12</v>
      </c>
      <c r="X230" s="19" t="s">
        <v>66</v>
      </c>
      <c r="Y230" s="9" t="s">
        <v>8</v>
      </c>
      <c r="Z230" s="1" t="s">
        <v>113</v>
      </c>
      <c r="AA230" s="3"/>
    </row>
    <row r="231" spans="2:27" s="1" customFormat="1" ht="15" customHeight="1" x14ac:dyDescent="0.25">
      <c r="B231" s="13"/>
      <c r="D231" s="13"/>
      <c r="F231" s="13"/>
      <c r="H231" s="13"/>
      <c r="J231" s="13"/>
      <c r="L231" s="13"/>
      <c r="N231" s="31"/>
      <c r="O231" s="31"/>
      <c r="P231" s="3"/>
      <c r="Q231" s="115"/>
      <c r="R231" s="112"/>
      <c r="S231" s="112"/>
      <c r="T231" s="86" t="s">
        <v>87</v>
      </c>
      <c r="U231" s="9" t="s">
        <v>115</v>
      </c>
      <c r="V231" s="84">
        <f>17.95*V229</f>
        <v>-4.2595349999999996</v>
      </c>
      <c r="W231" s="9" t="s">
        <v>13</v>
      </c>
      <c r="X231" s="19" t="s">
        <v>14</v>
      </c>
      <c r="Y231" s="9" t="s">
        <v>8</v>
      </c>
      <c r="Z231" s="1" t="s">
        <v>113</v>
      </c>
      <c r="AA231" s="3"/>
    </row>
    <row r="232" spans="2:27" s="1" customFormat="1" ht="18" x14ac:dyDescent="0.25">
      <c r="B232" s="13"/>
      <c r="D232" s="13"/>
      <c r="F232" s="13"/>
      <c r="H232" s="13"/>
      <c r="J232" s="13"/>
      <c r="L232" s="13"/>
      <c r="N232" s="31"/>
      <c r="O232" s="31"/>
      <c r="P232" s="3"/>
      <c r="Q232" s="115"/>
      <c r="R232" s="112"/>
      <c r="S232" s="112"/>
      <c r="T232" s="86" t="s">
        <v>87</v>
      </c>
      <c r="U232" s="9" t="s">
        <v>116</v>
      </c>
      <c r="V232" s="84">
        <f>V229*700/1000*50</f>
        <v>-8.3055000000000003</v>
      </c>
      <c r="W232" s="9" t="s">
        <v>12</v>
      </c>
      <c r="X232" s="19" t="s">
        <v>66</v>
      </c>
      <c r="Y232" s="9" t="s">
        <v>8</v>
      </c>
      <c r="Z232" s="1" t="s">
        <v>113</v>
      </c>
      <c r="AA232" s="3"/>
    </row>
    <row r="233" spans="2:27" s="1" customFormat="1" ht="18" x14ac:dyDescent="0.25">
      <c r="B233" s="13"/>
      <c r="D233" s="13"/>
      <c r="F233" s="13"/>
      <c r="H233" s="13"/>
      <c r="J233" s="13"/>
      <c r="L233" s="13"/>
      <c r="N233" s="31"/>
      <c r="O233" s="31"/>
      <c r="P233" s="3"/>
      <c r="Q233" s="115"/>
      <c r="R233" s="112"/>
      <c r="S233" s="112"/>
      <c r="T233" s="86" t="s">
        <v>87</v>
      </c>
      <c r="U233" s="49" t="s">
        <v>133</v>
      </c>
      <c r="V233" s="9">
        <f>V229</f>
        <v>-0.23730000000000001</v>
      </c>
      <c r="W233" s="9" t="s">
        <v>6</v>
      </c>
      <c r="X233" s="50" t="s">
        <v>68</v>
      </c>
      <c r="Y233" s="49" t="s">
        <v>8</v>
      </c>
      <c r="Z233" s="1" t="s">
        <v>113</v>
      </c>
      <c r="AA233" s="3"/>
    </row>
    <row r="234" spans="2:27" s="1" customFormat="1" ht="18" x14ac:dyDescent="0.25">
      <c r="B234" s="13"/>
      <c r="D234" s="13"/>
      <c r="F234" s="13"/>
      <c r="H234" s="13"/>
      <c r="J234" s="13"/>
      <c r="L234" s="13"/>
      <c r="N234" s="31"/>
      <c r="O234" s="31"/>
      <c r="P234" s="3"/>
      <c r="Q234" s="115"/>
      <c r="R234" s="112"/>
      <c r="S234" s="112"/>
      <c r="T234" s="86" t="s">
        <v>87</v>
      </c>
      <c r="U234" s="9" t="s">
        <v>118</v>
      </c>
      <c r="V234" s="93">
        <f>V233*700/1000*0.47*32</f>
        <v>-2.4982943999999998</v>
      </c>
      <c r="W234" s="9" t="s">
        <v>12</v>
      </c>
      <c r="X234" s="19" t="s">
        <v>66</v>
      </c>
      <c r="Y234" s="9" t="s">
        <v>8</v>
      </c>
      <c r="Z234" s="1" t="s">
        <v>113</v>
      </c>
      <c r="AA234" s="3"/>
    </row>
    <row r="235" spans="2:27" s="1" customFormat="1" ht="18" x14ac:dyDescent="0.25">
      <c r="B235" s="13"/>
      <c r="D235" s="13"/>
      <c r="F235" s="13"/>
      <c r="H235" s="13"/>
      <c r="J235" s="13"/>
      <c r="L235" s="13"/>
      <c r="N235" s="31"/>
      <c r="O235" s="31"/>
      <c r="P235" s="3"/>
      <c r="Q235" s="115"/>
      <c r="R235" s="112"/>
      <c r="S235" s="112"/>
      <c r="T235" s="86" t="s">
        <v>87</v>
      </c>
      <c r="U235" s="108" t="s">
        <v>119</v>
      </c>
      <c r="V235" s="94">
        <f>V233*700*0.47</f>
        <v>-78.071700000000007</v>
      </c>
      <c r="W235" s="97" t="s">
        <v>19</v>
      </c>
      <c r="X235" s="3" t="s">
        <v>20</v>
      </c>
      <c r="Y235" s="97" t="s">
        <v>21</v>
      </c>
      <c r="Z235" s="3"/>
      <c r="AA235" s="3"/>
    </row>
    <row r="236" spans="2:27" s="1" customFormat="1" ht="18" customHeight="1" x14ac:dyDescent="0.25">
      <c r="B236" s="31"/>
      <c r="D236" s="13"/>
      <c r="F236" s="13"/>
      <c r="H236" s="13"/>
      <c r="J236" s="13"/>
      <c r="L236" s="13"/>
      <c r="N236" s="31"/>
      <c r="O236" s="31"/>
      <c r="P236" s="3"/>
      <c r="Q236" s="115"/>
      <c r="R236" s="112"/>
      <c r="S236" s="112"/>
      <c r="T236" s="86" t="s">
        <v>87</v>
      </c>
      <c r="U236" s="9" t="s">
        <v>126</v>
      </c>
      <c r="V236" s="94">
        <f>V233*700/1000*0.53*100</f>
        <v>-8.8038300000000014</v>
      </c>
      <c r="W236" s="97" t="s">
        <v>12</v>
      </c>
      <c r="X236" s="19" t="s">
        <v>66</v>
      </c>
      <c r="Y236" s="9" t="s">
        <v>8</v>
      </c>
      <c r="Z236" s="1" t="s">
        <v>113</v>
      </c>
      <c r="AA236" s="3"/>
    </row>
    <row r="237" spans="2:27" s="1" customFormat="1" ht="18" x14ac:dyDescent="0.25">
      <c r="B237" s="31"/>
      <c r="D237" s="13"/>
      <c r="F237" s="13"/>
      <c r="H237" s="13"/>
      <c r="J237" s="13"/>
      <c r="L237" s="13"/>
      <c r="N237" s="31"/>
      <c r="O237" s="31"/>
      <c r="P237" s="3"/>
      <c r="Q237" s="115"/>
      <c r="R237" s="112"/>
      <c r="S237" s="112"/>
      <c r="T237" s="86" t="s">
        <v>87</v>
      </c>
      <c r="U237" s="102" t="s">
        <v>79</v>
      </c>
      <c r="V237" s="102">
        <v>-104.3</v>
      </c>
      <c r="W237" s="102" t="s">
        <v>15</v>
      </c>
      <c r="X237" s="104" t="s">
        <v>44</v>
      </c>
      <c r="Y237" s="103" t="s">
        <v>8</v>
      </c>
      <c r="Z237" s="1" t="s">
        <v>113</v>
      </c>
      <c r="AA237" s="104"/>
    </row>
    <row r="238" spans="2:27" s="1" customFormat="1" ht="18" x14ac:dyDescent="0.25">
      <c r="B238" s="31"/>
      <c r="D238" s="13"/>
      <c r="F238" s="13"/>
      <c r="H238" s="13"/>
      <c r="J238" s="13"/>
      <c r="L238" s="13"/>
      <c r="N238" s="31"/>
      <c r="O238" s="31"/>
      <c r="P238" s="3"/>
      <c r="Q238" s="124"/>
      <c r="R238" s="123"/>
      <c r="S238" s="123"/>
      <c r="T238" s="88" t="s">
        <v>89</v>
      </c>
      <c r="U238" s="109" t="s">
        <v>144</v>
      </c>
      <c r="V238" s="99">
        <v>83</v>
      </c>
      <c r="W238" s="99" t="s">
        <v>15</v>
      </c>
      <c r="X238" s="22" t="s">
        <v>95</v>
      </c>
      <c r="Y238" s="99" t="s">
        <v>8</v>
      </c>
      <c r="Z238" s="22"/>
      <c r="AA238" s="22"/>
    </row>
    <row r="239" spans="2:27" s="1" customFormat="1" ht="18" customHeight="1" x14ac:dyDescent="0.25">
      <c r="B239" s="31"/>
      <c r="D239" s="13"/>
      <c r="F239" s="13"/>
      <c r="H239" s="13"/>
      <c r="J239" s="13"/>
      <c r="L239" s="13"/>
      <c r="N239" s="31"/>
      <c r="O239" s="31"/>
      <c r="P239" s="3"/>
      <c r="Q239" s="126" t="s">
        <v>110</v>
      </c>
      <c r="R239" s="125">
        <v>4</v>
      </c>
      <c r="S239" s="125"/>
      <c r="T239" s="86" t="s">
        <v>91</v>
      </c>
      <c r="U239" s="23" t="s">
        <v>134</v>
      </c>
      <c r="V239" s="80">
        <v>0.23569999999999999</v>
      </c>
      <c r="W239" s="23" t="s">
        <v>6</v>
      </c>
      <c r="X239" s="24" t="s">
        <v>77</v>
      </c>
      <c r="Y239" s="9" t="s">
        <v>8</v>
      </c>
      <c r="Z239" s="1" t="s">
        <v>113</v>
      </c>
      <c r="AA239" s="3"/>
    </row>
    <row r="240" spans="2:27" s="1" customFormat="1" ht="18" customHeight="1" x14ac:dyDescent="0.25">
      <c r="B240" s="31"/>
      <c r="D240" s="13"/>
      <c r="F240" s="13"/>
      <c r="H240" s="13"/>
      <c r="J240" s="13"/>
      <c r="L240" s="13"/>
      <c r="N240" s="31"/>
      <c r="O240" s="31"/>
      <c r="P240" s="3"/>
      <c r="Q240" s="115"/>
      <c r="R240" s="112"/>
      <c r="S240" s="112"/>
      <c r="T240" s="86" t="s">
        <v>91</v>
      </c>
      <c r="U240" s="9" t="s">
        <v>11</v>
      </c>
      <c r="V240" s="84">
        <f>V239*700/1000*248</f>
        <v>40.917519999999996</v>
      </c>
      <c r="W240" s="9" t="s">
        <v>12</v>
      </c>
      <c r="X240" s="19" t="s">
        <v>66</v>
      </c>
      <c r="Y240" s="9" t="s">
        <v>8</v>
      </c>
      <c r="Z240" s="1" t="s">
        <v>113</v>
      </c>
      <c r="AA240" s="3"/>
    </row>
    <row r="241" spans="2:30" s="1" customFormat="1" ht="18" x14ac:dyDescent="0.25">
      <c r="B241" s="31"/>
      <c r="D241" s="13"/>
      <c r="F241" s="13"/>
      <c r="H241" s="13"/>
      <c r="J241" s="13"/>
      <c r="L241" s="13"/>
      <c r="N241" s="31"/>
      <c r="O241" s="31"/>
      <c r="P241" s="3"/>
      <c r="Q241" s="115"/>
      <c r="R241" s="112"/>
      <c r="S241" s="112"/>
      <c r="T241" s="86" t="s">
        <v>91</v>
      </c>
      <c r="U241" s="9" t="s">
        <v>115</v>
      </c>
      <c r="V241" s="84">
        <f>179*V239</f>
        <v>42.190300000000001</v>
      </c>
      <c r="W241" s="9" t="s">
        <v>13</v>
      </c>
      <c r="X241" s="19" t="s">
        <v>14</v>
      </c>
      <c r="Y241" s="9" t="s">
        <v>8</v>
      </c>
      <c r="Z241" s="1" t="s">
        <v>113</v>
      </c>
      <c r="AA241" s="3"/>
    </row>
    <row r="242" spans="2:30" s="1" customFormat="1" ht="18" x14ac:dyDescent="0.25">
      <c r="B242" s="13"/>
      <c r="D242" s="13"/>
      <c r="F242" s="13"/>
      <c r="H242" s="13"/>
      <c r="J242" s="13"/>
      <c r="L242" s="13"/>
      <c r="N242" s="31"/>
      <c r="O242" s="54"/>
      <c r="P242" s="3"/>
      <c r="Q242" s="115"/>
      <c r="R242" s="112"/>
      <c r="S242" s="112"/>
      <c r="T242" s="86" t="s">
        <v>91</v>
      </c>
      <c r="U242" s="9" t="s">
        <v>116</v>
      </c>
      <c r="V242" s="84">
        <f>V239*700/1000*50</f>
        <v>8.2494999999999994</v>
      </c>
      <c r="W242" s="9" t="s">
        <v>12</v>
      </c>
      <c r="X242" s="19" t="s">
        <v>66</v>
      </c>
      <c r="Y242" s="9" t="s">
        <v>8</v>
      </c>
      <c r="Z242" s="1" t="s">
        <v>113</v>
      </c>
      <c r="AA242" s="3"/>
    </row>
    <row r="243" spans="2:30" s="1" customFormat="1" ht="18" x14ac:dyDescent="0.25">
      <c r="B243" s="13"/>
      <c r="D243" s="13"/>
      <c r="F243" s="13"/>
      <c r="H243" s="13"/>
      <c r="J243" s="13"/>
      <c r="L243" s="13"/>
      <c r="N243" s="31"/>
      <c r="O243" s="31"/>
      <c r="P243" s="3"/>
      <c r="Q243" s="115"/>
      <c r="R243" s="112"/>
      <c r="S243" s="112"/>
      <c r="T243" s="86" t="s">
        <v>91</v>
      </c>
      <c r="U243" s="49" t="s">
        <v>135</v>
      </c>
      <c r="V243" s="9">
        <f>V239</f>
        <v>0.23569999999999999</v>
      </c>
      <c r="W243" s="9" t="s">
        <v>6</v>
      </c>
      <c r="X243" s="50" t="s">
        <v>68</v>
      </c>
      <c r="Y243" s="49" t="s">
        <v>8</v>
      </c>
      <c r="Z243" s="1" t="s">
        <v>113</v>
      </c>
      <c r="AA243" s="3"/>
    </row>
    <row r="244" spans="2:30" s="1" customFormat="1" ht="18" x14ac:dyDescent="0.25">
      <c r="B244" s="13"/>
      <c r="D244" s="13"/>
      <c r="F244" s="13"/>
      <c r="H244" s="13"/>
      <c r="J244" s="13"/>
      <c r="L244" s="13"/>
      <c r="N244" s="31"/>
      <c r="O244" s="31"/>
      <c r="P244" s="3"/>
      <c r="Q244" s="115"/>
      <c r="R244" s="112"/>
      <c r="S244" s="112"/>
      <c r="T244" s="86" t="s">
        <v>91</v>
      </c>
      <c r="U244" s="9" t="s">
        <v>126</v>
      </c>
      <c r="V244" s="84">
        <f>700/1000*V243*1*140</f>
        <v>23.098600000000001</v>
      </c>
      <c r="W244" s="9" t="s">
        <v>12</v>
      </c>
      <c r="X244" s="19" t="s">
        <v>66</v>
      </c>
      <c r="Y244" s="9" t="s">
        <v>8</v>
      </c>
      <c r="Z244" s="1" t="s">
        <v>113</v>
      </c>
      <c r="AA244" s="3"/>
    </row>
    <row r="245" spans="2:30" s="1" customFormat="1" ht="18" x14ac:dyDescent="0.25">
      <c r="B245" s="13"/>
      <c r="D245" s="13"/>
      <c r="F245" s="13"/>
      <c r="H245" s="13"/>
      <c r="J245" s="13"/>
      <c r="L245" s="13"/>
      <c r="N245" s="31"/>
      <c r="O245" s="31"/>
      <c r="P245" s="3"/>
      <c r="Q245" s="115"/>
      <c r="R245" s="112"/>
      <c r="S245" s="112"/>
      <c r="T245" s="96" t="s">
        <v>91</v>
      </c>
      <c r="U245" s="102" t="s">
        <v>145</v>
      </c>
      <c r="V245" s="103">
        <v>0</v>
      </c>
      <c r="W245" s="102" t="s">
        <v>15</v>
      </c>
      <c r="X245" s="104" t="s">
        <v>44</v>
      </c>
      <c r="Y245" s="102" t="s">
        <v>8</v>
      </c>
      <c r="Z245" s="104" t="s">
        <v>78</v>
      </c>
      <c r="AA245" s="3"/>
    </row>
    <row r="246" spans="2:30" s="1" customFormat="1" ht="18" x14ac:dyDescent="0.25">
      <c r="B246" s="13"/>
      <c r="D246" s="13"/>
      <c r="F246" s="13"/>
      <c r="H246" s="13"/>
      <c r="J246" s="13"/>
      <c r="L246" s="13"/>
      <c r="N246" s="31"/>
      <c r="O246" s="31"/>
      <c r="P246" s="3"/>
      <c r="Q246" s="115"/>
      <c r="R246" s="112"/>
      <c r="S246" s="112"/>
      <c r="T246" s="86" t="s">
        <v>91</v>
      </c>
      <c r="U246" s="9" t="s">
        <v>118</v>
      </c>
      <c r="V246" s="9">
        <f>V243*700/1000*0*32</f>
        <v>0</v>
      </c>
      <c r="W246" s="9" t="s">
        <v>12</v>
      </c>
      <c r="X246" s="19" t="s">
        <v>66</v>
      </c>
      <c r="Y246" s="9" t="s">
        <v>8</v>
      </c>
      <c r="Z246" s="1" t="s">
        <v>113</v>
      </c>
      <c r="AA246" s="52"/>
    </row>
    <row r="247" spans="2:30" s="1" customFormat="1" ht="18" x14ac:dyDescent="0.25">
      <c r="B247" s="13"/>
      <c r="D247" s="13"/>
      <c r="F247" s="13"/>
      <c r="H247" s="13"/>
      <c r="J247" s="13"/>
      <c r="L247" s="13"/>
      <c r="N247" s="31"/>
      <c r="O247" s="31"/>
      <c r="P247" s="3"/>
      <c r="Q247" s="115"/>
      <c r="R247" s="112"/>
      <c r="S247" s="112"/>
      <c r="T247" s="86" t="s">
        <v>91</v>
      </c>
      <c r="U247" s="108" t="s">
        <v>119</v>
      </c>
      <c r="V247" s="97">
        <f>700*V243*0</f>
        <v>0</v>
      </c>
      <c r="W247" s="97" t="s">
        <v>19</v>
      </c>
      <c r="X247" s="3" t="s">
        <v>20</v>
      </c>
      <c r="Y247" s="9" t="s">
        <v>8</v>
      </c>
      <c r="Z247" s="1" t="s">
        <v>113</v>
      </c>
      <c r="AA247" s="3"/>
    </row>
    <row r="248" spans="2:30" s="1" customFormat="1" ht="18" x14ac:dyDescent="0.25">
      <c r="B248" s="13"/>
      <c r="D248" s="13"/>
      <c r="F248" s="13"/>
      <c r="H248" s="13"/>
      <c r="J248" s="13"/>
      <c r="L248" s="13"/>
      <c r="N248" s="31"/>
      <c r="O248" s="31"/>
      <c r="P248" s="3"/>
      <c r="Q248" s="115"/>
      <c r="R248" s="112"/>
      <c r="S248" s="112"/>
      <c r="T248" s="86" t="s">
        <v>88</v>
      </c>
      <c r="U248" s="9" t="s">
        <v>132</v>
      </c>
      <c r="V248" s="97">
        <f>-V239</f>
        <v>-0.23569999999999999</v>
      </c>
      <c r="W248" s="3" t="s">
        <v>6</v>
      </c>
      <c r="X248" s="3" t="s">
        <v>37</v>
      </c>
      <c r="Y248" s="97" t="s">
        <v>8</v>
      </c>
      <c r="Z248" s="1" t="s">
        <v>113</v>
      </c>
      <c r="AA248" s="3"/>
    </row>
    <row r="249" spans="2:30" s="1" customFormat="1" ht="18" x14ac:dyDescent="0.25">
      <c r="B249" s="13"/>
      <c r="D249" s="13"/>
      <c r="F249" s="13"/>
      <c r="H249" s="13"/>
      <c r="J249" s="13"/>
      <c r="L249" s="13"/>
      <c r="N249" s="31"/>
      <c r="O249" s="31"/>
      <c r="P249" s="3"/>
      <c r="Q249" s="115"/>
      <c r="R249" s="112"/>
      <c r="S249" s="112"/>
      <c r="T249" s="86" t="s">
        <v>88</v>
      </c>
      <c r="U249" s="9" t="s">
        <v>11</v>
      </c>
      <c r="V249" s="84">
        <f>V248*700/1000*160</f>
        <v>-26.398399999999999</v>
      </c>
      <c r="W249" s="9" t="s">
        <v>12</v>
      </c>
      <c r="X249" s="19" t="s">
        <v>66</v>
      </c>
      <c r="Y249" s="9" t="s">
        <v>8</v>
      </c>
      <c r="Z249" s="1" t="s">
        <v>113</v>
      </c>
      <c r="AA249" s="5"/>
    </row>
    <row r="250" spans="2:30" s="1" customFormat="1" ht="18" x14ac:dyDescent="0.25">
      <c r="B250" s="13"/>
      <c r="D250" s="13"/>
      <c r="F250" s="13"/>
      <c r="H250" s="13"/>
      <c r="J250" s="13"/>
      <c r="L250" s="13"/>
      <c r="N250" s="31"/>
      <c r="O250" s="31"/>
      <c r="P250" s="3"/>
      <c r="Q250" s="115"/>
      <c r="R250" s="112"/>
      <c r="S250" s="112"/>
      <c r="T250" s="86" t="s">
        <v>88</v>
      </c>
      <c r="U250" s="9" t="s">
        <v>115</v>
      </c>
      <c r="V250" s="84">
        <f>17.95*V248</f>
        <v>-4.2308149999999998</v>
      </c>
      <c r="W250" s="9" t="s">
        <v>13</v>
      </c>
      <c r="X250" s="19" t="s">
        <v>14</v>
      </c>
      <c r="Y250" s="9" t="s">
        <v>8</v>
      </c>
      <c r="Z250" s="1" t="s">
        <v>113</v>
      </c>
      <c r="AA250" s="3"/>
    </row>
    <row r="251" spans="2:30" s="1" customFormat="1" ht="15" customHeight="1" x14ac:dyDescent="0.25">
      <c r="B251" s="13"/>
      <c r="D251" s="13"/>
      <c r="F251" s="13"/>
      <c r="H251" s="13"/>
      <c r="J251" s="13"/>
      <c r="L251" s="13"/>
      <c r="N251" s="31"/>
      <c r="O251" s="31"/>
      <c r="P251" s="3"/>
      <c r="Q251" s="115"/>
      <c r="R251" s="112"/>
      <c r="S251" s="112"/>
      <c r="T251" s="86" t="s">
        <v>88</v>
      </c>
      <c r="U251" s="9" t="s">
        <v>116</v>
      </c>
      <c r="V251" s="84">
        <f>V248*700/1000*50</f>
        <v>-8.2494999999999994</v>
      </c>
      <c r="W251" s="9" t="s">
        <v>12</v>
      </c>
      <c r="X251" s="19" t="s">
        <v>66</v>
      </c>
      <c r="Y251" s="9" t="s">
        <v>8</v>
      </c>
      <c r="Z251" s="1" t="s">
        <v>113</v>
      </c>
      <c r="AA251" s="3"/>
    </row>
    <row r="252" spans="2:30" s="1" customFormat="1" ht="18" x14ac:dyDescent="0.25">
      <c r="B252" s="13"/>
      <c r="D252" s="13"/>
      <c r="F252" s="13"/>
      <c r="H252" s="13"/>
      <c r="J252" s="13"/>
      <c r="L252" s="13"/>
      <c r="N252" s="31"/>
      <c r="O252" s="31"/>
      <c r="P252" s="3"/>
      <c r="Q252" s="115"/>
      <c r="R252" s="112"/>
      <c r="S252" s="112"/>
      <c r="T252" s="86" t="s">
        <v>88</v>
      </c>
      <c r="U252" s="49" t="s">
        <v>135</v>
      </c>
      <c r="V252" s="9">
        <f>V248</f>
        <v>-0.23569999999999999</v>
      </c>
      <c r="W252" s="9" t="s">
        <v>6</v>
      </c>
      <c r="X252" s="50" t="s">
        <v>68</v>
      </c>
      <c r="Y252" s="49" t="s">
        <v>8</v>
      </c>
      <c r="Z252" s="1" t="s">
        <v>113</v>
      </c>
      <c r="AA252" s="3"/>
    </row>
    <row r="253" spans="2:30" s="1" customFormat="1" ht="18" x14ac:dyDescent="0.25">
      <c r="B253" s="13"/>
      <c r="D253" s="13"/>
      <c r="F253" s="13"/>
      <c r="H253" s="13"/>
      <c r="J253" s="13"/>
      <c r="L253" s="13"/>
      <c r="N253" s="31"/>
      <c r="O253" s="31"/>
      <c r="P253" s="3"/>
      <c r="Q253" s="115"/>
      <c r="R253" s="112"/>
      <c r="S253" s="112"/>
      <c r="T253" s="86" t="s">
        <v>88</v>
      </c>
      <c r="U253" s="9" t="s">
        <v>118</v>
      </c>
      <c r="V253" s="93">
        <f>V252*700/1000*0.47</f>
        <v>-7.7545299999999998E-2</v>
      </c>
      <c r="W253" s="9" t="s">
        <v>12</v>
      </c>
      <c r="X253" s="19" t="s">
        <v>66</v>
      </c>
      <c r="Y253" s="9" t="s">
        <v>8</v>
      </c>
      <c r="Z253" s="1" t="s">
        <v>113</v>
      </c>
      <c r="AA253" s="3"/>
    </row>
    <row r="254" spans="2:30" s="1" customFormat="1" ht="18" x14ac:dyDescent="0.25">
      <c r="B254" s="13"/>
      <c r="D254" s="13"/>
      <c r="F254" s="13"/>
      <c r="H254" s="13"/>
      <c r="J254" s="13"/>
      <c r="L254" s="13"/>
      <c r="N254" s="31"/>
      <c r="O254" s="31"/>
      <c r="P254" s="3"/>
      <c r="Q254" s="115"/>
      <c r="R254" s="112"/>
      <c r="S254" s="112"/>
      <c r="T254" s="86" t="s">
        <v>88</v>
      </c>
      <c r="U254" s="108" t="s">
        <v>119</v>
      </c>
      <c r="V254" s="95">
        <f>V252*700*0.47</f>
        <v>-77.545299999999997</v>
      </c>
      <c r="W254" s="97" t="s">
        <v>19</v>
      </c>
      <c r="X254" s="3" t="s">
        <v>20</v>
      </c>
      <c r="Y254" s="97" t="s">
        <v>21</v>
      </c>
      <c r="Z254" s="3"/>
      <c r="AA254" s="3"/>
    </row>
    <row r="255" spans="2:30" s="1" customFormat="1" ht="18" x14ac:dyDescent="0.25">
      <c r="B255" s="13"/>
      <c r="D255" s="13"/>
      <c r="F255" s="13"/>
      <c r="H255" s="13"/>
      <c r="J255" s="13"/>
      <c r="L255" s="13"/>
      <c r="N255" s="31"/>
      <c r="O255" s="31"/>
      <c r="P255" s="3"/>
      <c r="Q255" s="115"/>
      <c r="R255" s="112"/>
      <c r="S255" s="112"/>
      <c r="T255" s="86" t="s">
        <v>88</v>
      </c>
      <c r="U255" s="9" t="s">
        <v>126</v>
      </c>
      <c r="V255" s="94">
        <f>V252*700/1000*0.53*100</f>
        <v>-8.7444699999999997</v>
      </c>
      <c r="W255" s="97" t="s">
        <v>12</v>
      </c>
      <c r="X255" s="19" t="s">
        <v>66</v>
      </c>
      <c r="Y255" s="9" t="s">
        <v>8</v>
      </c>
      <c r="Z255" s="1" t="s">
        <v>113</v>
      </c>
      <c r="AA255" s="3"/>
    </row>
    <row r="256" spans="2:30" s="1" customFormat="1" ht="18" x14ac:dyDescent="0.25">
      <c r="B256" s="13"/>
      <c r="D256" s="13"/>
      <c r="F256" s="13"/>
      <c r="H256" s="13"/>
      <c r="J256" s="13"/>
      <c r="L256" s="13"/>
      <c r="N256" s="31"/>
      <c r="O256" s="31"/>
      <c r="P256" s="3"/>
      <c r="Q256" s="115"/>
      <c r="R256" s="112"/>
      <c r="S256" s="112"/>
      <c r="T256" s="86" t="s">
        <v>88</v>
      </c>
      <c r="U256" s="102" t="s">
        <v>79</v>
      </c>
      <c r="V256" s="102">
        <f>-103.6</f>
        <v>-103.6</v>
      </c>
      <c r="W256" s="102" t="s">
        <v>15</v>
      </c>
      <c r="X256" s="104" t="s">
        <v>44</v>
      </c>
      <c r="Y256" s="103" t="s">
        <v>8</v>
      </c>
      <c r="Z256" s="1" t="s">
        <v>113</v>
      </c>
      <c r="AA256" s="104"/>
      <c r="AB256" s="3"/>
      <c r="AC256" s="3"/>
      <c r="AD256" s="3"/>
    </row>
    <row r="257" spans="2:31" s="1" customFormat="1" ht="18" x14ac:dyDescent="0.25">
      <c r="B257" s="13"/>
      <c r="D257" s="13"/>
      <c r="F257" s="13"/>
      <c r="H257" s="13"/>
      <c r="J257" s="13"/>
      <c r="L257" s="13"/>
      <c r="N257" s="31"/>
      <c r="O257" s="31"/>
      <c r="P257" s="3"/>
      <c r="Q257" s="124"/>
      <c r="R257" s="123"/>
      <c r="S257" s="123"/>
      <c r="T257" s="88" t="s">
        <v>90</v>
      </c>
      <c r="U257" s="109" t="s">
        <v>144</v>
      </c>
      <c r="V257" s="99">
        <v>103.6</v>
      </c>
      <c r="W257" s="99" t="s">
        <v>15</v>
      </c>
      <c r="X257" s="100" t="s">
        <v>95</v>
      </c>
      <c r="Y257" s="101" t="s">
        <v>8</v>
      </c>
      <c r="Z257" s="22"/>
      <c r="AA257" s="22"/>
      <c r="AB257" s="3"/>
      <c r="AC257" s="3"/>
      <c r="AD257" s="3"/>
      <c r="AE257" s="3"/>
    </row>
    <row r="258" spans="2:31" s="1" customFormat="1" ht="18" customHeight="1" x14ac:dyDescent="0.25">
      <c r="B258" s="13"/>
      <c r="D258" s="13"/>
      <c r="F258" s="13"/>
      <c r="H258" s="13"/>
      <c r="J258" s="13"/>
      <c r="L258" s="13"/>
      <c r="N258" s="31"/>
      <c r="O258" s="31"/>
      <c r="P258" s="3"/>
      <c r="Q258" s="120" t="s">
        <v>111</v>
      </c>
      <c r="R258" s="125">
        <v>5</v>
      </c>
      <c r="S258" s="125"/>
      <c r="T258" s="86" t="s">
        <v>92</v>
      </c>
      <c r="U258" s="102" t="s">
        <v>43</v>
      </c>
      <c r="V258" s="102">
        <v>195.47</v>
      </c>
      <c r="W258" s="102" t="s">
        <v>15</v>
      </c>
      <c r="X258" s="104" t="s">
        <v>44</v>
      </c>
      <c r="Y258" s="103" t="s">
        <v>8</v>
      </c>
      <c r="Z258" s="1" t="s">
        <v>113</v>
      </c>
      <c r="AA258" s="104"/>
    </row>
    <row r="259" spans="2:31" s="1" customFormat="1" ht="18" x14ac:dyDescent="0.25">
      <c r="B259" s="13"/>
      <c r="D259" s="13"/>
      <c r="F259" s="13"/>
      <c r="H259" s="13"/>
      <c r="J259" s="13"/>
      <c r="L259" s="13"/>
      <c r="N259" s="31"/>
      <c r="O259" s="31"/>
      <c r="P259" s="3"/>
      <c r="Q259" s="121"/>
      <c r="R259" s="112"/>
      <c r="S259" s="112"/>
      <c r="T259" s="86" t="s">
        <v>93</v>
      </c>
      <c r="U259" s="9" t="s">
        <v>11</v>
      </c>
      <c r="V259" s="84">
        <f>-700/1000*V239*100</f>
        <v>-16.498999999999999</v>
      </c>
      <c r="W259" s="9" t="s">
        <v>12</v>
      </c>
      <c r="X259" s="19" t="s">
        <v>66</v>
      </c>
      <c r="Y259" s="9" t="s">
        <v>8</v>
      </c>
      <c r="Z259" s="1" t="s">
        <v>113</v>
      </c>
      <c r="AA259" s="3"/>
    </row>
    <row r="260" spans="2:31" s="1" customFormat="1" ht="18.75" thickBot="1" x14ac:dyDescent="0.3">
      <c r="B260" s="13"/>
      <c r="D260" s="13"/>
      <c r="F260" s="13"/>
      <c r="H260" s="13"/>
      <c r="J260" s="13"/>
      <c r="L260" s="13"/>
      <c r="N260" s="31"/>
      <c r="O260" s="31"/>
      <c r="P260" s="3"/>
      <c r="Q260" s="122"/>
      <c r="R260" s="119"/>
      <c r="S260" s="119"/>
      <c r="T260" s="87" t="s">
        <v>93</v>
      </c>
      <c r="U260" s="89" t="s">
        <v>43</v>
      </c>
      <c r="V260" s="98">
        <v>-195.47</v>
      </c>
      <c r="W260" s="98" t="s">
        <v>15</v>
      </c>
      <c r="X260" s="2" t="s">
        <v>44</v>
      </c>
      <c r="Y260" s="68" t="s">
        <v>8</v>
      </c>
      <c r="Z260" s="1" t="s">
        <v>113</v>
      </c>
      <c r="AA260" s="2"/>
    </row>
    <row r="261" spans="2:31" s="1" customFormat="1" x14ac:dyDescent="0.25">
      <c r="B261" s="13"/>
      <c r="D261" s="13"/>
      <c r="F261" s="13"/>
      <c r="H261" s="13"/>
      <c r="J261" s="13"/>
      <c r="L261" s="13"/>
      <c r="N261" s="31"/>
      <c r="O261" s="31"/>
      <c r="P261" s="3"/>
      <c r="Q261" s="32"/>
      <c r="R261" s="5"/>
      <c r="S261" s="3"/>
      <c r="T261" s="3"/>
      <c r="U261" s="3"/>
      <c r="V261" s="3"/>
      <c r="W261" s="3"/>
      <c r="X261" s="3"/>
      <c r="Y261" s="3"/>
      <c r="Z261" s="3"/>
      <c r="AA261" s="3"/>
    </row>
    <row r="262" spans="2:31" s="1" customFormat="1" x14ac:dyDescent="0.25">
      <c r="B262" s="13"/>
      <c r="D262" s="13"/>
      <c r="F262" s="13"/>
      <c r="H262" s="13"/>
      <c r="J262" s="13"/>
      <c r="L262" s="13"/>
      <c r="N262" s="31"/>
      <c r="O262" s="31"/>
      <c r="P262" s="3"/>
      <c r="Q262" s="32"/>
      <c r="R262" s="5"/>
      <c r="S262" s="3"/>
      <c r="T262" s="3"/>
      <c r="U262" s="3"/>
      <c r="V262" s="3"/>
      <c r="W262" s="3"/>
      <c r="X262" s="3"/>
      <c r="Y262" s="3"/>
      <c r="Z262" s="3"/>
      <c r="AA262" s="3"/>
    </row>
    <row r="263" spans="2:31" s="1" customFormat="1" x14ac:dyDescent="0.25">
      <c r="B263" s="13"/>
      <c r="D263" s="13"/>
      <c r="F263" s="13"/>
      <c r="H263" s="13"/>
      <c r="J263" s="13"/>
      <c r="L263" s="13"/>
      <c r="N263" s="31"/>
      <c r="O263" s="31"/>
      <c r="P263" s="3"/>
      <c r="Q263" s="32"/>
      <c r="R263" s="5"/>
      <c r="S263" s="3"/>
      <c r="T263" s="3"/>
      <c r="U263" s="3"/>
      <c r="V263" s="3"/>
      <c r="W263" s="3"/>
      <c r="X263" s="3"/>
      <c r="Y263" s="3"/>
      <c r="Z263" s="3"/>
      <c r="AA263" s="3"/>
    </row>
    <row r="264" spans="2:31" s="1" customFormat="1" x14ac:dyDescent="0.25">
      <c r="B264" s="13"/>
      <c r="D264" s="13"/>
      <c r="F264" s="13"/>
      <c r="H264" s="13"/>
      <c r="J264" s="13"/>
      <c r="L264" s="13"/>
      <c r="N264" s="31"/>
      <c r="O264" s="31"/>
      <c r="P264" s="3"/>
      <c r="Q264" s="32"/>
      <c r="R264" s="5"/>
      <c r="S264" s="3"/>
      <c r="T264" s="3"/>
      <c r="U264" s="3"/>
      <c r="V264" s="3"/>
      <c r="W264" s="3"/>
      <c r="X264" s="3"/>
      <c r="Y264" s="3"/>
      <c r="Z264" s="3"/>
      <c r="AA264" s="3"/>
    </row>
    <row r="265" spans="2:31" s="1" customFormat="1" x14ac:dyDescent="0.25">
      <c r="B265" s="13"/>
      <c r="D265" s="13"/>
      <c r="F265" s="13"/>
      <c r="H265" s="13"/>
      <c r="J265" s="13"/>
      <c r="L265" s="13"/>
      <c r="N265" s="31"/>
      <c r="O265" s="31"/>
      <c r="P265" s="3"/>
      <c r="Q265" s="32"/>
      <c r="R265" s="5"/>
      <c r="S265" s="3"/>
      <c r="T265" s="3"/>
      <c r="U265" s="3"/>
      <c r="V265" s="3"/>
      <c r="W265" s="3"/>
      <c r="X265" s="3"/>
      <c r="Y265" s="3"/>
      <c r="Z265" s="3"/>
      <c r="AA265" s="3"/>
    </row>
    <row r="266" spans="2:31" s="1" customFormat="1" x14ac:dyDescent="0.25">
      <c r="B266" s="13"/>
      <c r="D266" s="13"/>
      <c r="F266" s="13"/>
      <c r="H266" s="13"/>
      <c r="J266" s="13"/>
      <c r="L266" s="13"/>
      <c r="N266" s="31"/>
      <c r="O266" s="31"/>
      <c r="P266" s="3"/>
      <c r="Q266" s="32"/>
      <c r="R266" s="5"/>
      <c r="S266" s="3"/>
      <c r="T266" s="3"/>
      <c r="U266" s="3"/>
      <c r="V266" s="3"/>
      <c r="W266" s="3"/>
      <c r="X266" s="3"/>
      <c r="Y266" s="3"/>
      <c r="Z266" s="3"/>
      <c r="AA266" s="3"/>
    </row>
    <row r="267" spans="2:31" s="1" customFormat="1" x14ac:dyDescent="0.25">
      <c r="B267" s="13"/>
      <c r="D267" s="13"/>
      <c r="F267" s="13"/>
      <c r="H267" s="13"/>
      <c r="J267" s="13"/>
      <c r="L267" s="13"/>
      <c r="N267" s="31"/>
      <c r="O267" s="31"/>
      <c r="P267" s="3"/>
      <c r="Q267" s="32"/>
      <c r="R267" s="5"/>
      <c r="S267" s="3"/>
      <c r="T267" s="3"/>
      <c r="U267" s="3"/>
      <c r="V267" s="3"/>
      <c r="W267" s="3"/>
      <c r="X267" s="3"/>
      <c r="Y267" s="3"/>
      <c r="Z267" s="3"/>
      <c r="AA267" s="3"/>
    </row>
    <row r="268" spans="2:31" s="1" customFormat="1" x14ac:dyDescent="0.25">
      <c r="B268" s="13"/>
      <c r="D268" s="13"/>
      <c r="F268" s="13"/>
      <c r="H268" s="13"/>
      <c r="J268" s="13"/>
      <c r="L268" s="13"/>
      <c r="N268" s="31"/>
      <c r="O268" s="31"/>
      <c r="P268" s="3"/>
      <c r="Q268" s="32"/>
      <c r="R268" s="5"/>
      <c r="S268" s="3"/>
      <c r="T268" s="3"/>
      <c r="U268" s="3"/>
      <c r="V268" s="3"/>
      <c r="W268" s="3"/>
      <c r="X268" s="3"/>
      <c r="Y268" s="3"/>
      <c r="Z268" s="3"/>
      <c r="AA268" s="3"/>
    </row>
    <row r="269" spans="2:31" s="1" customFormat="1" x14ac:dyDescent="0.25">
      <c r="B269" s="13"/>
      <c r="D269" s="13"/>
      <c r="F269" s="13"/>
      <c r="H269" s="13"/>
      <c r="J269" s="13"/>
      <c r="L269" s="13"/>
      <c r="N269" s="31"/>
      <c r="O269" s="31"/>
      <c r="P269" s="3"/>
      <c r="Q269" s="32"/>
      <c r="R269" s="5"/>
      <c r="S269" s="3"/>
      <c r="T269" s="3"/>
      <c r="U269" s="3"/>
      <c r="V269" s="3"/>
      <c r="W269" s="3"/>
      <c r="X269" s="3"/>
      <c r="Y269" s="3"/>
      <c r="Z269" s="3"/>
      <c r="AA269" s="3"/>
    </row>
    <row r="270" spans="2:31" s="1" customFormat="1" x14ac:dyDescent="0.25">
      <c r="B270" s="13"/>
      <c r="D270" s="13"/>
      <c r="F270" s="13"/>
      <c r="H270" s="13"/>
      <c r="J270" s="13"/>
      <c r="L270" s="13"/>
      <c r="N270" s="31"/>
      <c r="O270" s="31"/>
      <c r="P270" s="3"/>
      <c r="Q270" s="32"/>
      <c r="R270" s="5"/>
      <c r="S270" s="3"/>
      <c r="T270" s="3"/>
      <c r="U270" s="3"/>
      <c r="V270" s="3"/>
      <c r="W270" s="3"/>
      <c r="X270" s="3"/>
      <c r="Y270" s="3"/>
      <c r="Z270" s="3"/>
      <c r="AA270" s="3"/>
    </row>
    <row r="271" spans="2:31" s="1" customFormat="1" x14ac:dyDescent="0.25">
      <c r="B271" s="13"/>
      <c r="D271" s="13"/>
      <c r="F271" s="13"/>
      <c r="H271" s="13"/>
      <c r="J271" s="13"/>
      <c r="L271" s="13"/>
      <c r="N271" s="31"/>
      <c r="O271" s="31"/>
      <c r="P271" s="3"/>
      <c r="Q271" s="32"/>
      <c r="R271" s="5"/>
      <c r="S271" s="3"/>
      <c r="T271" s="3"/>
      <c r="U271" s="3"/>
      <c r="V271" s="3"/>
      <c r="W271" s="3"/>
      <c r="X271" s="3"/>
      <c r="Y271" s="3"/>
      <c r="Z271" s="3"/>
      <c r="AA271" s="3"/>
    </row>
    <row r="272" spans="2:31" s="1" customFormat="1" x14ac:dyDescent="0.25">
      <c r="B272" s="13"/>
      <c r="D272" s="13"/>
      <c r="F272" s="13"/>
      <c r="H272" s="13"/>
      <c r="J272" s="13"/>
      <c r="L272" s="13"/>
      <c r="N272" s="31"/>
      <c r="O272" s="31"/>
      <c r="P272" s="3"/>
      <c r="Q272" s="32"/>
      <c r="R272" s="5"/>
      <c r="S272" s="3"/>
      <c r="T272" s="3"/>
      <c r="U272" s="3"/>
      <c r="V272" s="3"/>
      <c r="W272" s="3"/>
      <c r="X272" s="3"/>
      <c r="Y272" s="3"/>
      <c r="Z272" s="3"/>
      <c r="AA272" s="3"/>
    </row>
    <row r="273" spans="2:27" s="1" customFormat="1" x14ac:dyDescent="0.25">
      <c r="B273" s="13"/>
      <c r="D273" s="13"/>
      <c r="F273" s="13"/>
      <c r="H273" s="13"/>
      <c r="J273" s="13"/>
      <c r="L273" s="13"/>
      <c r="N273" s="31"/>
      <c r="O273" s="31"/>
      <c r="P273" s="3"/>
      <c r="Q273" s="32"/>
      <c r="R273" s="5"/>
      <c r="S273" s="3"/>
      <c r="T273" s="3"/>
      <c r="U273" s="3"/>
      <c r="V273" s="3"/>
      <c r="W273" s="3"/>
      <c r="X273" s="3"/>
      <c r="Y273" s="3"/>
      <c r="Z273" s="3"/>
      <c r="AA273" s="3"/>
    </row>
    <row r="274" spans="2:27" s="1" customFormat="1" x14ac:dyDescent="0.25">
      <c r="B274" s="13"/>
      <c r="D274" s="13"/>
      <c r="F274" s="13"/>
      <c r="H274" s="13"/>
      <c r="J274" s="13"/>
      <c r="L274" s="13"/>
      <c r="N274" s="31"/>
      <c r="O274" s="31"/>
      <c r="P274" s="3"/>
      <c r="Q274" s="32"/>
      <c r="R274" s="5"/>
      <c r="S274" s="3"/>
      <c r="T274" s="3"/>
      <c r="U274" s="3"/>
      <c r="V274" s="3"/>
      <c r="W274" s="3"/>
      <c r="X274" s="3"/>
      <c r="Y274" s="3"/>
      <c r="Z274" s="3"/>
      <c r="AA274" s="3"/>
    </row>
    <row r="275" spans="2:27" s="1" customFormat="1" x14ac:dyDescent="0.25">
      <c r="B275" s="13"/>
      <c r="D275" s="13"/>
      <c r="F275" s="13"/>
      <c r="H275" s="13"/>
      <c r="J275" s="13"/>
      <c r="L275" s="13"/>
      <c r="N275" s="31"/>
      <c r="O275" s="31"/>
      <c r="P275" s="3"/>
      <c r="Q275" s="32"/>
      <c r="R275" s="5"/>
      <c r="S275" s="3"/>
      <c r="T275" s="3"/>
      <c r="U275" s="3"/>
      <c r="V275" s="3"/>
      <c r="W275" s="3"/>
      <c r="X275" s="3"/>
      <c r="Y275" s="3"/>
      <c r="Z275" s="3"/>
      <c r="AA275" s="3"/>
    </row>
    <row r="276" spans="2:27" s="1" customFormat="1" x14ac:dyDescent="0.25">
      <c r="B276" s="13"/>
      <c r="D276" s="13"/>
      <c r="F276" s="13"/>
      <c r="H276" s="13"/>
      <c r="J276" s="13"/>
      <c r="L276" s="13"/>
      <c r="N276" s="31"/>
      <c r="O276" s="31"/>
      <c r="P276" s="3"/>
      <c r="Q276" s="32"/>
      <c r="R276" s="5"/>
      <c r="S276" s="3"/>
      <c r="T276" s="3"/>
      <c r="U276" s="3"/>
      <c r="V276" s="3"/>
      <c r="W276" s="3"/>
      <c r="X276" s="3"/>
      <c r="Y276" s="3"/>
      <c r="Z276" s="3"/>
      <c r="AA276" s="3"/>
    </row>
    <row r="277" spans="2:27" s="1" customFormat="1" x14ac:dyDescent="0.25">
      <c r="B277" s="13"/>
      <c r="D277" s="13"/>
      <c r="F277" s="13"/>
      <c r="H277" s="13"/>
      <c r="J277" s="13"/>
      <c r="L277" s="13"/>
      <c r="N277" s="31"/>
      <c r="O277" s="31"/>
      <c r="P277" s="3"/>
      <c r="Q277" s="32"/>
      <c r="R277" s="5"/>
      <c r="S277" s="3"/>
      <c r="T277" s="3"/>
      <c r="U277" s="3"/>
      <c r="V277" s="3"/>
      <c r="W277" s="3"/>
      <c r="X277" s="3"/>
      <c r="Y277" s="3"/>
      <c r="Z277" s="3"/>
      <c r="AA277" s="3"/>
    </row>
    <row r="278" spans="2:27" s="1" customFormat="1" x14ac:dyDescent="0.25">
      <c r="B278" s="13"/>
      <c r="D278" s="13"/>
      <c r="F278" s="13"/>
      <c r="H278" s="13"/>
      <c r="J278" s="13"/>
      <c r="L278" s="13"/>
      <c r="N278" s="31"/>
      <c r="O278" s="31"/>
      <c r="P278" s="3"/>
      <c r="Q278" s="32"/>
      <c r="R278" s="5"/>
      <c r="S278" s="3"/>
      <c r="T278" s="3"/>
      <c r="U278" s="3"/>
      <c r="V278" s="3"/>
      <c r="W278" s="3"/>
      <c r="X278" s="3"/>
      <c r="Y278" s="3"/>
      <c r="Z278" s="3"/>
      <c r="AA278" s="3"/>
    </row>
    <row r="279" spans="2:27" s="1" customFormat="1" x14ac:dyDescent="0.25">
      <c r="B279" s="13"/>
      <c r="D279" s="13"/>
      <c r="F279" s="13"/>
      <c r="H279" s="13"/>
      <c r="J279" s="13"/>
      <c r="L279" s="13"/>
      <c r="N279" s="31"/>
      <c r="O279" s="31"/>
      <c r="P279" s="3"/>
      <c r="Q279" s="32"/>
      <c r="R279" s="5"/>
      <c r="S279" s="3"/>
      <c r="T279" s="3"/>
      <c r="U279" s="3"/>
      <c r="V279" s="3"/>
      <c r="W279" s="3"/>
      <c r="X279" s="3"/>
      <c r="Y279" s="3"/>
      <c r="Z279" s="3"/>
      <c r="AA279" s="3"/>
    </row>
    <row r="280" spans="2:27" s="1" customFormat="1" x14ac:dyDescent="0.25">
      <c r="B280" s="13"/>
      <c r="D280" s="13"/>
      <c r="F280" s="13"/>
      <c r="H280" s="13"/>
      <c r="J280" s="13"/>
      <c r="L280" s="13"/>
      <c r="N280" s="31"/>
      <c r="O280" s="31"/>
      <c r="P280" s="3"/>
      <c r="Q280" s="32"/>
      <c r="R280" s="5"/>
      <c r="S280" s="3"/>
      <c r="T280" s="3"/>
      <c r="U280" s="3"/>
      <c r="V280" s="3"/>
      <c r="W280" s="3"/>
      <c r="X280" s="3"/>
      <c r="Y280" s="3"/>
      <c r="Z280" s="3"/>
      <c r="AA280" s="3"/>
    </row>
    <row r="281" spans="2:27" s="1" customFormat="1" x14ac:dyDescent="0.25">
      <c r="B281" s="13"/>
      <c r="D281" s="13"/>
      <c r="F281" s="13"/>
      <c r="H281" s="13"/>
      <c r="J281" s="13"/>
      <c r="L281" s="13"/>
      <c r="N281" s="31"/>
      <c r="O281" s="31"/>
      <c r="P281" s="3"/>
      <c r="Q281" s="32"/>
      <c r="R281" s="5"/>
      <c r="S281" s="3"/>
      <c r="T281" s="3"/>
      <c r="U281" s="3"/>
      <c r="V281" s="3"/>
      <c r="W281" s="3"/>
      <c r="X281" s="3"/>
      <c r="Y281" s="3"/>
      <c r="Z281" s="3"/>
      <c r="AA281" s="3"/>
    </row>
    <row r="282" spans="2:27" s="1" customFormat="1" x14ac:dyDescent="0.25">
      <c r="B282" s="13"/>
      <c r="D282" s="13"/>
      <c r="F282" s="13"/>
      <c r="H282" s="13"/>
      <c r="J282" s="13"/>
      <c r="L282" s="13"/>
      <c r="N282" s="31"/>
      <c r="O282" s="31"/>
      <c r="P282" s="3"/>
      <c r="Q282" s="32"/>
      <c r="R282" s="5"/>
      <c r="S282" s="3"/>
      <c r="T282" s="3"/>
      <c r="U282" s="3"/>
      <c r="V282" s="3"/>
      <c r="W282" s="3"/>
      <c r="X282" s="3"/>
      <c r="Y282" s="3"/>
      <c r="Z282" s="3"/>
      <c r="AA282" s="3"/>
    </row>
    <row r="283" spans="2:27" s="1" customFormat="1" x14ac:dyDescent="0.25">
      <c r="B283" s="13"/>
      <c r="D283" s="13"/>
      <c r="F283" s="13"/>
      <c r="H283" s="13"/>
      <c r="J283" s="13"/>
      <c r="L283" s="13"/>
      <c r="N283" s="31"/>
      <c r="O283" s="31"/>
      <c r="P283" s="3"/>
      <c r="Q283" s="32"/>
      <c r="R283" s="5"/>
      <c r="S283" s="3"/>
      <c r="T283" s="3"/>
      <c r="U283" s="3"/>
      <c r="V283" s="3"/>
      <c r="W283" s="3"/>
      <c r="X283" s="3"/>
      <c r="Y283" s="3"/>
      <c r="Z283" s="3"/>
      <c r="AA283" s="3"/>
    </row>
    <row r="284" spans="2:27" s="1" customFormat="1" x14ac:dyDescent="0.25">
      <c r="B284" s="13"/>
      <c r="D284" s="13"/>
      <c r="F284" s="13"/>
      <c r="H284" s="13"/>
      <c r="J284" s="13"/>
      <c r="L284" s="13"/>
      <c r="N284" s="31"/>
      <c r="O284" s="31"/>
      <c r="P284" s="3"/>
      <c r="Q284" s="32"/>
      <c r="R284" s="5"/>
      <c r="S284" s="3"/>
      <c r="T284" s="3"/>
      <c r="U284" s="3"/>
      <c r="V284" s="3"/>
      <c r="W284" s="3"/>
      <c r="X284" s="3"/>
      <c r="Y284" s="3"/>
      <c r="Z284" s="3"/>
      <c r="AA284" s="3"/>
    </row>
    <row r="285" spans="2:27" s="1" customFormat="1" x14ac:dyDescent="0.25">
      <c r="B285" s="13"/>
      <c r="D285" s="13"/>
      <c r="F285" s="13"/>
      <c r="H285" s="13"/>
      <c r="J285" s="13"/>
      <c r="L285" s="13"/>
      <c r="N285" s="31"/>
      <c r="O285" s="31"/>
      <c r="P285" s="3"/>
      <c r="Q285" s="32"/>
      <c r="R285" s="5"/>
      <c r="S285" s="3"/>
      <c r="T285" s="3"/>
      <c r="U285" s="3"/>
      <c r="V285" s="3"/>
      <c r="W285" s="3"/>
      <c r="X285" s="3"/>
      <c r="Y285" s="3"/>
      <c r="Z285" s="3"/>
      <c r="AA285" s="3"/>
    </row>
    <row r="286" spans="2:27" s="1" customFormat="1" x14ac:dyDescent="0.25">
      <c r="B286" s="13"/>
      <c r="D286" s="13"/>
      <c r="F286" s="13"/>
      <c r="H286" s="13"/>
      <c r="J286" s="13"/>
      <c r="L286" s="13"/>
      <c r="N286" s="31"/>
      <c r="O286" s="31"/>
      <c r="P286" s="3"/>
      <c r="Q286" s="33"/>
      <c r="R286" s="5"/>
      <c r="S286" s="3"/>
      <c r="T286" s="3"/>
      <c r="U286" s="3"/>
      <c r="V286" s="3"/>
      <c r="W286" s="3"/>
      <c r="X286" s="3"/>
      <c r="Y286" s="3"/>
      <c r="Z286" s="3"/>
      <c r="AA286" s="3"/>
    </row>
    <row r="287" spans="2:27" s="1" customFormat="1" x14ac:dyDescent="0.25">
      <c r="B287" s="13"/>
      <c r="D287" s="13"/>
      <c r="F287" s="13"/>
      <c r="H287" s="13"/>
      <c r="J287" s="13"/>
      <c r="L287" s="13"/>
      <c r="N287" s="31"/>
      <c r="O287" s="31"/>
      <c r="P287" s="3"/>
      <c r="Q287" s="33"/>
      <c r="R287" s="5"/>
      <c r="S287" s="3"/>
      <c r="T287" s="3"/>
      <c r="U287" s="3"/>
      <c r="V287" s="3"/>
      <c r="W287" s="3"/>
      <c r="X287" s="3"/>
      <c r="Y287" s="3"/>
      <c r="Z287" s="3"/>
      <c r="AA287" s="3"/>
    </row>
    <row r="288" spans="2:27" s="1" customFormat="1" x14ac:dyDescent="0.25">
      <c r="B288" s="13"/>
      <c r="D288" s="13"/>
      <c r="F288" s="13"/>
      <c r="H288" s="13"/>
      <c r="J288" s="13"/>
      <c r="L288" s="13"/>
      <c r="N288" s="31"/>
      <c r="O288" s="31"/>
      <c r="P288" s="3"/>
      <c r="Q288" s="33"/>
      <c r="R288" s="5"/>
      <c r="S288" s="3"/>
      <c r="T288" s="3"/>
      <c r="U288" s="3"/>
      <c r="V288" s="3"/>
      <c r="W288" s="3"/>
      <c r="X288" s="3"/>
      <c r="Y288" s="3"/>
      <c r="Z288" s="3"/>
      <c r="AA288" s="3"/>
    </row>
    <row r="289" spans="2:27" s="1" customFormat="1" x14ac:dyDescent="0.25">
      <c r="B289" s="13"/>
      <c r="D289" s="13"/>
      <c r="F289" s="13"/>
      <c r="H289" s="13"/>
      <c r="J289" s="13"/>
      <c r="L289" s="13"/>
      <c r="N289" s="31"/>
      <c r="O289" s="31"/>
      <c r="P289" s="3"/>
      <c r="Q289" s="33"/>
      <c r="R289" s="5"/>
      <c r="S289" s="3"/>
      <c r="T289" s="3"/>
      <c r="U289" s="3"/>
      <c r="V289" s="3"/>
      <c r="W289" s="3"/>
      <c r="X289" s="3"/>
      <c r="Y289" s="3"/>
      <c r="Z289" s="3"/>
      <c r="AA289" s="3"/>
    </row>
    <row r="290" spans="2:27" s="1" customFormat="1" x14ac:dyDescent="0.25">
      <c r="B290" s="13"/>
      <c r="D290" s="13"/>
      <c r="F290" s="13"/>
      <c r="H290" s="13"/>
      <c r="J290" s="13"/>
      <c r="L290" s="13"/>
      <c r="N290" s="31"/>
      <c r="O290" s="31"/>
      <c r="P290" s="3"/>
      <c r="Q290" s="51"/>
      <c r="R290" s="14"/>
      <c r="S290" s="5"/>
      <c r="T290" s="14"/>
      <c r="U290" s="14"/>
      <c r="V290" s="14"/>
      <c r="W290" s="14"/>
      <c r="X290" s="14"/>
      <c r="Y290" s="3"/>
      <c r="Z290" s="3"/>
      <c r="AA290" s="3"/>
    </row>
    <row r="291" spans="2:27" s="1" customFormat="1" x14ac:dyDescent="0.25">
      <c r="B291" s="13"/>
      <c r="D291" s="13"/>
      <c r="F291" s="13"/>
      <c r="H291" s="13"/>
      <c r="J291" s="13"/>
      <c r="L291" s="13"/>
      <c r="N291" s="31"/>
      <c r="O291" s="31"/>
      <c r="P291" s="3"/>
      <c r="Q291" s="51"/>
      <c r="R291" s="14"/>
      <c r="S291" s="5"/>
      <c r="T291" s="14"/>
      <c r="U291" s="14"/>
      <c r="V291" s="14"/>
      <c r="W291" s="14"/>
      <c r="X291" s="14"/>
      <c r="Y291" s="3"/>
      <c r="Z291" s="3"/>
      <c r="AA291" s="3"/>
    </row>
    <row r="292" spans="2:27" s="1" customFormat="1" x14ac:dyDescent="0.25">
      <c r="B292" s="13"/>
      <c r="D292" s="13"/>
      <c r="F292" s="13"/>
      <c r="H292" s="13"/>
      <c r="J292" s="13"/>
      <c r="L292" s="13"/>
      <c r="N292" s="31"/>
      <c r="O292" s="31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spans="2:27" s="1" customFormat="1" x14ac:dyDescent="0.25">
      <c r="B293" s="13"/>
      <c r="D293" s="13"/>
      <c r="F293" s="13"/>
      <c r="H293" s="13"/>
      <c r="J293" s="13"/>
      <c r="L293" s="13"/>
      <c r="N293" s="31"/>
      <c r="O293" s="31"/>
      <c r="P293" s="3"/>
      <c r="Q293" s="52"/>
      <c r="R293" s="52"/>
      <c r="S293" s="52"/>
      <c r="T293" s="52"/>
      <c r="U293" s="52"/>
      <c r="V293" s="52"/>
      <c r="W293" s="52"/>
      <c r="X293" s="52"/>
      <c r="Y293" s="52"/>
      <c r="Z293" s="52"/>
      <c r="AA293" s="52"/>
    </row>
    <row r="294" spans="2:27" s="1" customFormat="1" x14ac:dyDescent="0.25">
      <c r="B294" s="13"/>
      <c r="D294" s="13"/>
      <c r="F294" s="13"/>
      <c r="H294" s="13"/>
      <c r="J294" s="13"/>
      <c r="L294" s="13"/>
      <c r="N294" s="31"/>
      <c r="O294" s="31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spans="2:27" s="1" customFormat="1" x14ac:dyDescent="0.25">
      <c r="B295" s="13"/>
      <c r="D295" s="13"/>
      <c r="F295" s="13"/>
      <c r="H295" s="13"/>
      <c r="J295" s="13"/>
      <c r="L295" s="13"/>
      <c r="N295" s="31"/>
      <c r="O295" s="31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spans="2:27" s="1" customFormat="1" x14ac:dyDescent="0.25">
      <c r="B296" s="13"/>
      <c r="D296" s="13"/>
      <c r="F296" s="13"/>
      <c r="H296" s="13"/>
      <c r="J296" s="13"/>
      <c r="L296" s="13"/>
      <c r="N296" s="31"/>
      <c r="O296" s="31"/>
      <c r="P296" s="3"/>
      <c r="Q296" s="51"/>
      <c r="R296" s="14"/>
      <c r="S296" s="5"/>
      <c r="T296" s="14"/>
      <c r="U296" s="14"/>
      <c r="V296" s="14"/>
      <c r="W296" s="14"/>
      <c r="X296" s="14"/>
      <c r="Y296" s="53"/>
      <c r="Z296" s="5"/>
      <c r="AA296" s="5"/>
    </row>
    <row r="297" spans="2:27" s="1" customFormat="1" x14ac:dyDescent="0.25">
      <c r="B297" s="13"/>
      <c r="D297" s="13"/>
      <c r="F297" s="13"/>
      <c r="H297" s="13"/>
      <c r="J297" s="13"/>
      <c r="L297" s="13"/>
      <c r="N297" s="31"/>
      <c r="O297" s="31"/>
      <c r="P297" s="3"/>
      <c r="Q297" s="32"/>
      <c r="R297" s="5"/>
      <c r="S297" s="3"/>
      <c r="T297" s="3"/>
      <c r="U297" s="3"/>
      <c r="V297" s="3"/>
      <c r="W297" s="3"/>
      <c r="X297" s="3"/>
      <c r="Y297" s="3"/>
      <c r="Z297" s="3"/>
      <c r="AA297" s="3"/>
    </row>
    <row r="298" spans="2:27" s="1" customFormat="1" x14ac:dyDescent="0.25">
      <c r="B298" s="13"/>
      <c r="D298" s="13"/>
      <c r="F298" s="13"/>
      <c r="H298" s="13"/>
      <c r="J298" s="13"/>
      <c r="L298" s="13"/>
      <c r="N298" s="31"/>
      <c r="O298" s="31"/>
      <c r="P298" s="3"/>
      <c r="Q298" s="32"/>
      <c r="R298" s="5"/>
      <c r="S298" s="3"/>
      <c r="T298" s="3"/>
      <c r="U298" s="3"/>
      <c r="V298" s="3"/>
      <c r="W298" s="3"/>
      <c r="X298" s="3"/>
      <c r="Y298" s="3"/>
      <c r="Z298" s="3"/>
      <c r="AA298" s="3"/>
    </row>
    <row r="299" spans="2:27" s="1" customFormat="1" x14ac:dyDescent="0.25">
      <c r="B299" s="13"/>
      <c r="D299" s="13"/>
      <c r="F299" s="13"/>
      <c r="H299" s="13"/>
      <c r="J299" s="13"/>
      <c r="L299" s="13"/>
      <c r="N299" s="31"/>
      <c r="O299" s="31"/>
      <c r="P299" s="3"/>
      <c r="Q299" s="32"/>
      <c r="R299" s="5"/>
      <c r="S299" s="3"/>
      <c r="T299" s="3"/>
      <c r="U299" s="3"/>
      <c r="V299" s="3"/>
      <c r="W299" s="3"/>
      <c r="X299" s="3"/>
      <c r="Y299" s="3"/>
      <c r="Z299" s="3"/>
      <c r="AA299" s="3"/>
    </row>
    <row r="300" spans="2:27" s="1" customFormat="1" x14ac:dyDescent="0.25">
      <c r="B300" s="13"/>
      <c r="D300" s="13"/>
      <c r="F300" s="13"/>
      <c r="H300" s="13"/>
      <c r="J300" s="13"/>
      <c r="L300" s="13"/>
      <c r="N300" s="31"/>
      <c r="O300" s="31"/>
      <c r="P300" s="3"/>
      <c r="Q300" s="32"/>
      <c r="R300" s="5"/>
      <c r="S300" s="3"/>
      <c r="T300" s="3"/>
      <c r="U300" s="3"/>
      <c r="V300" s="3"/>
      <c r="W300" s="3"/>
      <c r="X300" s="3"/>
      <c r="Y300" s="3"/>
      <c r="Z300" s="3"/>
      <c r="AA300" s="3"/>
    </row>
    <row r="301" spans="2:27" s="1" customFormat="1" x14ac:dyDescent="0.25">
      <c r="B301" s="13"/>
      <c r="C301" s="32"/>
      <c r="D301" s="5"/>
      <c r="E301" s="3"/>
      <c r="F301" s="14"/>
      <c r="G301" s="3"/>
      <c r="H301" s="3"/>
      <c r="I301" s="3"/>
      <c r="J301" s="3"/>
      <c r="K301" s="3"/>
      <c r="L301" s="3"/>
      <c r="M301" s="3"/>
      <c r="N301" s="31"/>
      <c r="O301" s="31"/>
      <c r="P301" s="3"/>
      <c r="Q301" s="32"/>
      <c r="R301" s="5"/>
      <c r="S301" s="3"/>
      <c r="T301" s="3"/>
      <c r="U301" s="3"/>
      <c r="V301" s="3"/>
      <c r="W301" s="3"/>
      <c r="X301" s="3"/>
      <c r="Y301" s="3"/>
      <c r="Z301" s="3"/>
      <c r="AA301" s="3"/>
    </row>
    <row r="302" spans="2:27" s="1" customFormat="1" x14ac:dyDescent="0.25">
      <c r="B302" s="13"/>
      <c r="C302" s="32"/>
      <c r="D302" s="5"/>
      <c r="E302" s="3"/>
      <c r="F302" s="14"/>
      <c r="G302" s="3"/>
      <c r="H302" s="3"/>
      <c r="I302" s="3"/>
      <c r="J302" s="3"/>
      <c r="K302" s="3"/>
      <c r="L302" s="3"/>
      <c r="M302" s="3"/>
      <c r="N302" s="31"/>
      <c r="O302" s="31"/>
      <c r="P302" s="3"/>
      <c r="Q302" s="32"/>
      <c r="R302" s="5"/>
      <c r="S302" s="3"/>
      <c r="T302" s="3"/>
      <c r="U302" s="3"/>
      <c r="V302" s="3"/>
      <c r="W302" s="3"/>
      <c r="X302" s="3"/>
      <c r="Y302" s="3"/>
      <c r="Z302" s="3"/>
      <c r="AA302" s="3"/>
    </row>
    <row r="303" spans="2:27" s="1" customFormat="1" x14ac:dyDescent="0.25">
      <c r="B303" s="13"/>
      <c r="C303" s="32"/>
      <c r="D303" s="5"/>
      <c r="E303" s="3"/>
      <c r="F303" s="3"/>
      <c r="G303" s="3"/>
      <c r="H303" s="3"/>
      <c r="I303" s="3"/>
      <c r="J303" s="3"/>
      <c r="K303" s="3"/>
      <c r="L303" s="3"/>
      <c r="M303" s="3"/>
      <c r="N303" s="31"/>
      <c r="O303" s="31"/>
      <c r="P303" s="3"/>
      <c r="Q303" s="32"/>
      <c r="R303" s="5"/>
      <c r="S303" s="3"/>
      <c r="T303" s="3"/>
      <c r="U303" s="3"/>
      <c r="V303" s="3"/>
      <c r="W303" s="3"/>
      <c r="X303" s="3"/>
      <c r="Y303" s="3"/>
      <c r="Z303" s="3"/>
      <c r="AA303" s="3"/>
    </row>
    <row r="304" spans="2:27" s="1" customFormat="1" x14ac:dyDescent="0.25">
      <c r="B304" s="13"/>
      <c r="C304" s="32"/>
      <c r="D304" s="5"/>
      <c r="E304" s="3"/>
      <c r="F304" s="52"/>
      <c r="G304" s="3"/>
      <c r="H304" s="3"/>
      <c r="I304" s="3"/>
      <c r="J304" s="3"/>
      <c r="K304" s="3"/>
      <c r="L304" s="3"/>
      <c r="M304" s="3"/>
      <c r="N304" s="31"/>
      <c r="O304" s="31"/>
      <c r="P304" s="3"/>
      <c r="Q304" s="32"/>
      <c r="R304" s="5"/>
      <c r="S304" s="3"/>
      <c r="T304" s="3"/>
      <c r="U304" s="3"/>
      <c r="V304" s="3"/>
      <c r="W304" s="3"/>
      <c r="X304" s="3"/>
      <c r="Y304" s="3"/>
      <c r="Z304" s="3"/>
      <c r="AA304" s="3"/>
    </row>
    <row r="305" spans="2:27" s="1" customFormat="1" x14ac:dyDescent="0.25">
      <c r="B305" s="13"/>
      <c r="C305" s="32"/>
      <c r="D305" s="5"/>
      <c r="E305" s="3"/>
      <c r="F305" s="3"/>
      <c r="G305" s="3"/>
      <c r="H305" s="3"/>
      <c r="I305" s="3"/>
      <c r="J305" s="3"/>
      <c r="K305" s="3"/>
      <c r="L305" s="3"/>
      <c r="M305" s="3"/>
      <c r="N305" s="31"/>
      <c r="O305" s="31"/>
      <c r="P305" s="3"/>
      <c r="Q305" s="32"/>
      <c r="R305" s="5"/>
      <c r="S305" s="3"/>
      <c r="T305" s="3"/>
      <c r="U305" s="3"/>
      <c r="V305" s="3"/>
      <c r="W305" s="3"/>
      <c r="X305" s="3"/>
      <c r="Y305" s="3"/>
      <c r="Z305" s="3"/>
      <c r="AA305" s="3"/>
    </row>
    <row r="306" spans="2:27" s="1" customFormat="1" x14ac:dyDescent="0.25">
      <c r="B306" s="13"/>
      <c r="C306" s="32"/>
      <c r="D306" s="5"/>
      <c r="E306" s="3"/>
      <c r="F306" s="3"/>
      <c r="G306" s="3"/>
      <c r="H306" s="3"/>
      <c r="I306" s="3"/>
      <c r="J306" s="3"/>
      <c r="K306" s="3"/>
      <c r="L306" s="3"/>
      <c r="M306" s="3"/>
      <c r="N306" s="31"/>
      <c r="O306" s="31"/>
      <c r="P306" s="3"/>
      <c r="Q306" s="32"/>
      <c r="R306" s="5"/>
      <c r="S306" s="3"/>
      <c r="T306" s="3"/>
      <c r="U306" s="3"/>
      <c r="V306" s="3"/>
      <c r="W306" s="3"/>
      <c r="X306" s="3"/>
      <c r="Y306" s="3"/>
      <c r="Z306" s="3"/>
      <c r="AA306" s="3"/>
    </row>
    <row r="307" spans="2:27" s="1" customFormat="1" x14ac:dyDescent="0.25">
      <c r="B307" s="13"/>
      <c r="C307" s="33"/>
      <c r="D307" s="5"/>
      <c r="E307" s="3"/>
      <c r="F307" s="14"/>
      <c r="G307" s="3"/>
      <c r="H307" s="3"/>
      <c r="I307" s="3"/>
      <c r="J307" s="3"/>
      <c r="K307" s="3"/>
      <c r="L307" s="3"/>
      <c r="M307" s="3"/>
      <c r="N307" s="31"/>
      <c r="O307" s="31"/>
      <c r="P307" s="3"/>
      <c r="Q307" s="32"/>
      <c r="R307" s="5"/>
      <c r="S307" s="3"/>
      <c r="T307" s="3"/>
      <c r="U307" s="3"/>
      <c r="V307" s="3"/>
      <c r="W307" s="3"/>
      <c r="X307" s="3"/>
      <c r="Y307" s="3"/>
      <c r="Z307" s="3"/>
      <c r="AA307" s="3"/>
    </row>
    <row r="308" spans="2:27" s="1" customFormat="1" x14ac:dyDescent="0.25">
      <c r="B308" s="13"/>
      <c r="C308" s="33"/>
      <c r="D308" s="5"/>
      <c r="E308" s="3"/>
      <c r="F308" s="3"/>
      <c r="G308" s="3"/>
      <c r="H308" s="3"/>
      <c r="I308" s="3"/>
      <c r="J308" s="3"/>
      <c r="K308" s="3"/>
      <c r="L308" s="3"/>
      <c r="M308" s="3"/>
      <c r="N308" s="31"/>
      <c r="O308" s="31"/>
      <c r="P308" s="3"/>
      <c r="Q308" s="32"/>
      <c r="R308" s="5"/>
      <c r="S308" s="3"/>
      <c r="T308" s="3"/>
      <c r="U308" s="3"/>
      <c r="V308" s="3"/>
      <c r="W308" s="3"/>
      <c r="X308" s="3"/>
      <c r="Y308" s="3"/>
      <c r="Z308" s="3"/>
      <c r="AA308" s="3"/>
    </row>
    <row r="309" spans="2:27" s="1" customFormat="1" x14ac:dyDescent="0.25">
      <c r="B309" s="13"/>
      <c r="C309" s="33"/>
      <c r="D309" s="5"/>
      <c r="E309" s="3"/>
      <c r="F309" s="3"/>
      <c r="G309" s="3"/>
      <c r="H309" s="3"/>
      <c r="I309" s="3"/>
      <c r="J309" s="3"/>
      <c r="K309" s="3"/>
      <c r="L309" s="3"/>
      <c r="M309" s="3"/>
      <c r="N309" s="31"/>
      <c r="O309" s="31"/>
      <c r="P309" s="3"/>
      <c r="Q309" s="32"/>
      <c r="R309" s="5"/>
      <c r="S309" s="3"/>
      <c r="T309" s="3"/>
      <c r="U309" s="3"/>
      <c r="V309" s="3"/>
      <c r="W309" s="3"/>
      <c r="X309" s="3"/>
      <c r="Y309" s="3"/>
      <c r="Z309" s="3"/>
      <c r="AA309" s="3"/>
    </row>
    <row r="310" spans="2:27" s="1" customFormat="1" x14ac:dyDescent="0.25">
      <c r="B310" s="13"/>
      <c r="C310" s="33"/>
      <c r="D310" s="5"/>
      <c r="E310" s="3"/>
      <c r="F310" s="3"/>
      <c r="G310" s="3"/>
      <c r="H310" s="3"/>
      <c r="I310" s="3"/>
      <c r="J310" s="3"/>
      <c r="K310" s="3"/>
      <c r="L310" s="3"/>
      <c r="M310" s="3"/>
      <c r="N310" s="31"/>
      <c r="O310" s="31"/>
      <c r="P310" s="3"/>
      <c r="Q310" s="32"/>
      <c r="R310" s="5"/>
      <c r="S310" s="3"/>
      <c r="T310" s="3"/>
      <c r="U310" s="3"/>
      <c r="V310" s="3"/>
      <c r="W310" s="3"/>
      <c r="X310" s="3"/>
      <c r="Y310" s="3"/>
      <c r="Z310" s="3"/>
      <c r="AA310" s="3"/>
    </row>
    <row r="311" spans="2:27" s="1" customFormat="1" x14ac:dyDescent="0.25">
      <c r="B311" s="13"/>
      <c r="C311" s="51"/>
      <c r="D311" s="14"/>
      <c r="E311" s="5"/>
      <c r="F311" s="3"/>
      <c r="G311" s="3"/>
      <c r="H311" s="3"/>
      <c r="I311" s="3"/>
      <c r="J311" s="3"/>
      <c r="K311" s="3"/>
      <c r="L311" s="3"/>
      <c r="M311" s="3"/>
      <c r="N311" s="31"/>
      <c r="O311" s="31"/>
      <c r="P311" s="3"/>
      <c r="Q311" s="32"/>
      <c r="R311" s="5"/>
      <c r="S311" s="3"/>
      <c r="T311" s="3"/>
      <c r="U311" s="3"/>
      <c r="V311" s="3"/>
      <c r="W311" s="3"/>
      <c r="X311" s="3"/>
      <c r="Y311" s="3"/>
      <c r="Z311" s="3"/>
      <c r="AA311" s="3"/>
    </row>
    <row r="312" spans="2:27" s="1" customFormat="1" x14ac:dyDescent="0.25">
      <c r="B312" s="13"/>
      <c r="C312" s="51"/>
      <c r="D312" s="14"/>
      <c r="E312" s="5"/>
      <c r="F312" s="3"/>
      <c r="G312" s="3"/>
      <c r="H312" s="3"/>
      <c r="I312" s="3"/>
      <c r="J312" s="3"/>
      <c r="K312" s="3"/>
      <c r="L312" s="3"/>
      <c r="M312" s="3"/>
      <c r="N312" s="31"/>
      <c r="O312" s="31"/>
      <c r="P312" s="3"/>
      <c r="Q312" s="32"/>
      <c r="R312" s="5"/>
      <c r="S312" s="3"/>
      <c r="T312" s="3"/>
      <c r="U312" s="3"/>
      <c r="V312" s="3"/>
      <c r="W312" s="3"/>
      <c r="X312" s="3"/>
      <c r="Y312" s="3"/>
      <c r="Z312" s="3"/>
      <c r="AA312" s="3"/>
    </row>
    <row r="313" spans="2:27" s="1" customFormat="1" x14ac:dyDescent="0.25">
      <c r="B313" s="1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1"/>
      <c r="O313" s="31"/>
      <c r="P313" s="3"/>
      <c r="Q313" s="32"/>
      <c r="R313" s="5"/>
      <c r="S313" s="3"/>
      <c r="T313" s="3"/>
      <c r="U313" s="3"/>
      <c r="V313" s="3"/>
      <c r="W313" s="3"/>
      <c r="X313" s="3"/>
      <c r="Y313" s="3"/>
      <c r="Z313" s="3"/>
      <c r="AA313" s="3"/>
    </row>
    <row r="314" spans="2:27" s="1" customFormat="1" x14ac:dyDescent="0.25">
      <c r="B314" s="13"/>
      <c r="C314" s="52"/>
      <c r="D314" s="52"/>
      <c r="E314" s="52"/>
      <c r="F314" s="3"/>
      <c r="G314" s="3"/>
      <c r="H314" s="3"/>
      <c r="I314" s="3"/>
      <c r="J314" s="3"/>
      <c r="K314" s="3"/>
      <c r="L314" s="3"/>
      <c r="M314" s="3"/>
      <c r="N314" s="31"/>
      <c r="O314" s="31"/>
      <c r="P314" s="3"/>
      <c r="Q314" s="32"/>
      <c r="R314" s="5"/>
      <c r="S314" s="3"/>
      <c r="T314" s="3"/>
      <c r="U314" s="3"/>
      <c r="V314" s="3"/>
      <c r="W314" s="3"/>
      <c r="X314" s="3"/>
      <c r="Y314" s="3"/>
      <c r="Z314" s="3"/>
      <c r="AA314" s="3"/>
    </row>
    <row r="315" spans="2:27" s="1" customFormat="1" x14ac:dyDescent="0.25">
      <c r="B315" s="1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1"/>
      <c r="O315" s="31"/>
      <c r="P315" s="3"/>
      <c r="Q315" s="32"/>
      <c r="R315" s="5"/>
      <c r="S315" s="3"/>
      <c r="T315" s="3"/>
      <c r="U315" s="3"/>
      <c r="V315" s="3"/>
      <c r="W315" s="3"/>
      <c r="X315" s="3"/>
      <c r="Y315" s="3"/>
      <c r="Z315" s="3"/>
      <c r="AA315" s="3"/>
    </row>
    <row r="316" spans="2:27" s="1" customFormat="1" x14ac:dyDescent="0.25">
      <c r="B316" s="1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1"/>
      <c r="O316" s="31"/>
      <c r="P316" s="3"/>
      <c r="Q316" s="32"/>
      <c r="R316" s="5"/>
      <c r="S316" s="3"/>
      <c r="T316" s="3"/>
      <c r="U316" s="3"/>
      <c r="V316" s="3"/>
      <c r="W316" s="3"/>
      <c r="X316" s="3"/>
      <c r="Y316" s="3"/>
      <c r="Z316" s="3"/>
      <c r="AA316" s="3"/>
    </row>
    <row r="317" spans="2:27" s="1" customFormat="1" x14ac:dyDescent="0.25">
      <c r="B317" s="13"/>
      <c r="C317" s="51"/>
      <c r="D317" s="14"/>
      <c r="E317" s="5"/>
      <c r="F317" s="3"/>
      <c r="G317" s="3"/>
      <c r="H317" s="3"/>
      <c r="I317" s="3"/>
      <c r="J317" s="3"/>
      <c r="K317" s="3"/>
      <c r="L317" s="3"/>
      <c r="M317" s="3"/>
      <c r="N317" s="31"/>
      <c r="O317" s="31"/>
      <c r="P317" s="3"/>
      <c r="Q317" s="32"/>
      <c r="R317" s="5"/>
      <c r="S317" s="3"/>
      <c r="T317" s="3"/>
      <c r="U317" s="3"/>
      <c r="V317" s="3"/>
      <c r="W317" s="3"/>
      <c r="X317" s="3"/>
      <c r="Y317" s="3"/>
      <c r="Z317" s="3"/>
      <c r="AA317" s="3"/>
    </row>
    <row r="318" spans="2:27" s="1" customFormat="1" x14ac:dyDescent="0.25">
      <c r="B318" s="13"/>
      <c r="C318" s="32"/>
      <c r="D318" s="5"/>
      <c r="E318" s="3"/>
      <c r="F318" s="3"/>
      <c r="G318" s="3"/>
      <c r="H318" s="3"/>
      <c r="I318" s="3"/>
      <c r="J318" s="3"/>
      <c r="K318" s="3"/>
      <c r="L318" s="3"/>
      <c r="M318" s="3"/>
      <c r="N318" s="31"/>
      <c r="O318" s="31"/>
      <c r="P318" s="3"/>
      <c r="Q318" s="32"/>
      <c r="R318" s="5"/>
      <c r="S318" s="3"/>
      <c r="T318" s="3"/>
      <c r="U318" s="3"/>
      <c r="V318" s="3"/>
      <c r="W318" s="3"/>
      <c r="X318" s="3"/>
      <c r="Y318" s="3"/>
      <c r="Z318" s="3"/>
      <c r="AA318" s="3"/>
    </row>
    <row r="319" spans="2:27" s="1" customFormat="1" x14ac:dyDescent="0.25">
      <c r="B319" s="13"/>
      <c r="C319" s="32"/>
      <c r="D319" s="5"/>
      <c r="E319" s="3"/>
      <c r="F319" s="3"/>
      <c r="G319" s="3"/>
      <c r="H319" s="3"/>
      <c r="I319" s="3"/>
      <c r="J319" s="3"/>
      <c r="K319" s="3"/>
      <c r="L319" s="3"/>
      <c r="M319" s="3"/>
      <c r="N319" s="31"/>
      <c r="O319" s="31"/>
      <c r="P319" s="3"/>
      <c r="Q319" s="32"/>
      <c r="R319" s="5"/>
      <c r="S319" s="3"/>
      <c r="T319" s="3"/>
      <c r="U319" s="3"/>
      <c r="V319" s="3"/>
      <c r="W319" s="3"/>
      <c r="X319" s="3"/>
      <c r="Y319" s="3"/>
      <c r="Z319" s="3"/>
      <c r="AA319" s="3"/>
    </row>
    <row r="320" spans="2:27" s="1" customFormat="1" x14ac:dyDescent="0.25">
      <c r="B320" s="13"/>
      <c r="C320" s="32"/>
      <c r="D320" s="5"/>
      <c r="E320" s="3"/>
      <c r="F320" s="3"/>
      <c r="G320" s="3"/>
      <c r="H320" s="3"/>
      <c r="I320" s="3"/>
      <c r="J320" s="3"/>
      <c r="K320" s="3"/>
      <c r="L320" s="3"/>
      <c r="M320" s="3"/>
      <c r="N320" s="31"/>
      <c r="O320" s="31"/>
      <c r="P320" s="3"/>
      <c r="Q320" s="32"/>
      <c r="R320" s="5"/>
      <c r="S320" s="3"/>
      <c r="T320" s="3"/>
      <c r="U320" s="3"/>
      <c r="V320" s="3"/>
      <c r="W320" s="3"/>
      <c r="X320" s="3"/>
      <c r="Y320" s="3"/>
      <c r="Z320" s="3"/>
      <c r="AA320" s="3"/>
    </row>
    <row r="321" spans="2:27" s="1" customFormat="1" x14ac:dyDescent="0.25">
      <c r="B321" s="13"/>
      <c r="C321" s="32"/>
      <c r="D321" s="5"/>
      <c r="E321" s="3"/>
      <c r="F321" s="3"/>
      <c r="G321" s="3"/>
      <c r="H321" s="3"/>
      <c r="I321" s="3"/>
      <c r="J321" s="3"/>
      <c r="K321" s="3"/>
      <c r="L321" s="3"/>
      <c r="M321" s="3"/>
      <c r="N321" s="31"/>
      <c r="O321" s="31"/>
      <c r="P321" s="3"/>
      <c r="Q321" s="32"/>
      <c r="R321" s="5"/>
      <c r="S321" s="3"/>
      <c r="T321" s="3"/>
      <c r="U321" s="3"/>
      <c r="V321" s="3"/>
      <c r="W321" s="3"/>
      <c r="X321" s="3"/>
      <c r="Y321" s="3"/>
      <c r="Z321" s="3"/>
      <c r="AA321" s="3"/>
    </row>
    <row r="322" spans="2:27" s="1" customFormat="1" x14ac:dyDescent="0.25">
      <c r="B322" s="13"/>
      <c r="C322" s="32"/>
      <c r="D322" s="5"/>
      <c r="E322" s="3"/>
      <c r="F322" s="3"/>
      <c r="G322" s="3"/>
      <c r="H322" s="3"/>
      <c r="I322" s="3"/>
      <c r="J322" s="3"/>
      <c r="K322" s="3"/>
      <c r="L322" s="3"/>
      <c r="M322" s="3"/>
      <c r="N322" s="31"/>
      <c r="O322" s="31"/>
      <c r="P322" s="3"/>
      <c r="Q322" s="32"/>
      <c r="R322" s="5"/>
      <c r="S322" s="3"/>
      <c r="T322" s="3"/>
      <c r="U322" s="3"/>
      <c r="V322" s="3"/>
      <c r="W322" s="3"/>
      <c r="X322" s="3"/>
      <c r="Y322" s="3"/>
      <c r="Z322" s="3"/>
      <c r="AA322" s="3"/>
    </row>
    <row r="323" spans="2:27" s="1" customFormat="1" x14ac:dyDescent="0.25">
      <c r="B323" s="13"/>
      <c r="C323" s="32"/>
      <c r="D323" s="5"/>
      <c r="E323" s="3"/>
      <c r="F323" s="3"/>
      <c r="G323" s="3"/>
      <c r="H323" s="3"/>
      <c r="I323" s="3"/>
      <c r="J323" s="3"/>
      <c r="K323" s="3"/>
      <c r="L323" s="3"/>
      <c r="M323" s="3"/>
      <c r="N323" s="31"/>
      <c r="O323" s="31"/>
      <c r="P323" s="3"/>
      <c r="Q323" s="32"/>
      <c r="R323" s="5"/>
      <c r="S323" s="3"/>
      <c r="T323" s="3"/>
      <c r="U323" s="3"/>
      <c r="V323" s="3"/>
      <c r="W323" s="3"/>
      <c r="X323" s="3"/>
      <c r="Y323" s="3"/>
      <c r="Z323" s="3"/>
      <c r="AA323" s="3"/>
    </row>
    <row r="324" spans="2:27" s="1" customFormat="1" x14ac:dyDescent="0.25">
      <c r="B324" s="13"/>
      <c r="C324" s="32"/>
      <c r="D324" s="5"/>
      <c r="E324" s="3"/>
      <c r="F324" s="3"/>
      <c r="G324" s="3"/>
      <c r="H324" s="3"/>
      <c r="I324" s="3"/>
      <c r="J324" s="3"/>
      <c r="K324" s="3"/>
      <c r="L324" s="3"/>
      <c r="M324" s="3"/>
      <c r="N324" s="52"/>
      <c r="O324" s="52"/>
      <c r="P324" s="52"/>
      <c r="Q324" s="32"/>
      <c r="R324" s="5"/>
      <c r="S324" s="3"/>
      <c r="T324" s="3"/>
      <c r="U324" s="3"/>
      <c r="V324" s="3"/>
      <c r="W324" s="3"/>
      <c r="X324" s="3"/>
      <c r="Y324" s="3"/>
      <c r="Z324" s="3"/>
      <c r="AA324" s="3"/>
    </row>
    <row r="325" spans="2:27" s="1" customFormat="1" x14ac:dyDescent="0.25">
      <c r="B325" s="13"/>
      <c r="C325" s="32"/>
      <c r="D325" s="5"/>
      <c r="E325" s="3"/>
      <c r="F325" s="3"/>
      <c r="G325" s="3"/>
      <c r="H325" s="3"/>
      <c r="I325" s="3"/>
      <c r="J325" s="3"/>
      <c r="K325" s="3"/>
      <c r="L325" s="3"/>
      <c r="M325" s="3"/>
      <c r="N325" s="31"/>
      <c r="O325" s="31"/>
      <c r="P325" s="3"/>
      <c r="Q325" s="32"/>
      <c r="R325" s="5"/>
      <c r="S325" s="3"/>
      <c r="T325" s="3"/>
      <c r="U325" s="3"/>
      <c r="V325" s="3"/>
      <c r="W325" s="3"/>
      <c r="X325" s="3"/>
      <c r="Y325" s="3"/>
      <c r="Z325" s="3"/>
      <c r="AA325" s="3"/>
    </row>
    <row r="326" spans="2:27" s="1" customFormat="1" x14ac:dyDescent="0.25">
      <c r="B326" s="13"/>
      <c r="C326" s="32"/>
      <c r="D326" s="5"/>
      <c r="E326" s="3"/>
      <c r="F326" s="3"/>
      <c r="G326" s="3"/>
      <c r="H326" s="3"/>
      <c r="I326" s="3"/>
      <c r="J326" s="3"/>
      <c r="K326" s="3"/>
      <c r="L326" s="3"/>
      <c r="M326" s="3"/>
      <c r="N326" s="31"/>
      <c r="O326" s="31"/>
      <c r="P326" s="3"/>
      <c r="Q326" s="32"/>
      <c r="R326" s="5"/>
      <c r="S326" s="3"/>
      <c r="T326" s="3"/>
      <c r="U326" s="3"/>
      <c r="V326" s="3"/>
      <c r="W326" s="3"/>
      <c r="X326" s="3"/>
      <c r="Y326" s="3"/>
      <c r="Z326" s="3"/>
      <c r="AA326" s="3"/>
    </row>
    <row r="327" spans="2:27" s="1" customFormat="1" x14ac:dyDescent="0.25">
      <c r="B327" s="13"/>
      <c r="C327" s="32"/>
      <c r="D327" s="5"/>
      <c r="E327" s="3"/>
      <c r="F327" s="3"/>
      <c r="G327" s="3"/>
      <c r="H327" s="3"/>
      <c r="I327" s="3"/>
      <c r="J327" s="3"/>
      <c r="K327" s="3"/>
      <c r="L327" s="3"/>
      <c r="M327" s="3"/>
      <c r="N327" s="31"/>
      <c r="O327" s="31"/>
      <c r="P327" s="3"/>
      <c r="Q327" s="32"/>
      <c r="R327" s="5"/>
      <c r="S327" s="3"/>
      <c r="T327" s="3"/>
      <c r="U327" s="3"/>
      <c r="V327" s="3"/>
      <c r="W327" s="3"/>
      <c r="X327" s="3"/>
      <c r="Y327" s="3"/>
      <c r="Z327" s="3"/>
      <c r="AA327" s="3"/>
    </row>
    <row r="328" spans="2:27" s="1" customFormat="1" x14ac:dyDescent="0.25">
      <c r="B328" s="13"/>
      <c r="C328" s="32"/>
      <c r="D328" s="5"/>
      <c r="E328" s="3"/>
      <c r="F328" s="3"/>
      <c r="G328" s="3"/>
      <c r="H328" s="3"/>
      <c r="I328" s="3"/>
      <c r="J328" s="3"/>
      <c r="K328" s="3"/>
      <c r="L328" s="3"/>
      <c r="M328" s="3"/>
      <c r="N328" s="31"/>
      <c r="O328" s="31"/>
      <c r="P328" s="3"/>
      <c r="Q328" s="32"/>
      <c r="R328" s="5"/>
      <c r="S328" s="3"/>
      <c r="T328" s="3"/>
      <c r="U328" s="3"/>
      <c r="V328" s="3"/>
      <c r="W328" s="3"/>
      <c r="X328" s="3"/>
      <c r="Y328" s="3"/>
      <c r="Z328" s="3"/>
      <c r="AA328" s="3"/>
    </row>
    <row r="329" spans="2:27" s="1" customFormat="1" x14ac:dyDescent="0.25">
      <c r="B329" s="13"/>
      <c r="C329" s="32"/>
      <c r="D329" s="5"/>
      <c r="E329" s="3"/>
      <c r="F329" s="3"/>
      <c r="G329" s="3"/>
      <c r="H329" s="3"/>
      <c r="I329" s="3"/>
      <c r="J329" s="3"/>
      <c r="K329" s="3"/>
      <c r="L329" s="3"/>
      <c r="M329" s="3"/>
      <c r="N329" s="31"/>
      <c r="O329" s="31"/>
      <c r="P329" s="3"/>
      <c r="Q329" s="32"/>
      <c r="R329" s="5"/>
      <c r="S329" s="3"/>
      <c r="T329" s="3"/>
      <c r="U329" s="3"/>
      <c r="V329" s="3"/>
      <c r="W329" s="3"/>
      <c r="X329" s="3"/>
      <c r="Y329" s="3"/>
      <c r="Z329" s="3"/>
      <c r="AA329" s="3"/>
    </row>
    <row r="330" spans="2:27" s="1" customFormat="1" x14ac:dyDescent="0.25">
      <c r="B330" s="13"/>
      <c r="C330" s="32"/>
      <c r="D330" s="5"/>
      <c r="E330" s="3"/>
      <c r="F330" s="3"/>
      <c r="G330" s="3"/>
      <c r="H330" s="3"/>
      <c r="I330" s="3"/>
      <c r="J330" s="3"/>
      <c r="K330" s="3"/>
      <c r="L330" s="3"/>
      <c r="M330" s="3"/>
      <c r="N330" s="31"/>
      <c r="O330" s="31"/>
      <c r="P330" s="3"/>
      <c r="Q330" s="32"/>
      <c r="R330" s="5"/>
      <c r="S330" s="3"/>
      <c r="T330" s="3"/>
      <c r="U330" s="3"/>
      <c r="V330" s="3"/>
      <c r="W330" s="3"/>
      <c r="X330" s="3"/>
      <c r="Y330" s="3"/>
      <c r="Z330" s="3"/>
      <c r="AA330" s="3"/>
    </row>
    <row r="331" spans="2:27" s="1" customFormat="1" x14ac:dyDescent="0.25">
      <c r="B331" s="13"/>
      <c r="C331" s="32"/>
      <c r="D331" s="5"/>
      <c r="E331" s="3"/>
      <c r="F331" s="3"/>
      <c r="G331" s="3"/>
      <c r="H331" s="3"/>
      <c r="I331" s="3"/>
      <c r="J331" s="3"/>
      <c r="K331" s="3"/>
      <c r="L331" s="3"/>
      <c r="M331" s="3"/>
      <c r="N331" s="31"/>
      <c r="O331" s="31"/>
      <c r="P331" s="3"/>
      <c r="Q331" s="32"/>
      <c r="R331" s="5"/>
      <c r="S331" s="3"/>
      <c r="T331" s="3"/>
      <c r="U331" s="3"/>
      <c r="V331" s="3"/>
      <c r="W331" s="3"/>
      <c r="X331" s="3"/>
      <c r="Y331" s="3"/>
      <c r="Z331" s="3"/>
      <c r="AA331" s="3"/>
    </row>
    <row r="332" spans="2:27" s="1" customFormat="1" x14ac:dyDescent="0.25">
      <c r="B332" s="13"/>
      <c r="C332" s="32"/>
      <c r="D332" s="5"/>
      <c r="E332" s="3"/>
      <c r="F332" s="3"/>
      <c r="G332" s="3"/>
      <c r="H332" s="3"/>
      <c r="I332" s="3"/>
      <c r="J332" s="3"/>
      <c r="K332" s="3"/>
      <c r="L332" s="3"/>
      <c r="M332" s="3"/>
      <c r="N332" s="13"/>
      <c r="O332" s="13"/>
      <c r="Q332" s="32"/>
      <c r="R332" s="5"/>
      <c r="S332" s="3"/>
      <c r="T332" s="3"/>
      <c r="U332" s="3"/>
      <c r="V332" s="3"/>
      <c r="W332" s="3"/>
      <c r="X332" s="3"/>
      <c r="Y332" s="3"/>
      <c r="Z332" s="3"/>
      <c r="AA332" s="3"/>
    </row>
    <row r="333" spans="2:27" s="1" customFormat="1" x14ac:dyDescent="0.25">
      <c r="B333" s="13"/>
      <c r="C333" s="32"/>
      <c r="D333" s="5"/>
      <c r="E333" s="3"/>
      <c r="F333" s="3"/>
      <c r="G333" s="3"/>
      <c r="H333" s="3"/>
      <c r="I333" s="3"/>
      <c r="J333" s="3"/>
      <c r="K333" s="3"/>
      <c r="L333" s="3"/>
      <c r="M333" s="3"/>
      <c r="N333" s="13"/>
      <c r="O333" s="13"/>
      <c r="Q333" s="33"/>
      <c r="R333" s="5"/>
      <c r="S333" s="3"/>
      <c r="T333" s="3"/>
      <c r="U333" s="3"/>
      <c r="V333" s="3"/>
      <c r="W333" s="3"/>
      <c r="X333" s="3"/>
      <c r="Y333" s="3"/>
      <c r="Z333" s="3"/>
      <c r="AA333" s="3"/>
    </row>
    <row r="334" spans="2:27" s="1" customFormat="1" x14ac:dyDescent="0.25">
      <c r="B334" s="13"/>
      <c r="C334" s="32"/>
      <c r="D334" s="5"/>
      <c r="E334" s="3"/>
      <c r="F334" s="3"/>
      <c r="G334" s="3"/>
      <c r="H334" s="3"/>
      <c r="I334" s="3"/>
      <c r="J334" s="3"/>
      <c r="K334" s="3"/>
      <c r="L334" s="3"/>
      <c r="M334" s="3"/>
      <c r="N334" s="13"/>
      <c r="O334" s="13"/>
      <c r="Q334" s="33"/>
      <c r="R334" s="5"/>
      <c r="S334" s="3"/>
      <c r="T334" s="3"/>
      <c r="U334" s="3"/>
      <c r="V334" s="3"/>
      <c r="W334" s="3"/>
      <c r="X334" s="3"/>
      <c r="Y334" s="3"/>
      <c r="Z334" s="3"/>
      <c r="AA334" s="3"/>
    </row>
    <row r="335" spans="2:27" x14ac:dyDescent="0.25">
      <c r="C335" s="32"/>
      <c r="D335" s="5"/>
      <c r="E335" s="3"/>
      <c r="F335" s="3"/>
      <c r="G335" s="3"/>
      <c r="H335" s="3"/>
      <c r="I335" s="3"/>
      <c r="J335" s="3"/>
      <c r="K335" s="3"/>
      <c r="L335" s="3"/>
      <c r="M335" s="3"/>
      <c r="Q335" s="33"/>
      <c r="R335" s="5"/>
      <c r="S335" s="3"/>
      <c r="T335" s="3"/>
      <c r="U335" s="3"/>
      <c r="V335" s="3"/>
      <c r="W335" s="3"/>
      <c r="X335" s="3"/>
      <c r="Y335" s="3"/>
      <c r="Z335" s="3"/>
      <c r="AA335" s="3"/>
    </row>
    <row r="336" spans="2:27" x14ac:dyDescent="0.25">
      <c r="C336" s="32"/>
      <c r="D336" s="5"/>
      <c r="E336" s="3"/>
      <c r="F336" s="3"/>
      <c r="G336" s="3"/>
      <c r="H336" s="3"/>
      <c r="I336" s="3"/>
      <c r="J336" s="3"/>
      <c r="K336" s="3"/>
      <c r="L336" s="3"/>
      <c r="M336" s="3"/>
      <c r="N336" s="1"/>
      <c r="O336" s="1"/>
      <c r="Q336" s="33"/>
      <c r="R336" s="5"/>
      <c r="S336" s="3"/>
      <c r="T336" s="3"/>
      <c r="U336" s="3"/>
      <c r="V336" s="3"/>
      <c r="W336" s="3"/>
      <c r="X336" s="3"/>
      <c r="Y336" s="3"/>
      <c r="Z336" s="3"/>
      <c r="AA336" s="3"/>
    </row>
    <row r="337" spans="2:27" s="1" customFormat="1" x14ac:dyDescent="0.25">
      <c r="B337" s="13"/>
      <c r="C337" s="32"/>
      <c r="D337" s="5"/>
      <c r="E337" s="3"/>
      <c r="F337" s="3"/>
      <c r="G337" s="3"/>
      <c r="H337" s="3"/>
      <c r="I337" s="3"/>
      <c r="J337" s="3"/>
      <c r="K337" s="3"/>
      <c r="L337" s="3"/>
      <c r="M337" s="3"/>
      <c r="N337" s="13"/>
      <c r="O337" s="1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spans="2:27" s="1" customFormat="1" x14ac:dyDescent="0.25">
      <c r="B338" s="13"/>
      <c r="C338" s="32"/>
      <c r="D338" s="5"/>
      <c r="E338" s="3"/>
      <c r="F338" s="3"/>
      <c r="G338" s="3"/>
      <c r="H338" s="3"/>
      <c r="I338" s="3"/>
      <c r="J338" s="3"/>
      <c r="K338" s="3"/>
      <c r="L338" s="3"/>
      <c r="M338" s="3"/>
      <c r="N338" s="13"/>
      <c r="O338" s="1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spans="2:27" x14ac:dyDescent="0.25">
      <c r="C339" s="32"/>
      <c r="D339" s="5"/>
      <c r="E339" s="3"/>
      <c r="F339" s="3"/>
      <c r="G339" s="3"/>
      <c r="H339" s="3"/>
      <c r="I339" s="3"/>
      <c r="J339" s="3"/>
      <c r="K339" s="3"/>
      <c r="L339" s="3"/>
      <c r="M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spans="2:27" x14ac:dyDescent="0.25">
      <c r="C340" s="32"/>
      <c r="D340" s="5"/>
      <c r="E340" s="3"/>
      <c r="F340" s="3"/>
      <c r="G340" s="3"/>
      <c r="H340" s="3"/>
      <c r="I340" s="3"/>
      <c r="J340" s="3"/>
      <c r="K340" s="3"/>
      <c r="L340" s="3"/>
      <c r="M340" s="3"/>
      <c r="Q340" s="52"/>
      <c r="R340" s="52"/>
      <c r="S340" s="52"/>
      <c r="T340" s="52"/>
      <c r="U340" s="52"/>
      <c r="V340" s="52"/>
      <c r="W340" s="52"/>
      <c r="X340" s="52"/>
      <c r="Y340" s="52"/>
      <c r="Z340" s="52"/>
      <c r="AA340" s="52"/>
    </row>
    <row r="341" spans="2:27" x14ac:dyDescent="0.25">
      <c r="C341" s="32"/>
      <c r="D341" s="5"/>
      <c r="E341" s="3"/>
      <c r="F341" s="3"/>
      <c r="G341" s="52"/>
      <c r="H341" s="52"/>
      <c r="I341" s="52"/>
      <c r="J341" s="52"/>
      <c r="K341" s="52"/>
      <c r="L341" s="52"/>
      <c r="M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spans="2:27" x14ac:dyDescent="0.25">
      <c r="C342" s="32"/>
      <c r="D342" s="5"/>
      <c r="E342" s="3"/>
      <c r="F342" s="3"/>
      <c r="G342" s="3"/>
      <c r="H342" s="3"/>
      <c r="I342" s="3"/>
      <c r="J342" s="3"/>
      <c r="K342" s="3"/>
      <c r="L342" s="3"/>
      <c r="M342" s="52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spans="2:27" x14ac:dyDescent="0.25">
      <c r="C343" s="32"/>
      <c r="D343" s="5"/>
      <c r="E343" s="3"/>
      <c r="F343" s="3"/>
      <c r="G343" s="3"/>
      <c r="H343" s="3"/>
      <c r="I343" s="3"/>
      <c r="J343" s="3"/>
      <c r="K343" s="3"/>
      <c r="L343" s="3"/>
      <c r="M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spans="2:27" x14ac:dyDescent="0.25">
      <c r="C344" s="32"/>
      <c r="D344" s="5"/>
      <c r="E344" s="3"/>
      <c r="F344" s="3"/>
      <c r="G344" s="3"/>
      <c r="H344" s="3"/>
      <c r="I344" s="3"/>
      <c r="J344" s="3"/>
      <c r="K344" s="3"/>
      <c r="L344" s="3"/>
      <c r="M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spans="2:27" x14ac:dyDescent="0.25">
      <c r="C345" s="32"/>
      <c r="D345" s="5"/>
      <c r="E345" s="3"/>
      <c r="F345" s="3"/>
      <c r="G345" s="3"/>
      <c r="H345" s="3"/>
      <c r="I345" s="3"/>
      <c r="J345" s="3"/>
      <c r="K345" s="3"/>
      <c r="L345" s="3"/>
      <c r="M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spans="2:27" x14ac:dyDescent="0.25">
      <c r="C346" s="32"/>
      <c r="D346" s="5"/>
      <c r="E346" s="3"/>
      <c r="F346" s="3"/>
      <c r="G346" s="3"/>
      <c r="H346" s="3"/>
      <c r="I346" s="3"/>
      <c r="J346" s="3"/>
      <c r="K346" s="3"/>
      <c r="L346" s="3"/>
      <c r="M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spans="2:27" x14ac:dyDescent="0.25">
      <c r="C347" s="32"/>
      <c r="D347" s="5"/>
      <c r="E347" s="3"/>
      <c r="F347" s="3"/>
      <c r="G347" s="3"/>
      <c r="H347" s="3"/>
      <c r="I347" s="3"/>
      <c r="J347" s="3"/>
      <c r="K347" s="3"/>
      <c r="L347" s="3"/>
      <c r="M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spans="2:27" x14ac:dyDescent="0.25">
      <c r="C348" s="32"/>
      <c r="D348" s="5"/>
      <c r="E348" s="3"/>
      <c r="F348" s="3"/>
      <c r="G348" s="3"/>
      <c r="H348" s="3"/>
      <c r="I348" s="3"/>
      <c r="J348" s="3"/>
      <c r="K348" s="3"/>
      <c r="L348" s="3"/>
      <c r="M348" s="3"/>
    </row>
    <row r="349" spans="2:27" x14ac:dyDescent="0.25">
      <c r="C349" s="32"/>
      <c r="D349" s="5"/>
      <c r="E349" s="3"/>
      <c r="F349" s="3"/>
      <c r="M349" s="3"/>
    </row>
    <row r="350" spans="2:27" x14ac:dyDescent="0.25">
      <c r="C350" s="32"/>
      <c r="D350" s="5"/>
      <c r="E350" s="3"/>
      <c r="F350" s="3"/>
    </row>
    <row r="351" spans="2:27" x14ac:dyDescent="0.25">
      <c r="C351" s="32"/>
      <c r="D351" s="5"/>
      <c r="E351" s="3"/>
      <c r="F351" s="52"/>
    </row>
    <row r="352" spans="2:27" x14ac:dyDescent="0.25">
      <c r="C352" s="32"/>
      <c r="D352" s="5"/>
      <c r="E352" s="3"/>
      <c r="F352" s="3"/>
    </row>
    <row r="353" spans="3:6" x14ac:dyDescent="0.25">
      <c r="C353" s="32"/>
      <c r="D353" s="5"/>
      <c r="E353" s="3"/>
      <c r="F353" s="3"/>
    </row>
    <row r="354" spans="3:6" x14ac:dyDescent="0.25">
      <c r="C354" s="33"/>
      <c r="D354" s="5"/>
      <c r="E354" s="3"/>
      <c r="F354" s="3"/>
    </row>
    <row r="355" spans="3:6" x14ac:dyDescent="0.25">
      <c r="C355" s="33"/>
      <c r="D355" s="5"/>
      <c r="E355" s="3"/>
      <c r="F355" s="3"/>
    </row>
    <row r="356" spans="3:6" x14ac:dyDescent="0.25">
      <c r="C356" s="33"/>
      <c r="D356" s="5"/>
      <c r="E356" s="3"/>
      <c r="F356" s="3"/>
    </row>
    <row r="357" spans="3:6" x14ac:dyDescent="0.25">
      <c r="C357" s="33"/>
      <c r="D357" s="5"/>
      <c r="E357" s="3"/>
      <c r="F357" s="3"/>
    </row>
    <row r="358" spans="3:6" x14ac:dyDescent="0.25">
      <c r="C358" s="3"/>
      <c r="D358" s="3"/>
      <c r="E358" s="3"/>
      <c r="F358" s="3"/>
    </row>
    <row r="359" spans="3:6" x14ac:dyDescent="0.25">
      <c r="C359" s="3"/>
      <c r="D359" s="3"/>
      <c r="E359" s="3"/>
    </row>
    <row r="360" spans="3:6" x14ac:dyDescent="0.25">
      <c r="C360" s="3"/>
      <c r="D360" s="3"/>
      <c r="E360" s="3"/>
    </row>
    <row r="361" spans="3:6" x14ac:dyDescent="0.25">
      <c r="C361" s="52"/>
      <c r="D361" s="52"/>
      <c r="E361" s="52"/>
    </row>
    <row r="362" spans="3:6" x14ac:dyDescent="0.25">
      <c r="C362" s="3"/>
      <c r="D362" s="3"/>
      <c r="E362" s="3"/>
    </row>
    <row r="363" spans="3:6" x14ac:dyDescent="0.25">
      <c r="C363" s="3"/>
      <c r="D363" s="3"/>
      <c r="E363" s="3"/>
    </row>
    <row r="364" spans="3:6" x14ac:dyDescent="0.25">
      <c r="C364" s="3"/>
      <c r="D364" s="3"/>
      <c r="E364" s="3"/>
    </row>
    <row r="365" spans="3:6" x14ac:dyDescent="0.25">
      <c r="C365" s="3"/>
      <c r="D365" s="3"/>
      <c r="E365" s="3"/>
    </row>
    <row r="366" spans="3:6" x14ac:dyDescent="0.25">
      <c r="C366" s="3"/>
      <c r="D366" s="3"/>
      <c r="E366" s="3"/>
    </row>
    <row r="367" spans="3:6" x14ac:dyDescent="0.25">
      <c r="C367" s="3"/>
      <c r="D367" s="3"/>
      <c r="E367" s="3"/>
    </row>
    <row r="368" spans="3:6" x14ac:dyDescent="0.25">
      <c r="C368" s="3"/>
      <c r="D368" s="3"/>
      <c r="E368" s="3"/>
    </row>
  </sheetData>
  <mergeCells count="101">
    <mergeCell ref="R159:R170"/>
    <mergeCell ref="Q159:Q170"/>
    <mergeCell ref="R171:R173"/>
    <mergeCell ref="Q171:Q173"/>
    <mergeCell ref="R125:R133"/>
    <mergeCell ref="Q125:Q133"/>
    <mergeCell ref="R134:R146"/>
    <mergeCell ref="Q134:Q146"/>
    <mergeCell ref="R181:S199"/>
    <mergeCell ref="Q181:Q199"/>
    <mergeCell ref="Q258:Q260"/>
    <mergeCell ref="R258:S260"/>
    <mergeCell ref="Z180:AA180"/>
    <mergeCell ref="C175:AA175"/>
    <mergeCell ref="Q177:AA177"/>
    <mergeCell ref="R239:S257"/>
    <mergeCell ref="Q239:Q257"/>
    <mergeCell ref="R220:S238"/>
    <mergeCell ref="Q220:Q238"/>
    <mergeCell ref="R200:S219"/>
    <mergeCell ref="Q200:Q219"/>
    <mergeCell ref="C9:M9"/>
    <mergeCell ref="L12:M12"/>
    <mergeCell ref="Z12:AA12"/>
    <mergeCell ref="Z66:AA66"/>
    <mergeCell ref="D45:D46"/>
    <mergeCell ref="C45:C46"/>
    <mergeCell ref="D37:D44"/>
    <mergeCell ref="C37:C44"/>
    <mergeCell ref="Q63:AA63"/>
    <mergeCell ref="L66:M66"/>
    <mergeCell ref="R13:R20"/>
    <mergeCell ref="Q13:Q20"/>
    <mergeCell ref="R21:R32"/>
    <mergeCell ref="Q21:Q32"/>
    <mergeCell ref="R33:R43"/>
    <mergeCell ref="Q33:Q43"/>
    <mergeCell ref="R44:R54"/>
    <mergeCell ref="Q44:Q54"/>
    <mergeCell ref="D13:D20"/>
    <mergeCell ref="C13:C20"/>
    <mergeCell ref="D21:D28"/>
    <mergeCell ref="C21:C28"/>
    <mergeCell ref="D29:D36"/>
    <mergeCell ref="C29:C36"/>
    <mergeCell ref="AE20:AI20"/>
    <mergeCell ref="AE21:AI21"/>
    <mergeCell ref="AE15:AI15"/>
    <mergeCell ref="AD16:AD17"/>
    <mergeCell ref="AE16:AI16"/>
    <mergeCell ref="AE17:AI17"/>
    <mergeCell ref="AD18:AD19"/>
    <mergeCell ref="AE18:AI18"/>
    <mergeCell ref="AE19:AI19"/>
    <mergeCell ref="AD20:AD21"/>
    <mergeCell ref="V3:W3"/>
    <mergeCell ref="D3:E3"/>
    <mergeCell ref="L124:M124"/>
    <mergeCell ref="C121:M121"/>
    <mergeCell ref="Q9:AA9"/>
    <mergeCell ref="Z124:AA124"/>
    <mergeCell ref="C63:M63"/>
    <mergeCell ref="R55:R57"/>
    <mergeCell ref="Q55:Q57"/>
    <mergeCell ref="D111:D113"/>
    <mergeCell ref="C111:C113"/>
    <mergeCell ref="R113:R115"/>
    <mergeCell ref="Q113:Q115"/>
    <mergeCell ref="C7:AA7"/>
    <mergeCell ref="D76:D85"/>
    <mergeCell ref="C76:C85"/>
    <mergeCell ref="Q121:AA121"/>
    <mergeCell ref="D96:D105"/>
    <mergeCell ref="C96:C105"/>
    <mergeCell ref="R89:R100"/>
    <mergeCell ref="Q89:Q100"/>
    <mergeCell ref="R101:R112"/>
    <mergeCell ref="R67:R75"/>
    <mergeCell ref="Q67:Q75"/>
    <mergeCell ref="R76:R88"/>
    <mergeCell ref="Q76:Q88"/>
    <mergeCell ref="Q101:Q112"/>
    <mergeCell ref="D106:D108"/>
    <mergeCell ref="D67:D75"/>
    <mergeCell ref="C67:C75"/>
    <mergeCell ref="R180:S180"/>
    <mergeCell ref="D86:D95"/>
    <mergeCell ref="C86:C95"/>
    <mergeCell ref="C106:C108"/>
    <mergeCell ref="D125:D133"/>
    <mergeCell ref="C125:C133"/>
    <mergeCell ref="D134:D143"/>
    <mergeCell ref="C134:C143"/>
    <mergeCell ref="D144:D153"/>
    <mergeCell ref="C144:C153"/>
    <mergeCell ref="D164:D166"/>
    <mergeCell ref="C164:C166"/>
    <mergeCell ref="D154:D163"/>
    <mergeCell ref="C154:C163"/>
    <mergeCell ref="R147:R158"/>
    <mergeCell ref="Q147:Q158"/>
  </mergeCells>
  <phoneticPr fontId="13" type="noConversion"/>
  <conditionalFormatting sqref="T181:T182">
    <cfRule type="uniqueValues" dxfId="0" priority="1"/>
  </conditionalFormatting>
  <pageMargins left="0.70866141732283472" right="0.70866141732283472" top="0.74803149606299213" bottom="0.74803149606299213" header="0.31496062992125984" footer="0.31496062992125984"/>
  <pageSetup scale="10" orientation="landscape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1789985A5757C458546DA27EE14A990" ma:contentTypeVersion="10" ma:contentTypeDescription="Crée un document." ma:contentTypeScope="" ma:versionID="7ba07329ccb20fecfff2d65e5e37c2ce">
  <xsd:schema xmlns:xsd="http://www.w3.org/2001/XMLSchema" xmlns:xs="http://www.w3.org/2001/XMLSchema" xmlns:p="http://schemas.microsoft.com/office/2006/metadata/properties" xmlns:ns3="7b48471d-eea9-4147-9c79-cf8a7df9f764" xmlns:ns4="a9525e4e-bfca-45ab-8149-906ac54da8e4" targetNamespace="http://schemas.microsoft.com/office/2006/metadata/properties" ma:root="true" ma:fieldsID="f822c7511a6a2550f424aa05430dea1a" ns3:_="" ns4:_="">
    <xsd:import namespace="7b48471d-eea9-4147-9c79-cf8a7df9f764"/>
    <xsd:import namespace="a9525e4e-bfca-45ab-8149-906ac54da8e4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EventHashCode" minOccurs="0"/>
                <xsd:element ref="ns4:MediaServiceGenerationTime" minOccurs="0"/>
                <xsd:element ref="ns4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b48471d-eea9-4147-9c79-cf8a7df9f764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Partagé avec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Partagé avec dé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Partage du hachage d’indicateur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525e4e-bfca-45ab-8149-906ac54da8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description="" ma:internalName="MediaServiceAutoTags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6237C0E-BBFD-4978-B7B8-EF9A325AB8B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b48471d-eea9-4147-9c79-cf8a7df9f764"/>
    <ds:schemaRef ds:uri="a9525e4e-bfca-45ab-8149-906ac54da8e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F8181E0-BBFB-42AA-8F7F-76BE7F058F78}">
  <ds:schemaRefs>
    <ds:schemaRef ds:uri="http://purl.org/dc/terms/"/>
    <ds:schemaRef ds:uri="http://schemas.microsoft.com/office/2006/documentManagement/types"/>
    <ds:schemaRef ds:uri="http://www.w3.org/XML/1998/namespace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a9525e4e-bfca-45ab-8149-906ac54da8e4"/>
    <ds:schemaRef ds:uri="7b48471d-eea9-4147-9c79-cf8a7df9f764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2401EFC1-B073-44BA-BA63-FDE1E06AA0B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Inventaires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2020-03-13T12:54:25Z</cp:lastPrinted>
  <dcterms:created xsi:type="dcterms:W3CDTF">2019-09-11T14:16:13Z</dcterms:created>
  <dcterms:modified xsi:type="dcterms:W3CDTF">2020-11-03T19:11:44Z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0x01010061789985A5757C458546DA27EE14A990</vt:lpwstr>
  </property>
</Properties>
</file>